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Models\SATIMGE\AFOLU\"/>
    </mc:Choice>
  </mc:AlternateContent>
  <xr:revisionPtr revIDLastSave="0" documentId="8_{84106050-5AB9-433C-86B2-53C4DE20C609}" xr6:coauthVersionLast="47" xr6:coauthVersionMax="47" xr10:uidLastSave="{00000000-0000-0000-0000-000000000000}"/>
  <bookViews>
    <workbookView xWindow="30" yWindow="30" windowWidth="28770" windowHeight="155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5" i="47" l="1"/>
  <c r="AB5" i="47"/>
  <c r="AC5" i="47"/>
  <c r="AD5" i="47"/>
  <c r="AE5" i="47"/>
  <c r="AF5" i="47"/>
  <c r="AG5"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Z5"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7" i="62"/>
  <c r="D36" i="62"/>
  <c r="D35" i="62"/>
  <c r="D34" i="62"/>
  <c r="D33" i="62"/>
  <c r="D32" i="62"/>
  <c r="D31" i="62"/>
  <c r="D30" i="62"/>
  <c r="D29" i="62"/>
  <c r="D28" i="62"/>
  <c r="D27" i="62"/>
  <c r="D26" i="62"/>
  <c r="D25" i="62"/>
  <c r="D17" i="62"/>
  <c r="D11" i="62"/>
  <c r="C1" i="64"/>
  <c r="C12" i="64" s="1"/>
  <c r="C9" i="59"/>
  <c r="C6" i="64" l="1"/>
  <c r="C5" i="64"/>
  <c r="C13" i="64"/>
  <c r="C11" i="64"/>
  <c r="C14"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K1018" i="67" l="1"/>
  <c r="K1014" i="67"/>
  <c r="K967" i="67"/>
  <c r="D83" i="64"/>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69" i="67"/>
  <c r="K1168" i="67"/>
  <c r="K1165" i="67"/>
  <c r="K1164" i="67"/>
  <c r="K1147" i="67"/>
  <c r="K1131" i="67"/>
  <c r="K1118"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18" i="67"/>
  <c r="K1515" i="67"/>
  <c r="K1514" i="67"/>
  <c r="K1017" i="67" s="1"/>
  <c r="K1511" i="67"/>
  <c r="K1510" i="67"/>
  <c r="K1013" i="67" s="1"/>
  <c r="K1504" i="67"/>
  <c r="K1505" i="67"/>
  <c r="K1493" i="67"/>
  <c r="K1477" i="67"/>
  <c r="K1465" i="67"/>
  <c r="K968" i="67" s="1"/>
  <c r="K1464" i="67"/>
  <c r="K1463" i="67"/>
  <c r="K1461"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K1172" i="67"/>
  <c r="K1021"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1117" i="67"/>
  <c r="K966"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K666" i="67"/>
  <c r="K1119" i="67"/>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V24" i="69"/>
  <c r="N24" i="69"/>
  <c r="F24" i="69"/>
  <c r="V23" i="69"/>
  <c r="S23" i="69"/>
  <c r="S24" i="69" s="1"/>
  <c r="R23" i="69"/>
  <c r="R24" i="69" s="1"/>
  <c r="N23" i="69"/>
  <c r="K23" i="69"/>
  <c r="K24" i="69" s="1"/>
  <c r="J23" i="69"/>
  <c r="J24" i="69" s="1"/>
  <c r="F23" i="69"/>
  <c r="C23" i="69"/>
  <c r="C24" i="69" s="1"/>
  <c r="X22" i="69"/>
  <c r="W22" i="69"/>
  <c r="W23" i="69" s="1"/>
  <c r="W24" i="69" s="1"/>
  <c r="V22" i="69"/>
  <c r="U22" i="69"/>
  <c r="U23" i="69" s="1"/>
  <c r="U24" i="69" s="1"/>
  <c r="T22" i="69"/>
  <c r="S22" i="69"/>
  <c r="R22" i="69"/>
  <c r="Q22" i="69"/>
  <c r="Q23" i="69" s="1"/>
  <c r="Q24" i="69" s="1"/>
  <c r="P22" i="69"/>
  <c r="O22" i="69"/>
  <c r="O23" i="69" s="1"/>
  <c r="O24" i="69" s="1"/>
  <c r="N22" i="69"/>
  <c r="M22" i="69"/>
  <c r="M23" i="69" s="1"/>
  <c r="M24" i="69" s="1"/>
  <c r="L22" i="69"/>
  <c r="K22" i="69"/>
  <c r="J22" i="69"/>
  <c r="I22" i="69"/>
  <c r="I23" i="69" s="1"/>
  <c r="I24" i="69" s="1"/>
  <c r="H22" i="69"/>
  <c r="G22" i="69"/>
  <c r="G23" i="69" s="1"/>
  <c r="G24" i="69" s="1"/>
  <c r="F22" i="69"/>
  <c r="E22" i="69"/>
  <c r="E23" i="69" s="1"/>
  <c r="E24" i="69" s="1"/>
  <c r="D22" i="69"/>
  <c r="C22" i="69"/>
  <c r="V20" i="69"/>
  <c r="V21" i="69" s="1"/>
  <c r="N20" i="69"/>
  <c r="N21" i="69" s="1"/>
  <c r="F20" i="69"/>
  <c r="F21" i="69" s="1"/>
  <c r="V19" i="69"/>
  <c r="V26" i="69" s="1"/>
  <c r="S19" i="69"/>
  <c r="R19" i="69"/>
  <c r="R26" i="69" s="1"/>
  <c r="N19" i="69"/>
  <c r="N26" i="69" s="1"/>
  <c r="K19" i="69"/>
  <c r="K20" i="69" s="1"/>
  <c r="K21" i="69" s="1"/>
  <c r="J19" i="69"/>
  <c r="J26" i="69" s="1"/>
  <c r="F19" i="69"/>
  <c r="F26" i="69" s="1"/>
  <c r="D19" i="69"/>
  <c r="C19" i="69"/>
  <c r="C20" i="69" s="1"/>
  <c r="C21" i="69" s="1"/>
  <c r="W18" i="69"/>
  <c r="W52" i="69" s="1"/>
  <c r="V18" i="69"/>
  <c r="V52" i="69" s="1"/>
  <c r="U18" i="69"/>
  <c r="U52" i="69" s="1"/>
  <c r="S18" i="69"/>
  <c r="S52" i="69" s="1"/>
  <c r="R18" i="69"/>
  <c r="R52" i="69" s="1"/>
  <c r="Q18" i="69"/>
  <c r="Q52" i="69" s="1"/>
  <c r="O18" i="69"/>
  <c r="O52" i="69" s="1"/>
  <c r="N18" i="69"/>
  <c r="N52" i="69" s="1"/>
  <c r="M18" i="69"/>
  <c r="M52" i="69" s="1"/>
  <c r="K18" i="69"/>
  <c r="K52" i="69" s="1"/>
  <c r="J18" i="69"/>
  <c r="J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R1447" i="67" l="1"/>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L56" i="69"/>
  <c r="L58" i="69" s="1"/>
  <c r="L59" i="69" s="1"/>
  <c r="L60" i="69" s="1"/>
  <c r="L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S1300" i="67" l="1"/>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K362" i="67"/>
  <c r="AE41" i="68"/>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K415" i="67"/>
  <c r="K411" i="67"/>
  <c r="K360" i="67"/>
  <c r="K407" i="67"/>
  <c r="K817" i="67"/>
  <c r="K567" i="67"/>
  <c r="K870" i="67"/>
  <c r="K563" i="67"/>
  <c r="K866" i="67"/>
  <c r="K559" i="67"/>
  <c r="K862" i="67"/>
  <c r="K512" i="67"/>
  <c r="K815" i="67"/>
  <c r="K209" i="67"/>
  <c r="K514" i="67"/>
  <c r="K105" i="67"/>
  <c r="K258" i="67"/>
  <c r="K101" i="67"/>
  <c r="K254" i="67"/>
  <c r="K54" i="67"/>
  <c r="K207" i="67"/>
  <c r="K109" i="67"/>
  <c r="K1325" i="67" s="1"/>
  <c r="K262" i="67"/>
  <c r="AE46" i="68"/>
  <c r="K56" i="67"/>
  <c r="K1272" i="67" s="1"/>
  <c r="K719" i="67"/>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K412" i="67"/>
  <c r="K408" i="67"/>
  <c r="K361" i="67"/>
  <c r="K513" i="67"/>
  <c r="K816" i="67"/>
  <c r="K560" i="67"/>
  <c r="K863" i="67"/>
  <c r="K564" i="67"/>
  <c r="K867" i="67"/>
  <c r="K106" i="67"/>
  <c r="K259" i="67"/>
  <c r="K102" i="67"/>
  <c r="K255" i="67"/>
  <c r="K55" i="67"/>
  <c r="K208" i="67"/>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AA4" i="47"/>
  <c r="Z4" i="69" s="1"/>
  <c r="AB4" i="47"/>
  <c r="AA4" i="69" s="1"/>
  <c r="AC4" i="47"/>
  <c r="AB4" i="69" s="1"/>
  <c r="AD4" i="47"/>
  <c r="AC4" i="69" s="1"/>
  <c r="AE4" i="47"/>
  <c r="AD4" i="69" s="1"/>
  <c r="AF4" i="47"/>
  <c r="AE4" i="69" s="1"/>
  <c r="AG4" i="47"/>
  <c r="AF4" i="69" s="1"/>
  <c r="AH4" i="47"/>
  <c r="AG4" i="69" s="1"/>
  <c r="AI4" i="47"/>
  <c r="AH4" i="69" s="1"/>
  <c r="AJ4" i="47"/>
  <c r="AI4" i="69" s="1"/>
  <c r="AK4" i="47"/>
  <c r="AJ4" i="69" s="1"/>
  <c r="AL4" i="47"/>
  <c r="AK4" i="69" s="1"/>
  <c r="AM4" i="47"/>
  <c r="AL4" i="69" s="1"/>
  <c r="AN4" i="47"/>
  <c r="AM4" i="69" s="1"/>
  <c r="AO4" i="47"/>
  <c r="AN4" i="69" s="1"/>
  <c r="AP4" i="47"/>
  <c r="AO4" i="69" s="1"/>
  <c r="AQ4" i="47"/>
  <c r="AP4" i="69" s="1"/>
  <c r="AR4" i="47"/>
  <c r="AQ4" i="69" s="1"/>
  <c r="AS4" i="47"/>
  <c r="AR4" i="69" s="1"/>
  <c r="AT4" i="47"/>
  <c r="AS4" i="69" s="1"/>
  <c r="AU4" i="47"/>
  <c r="AT4" i="69" s="1"/>
  <c r="AV4" i="47"/>
  <c r="AU4" i="69" s="1"/>
  <c r="AW4" i="47"/>
  <c r="AV4" i="69" s="1"/>
  <c r="AX4" i="47"/>
  <c r="AW4" i="69" s="1"/>
  <c r="AY4" i="47"/>
  <c r="AX4" i="69" s="1"/>
  <c r="AZ4" i="47"/>
  <c r="AY4" i="69" s="1"/>
  <c r="BA4" i="47"/>
  <c r="AZ4" i="69" s="1"/>
  <c r="BB4" i="47"/>
  <c r="BA4" i="69" s="1"/>
  <c r="BC4" i="47"/>
  <c r="BB4" i="69" s="1"/>
  <c r="BD4" i="47"/>
  <c r="BC4" i="69" s="1"/>
  <c r="BE4" i="47"/>
  <c r="BD4" i="69" s="1"/>
  <c r="BF4" i="47"/>
  <c r="BE4" i="69" s="1"/>
  <c r="BG4" i="47"/>
  <c r="BF4" i="69" s="1"/>
  <c r="BH4" i="47"/>
  <c r="BG4" i="69" s="1"/>
  <c r="BI4" i="47"/>
  <c r="BH4" i="69" s="1"/>
  <c r="BJ4" i="47"/>
  <c r="BI4" i="69" s="1"/>
  <c r="BK4" i="47"/>
  <c r="BJ4" i="69" s="1"/>
  <c r="BL4" i="47"/>
  <c r="BK4" i="69" s="1"/>
  <c r="Z4" i="47"/>
  <c r="Y4" i="69" s="1"/>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23" i="50"/>
  <c r="U24"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Q14" i="65" l="1"/>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BI47" i="69" s="1"/>
  <c r="BI49" i="69" s="1"/>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A29" i="69"/>
  <c r="AU29" i="69"/>
  <c r="Y29" i="69"/>
  <c r="AG29" i="69"/>
  <c r="AR29" i="69"/>
  <c r="AZ29" i="69"/>
  <c r="AM47" i="69"/>
  <c r="AM49" i="69" s="1"/>
  <c r="AH47" i="69"/>
  <c r="AH49" i="69" s="1"/>
  <c r="AD47" i="69"/>
  <c r="AD49" i="69" s="1"/>
  <c r="AK42" i="36"/>
  <c r="AJ83" i="36"/>
  <c r="AA47" i="50"/>
  <c r="AT47" i="50"/>
  <c r="BH29" i="50"/>
  <c r="BG29" i="50"/>
  <c r="AH29" i="50"/>
  <c r="AK29" i="50"/>
  <c r="AL29" i="50"/>
  <c r="AZ29" i="50"/>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Q47" i="69" l="1"/>
  <c r="AQ49" i="69" s="1"/>
  <c r="AZ47" i="50"/>
  <c r="AV47" i="69"/>
  <c r="AV49" i="69" s="1"/>
  <c r="AK47" i="50"/>
  <c r="BE47" i="69"/>
  <c r="BE49" i="69" s="1"/>
  <c r="AP47" i="50"/>
  <c r="BC47" i="50"/>
  <c r="AZ47" i="69"/>
  <c r="AZ49" i="69" s="1"/>
  <c r="BA47" i="69"/>
  <c r="BA49" i="69" s="1"/>
  <c r="AA29" i="50"/>
  <c r="AN47" i="50"/>
  <c r="AI47" i="50"/>
  <c r="AH29" i="69"/>
  <c r="BC29" i="69"/>
  <c r="Y29" i="50"/>
  <c r="AS47" i="50"/>
  <c r="Z47" i="50"/>
  <c r="AY47" i="69"/>
  <c r="AY49" i="69" s="1"/>
  <c r="AB29" i="69"/>
  <c r="AB32" i="69" s="1"/>
  <c r="AL29" i="69"/>
  <c r="AL32" i="69" s="1"/>
  <c r="AJ29" i="50"/>
  <c r="BA29" i="50"/>
  <c r="AV47" i="50"/>
  <c r="AM47" i="50"/>
  <c r="BC47" i="69"/>
  <c r="BC49" i="69" s="1"/>
  <c r="BA29" i="69"/>
  <c r="AE29" i="69"/>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AU29" i="50"/>
  <c r="BJ29" i="50"/>
  <c r="AJ47" i="50"/>
  <c r="AU47" i="69"/>
  <c r="AU49" i="69" s="1"/>
  <c r="AJ29" i="69"/>
  <c r="AJ32" i="69" s="1"/>
  <c r="AD29" i="69"/>
  <c r="AD32" i="69" s="1"/>
  <c r="AV29" i="50"/>
  <c r="AR29" i="50"/>
  <c r="AY47" i="50"/>
  <c r="AP47" i="69"/>
  <c r="AP49" i="69" s="1"/>
  <c r="BH47" i="69"/>
  <c r="BH49" i="69" s="1"/>
  <c r="BI29" i="69"/>
  <c r="AY29" i="69"/>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BB29" i="69"/>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C32" i="69"/>
  <c r="AC30" i="69"/>
  <c r="AY32" i="69"/>
  <c r="AY30" i="69"/>
  <c r="AF32" i="69"/>
  <c r="AF30" i="69"/>
  <c r="BA32" i="69"/>
  <c r="BA30" i="69"/>
  <c r="AZ32" i="69"/>
  <c r="AZ30" i="69"/>
  <c r="AG32" i="69"/>
  <c r="AG30" i="69"/>
  <c r="AE32" i="69"/>
  <c r="AE30" i="69"/>
  <c r="AU32" i="69"/>
  <c r="AU30" i="69"/>
  <c r="AR32" i="69"/>
  <c r="AR30" i="69"/>
  <c r="Y32" i="69"/>
  <c r="Y30" i="69"/>
  <c r="AA32" i="69"/>
  <c r="AA30" i="69"/>
  <c r="BI32" i="69"/>
  <c r="BI30" i="69"/>
  <c r="BB32" i="69"/>
  <c r="BB30" i="69"/>
  <c r="P4" i="50"/>
  <c r="P4" i="57" s="1"/>
  <c r="P4" i="69"/>
  <c r="AH32" i="69"/>
  <c r="AH30" i="69"/>
  <c r="AP32" i="69"/>
  <c r="BC32" i="69"/>
  <c r="BC30" i="69"/>
  <c r="Z32" i="69"/>
  <c r="Z30"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I32" i="69" l="1"/>
  <c r="AN18" i="70" s="1"/>
  <c r="AK30" i="69"/>
  <c r="AM30" i="69"/>
  <c r="BK30" i="69"/>
  <c r="AX32" i="69"/>
  <c r="BC18" i="70" s="1"/>
  <c r="BF32" i="69"/>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N17" i="70"/>
  <c r="BN18" i="70"/>
  <c r="BI53" i="69"/>
  <c r="BA18" i="70"/>
  <c r="BA17" i="70"/>
  <c r="AV53" i="69"/>
  <c r="AD18" i="70"/>
  <c r="AD17" i="70"/>
  <c r="Y53" i="69"/>
  <c r="AR18" i="70"/>
  <c r="AR17" i="70"/>
  <c r="AM53" i="69"/>
  <c r="AV18" i="70"/>
  <c r="AV17" i="70"/>
  <c r="AQ53" i="69"/>
  <c r="AQ31" i="69"/>
  <c r="BM18" i="70"/>
  <c r="BM17" i="70"/>
  <c r="BH53" i="69"/>
  <c r="AZ18" i="70"/>
  <c r="AZ17" i="70"/>
  <c r="AU53" i="69"/>
  <c r="AJ18" i="70"/>
  <c r="AJ17" i="70"/>
  <c r="AE53" i="69"/>
  <c r="BC17" i="70"/>
  <c r="AX53" i="69"/>
  <c r="BE18" i="70"/>
  <c r="BE17" i="70"/>
  <c r="AZ53" i="69"/>
  <c r="BF17" i="70"/>
  <c r="BF18" i="70"/>
  <c r="BA53" i="69"/>
  <c r="AK18" i="70"/>
  <c r="AK17" i="70"/>
  <c r="AF53" i="69"/>
  <c r="BD18" i="70"/>
  <c r="BD17" i="70"/>
  <c r="AY53" i="69"/>
  <c r="AG18" i="70"/>
  <c r="AG17" i="70"/>
  <c r="AB53" i="69"/>
  <c r="AE17" i="70"/>
  <c r="AE18" i="70"/>
  <c r="Z53" i="69"/>
  <c r="O4" i="50"/>
  <c r="O4" i="57" s="1"/>
  <c r="O4" i="69"/>
  <c r="AS18" i="70"/>
  <c r="AS17" i="70"/>
  <c r="AN53" i="69"/>
  <c r="BH18" i="70"/>
  <c r="BH17" i="70"/>
  <c r="BC53" i="69"/>
  <c r="AU17" i="70"/>
  <c r="AU18" i="70"/>
  <c r="AP53" i="69"/>
  <c r="AM17" i="70"/>
  <c r="AM18" i="70"/>
  <c r="AH53" i="69"/>
  <c r="BG17" i="70"/>
  <c r="BG18" i="70"/>
  <c r="BB53" i="69"/>
  <c r="AF18" i="70"/>
  <c r="AF17" i="70"/>
  <c r="AA53" i="69"/>
  <c r="BK17" i="70"/>
  <c r="BK18" i="70"/>
  <c r="BF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Y18" i="70"/>
  <c r="AT17" i="70"/>
  <c r="AT18" i="70"/>
  <c r="AO53" i="69"/>
  <c r="AO31" i="69"/>
  <c r="AH17" i="70"/>
  <c r="AH18" i="70"/>
  <c r="AC53" i="69"/>
  <c r="AM42" i="36"/>
  <c r="AL83" i="36"/>
  <c r="O5" i="47"/>
  <c r="AI53" i="69" l="1"/>
  <c r="AN17" i="70"/>
  <c r="AT53" i="69"/>
  <c r="AQ78" i="70"/>
  <c r="AQ62" i="70"/>
  <c r="BI63" i="70"/>
  <c r="BI79" i="70"/>
  <c r="AW62" i="70"/>
  <c r="AW78" i="70"/>
  <c r="BJ78" i="70"/>
  <c r="BJ62" i="70"/>
  <c r="N4" i="50"/>
  <c r="N4" i="57" s="1"/>
  <c r="N4" i="69"/>
  <c r="AT79" i="70"/>
  <c r="AT63" i="70"/>
  <c r="BL78" i="70"/>
  <c r="BL62" i="70"/>
  <c r="AW79" i="70"/>
  <c r="AW63" i="70"/>
  <c r="AF78" i="70"/>
  <c r="AF62" i="70"/>
  <c r="AN78" i="70"/>
  <c r="AN62" i="70"/>
  <c r="BF78" i="70"/>
  <c r="BF62" i="70"/>
  <c r="AJ62" i="70"/>
  <c r="AJ78" i="70"/>
  <c r="BA63" i="70"/>
  <c r="BA79" i="70"/>
  <c r="AO62" i="70"/>
  <c r="AO78" i="70"/>
  <c r="AH78" i="70"/>
  <c r="AH62" i="70"/>
  <c r="AT78" i="70"/>
  <c r="AT62" i="70"/>
  <c r="BP62" i="70"/>
  <c r="BP78" i="70"/>
  <c r="BL79" i="70"/>
  <c r="BL63" i="70"/>
  <c r="BO79" i="70"/>
  <c r="BO63" i="70"/>
  <c r="AX78" i="70"/>
  <c r="AX62" i="70"/>
  <c r="BK79" i="70"/>
  <c r="BK63" i="70"/>
  <c r="AF79" i="70"/>
  <c r="AF63" i="70"/>
  <c r="AU79" i="70"/>
  <c r="AU63" i="70"/>
  <c r="AN63" i="70"/>
  <c r="AN79" i="70"/>
  <c r="BD78" i="70"/>
  <c r="BD62" i="70"/>
  <c r="AK63" i="70"/>
  <c r="AK79" i="70"/>
  <c r="BC79" i="70"/>
  <c r="BC63" i="70"/>
  <c r="AJ79" i="70"/>
  <c r="AJ63" i="70"/>
  <c r="AR62" i="70"/>
  <c r="AR78" i="70"/>
  <c r="AD79" i="70"/>
  <c r="AD63" i="70"/>
  <c r="AP79" i="70"/>
  <c r="AP63" i="70"/>
  <c r="AO79" i="70"/>
  <c r="AO63" i="70"/>
  <c r="AY79"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D63" i="70"/>
  <c r="BD79" i="70"/>
  <c r="BE62" i="70"/>
  <c r="BE78" i="70"/>
  <c r="BC78" i="70"/>
  <c r="BC62" i="70"/>
  <c r="BM62" i="70"/>
  <c r="BM78" i="70"/>
  <c r="AV78" i="70"/>
  <c r="AV62" i="70"/>
  <c r="AR79" i="70"/>
  <c r="AR63" i="70"/>
  <c r="BN79" i="70"/>
  <c r="BN63" i="70"/>
  <c r="AP78" i="70"/>
  <c r="AP62" i="70"/>
  <c r="AI79" i="70"/>
  <c r="AI63" i="70"/>
  <c r="AL79" i="70"/>
  <c r="AL63" i="70"/>
  <c r="BG79" i="70"/>
  <c r="BG63" i="70"/>
  <c r="AM78" i="70"/>
  <c r="AM62" i="70"/>
  <c r="BH62" i="70"/>
  <c r="BH78"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Y166" i="65" l="1"/>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F166" i="65"/>
  <c r="F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BH22" i="50"/>
  <c r="BE22" i="50"/>
  <c r="AQ22" i="50"/>
  <c r="AX22" i="50"/>
  <c r="AX23" i="50" s="1"/>
  <c r="AX24" i="50" s="1"/>
  <c r="AO22" i="50"/>
  <c r="AO23" i="50" s="1"/>
  <c r="AO24" i="50" s="1"/>
  <c r="BB22" i="50"/>
  <c r="AW22" i="69"/>
  <c r="AW23" i="69" s="1"/>
  <c r="AW24" i="69" s="1"/>
  <c r="AM14" i="50"/>
  <c r="BC22" i="50"/>
  <c r="BC23" i="50" s="1"/>
  <c r="BC24" i="50" s="1"/>
  <c r="BI22" i="50"/>
  <c r="BN14" i="36" s="1"/>
  <c r="AE22" i="50"/>
  <c r="AJ13" i="36" s="1"/>
  <c r="BC22" i="69"/>
  <c r="BC23" i="69" s="1"/>
  <c r="BC24" i="69" s="1"/>
  <c r="BK22" i="50"/>
  <c r="AL22" i="50"/>
  <c r="AK22" i="50"/>
  <c r="AP13" i="36" s="1"/>
  <c r="AB22" i="50"/>
  <c r="AB23" i="50" s="1"/>
  <c r="AB24" i="50" s="1"/>
  <c r="AR22" i="50"/>
  <c r="AR23" i="50" s="1"/>
  <c r="AR24" i="50" s="1"/>
  <c r="AN22" i="50"/>
  <c r="BA22" i="50"/>
  <c r="BF13" i="36" s="1"/>
  <c r="BF22" i="69"/>
  <c r="BF23" i="69" s="1"/>
  <c r="BF24" i="69" s="1"/>
  <c r="AF22" i="50"/>
  <c r="AF23" i="50" s="1"/>
  <c r="AF24" i="50" s="1"/>
  <c r="AT22" i="50"/>
  <c r="AY14" i="36" s="1"/>
  <c r="BH22" i="69"/>
  <c r="BH23" i="69" s="1"/>
  <c r="BH24" i="69" s="1"/>
  <c r="BG22" i="50"/>
  <c r="BG23" i="50" s="1"/>
  <c r="BG24" i="50" s="1"/>
  <c r="Z22" i="50"/>
  <c r="AE22" i="69"/>
  <c r="Y22" i="50"/>
  <c r="AD14" i="36" s="1"/>
  <c r="AY22" i="50"/>
  <c r="AY23" i="50" s="1"/>
  <c r="AY24" i="50" s="1"/>
  <c r="BF22" i="50"/>
  <c r="BK13" i="36" s="1"/>
  <c r="AU22" i="69"/>
  <c r="AV22" i="50"/>
  <c r="AV23" i="50" s="1"/>
  <c r="AV24" i="50" s="1"/>
  <c r="AM22" i="50"/>
  <c r="AM23" i="50" s="1"/>
  <c r="AM24" i="50" s="1"/>
  <c r="AJ22" i="50"/>
  <c r="AO13" i="36" s="1"/>
  <c r="AG22" i="50"/>
  <c r="AG23" i="50" s="1"/>
  <c r="AG24" i="50" s="1"/>
  <c r="AP22" i="50"/>
  <c r="AU13" i="36" s="1"/>
  <c r="AH22" i="69"/>
  <c r="AM13" i="70" s="1"/>
  <c r="AC22" i="50"/>
  <c r="AW22" i="50"/>
  <c r="AU22" i="50"/>
  <c r="AZ13" i="36" s="1"/>
  <c r="BJ22" i="50"/>
  <c r="BO13" i="36" s="1"/>
  <c r="AH22" i="50"/>
  <c r="AM14" i="36" s="1"/>
  <c r="BI22" i="69"/>
  <c r="BD22" i="69"/>
  <c r="BI13" i="70" s="1"/>
  <c r="AS22" i="50"/>
  <c r="AS23" i="50" s="1"/>
  <c r="AS24" i="50" s="1"/>
  <c r="AA22" i="50"/>
  <c r="AF13" i="36" s="1"/>
  <c r="AZ22" i="50"/>
  <c r="AZ23" i="50" s="1"/>
  <c r="AZ24" i="50" s="1"/>
  <c r="BD22" i="50"/>
  <c r="BI14" i="36" s="1"/>
  <c r="AI22" i="50"/>
  <c r="AN13" i="36" s="1"/>
  <c r="AC22" i="69"/>
  <c r="AS22" i="69"/>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B12" i="69"/>
  <c r="AB15" i="69" s="1"/>
  <c r="AB50" i="69" s="1"/>
  <c r="BC14" i="50"/>
  <c r="AU14" i="50"/>
  <c r="AQ12" i="50"/>
  <c r="AQ13" i="50" s="1"/>
  <c r="BE14" i="50"/>
  <c r="AV14" i="69"/>
  <c r="AB14" i="50"/>
  <c r="AJ12" i="50"/>
  <c r="AJ13" i="50" s="1"/>
  <c r="AP12" i="50"/>
  <c r="AP13" i="50" s="1"/>
  <c r="BF14" i="50"/>
  <c r="Z39" i="69"/>
  <c r="AM12" i="69"/>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AH12" i="69"/>
  <c r="AH15" i="69" s="1"/>
  <c r="AH50" i="69" s="1"/>
  <c r="AS12" i="69"/>
  <c r="AS13" i="69" s="1"/>
  <c r="AP14" i="69"/>
  <c r="BK34" i="69"/>
  <c r="AF12" i="69"/>
  <c r="AF13" i="69" s="1"/>
  <c r="AF14" i="69"/>
  <c r="BH34" i="69"/>
  <c r="BH35" i="69" s="1"/>
  <c r="AO12" i="69"/>
  <c r="AO15" i="69" s="1"/>
  <c r="AO50" i="69" s="1"/>
  <c r="BG12" i="69"/>
  <c r="BG15" i="69" s="1"/>
  <c r="BG50" i="69" s="1"/>
  <c r="AD19" i="69"/>
  <c r="AB34" i="69"/>
  <c r="AB37" i="69" s="1"/>
  <c r="Y12" i="69"/>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A20" i="50"/>
  <c r="AA21" i="50" s="1"/>
  <c r="AE23" i="69"/>
  <c r="AE24" i="69" s="1"/>
  <c r="AJ14" i="70"/>
  <c r="AJ13" i="70"/>
  <c r="AS23" i="69"/>
  <c r="AS24" i="69" s="1"/>
  <c r="AX13" i="70"/>
  <c r="AX14" i="70"/>
  <c r="BL14" i="70"/>
  <c r="BL13" i="70"/>
  <c r="AF23" i="69"/>
  <c r="AF24" i="69" s="1"/>
  <c r="AK14" i="70"/>
  <c r="AK13" i="70"/>
  <c r="AM13" i="69"/>
  <c r="AM15" i="69"/>
  <c r="AM50" i="69" s="1"/>
  <c r="BI13" i="69"/>
  <c r="AC13" i="69"/>
  <c r="AR14"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BJ13" i="70"/>
  <c r="BE14" i="70"/>
  <c r="BA37" i="69"/>
  <c r="BA35" i="69"/>
  <c r="BK35" i="69"/>
  <c r="BK37" i="69"/>
  <c r="AU15" i="69"/>
  <c r="AU50" i="69" s="1"/>
  <c r="AU13" i="69"/>
  <c r="AY13" i="69"/>
  <c r="AX8" i="50"/>
  <c r="AA205" i="65"/>
  <c r="AX5" i="69" s="1"/>
  <c r="K4" i="50"/>
  <c r="K4" i="57" s="1"/>
  <c r="K4" i="69"/>
  <c r="AU23" i="69"/>
  <c r="AU24" i="69" s="1"/>
  <c r="AZ14" i="70"/>
  <c r="AZ13" i="70"/>
  <c r="BI23" i="69"/>
  <c r="BI24" i="69" s="1"/>
  <c r="BN13" i="70"/>
  <c r="BN14" i="70"/>
  <c r="AC23" i="69"/>
  <c r="AC24" i="69" s="1"/>
  <c r="AH13" i="70"/>
  <c r="AH14" i="70"/>
  <c r="AS35" i="69"/>
  <c r="AQ37" i="69"/>
  <c r="Y35" i="69"/>
  <c r="Y37" i="69"/>
  <c r="Y15" i="69"/>
  <c r="Y50" i="69" s="1"/>
  <c r="Y13" i="69"/>
  <c r="AQ42" i="36"/>
  <c r="AP83" i="36"/>
  <c r="AX13" i="36"/>
  <c r="BP14" i="36"/>
  <c r="BP13" i="36"/>
  <c r="BK23" i="50"/>
  <c r="BK24" i="50" s="1"/>
  <c r="BH23" i="50"/>
  <c r="BH24" i="50" s="1"/>
  <c r="BM14" i="36"/>
  <c r="BM13" i="36"/>
  <c r="BJ13" i="36"/>
  <c r="BE23" i="50"/>
  <c r="BE24" i="50" s="1"/>
  <c r="BJ14" i="36"/>
  <c r="AQ23" i="50"/>
  <c r="AQ24" i="50" s="1"/>
  <c r="AV13" i="36"/>
  <c r="AV14" i="36"/>
  <c r="AQ14" i="36"/>
  <c r="AL23" i="50"/>
  <c r="AL24" i="50" s="1"/>
  <c r="AQ13" i="36"/>
  <c r="AK23" i="50"/>
  <c r="AK24" i="50" s="1"/>
  <c r="AP14" i="36"/>
  <c r="AH14" i="36"/>
  <c r="AC23" i="50"/>
  <c r="AC24" i="50" s="1"/>
  <c r="AH13" i="36"/>
  <c r="BG14" i="36"/>
  <c r="BG13" i="36"/>
  <c r="BB23" i="50"/>
  <c r="BB24" i="50" s="1"/>
  <c r="BB13" i="36"/>
  <c r="AW23" i="50"/>
  <c r="AW24" i="50" s="1"/>
  <c r="BB14" i="36"/>
  <c r="AE14" i="36"/>
  <c r="Z23" i="50"/>
  <c r="Z24" i="50" s="1"/>
  <c r="AE13" i="36"/>
  <c r="AS13" i="36"/>
  <c r="AN23" i="50"/>
  <c r="AN24" i="50" s="1"/>
  <c r="AS14"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X14" i="36" l="1"/>
  <c r="AX23" i="69"/>
  <c r="AX24" i="69" s="1"/>
  <c r="BD23" i="69"/>
  <c r="BD24" i="69" s="1"/>
  <c r="AQ14" i="70"/>
  <c r="BC14" i="70"/>
  <c r="AP14" i="70"/>
  <c r="BA23" i="50"/>
  <c r="BA24" i="50" s="1"/>
  <c r="BG35" i="69"/>
  <c r="AM35" i="69"/>
  <c r="BI14" i="70"/>
  <c r="AI13" i="70"/>
  <c r="BK13" i="70"/>
  <c r="AB13" i="69"/>
  <c r="AL23" i="69"/>
  <c r="AL24" i="69" s="1"/>
  <c r="BB14" i="70"/>
  <c r="BB59" i="70" s="1"/>
  <c r="AK23" i="69"/>
  <c r="AK24" i="69" s="1"/>
  <c r="BA13" i="36"/>
  <c r="AH1387" i="67" s="1"/>
  <c r="AW14" i="70"/>
  <c r="AW59" i="70" s="1"/>
  <c r="BB13" i="70"/>
  <c r="AF15" i="69"/>
  <c r="AF50" i="69" s="1"/>
  <c r="BA14" i="36"/>
  <c r="AH1556" i="67" s="1"/>
  <c r="BF14" i="36"/>
  <c r="BJ13" i="69"/>
  <c r="AI14" i="70"/>
  <c r="Z37" i="69"/>
  <c r="P205" i="65"/>
  <c r="AM5" i="69" s="1"/>
  <c r="AI205" i="65"/>
  <c r="BF5" i="69" s="1"/>
  <c r="AZ14" i="36"/>
  <c r="AG1402" i="67" s="1"/>
  <c r="AL13" i="69"/>
  <c r="AU23" i="50"/>
  <c r="AU24" i="50" s="1"/>
  <c r="AG14" i="36"/>
  <c r="N1402" i="67" s="1"/>
  <c r="BC14" i="36"/>
  <c r="AJ1388" i="67" s="1"/>
  <c r="BA15" i="69"/>
  <c r="BA50" i="69" s="1"/>
  <c r="BC13" i="36"/>
  <c r="AK35" i="69"/>
  <c r="AW13" i="36"/>
  <c r="AD1387" i="67" s="1"/>
  <c r="BD13" i="36"/>
  <c r="AK1539" i="67" s="1"/>
  <c r="AV35" i="69"/>
  <c r="AO13" i="70"/>
  <c r="AO74" i="70" s="1"/>
  <c r="BD14" i="36"/>
  <c r="AK1402" i="67" s="1"/>
  <c r="BF23" i="50"/>
  <c r="BF24" i="50" s="1"/>
  <c r="AH23" i="50"/>
  <c r="AH24" i="50" s="1"/>
  <c r="AT14" i="36"/>
  <c r="AE35" i="69"/>
  <c r="AF13" i="70"/>
  <c r="AF74" i="70" s="1"/>
  <c r="AX37" i="69"/>
  <c r="B206" i="65"/>
  <c r="AH20" i="50"/>
  <c r="AH21" i="50" s="1"/>
  <c r="BK14" i="36"/>
  <c r="AQ8" i="50"/>
  <c r="AM13" i="36"/>
  <c r="T1209" i="67" s="1"/>
  <c r="AS15" i="69"/>
  <c r="AS50" i="69" s="1"/>
  <c r="BA14" i="70"/>
  <c r="BA59" i="70" s="1"/>
  <c r="AO14" i="70"/>
  <c r="V1194" i="67" s="1"/>
  <c r="AG13" i="36"/>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R13" i="36"/>
  <c r="Y1387" i="67" s="1"/>
  <c r="AZ13" i="69"/>
  <c r="AR14" i="36"/>
  <c r="BB35" i="69"/>
  <c r="BE13" i="36"/>
  <c r="AL1387" i="67" s="1"/>
  <c r="AL13" i="70"/>
  <c r="AL58" i="70" s="1"/>
  <c r="BC20" i="50"/>
  <c r="BC21" i="50" s="1"/>
  <c r="AG14" i="70"/>
  <c r="N1108" i="67" s="1"/>
  <c r="BN13" i="36"/>
  <c r="AU1387" i="67" s="1"/>
  <c r="AH23" i="69"/>
  <c r="AH24" i="69" s="1"/>
  <c r="BK20" i="50"/>
  <c r="BK21" i="50" s="1"/>
  <c r="M205" i="65"/>
  <c r="AJ5" i="69" s="1"/>
  <c r="BD20" i="50"/>
  <c r="BD21" i="50" s="1"/>
  <c r="AU20" i="50"/>
  <c r="AU21" i="50" s="1"/>
  <c r="Y42" i="69"/>
  <c r="AD22" i="70" s="1"/>
  <c r="AF14" i="36"/>
  <c r="M1388" i="67" s="1"/>
  <c r="AU14" i="70"/>
  <c r="AB1108" i="67" s="1"/>
  <c r="AJ205" i="65"/>
  <c r="BG5" i="69" s="1"/>
  <c r="AI14" i="36"/>
  <c r="P1402" i="67" s="1"/>
  <c r="BH13" i="36"/>
  <c r="AO1401" i="67" s="1"/>
  <c r="AU13" i="70"/>
  <c r="AU58" i="70" s="1"/>
  <c r="BD13" i="70"/>
  <c r="BD58" i="70" s="1"/>
  <c r="AJ23" i="50"/>
  <c r="AJ24" i="50" s="1"/>
  <c r="AT14" i="70"/>
  <c r="AA1076" i="67" s="1"/>
  <c r="AK14" i="36"/>
  <c r="R1388" i="67" s="1"/>
  <c r="BH37" i="69"/>
  <c r="BH54" i="69" s="1"/>
  <c r="AT37" i="69"/>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AM1210" i="67" s="1"/>
  <c r="BF13" i="70"/>
  <c r="AM1089" i="67" s="1"/>
  <c r="AP20" i="50"/>
  <c r="AP21" i="50" s="1"/>
  <c r="AM206" i="65"/>
  <c r="BJ19" i="69" s="1"/>
  <c r="AC20" i="50"/>
  <c r="AC21" i="50" s="1"/>
  <c r="AT15" i="69"/>
  <c r="AT50" i="69" s="1"/>
  <c r="BH14" i="36"/>
  <c r="AO1388" i="67" s="1"/>
  <c r="AO14" i="36"/>
  <c r="BD14" i="70"/>
  <c r="AK1076" i="67" s="1"/>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N1107" i="67" s="1"/>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N1089" i="67" s="1"/>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M1388" i="67"/>
  <c r="AM1402" i="67"/>
  <c r="AM1420" i="67"/>
  <c r="AM1540" i="67"/>
  <c r="AM1556"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U1388" i="67"/>
  <c r="AP1108" i="67"/>
  <c r="AP1090" i="67"/>
  <c r="AP1076" i="67"/>
  <c r="AP1194" i="67"/>
  <c r="AP1210" i="67"/>
  <c r="AP1388" i="67"/>
  <c r="AP1402" i="67"/>
  <c r="AP1420" i="67"/>
  <c r="AP1540" i="67"/>
  <c r="AP1556" i="67"/>
  <c r="AB1420" i="67"/>
  <c r="AB1540" i="67"/>
  <c r="AV1076" i="67"/>
  <c r="AV1090" i="67"/>
  <c r="AV1108" i="67"/>
  <c r="AV1210" i="67"/>
  <c r="AV1194" i="67"/>
  <c r="AV1388" i="67"/>
  <c r="AV1402" i="67"/>
  <c r="AV1420" i="67"/>
  <c r="AV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S1075" i="67"/>
  <c r="AM51" i="50"/>
  <c r="Y54" i="69"/>
  <c r="AD19" i="70"/>
  <c r="AD21" i="70"/>
  <c r="BG54" i="69"/>
  <c r="BL21" i="70"/>
  <c r="BL19" i="70"/>
  <c r="AV21" i="70"/>
  <c r="AV19" i="70"/>
  <c r="AQ36" i="69"/>
  <c r="AQ54" i="69"/>
  <c r="AH74" i="70"/>
  <c r="AH58" i="70"/>
  <c r="F130" i="65"/>
  <c r="F140" i="65" s="1"/>
  <c r="O470" i="67" s="1"/>
  <c r="AM54" i="69"/>
  <c r="AR21" i="70"/>
  <c r="AR19" i="70"/>
  <c r="BC58" i="70"/>
  <c r="BC74" i="70"/>
  <c r="AA130" i="65"/>
  <c r="AA140" i="65" s="1"/>
  <c r="AJ470" i="67" s="1"/>
  <c r="BK54" i="69"/>
  <c r="BP21" i="70"/>
  <c r="BP19" i="70"/>
  <c r="AY74" i="70"/>
  <c r="AY58" i="70"/>
  <c r="W130" i="65"/>
  <c r="AP75" i="70"/>
  <c r="AP59" i="70"/>
  <c r="N131" i="65"/>
  <c r="N141" i="65" s="1"/>
  <c r="W471" i="67" s="1"/>
  <c r="BE59" i="70"/>
  <c r="BE75" i="70"/>
  <c r="AC131" i="65"/>
  <c r="AD75" i="70"/>
  <c r="B131" i="65"/>
  <c r="B141" i="65" s="1"/>
  <c r="K471" i="67" s="1"/>
  <c r="AD59" i="70"/>
  <c r="BJ74" i="70"/>
  <c r="BJ58" i="70"/>
  <c r="AH130" i="65"/>
  <c r="AH140" i="65" s="1"/>
  <c r="AQ470" i="67" s="1"/>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Z54" i="69"/>
  <c r="AE19" i="70"/>
  <c r="AE21" i="70"/>
  <c r="AR74" i="70"/>
  <c r="AR58" i="70"/>
  <c r="P130" i="65"/>
  <c r="T131" i="65"/>
  <c r="T141" i="65" s="1"/>
  <c r="AC471" i="67" s="1"/>
  <c r="AV75" i="70"/>
  <c r="AV59" i="70"/>
  <c r="AJ54" i="69"/>
  <c r="AO21" i="70"/>
  <c r="AO19" i="70"/>
  <c r="AU54" i="69"/>
  <c r="AZ21" i="70"/>
  <c r="AZ19" i="70"/>
  <c r="AI75" i="70"/>
  <c r="AI59" i="70"/>
  <c r="G131" i="65"/>
  <c r="W1077" i="67"/>
  <c r="W1091" i="67"/>
  <c r="W1195" i="67"/>
  <c r="W1109" i="67"/>
  <c r="W1211" i="67"/>
  <c r="W1389" i="67"/>
  <c r="W1403" i="67"/>
  <c r="W1421" i="67"/>
  <c r="W1541" i="67"/>
  <c r="W1557" i="67"/>
  <c r="AZ54" i="69"/>
  <c r="BE21" i="70"/>
  <c r="BE19" i="70"/>
  <c r="BN74" i="70"/>
  <c r="BN58" i="70"/>
  <c r="AL130" i="65"/>
  <c r="BB74" i="70"/>
  <c r="BB58" i="70"/>
  <c r="Z130" i="65"/>
  <c r="Z140" i="65" s="1"/>
  <c r="AI470" i="67" s="1"/>
  <c r="BC59" i="70"/>
  <c r="BC75" i="70"/>
  <c r="AA131" i="65"/>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AN1387" i="67"/>
  <c r="AN1401" i="67"/>
  <c r="AN1419" i="67"/>
  <c r="AN1539" i="67"/>
  <c r="AN1555" i="67"/>
  <c r="O1075" i="67"/>
  <c r="O1089" i="67"/>
  <c r="O1107" i="67"/>
  <c r="O1193" i="67"/>
  <c r="O1209" i="67"/>
  <c r="O1387" i="67"/>
  <c r="O1401" i="67"/>
  <c r="O1419" i="67"/>
  <c r="O1539" i="67"/>
  <c r="O1555" i="67"/>
  <c r="AH1388" i="67"/>
  <c r="T1388" i="67"/>
  <c r="T1402" i="67"/>
  <c r="T1420" i="67"/>
  <c r="T1556" i="67"/>
  <c r="T1540" i="67"/>
  <c r="AL1075" i="67"/>
  <c r="AL1089" i="67"/>
  <c r="AL1107" i="67"/>
  <c r="AL1209" i="67"/>
  <c r="AL1193"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K1419" i="67"/>
  <c r="AI1075" i="67"/>
  <c r="AI1089" i="67"/>
  <c r="AI1107" i="67"/>
  <c r="AI1193" i="67"/>
  <c r="AI1209" i="67"/>
  <c r="AI1387" i="67"/>
  <c r="AI1401" i="67"/>
  <c r="AI1419" i="67"/>
  <c r="AI1539" i="67"/>
  <c r="AI1555" i="67"/>
  <c r="AN1076" i="67"/>
  <c r="AN1090" i="67"/>
  <c r="AN1108" i="67"/>
  <c r="AN1210" i="67"/>
  <c r="AN1194" i="67"/>
  <c r="AN1388" i="67"/>
  <c r="AN1402" i="67"/>
  <c r="AN1420" i="67"/>
  <c r="AN1540" i="67"/>
  <c r="AN1556" i="67"/>
  <c r="AS1075" i="67"/>
  <c r="AS1089" i="67"/>
  <c r="AS1107" i="67"/>
  <c r="AS1209" i="67"/>
  <c r="AS1193"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076" i="67"/>
  <c r="AG1090" i="67"/>
  <c r="AG1194" i="67"/>
  <c r="AG1108" i="67"/>
  <c r="AG1210" i="67"/>
  <c r="AG1420" i="67"/>
  <c r="AG1540" i="67"/>
  <c r="AE1076" i="67"/>
  <c r="AE1090" i="67"/>
  <c r="AE1108" i="67"/>
  <c r="AE1210" i="67"/>
  <c r="AE1194" i="67"/>
  <c r="AE1388" i="67"/>
  <c r="AE1420" i="67"/>
  <c r="AE1402" i="67"/>
  <c r="AE1540" i="67"/>
  <c r="AE1556" i="67"/>
  <c r="P1076" i="67"/>
  <c r="P1090" i="67"/>
  <c r="P1108" i="67"/>
  <c r="P1210" i="67"/>
  <c r="P1194" i="67"/>
  <c r="AE51" i="50"/>
  <c r="BB54" i="69"/>
  <c r="BG19" i="70"/>
  <c r="BG21" i="70"/>
  <c r="BF54" i="69"/>
  <c r="BK19" i="70"/>
  <c r="BK21" i="70"/>
  <c r="AQ75" i="70"/>
  <c r="AQ59" i="70"/>
  <c r="O131" i="65"/>
  <c r="O141" i="65" s="1"/>
  <c r="X471" i="67" s="1"/>
  <c r="AZ74" i="70"/>
  <c r="AZ58" i="70"/>
  <c r="X130" i="65"/>
  <c r="X140" i="65" s="1"/>
  <c r="AG470" i="67" s="1"/>
  <c r="BK58" i="70"/>
  <c r="BK74" i="70"/>
  <c r="AI130" i="65"/>
  <c r="AI140" i="65" s="1"/>
  <c r="AR470" i="67" s="1"/>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R75" i="70"/>
  <c r="AR59" i="70"/>
  <c r="P131" i="65"/>
  <c r="P141" i="65" s="1"/>
  <c r="Y471" i="67" s="1"/>
  <c r="Y8" i="69"/>
  <c r="Y7" i="69"/>
  <c r="AK74" i="70"/>
  <c r="AK58" i="70"/>
  <c r="I130" i="65"/>
  <c r="AX75" i="70"/>
  <c r="AX59" i="70"/>
  <c r="V131" i="65"/>
  <c r="V141" i="65" s="1"/>
  <c r="AE471" i="67" s="1"/>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AP54" i="69"/>
  <c r="AU19" i="70"/>
  <c r="AU21" i="70"/>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089" i="67"/>
  <c r="AJ1193" i="67"/>
  <c r="AJ1107" i="67"/>
  <c r="AJ1075" i="67"/>
  <c r="AJ1209" i="67"/>
  <c r="AJ1387" i="67"/>
  <c r="AJ1401" i="67"/>
  <c r="AJ1419" i="67"/>
  <c r="AJ1539" i="67"/>
  <c r="AJ1555" i="67"/>
  <c r="AT1387" i="67"/>
  <c r="AT1401" i="67"/>
  <c r="AT1419" i="67"/>
  <c r="AT1539" i="67"/>
  <c r="AT1555" i="67"/>
  <c r="AR1076"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075" i="67"/>
  <c r="R1089" i="67"/>
  <c r="R1107" i="67"/>
  <c r="R1209" i="67"/>
  <c r="R1193" i="67"/>
  <c r="K1089" i="67"/>
  <c r="K1193" i="67"/>
  <c r="K1075" i="67"/>
  <c r="K1555" i="67"/>
  <c r="K1539" i="67"/>
  <c r="K1401" i="67"/>
  <c r="K1419" i="67"/>
  <c r="K1387" i="67"/>
  <c r="Z1108" i="67"/>
  <c r="Z1090" i="67"/>
  <c r="Z1076" i="67"/>
  <c r="Z1194" i="67"/>
  <c r="Z1210" i="67"/>
  <c r="Z1388" i="67"/>
  <c r="Z1402" i="67"/>
  <c r="Z1420" i="67"/>
  <c r="Z1540" i="67"/>
  <c r="Z1556" i="67"/>
  <c r="AD1209" i="67"/>
  <c r="AD1193" i="67"/>
  <c r="L1388" i="67"/>
  <c r="L1402" i="67"/>
  <c r="L1420" i="67"/>
  <c r="L1540" i="67"/>
  <c r="L1556" i="67"/>
  <c r="Q1076" i="67"/>
  <c r="Q1090" i="67"/>
  <c r="Q1194" i="67"/>
  <c r="Q1108" i="67"/>
  <c r="Q1210" i="67"/>
  <c r="Y1076" i="67"/>
  <c r="Y1090" i="67"/>
  <c r="Y1108" i="67"/>
  <c r="Y1194" i="67"/>
  <c r="Y1210" i="67"/>
  <c r="Y1388" i="67"/>
  <c r="Y1402" i="67"/>
  <c r="Y1420" i="67"/>
  <c r="Y1540" i="67"/>
  <c r="Y1556" i="67"/>
  <c r="AU1075" i="67"/>
  <c r="AU1089" i="67"/>
  <c r="AU1107" i="67"/>
  <c r="AU1193" i="67"/>
  <c r="AU1209" i="67"/>
  <c r="N1387" i="67"/>
  <c r="N1401" i="67"/>
  <c r="N1419" i="67"/>
  <c r="N1555" i="67"/>
  <c r="N1539" i="67"/>
  <c r="AS1076" i="67"/>
  <c r="AS1090" i="67"/>
  <c r="AS1194" i="67"/>
  <c r="AS1108" i="67"/>
  <c r="AS1210" i="67"/>
  <c r="O1076" i="67"/>
  <c r="O1090" i="67"/>
  <c r="O1108" i="67"/>
  <c r="O1210" i="67"/>
  <c r="O1194" i="67"/>
  <c r="O1388" i="67"/>
  <c r="O1402" i="67"/>
  <c r="O1420" i="67"/>
  <c r="O1540" i="67"/>
  <c r="O1556" i="67"/>
  <c r="AH1075" i="67"/>
  <c r="AH1089" i="67"/>
  <c r="AH1107" i="67"/>
  <c r="AH1209" i="67"/>
  <c r="AH1193" i="67"/>
  <c r="M1089" i="67"/>
  <c r="M1209"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A1388" i="67"/>
  <c r="AA1420" i="67"/>
  <c r="AA1402" i="67"/>
  <c r="AA1540" i="67"/>
  <c r="AA1556" i="67"/>
  <c r="AW1419" i="67"/>
  <c r="AW1401" i="67"/>
  <c r="AW1539" i="67"/>
  <c r="AW1555" i="67"/>
  <c r="AW1387" i="67"/>
  <c r="AE1075" i="67"/>
  <c r="AE1089" i="67"/>
  <c r="AE1107" i="67"/>
  <c r="AE1193" i="67"/>
  <c r="AE1209" i="67"/>
  <c r="AE1387" i="67"/>
  <c r="AE1401" i="67"/>
  <c r="AE1419" i="67"/>
  <c r="AE1539" i="67"/>
  <c r="AE1555" i="67"/>
  <c r="V1388" i="67"/>
  <c r="V1402" i="67"/>
  <c r="V1420" i="67"/>
  <c r="V1540" i="67"/>
  <c r="V1556" i="67"/>
  <c r="N1384" i="67"/>
  <c r="N1398" i="67"/>
  <c r="N1416" i="67"/>
  <c r="N1536" i="67"/>
  <c r="N1552" i="67"/>
  <c r="AD54" i="69"/>
  <c r="AI19" i="70"/>
  <c r="AI21" i="70"/>
  <c r="AS54" i="69"/>
  <c r="AX19" i="70"/>
  <c r="AX21" i="70"/>
  <c r="BA74" i="70"/>
  <c r="BA58" i="70"/>
  <c r="Y130" i="65"/>
  <c r="AQ74" i="70"/>
  <c r="AQ58" i="70"/>
  <c r="O130" i="65"/>
  <c r="O140" i="65" s="1"/>
  <c r="X470" i="67" s="1"/>
  <c r="BN75" i="70"/>
  <c r="BN59" i="70"/>
  <c r="AL131" i="65"/>
  <c r="AL141" i="65" s="1"/>
  <c r="AU471" i="67" s="1"/>
  <c r="AZ59" i="70"/>
  <c r="AZ75" i="70"/>
  <c r="X131" i="65"/>
  <c r="BB75" i="70"/>
  <c r="BH21" i="70"/>
  <c r="BO75" i="70"/>
  <c r="BO59" i="70"/>
  <c r="AM131" i="65"/>
  <c r="AM141" i="65" s="1"/>
  <c r="AV471" i="67" s="1"/>
  <c r="AE54" i="69"/>
  <c r="AJ21" i="70"/>
  <c r="AJ19" i="70"/>
  <c r="AX54" i="69"/>
  <c r="BC19" i="70"/>
  <c r="BC21"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I75" i="70"/>
  <c r="BI59" i="70"/>
  <c r="AG131" i="65"/>
  <c r="AG141" i="65" s="1"/>
  <c r="AP471" i="67" s="1"/>
  <c r="BD74" i="70"/>
  <c r="AI54" i="69"/>
  <c r="AN21" i="70"/>
  <c r="AN19" i="70"/>
  <c r="AT54" i="69"/>
  <c r="AY19" i="70"/>
  <c r="AY21" i="70"/>
  <c r="BD54" i="69"/>
  <c r="BI21" i="70"/>
  <c r="BI19" i="70"/>
  <c r="AK59" i="70"/>
  <c r="AK75" i="70"/>
  <c r="I131" i="65"/>
  <c r="AI74" i="70"/>
  <c r="AI58" i="70"/>
  <c r="G130" i="65"/>
  <c r="BL74" i="70"/>
  <c r="BL58" i="70"/>
  <c r="AJ130" i="65"/>
  <c r="AX74" i="70"/>
  <c r="AX58" i="70"/>
  <c r="V130" i="65"/>
  <c r="V140" i="65" s="1"/>
  <c r="AE470" i="67" s="1"/>
  <c r="AJ74" i="70"/>
  <c r="AJ58" i="70"/>
  <c r="H130" i="65"/>
  <c r="H140" i="65" s="1"/>
  <c r="Q470" i="67" s="1"/>
  <c r="AL74" i="70"/>
  <c r="AA10" i="50"/>
  <c r="AA15" i="57" s="1"/>
  <c r="AB10" i="50"/>
  <c r="AB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K1107" i="67" l="1"/>
  <c r="K1209" i="67"/>
  <c r="M1193" i="67"/>
  <c r="AH1540" i="67"/>
  <c r="AH1420" i="67"/>
  <c r="M1107" i="67"/>
  <c r="AH1402" i="67"/>
  <c r="M1075" i="67"/>
  <c r="D130" i="65"/>
  <c r="D140" i="65" s="1"/>
  <c r="M470" i="67" s="1"/>
  <c r="AF58" i="70"/>
  <c r="P1089" i="67"/>
  <c r="AT1107" i="67"/>
  <c r="AK130" i="65"/>
  <c r="AK140" i="65" s="1"/>
  <c r="AT470" i="67" s="1"/>
  <c r="AS1556" i="67"/>
  <c r="AS1540" i="67"/>
  <c r="AT1089" i="67"/>
  <c r="BM74" i="70"/>
  <c r="V1210" i="67"/>
  <c r="AS1420" i="67"/>
  <c r="AT1075" i="67"/>
  <c r="BM58" i="70"/>
  <c r="AJ141" i="65"/>
  <c r="AS471" i="67" s="1"/>
  <c r="V1076" i="67"/>
  <c r="AS1388" i="67"/>
  <c r="M131" i="65"/>
  <c r="M141" i="65" s="1"/>
  <c r="V471" i="67" s="1"/>
  <c r="AN1193" i="67"/>
  <c r="V1108" i="67"/>
  <c r="AO59" i="70"/>
  <c r="BG58" i="70"/>
  <c r="U131" i="65"/>
  <c r="V1090" i="67"/>
  <c r="AO75" i="70"/>
  <c r="AW75" i="70"/>
  <c r="AA1555" i="67"/>
  <c r="AA1058" i="67" s="1"/>
  <c r="AA1539" i="67"/>
  <c r="AA1419" i="67"/>
  <c r="AA1401" i="67"/>
  <c r="AA938" i="67" s="1"/>
  <c r="AT1193" i="67"/>
  <c r="AU1419" i="67"/>
  <c r="AB130" i="65"/>
  <c r="AG1556" i="67"/>
  <c r="BA75" i="70"/>
  <c r="AW74" i="70"/>
  <c r="V1075" i="67"/>
  <c r="AK1388" i="67"/>
  <c r="BC54" i="69"/>
  <c r="AD1089" i="67"/>
  <c r="AG1388" i="67"/>
  <c r="AG925" i="67" s="1"/>
  <c r="AI1090" i="67"/>
  <c r="AG58" i="70"/>
  <c r="E165" i="65" s="1"/>
  <c r="E177" i="65" s="1"/>
  <c r="Z131" i="65"/>
  <c r="Z141" i="65" s="1"/>
  <c r="AI471" i="67" s="1"/>
  <c r="Y140" i="65"/>
  <c r="AH470" i="67" s="1"/>
  <c r="AD1075" i="67"/>
  <c r="AS1555" i="67"/>
  <c r="AF1194" i="67"/>
  <c r="AH1210" i="67"/>
  <c r="AI1076" i="67"/>
  <c r="AJ140" i="65"/>
  <c r="AS470" i="67" s="1"/>
  <c r="N1089" i="67"/>
  <c r="AS1539" i="67"/>
  <c r="AS891" i="67" s="1"/>
  <c r="AF1210" i="67"/>
  <c r="AH1194" i="67"/>
  <c r="AH1555" i="67"/>
  <c r="AU1555" i="67"/>
  <c r="AS1419" i="67"/>
  <c r="AF1108" i="67"/>
  <c r="AH1090" i="67"/>
  <c r="W131" i="65"/>
  <c r="W141" i="65" s="1"/>
  <c r="AF471" i="67" s="1"/>
  <c r="AL140" i="65"/>
  <c r="AU470" i="67" s="1"/>
  <c r="AU1539" i="67"/>
  <c r="AU1042" i="67" s="1"/>
  <c r="AM1193" i="67"/>
  <c r="AS1401" i="67"/>
  <c r="AS938" i="67" s="1"/>
  <c r="AF1090" i="67"/>
  <c r="AH1108" i="67"/>
  <c r="AY59" i="70"/>
  <c r="AM1107" i="67"/>
  <c r="AF1076" i="67"/>
  <c r="AH1076" i="67"/>
  <c r="AD1107" i="67"/>
  <c r="X141" i="65"/>
  <c r="AG471" i="67" s="1"/>
  <c r="AH1539" i="67"/>
  <c r="AH1401" i="67"/>
  <c r="AH938" i="67" s="1"/>
  <c r="AU1401" i="67"/>
  <c r="AM1075" i="67"/>
  <c r="Y131" i="65"/>
  <c r="Y141" i="65" s="1"/>
  <c r="AH471" i="67" s="1"/>
  <c r="U130" i="65"/>
  <c r="U140" i="65" s="1"/>
  <c r="AD470" i="67" s="1"/>
  <c r="AH1419" i="67"/>
  <c r="V1209" i="67"/>
  <c r="AK1556" i="67"/>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S131" i="65"/>
  <c r="S141" i="65" s="1"/>
  <c r="AB471" i="67" s="1"/>
  <c r="AL1401" i="67"/>
  <c r="AW1210" i="67"/>
  <c r="R1555" i="67"/>
  <c r="R1058" i="67" s="1"/>
  <c r="AU75" i="70"/>
  <c r="AW1108" i="67"/>
  <c r="R1539" i="67"/>
  <c r="R436" i="67" s="1"/>
  <c r="AU59" i="70"/>
  <c r="AW1194" i="67"/>
  <c r="AB1194" i="67"/>
  <c r="R1419" i="67"/>
  <c r="R1401" i="67"/>
  <c r="AB1210" i="67"/>
  <c r="AW1076" i="67"/>
  <c r="AR1090" i="67"/>
  <c r="Y55" i="69"/>
  <c r="AD20" i="70"/>
  <c r="AD81" i="70" s="1"/>
  <c r="AB140" i="65"/>
  <c r="AK470" i="67" s="1"/>
  <c r="AK1401" i="67"/>
  <c r="AK938" i="67" s="1"/>
  <c r="AK1387" i="67"/>
  <c r="AR1556" i="67"/>
  <c r="AR300" i="67" s="1"/>
  <c r="AK1193" i="67"/>
  <c r="AR1540" i="67"/>
  <c r="AK1209" i="67"/>
  <c r="AI131" i="65"/>
  <c r="AI141" i="65" s="1"/>
  <c r="AR471" i="67" s="1"/>
  <c r="AR1420" i="67"/>
  <c r="AK1107" i="67"/>
  <c r="BK75" i="70"/>
  <c r="AR1402" i="67"/>
  <c r="AR333" i="67" s="1"/>
  <c r="AK1089" i="67"/>
  <c r="BP75" i="70"/>
  <c r="AR1388" i="67"/>
  <c r="AK1075" i="67"/>
  <c r="BP59" i="70"/>
  <c r="AR1194" i="67"/>
  <c r="AR1210" i="67"/>
  <c r="J130" i="65"/>
  <c r="J140" i="65" s="1"/>
  <c r="S470" i="67" s="1"/>
  <c r="AR1108" i="67"/>
  <c r="AK1555" i="67"/>
  <c r="AM1076" i="67"/>
  <c r="AB1556" i="67"/>
  <c r="AB1059" i="67" s="1"/>
  <c r="AB1402" i="67"/>
  <c r="AB637" i="67" s="1"/>
  <c r="AK1540" i="67"/>
  <c r="AK131" i="67" s="1"/>
  <c r="AK1420" i="67"/>
  <c r="AO36" i="69"/>
  <c r="U1556" i="67"/>
  <c r="U453" i="67" s="1"/>
  <c r="L141" i="65"/>
  <c r="U471" i="67" s="1"/>
  <c r="U1540" i="67"/>
  <c r="U1420" i="67"/>
  <c r="AN1107" i="67"/>
  <c r="AN1075" i="67"/>
  <c r="AL1420" i="67"/>
  <c r="AL957" i="67" s="1"/>
  <c r="T1555" i="67"/>
  <c r="T452" i="67" s="1"/>
  <c r="AE130" i="65"/>
  <c r="AE140" i="65" s="1"/>
  <c r="AN470" i="67" s="1"/>
  <c r="BF59" i="70"/>
  <c r="AO1387" i="67"/>
  <c r="Z1552" i="67"/>
  <c r="Z449" i="67" s="1"/>
  <c r="BG74" i="70"/>
  <c r="Z1209" i="67"/>
  <c r="S1401" i="67"/>
  <c r="V1193" i="67"/>
  <c r="N1210" i="67"/>
  <c r="AN1209" i="67"/>
  <c r="V1107" i="67"/>
  <c r="V1089" i="67"/>
  <c r="AA141" i="65"/>
  <c r="AJ471" i="67" s="1"/>
  <c r="BF75" i="70"/>
  <c r="AL1210" i="67"/>
  <c r="T1107" i="67"/>
  <c r="S1387" i="67"/>
  <c r="S318" i="67" s="1"/>
  <c r="BJ21" i="70"/>
  <c r="AD131" i="65"/>
  <c r="AD141" i="65" s="1"/>
  <c r="AM471" i="67" s="1"/>
  <c r="AL1194" i="67"/>
  <c r="T1075" i="67"/>
  <c r="M130" i="65"/>
  <c r="M140" i="65" s="1"/>
  <c r="V470" i="67" s="1"/>
  <c r="S1209" i="67"/>
  <c r="BJ19" i="70"/>
  <c r="BJ80" i="70" s="1"/>
  <c r="AL1076" i="67"/>
  <c r="T1089" i="67"/>
  <c r="AO58" i="70"/>
  <c r="S1193" i="67"/>
  <c r="E131" i="65"/>
  <c r="E141" i="65" s="1"/>
  <c r="N471" i="67" s="1"/>
  <c r="AL1108" i="67"/>
  <c r="S1107" i="67"/>
  <c r="AG59" i="70"/>
  <c r="AL1090" i="67"/>
  <c r="S1089" i="67"/>
  <c r="AG75" i="70"/>
  <c r="T1539" i="67"/>
  <c r="T436" i="67" s="1"/>
  <c r="Z1536" i="67"/>
  <c r="Z280" i="67" s="1"/>
  <c r="T1419" i="67"/>
  <c r="T956" i="67" s="1"/>
  <c r="Z1398" i="67"/>
  <c r="T1401" i="67"/>
  <c r="T938" i="67" s="1"/>
  <c r="S1555" i="67"/>
  <c r="S756" i="67" s="1"/>
  <c r="Z1416" i="67"/>
  <c r="Z194" i="67" s="1"/>
  <c r="T1387" i="67"/>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L1209" i="67"/>
  <c r="AM1194" i="67"/>
  <c r="AO1420" i="67"/>
  <c r="AO351" i="67" s="1"/>
  <c r="L1193" i="67"/>
  <c r="AM1108" i="67"/>
  <c r="L1107" i="67"/>
  <c r="AS58" i="70"/>
  <c r="Q165" i="65" s="1"/>
  <c r="Q177" i="65" s="1"/>
  <c r="AM1090" i="67"/>
  <c r="Y1555" i="67"/>
  <c r="Y1058" i="67" s="1"/>
  <c r="P140" i="65"/>
  <c r="Y470" i="67" s="1"/>
  <c r="Y1539" i="67"/>
  <c r="Y1042" i="67" s="1"/>
  <c r="AJ1556" i="67"/>
  <c r="Y1419" i="67"/>
  <c r="Y956" i="67" s="1"/>
  <c r="AJ1420" i="67"/>
  <c r="AJ806" i="67" s="1"/>
  <c r="Y1401" i="67"/>
  <c r="Y787" i="67" s="1"/>
  <c r="AJ1540" i="67"/>
  <c r="AJ589" i="67" s="1"/>
  <c r="AJ1402" i="67"/>
  <c r="AJ333" i="67" s="1"/>
  <c r="N1556" i="67"/>
  <c r="Q1540" i="67"/>
  <c r="Q892" i="67" s="1"/>
  <c r="AV1075" i="67"/>
  <c r="AV1089" i="67"/>
  <c r="G140" i="65"/>
  <c r="P470" i="67" s="1"/>
  <c r="G141" i="65"/>
  <c r="P471" i="67" s="1"/>
  <c r="P1420" i="67"/>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M75" i="70"/>
  <c r="S1194" i="67"/>
  <c r="AD1076" i="67"/>
  <c r="S1210" i="67"/>
  <c r="AD1090" i="67"/>
  <c r="S1108" i="67"/>
  <c r="I140" i="65"/>
  <c r="R470" i="67" s="1"/>
  <c r="U141" i="65"/>
  <c r="AD471" i="67" s="1"/>
  <c r="S1556" i="67"/>
  <c r="S605" i="67" s="1"/>
  <c r="AF1401" i="67"/>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AL22" i="68" s="1"/>
  <c r="K22" i="62" s="1"/>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V957" i="67"/>
  <c r="V351" i="67"/>
  <c r="V806" i="67"/>
  <c r="V655" i="67"/>
  <c r="V503" i="67"/>
  <c r="V45" i="67"/>
  <c r="V198" i="67"/>
  <c r="AA957" i="67"/>
  <c r="AA351" i="67"/>
  <c r="AA806" i="67"/>
  <c r="AA198" i="67"/>
  <c r="AA503" i="67"/>
  <c r="AA655" i="67"/>
  <c r="AA45" i="67"/>
  <c r="X1059" i="67"/>
  <c r="X908" i="67"/>
  <c r="X453" i="67"/>
  <c r="X757" i="67"/>
  <c r="X605" i="67"/>
  <c r="X300" i="67"/>
  <c r="X147" i="67"/>
  <c r="M924" i="67"/>
  <c r="M773" i="67"/>
  <c r="M318" i="67"/>
  <c r="M622" i="67"/>
  <c r="M12" i="67"/>
  <c r="M165" i="67"/>
  <c r="O1059" i="67"/>
  <c r="O908" i="67"/>
  <c r="O453" i="67"/>
  <c r="O757" i="67"/>
  <c r="O300" i="67"/>
  <c r="O147" i="67"/>
  <c r="O605" i="67"/>
  <c r="AS925" i="67"/>
  <c r="AS319" i="67"/>
  <c r="AS623" i="67"/>
  <c r="AS774" i="67"/>
  <c r="AS13" i="67"/>
  <c r="AS166" i="67"/>
  <c r="N924" i="67"/>
  <c r="N622" i="67"/>
  <c r="N318" i="67"/>
  <c r="N773" i="67"/>
  <c r="N12" i="67"/>
  <c r="N165" i="67"/>
  <c r="Y1059" i="67"/>
  <c r="Y453" i="67"/>
  <c r="Y757" i="67"/>
  <c r="Y908" i="67"/>
  <c r="Y605" i="67"/>
  <c r="Y300" i="67"/>
  <c r="Y147"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925" i="67"/>
  <c r="AH319" i="67"/>
  <c r="AH623" i="67"/>
  <c r="AH774" i="67"/>
  <c r="AH13" i="67"/>
  <c r="AH166"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BC80" i="70"/>
  <c r="BC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AD283" i="67"/>
  <c r="Z1043" i="67"/>
  <c r="Z437" i="67"/>
  <c r="Z741" i="67"/>
  <c r="Z892" i="67"/>
  <c r="Z284" i="67"/>
  <c r="Z589" i="67"/>
  <c r="Z131" i="67"/>
  <c r="K938" i="67"/>
  <c r="K636" i="67"/>
  <c r="K332" i="67"/>
  <c r="K787" i="67"/>
  <c r="K484" i="67"/>
  <c r="K26" i="67"/>
  <c r="K179" i="67"/>
  <c r="AE14" i="68"/>
  <c r="D15" i="62" s="1"/>
  <c r="R956" i="67"/>
  <c r="R350" i="67"/>
  <c r="R805" i="67"/>
  <c r="R654" i="67"/>
  <c r="R502" i="67"/>
  <c r="R44" i="67"/>
  <c r="R197"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T938" i="67"/>
  <c r="AT332" i="67"/>
  <c r="AT787" i="67"/>
  <c r="AT179" i="67"/>
  <c r="AT484" i="67"/>
  <c r="AT636" i="67"/>
  <c r="AT26" i="67"/>
  <c r="BN14" i="68"/>
  <c r="AM15" i="62" s="1"/>
  <c r="AJ938" i="67"/>
  <c r="AJ332" i="67"/>
  <c r="AJ787" i="67"/>
  <c r="AJ484" i="67"/>
  <c r="AJ636" i="67"/>
  <c r="AJ26" i="67"/>
  <c r="AJ179" i="67"/>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E925" i="67"/>
  <c r="AE319" i="67"/>
  <c r="AE774" i="67"/>
  <c r="AE166" i="67"/>
  <c r="AE623" i="67"/>
  <c r="AE13" i="67"/>
  <c r="AG1043" i="67"/>
  <c r="AG892" i="67"/>
  <c r="AG437" i="67"/>
  <c r="AG741" i="67"/>
  <c r="AG284" i="67"/>
  <c r="AG131" i="67"/>
  <c r="AG589" i="67"/>
  <c r="AB956" i="67"/>
  <c r="AB350" i="67"/>
  <c r="AB805" i="67"/>
  <c r="AB197" i="67"/>
  <c r="AB654" i="67"/>
  <c r="AB502" i="67"/>
  <c r="AB44" i="67"/>
  <c r="AV22" i="68"/>
  <c r="U22" i="62" s="1"/>
  <c r="AL788" i="67"/>
  <c r="AR938" i="67"/>
  <c r="AR332" i="67"/>
  <c r="AR787" i="67"/>
  <c r="AR636" i="67"/>
  <c r="AR484" i="67"/>
  <c r="AR26" i="67"/>
  <c r="AR179" i="67"/>
  <c r="BL14" i="68"/>
  <c r="AK15" i="62" s="1"/>
  <c r="AT939" i="67"/>
  <c r="AT333" i="67"/>
  <c r="AT637" i="67"/>
  <c r="AT788" i="67"/>
  <c r="AT485" i="67"/>
  <c r="AT27" i="67"/>
  <c r="AT180" i="67"/>
  <c r="AQ957" i="67"/>
  <c r="AQ351" i="67"/>
  <c r="AQ655" i="67"/>
  <c r="AQ198" i="67"/>
  <c r="AQ503" i="67"/>
  <c r="AQ806" i="67"/>
  <c r="AQ45" i="67"/>
  <c r="AN939" i="67"/>
  <c r="AN333" i="67"/>
  <c r="AN788" i="67"/>
  <c r="AN485" i="67"/>
  <c r="AN637" i="67"/>
  <c r="AN27" i="67"/>
  <c r="AN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1043" i="67"/>
  <c r="AH741" i="67"/>
  <c r="AH437" i="67"/>
  <c r="AH892" i="67"/>
  <c r="AH284" i="67"/>
  <c r="AH589" i="67"/>
  <c r="AH131" i="67"/>
  <c r="O1042" i="67"/>
  <c r="O436" i="67"/>
  <c r="O891" i="67"/>
  <c r="O588" i="67"/>
  <c r="O130"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S147" i="67"/>
  <c r="P1058" i="67"/>
  <c r="P452"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U957" i="67"/>
  <c r="U351" i="67"/>
  <c r="U655" i="67"/>
  <c r="U806" i="67"/>
  <c r="U503" i="67"/>
  <c r="U45" i="67"/>
  <c r="U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AM1043" i="67"/>
  <c r="AM892" i="67"/>
  <c r="AM437" i="67"/>
  <c r="AM741" i="67"/>
  <c r="AM589" i="67"/>
  <c r="AM284" i="67"/>
  <c r="AM131" i="67"/>
  <c r="AF740" i="67"/>
  <c r="AF283"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H1058" i="67"/>
  <c r="AH452" i="67"/>
  <c r="AH756" i="67"/>
  <c r="AH907" i="67"/>
  <c r="AH604" i="67"/>
  <c r="AH299" i="67"/>
  <c r="AH146" i="67"/>
  <c r="AS1059" i="67"/>
  <c r="AS453" i="67"/>
  <c r="AS908" i="67"/>
  <c r="AS757" i="67"/>
  <c r="AS605" i="67"/>
  <c r="AS300" i="67"/>
  <c r="AS147" i="67"/>
  <c r="AU924" i="67"/>
  <c r="AU318" i="67"/>
  <c r="AU622" i="67"/>
  <c r="AU773" i="67"/>
  <c r="AU12" i="67"/>
  <c r="AU165" i="67"/>
  <c r="Y925" i="67"/>
  <c r="Y623" i="67"/>
  <c r="Y319" i="67"/>
  <c r="Y774" i="67"/>
  <c r="Y13" i="67"/>
  <c r="Y166"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E957" i="67"/>
  <c r="AE351" i="67"/>
  <c r="AE655" i="67"/>
  <c r="AE503" i="67"/>
  <c r="AE45" i="67"/>
  <c r="AE806" i="67"/>
  <c r="AE198" i="67"/>
  <c r="AG774" i="67"/>
  <c r="AG13" i="67"/>
  <c r="AG166" i="67"/>
  <c r="AQ939" i="67"/>
  <c r="AQ333" i="67"/>
  <c r="AQ788" i="67"/>
  <c r="AQ637" i="67"/>
  <c r="AQ27" i="67"/>
  <c r="AQ485" i="67"/>
  <c r="AQ180" i="67"/>
  <c r="AS956" i="67"/>
  <c r="AS350" i="67"/>
  <c r="AS805" i="67"/>
  <c r="AS654" i="67"/>
  <c r="AS502" i="67"/>
  <c r="AS44" i="67"/>
  <c r="AS197" i="67"/>
  <c r="BM22" i="68"/>
  <c r="AL22" i="62" s="1"/>
  <c r="AN957" i="67"/>
  <c r="AN351" i="67"/>
  <c r="AN655" i="67"/>
  <c r="AN806" i="67"/>
  <c r="AN503" i="67"/>
  <c r="AN45" i="67"/>
  <c r="AN198" i="67"/>
  <c r="AI956" i="67"/>
  <c r="AI350" i="67"/>
  <c r="AI805" i="67"/>
  <c r="AI502" i="67"/>
  <c r="AI654" i="67"/>
  <c r="AI44" i="67"/>
  <c r="AI197" i="67"/>
  <c r="BC22" i="68"/>
  <c r="AB22" i="62" s="1"/>
  <c r="AK956" i="67"/>
  <c r="AK350" i="67"/>
  <c r="AK805" i="67"/>
  <c r="AK654" i="67"/>
  <c r="AK502" i="67"/>
  <c r="AK44" i="67"/>
  <c r="AK197" i="67"/>
  <c r="BE22" i="68"/>
  <c r="AD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Z165" i="65"/>
  <c r="Z177" i="65" s="1"/>
  <c r="W1060" i="67"/>
  <c r="W454" i="67"/>
  <c r="W909" i="67"/>
  <c r="W758" i="67"/>
  <c r="W606" i="67"/>
  <c r="W301" i="67"/>
  <c r="W148" i="67"/>
  <c r="S436"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V925" i="67"/>
  <c r="AV623" i="67"/>
  <c r="AV319" i="67"/>
  <c r="AV774" i="67"/>
  <c r="AV166" i="67"/>
  <c r="AV13" i="67"/>
  <c r="AP1043" i="67"/>
  <c r="AP437" i="67"/>
  <c r="AP741" i="67"/>
  <c r="AP892" i="67"/>
  <c r="AP284" i="67"/>
  <c r="AP589" i="67"/>
  <c r="AP131" i="67"/>
  <c r="U1043" i="67"/>
  <c r="U437" i="67"/>
  <c r="U741" i="67"/>
  <c r="U892" i="67"/>
  <c r="U284" i="67"/>
  <c r="U589" i="67"/>
  <c r="U131" i="67"/>
  <c r="AA956" i="67"/>
  <c r="AA350" i="67"/>
  <c r="AA805" i="67"/>
  <c r="AA654" i="67"/>
  <c r="AA502" i="67"/>
  <c r="AA44" i="67"/>
  <c r="AA197" i="67"/>
  <c r="AU22" i="68"/>
  <c r="T22" i="62" s="1"/>
  <c r="AQ956" i="67"/>
  <c r="AQ350" i="67"/>
  <c r="AQ805" i="67"/>
  <c r="AQ654" i="67"/>
  <c r="AQ502" i="67"/>
  <c r="AQ44" i="67"/>
  <c r="AQ197" i="67"/>
  <c r="BK22" i="68"/>
  <c r="AJ22" i="62" s="1"/>
  <c r="W957" i="67"/>
  <c r="W351" i="67"/>
  <c r="W655" i="67"/>
  <c r="W45" i="67"/>
  <c r="W806" i="67"/>
  <c r="W503" i="67"/>
  <c r="W198" i="67"/>
  <c r="AM1059" i="67"/>
  <c r="AM453" i="67"/>
  <c r="AM908" i="67"/>
  <c r="AM757" i="67"/>
  <c r="AM605" i="67"/>
  <c r="AM300" i="67"/>
  <c r="AM147" i="67"/>
  <c r="AK925" i="67"/>
  <c r="AK774" i="67"/>
  <c r="AK319" i="67"/>
  <c r="AK623" i="67"/>
  <c r="AK166"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80" i="70"/>
  <c r="AI64" i="70"/>
  <c r="V939" i="67"/>
  <c r="V637" i="67"/>
  <c r="V333" i="67"/>
  <c r="V788" i="67"/>
  <c r="V180" i="67"/>
  <c r="V485" i="67"/>
  <c r="V27" i="67"/>
  <c r="AW924" i="67"/>
  <c r="AW318" i="67"/>
  <c r="AW622" i="67"/>
  <c r="AW773" i="67"/>
  <c r="AW12" i="67"/>
  <c r="AW165" i="67"/>
  <c r="AA1059" i="67"/>
  <c r="AA757" i="67"/>
  <c r="AA908" i="67"/>
  <c r="AA453" i="67"/>
  <c r="AA147" i="67"/>
  <c r="AA605" i="67"/>
  <c r="AA300" i="67"/>
  <c r="X1043" i="67"/>
  <c r="X892" i="67"/>
  <c r="X437" i="67"/>
  <c r="X741" i="67"/>
  <c r="X284" i="67"/>
  <c r="X589" i="67"/>
  <c r="X131" i="67"/>
  <c r="O1043" i="67"/>
  <c r="O892" i="67"/>
  <c r="O437" i="67"/>
  <c r="O741" i="67"/>
  <c r="O589" i="67"/>
  <c r="O131" i="67"/>
  <c r="O284" i="67"/>
  <c r="AS1043" i="67"/>
  <c r="AS741" i="67"/>
  <c r="AS437" i="67"/>
  <c r="AS892" i="67"/>
  <c r="AS284" i="67"/>
  <c r="AS589" i="67"/>
  <c r="AS131" i="67"/>
  <c r="N1058" i="67"/>
  <c r="N907" i="67"/>
  <c r="N452" i="67"/>
  <c r="N756" i="67"/>
  <c r="N604" i="67"/>
  <c r="N299" i="67"/>
  <c r="N146"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143" i="67"/>
  <c r="Z619" i="67"/>
  <c r="Z770" i="67"/>
  <c r="V165" i="65"/>
  <c r="V177" i="65" s="1"/>
  <c r="N329" i="67"/>
  <c r="N23" i="67"/>
  <c r="N633" i="67"/>
  <c r="N481" i="67"/>
  <c r="N176" i="67"/>
  <c r="V1059" i="67"/>
  <c r="V757" i="67"/>
  <c r="V453" i="67"/>
  <c r="V908" i="67"/>
  <c r="V300" i="67"/>
  <c r="V605" i="67"/>
  <c r="V147" i="67"/>
  <c r="V925" i="67"/>
  <c r="V319" i="67"/>
  <c r="V774" i="67"/>
  <c r="V623" i="67"/>
  <c r="V13" i="67"/>
  <c r="V166" i="67"/>
  <c r="AE1058" i="67"/>
  <c r="AE452" i="67"/>
  <c r="AE756" i="67"/>
  <c r="AE907" i="67"/>
  <c r="AE604" i="67"/>
  <c r="AE299" i="67"/>
  <c r="AE146" i="67"/>
  <c r="AE924" i="67"/>
  <c r="AE318" i="67"/>
  <c r="AE622" i="67"/>
  <c r="AE773" i="67"/>
  <c r="AE12" i="67"/>
  <c r="AE165" i="67"/>
  <c r="AW1058" i="67"/>
  <c r="AW756" i="67"/>
  <c r="AW907" i="67"/>
  <c r="AW452" i="67"/>
  <c r="AW146" i="67"/>
  <c r="AW604" i="67"/>
  <c r="AW299" i="67"/>
  <c r="AA1043" i="67"/>
  <c r="AA437" i="67"/>
  <c r="AA741" i="67"/>
  <c r="AA892" i="67"/>
  <c r="AA284" i="67"/>
  <c r="AA589" i="67"/>
  <c r="AA131" i="67"/>
  <c r="AC957" i="67"/>
  <c r="AC351" i="67"/>
  <c r="AC655" i="67"/>
  <c r="AC806" i="67"/>
  <c r="AC198" i="67"/>
  <c r="AC503" i="67"/>
  <c r="AC45" i="67"/>
  <c r="X957" i="67"/>
  <c r="X351" i="67"/>
  <c r="X655" i="67"/>
  <c r="X806" i="67"/>
  <c r="X503" i="67"/>
  <c r="X45" i="67"/>
  <c r="X198" i="67"/>
  <c r="M956" i="67"/>
  <c r="M350" i="67"/>
  <c r="M805" i="67"/>
  <c r="M654" i="67"/>
  <c r="M197" i="67"/>
  <c r="M502" i="67"/>
  <c r="M44" i="67"/>
  <c r="AH956" i="67"/>
  <c r="AH350" i="67"/>
  <c r="AH654" i="67"/>
  <c r="AH805" i="67"/>
  <c r="AH502" i="67"/>
  <c r="AH44" i="67"/>
  <c r="AH197" i="67"/>
  <c r="BB22" i="68"/>
  <c r="AA22" i="62" s="1"/>
  <c r="O957" i="67"/>
  <c r="O351" i="67"/>
  <c r="O503" i="67"/>
  <c r="O655" i="67"/>
  <c r="O45" i="67"/>
  <c r="O806" i="67"/>
  <c r="O198" i="67"/>
  <c r="AS957" i="67"/>
  <c r="AS351" i="67"/>
  <c r="AS806" i="67"/>
  <c r="AS655" i="67"/>
  <c r="AS503" i="67"/>
  <c r="AS45" i="67"/>
  <c r="AS198" i="67"/>
  <c r="N956" i="67"/>
  <c r="N350" i="67"/>
  <c r="N197" i="67"/>
  <c r="N654" i="67"/>
  <c r="N805" i="67"/>
  <c r="N502" i="67"/>
  <c r="N44" i="67"/>
  <c r="AU956" i="67"/>
  <c r="AU350" i="67"/>
  <c r="AU654" i="67"/>
  <c r="AU805" i="67"/>
  <c r="AU502" i="67"/>
  <c r="AU44" i="67"/>
  <c r="AU197" i="67"/>
  <c r="BO22" i="68"/>
  <c r="AN22" i="62" s="1"/>
  <c r="Y957" i="67"/>
  <c r="Y351" i="67"/>
  <c r="Y655" i="67"/>
  <c r="Y806" i="67"/>
  <c r="Y503" i="67"/>
  <c r="Y45" i="67"/>
  <c r="Y198" i="67"/>
  <c r="L957" i="67"/>
  <c r="L351" i="67"/>
  <c r="L806" i="67"/>
  <c r="L655" i="67"/>
  <c r="L503" i="67"/>
  <c r="L45" i="67"/>
  <c r="L198" i="67"/>
  <c r="Z957" i="67"/>
  <c r="Z351" i="67"/>
  <c r="Z655" i="67"/>
  <c r="Z806" i="67"/>
  <c r="Z503" i="67"/>
  <c r="Z45" i="67"/>
  <c r="Z198" i="67"/>
  <c r="K1042" i="67"/>
  <c r="K436" i="67"/>
  <c r="K891" i="67"/>
  <c r="K588" i="67"/>
  <c r="K130" i="67"/>
  <c r="K740" i="67"/>
  <c r="K283" i="67"/>
  <c r="R938" i="67"/>
  <c r="R332" i="67"/>
  <c r="R484" i="67"/>
  <c r="R636" i="67"/>
  <c r="R26" i="67"/>
  <c r="R787" i="67"/>
  <c r="R179"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R908" i="67"/>
  <c r="AR925" i="67"/>
  <c r="AR774" i="67"/>
  <c r="AR319" i="67"/>
  <c r="AR623" i="67"/>
  <c r="AR13" i="67"/>
  <c r="AR166" i="67"/>
  <c r="AO1059" i="67"/>
  <c r="AO453" i="67"/>
  <c r="AO757" i="67"/>
  <c r="AO908" i="67"/>
  <c r="AO605" i="67"/>
  <c r="AO300" i="67"/>
  <c r="AO147" i="67"/>
  <c r="AO925" i="67"/>
  <c r="AO774" i="67"/>
  <c r="AO319" i="67"/>
  <c r="AO623" i="67"/>
  <c r="AO13" i="67"/>
  <c r="AO166" i="67"/>
  <c r="AT1058" i="67"/>
  <c r="AT907" i="67"/>
  <c r="AT452" i="67"/>
  <c r="AT756" i="67"/>
  <c r="AT604" i="67"/>
  <c r="AT299" i="67"/>
  <c r="AT146" i="67"/>
  <c r="AT924" i="67"/>
  <c r="AT318" i="67"/>
  <c r="AT622" i="67"/>
  <c r="AT12" i="67"/>
  <c r="AT773" i="67"/>
  <c r="AT165" i="67"/>
  <c r="AJ1058" i="67"/>
  <c r="AJ452" i="67"/>
  <c r="AJ756" i="67"/>
  <c r="AJ907" i="67"/>
  <c r="AJ146" i="67"/>
  <c r="AJ299" i="67"/>
  <c r="AJ604" i="67"/>
  <c r="AJ924" i="67"/>
  <c r="AJ318" i="67"/>
  <c r="AJ622" i="67"/>
  <c r="AJ12" i="67"/>
  <c r="AJ773" i="67"/>
  <c r="AJ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D165" i="65"/>
  <c r="D177" i="65" s="1"/>
  <c r="U633" i="67"/>
  <c r="U481" i="67"/>
  <c r="U23" i="67"/>
  <c r="U329" i="67"/>
  <c r="U176" i="67"/>
  <c r="AI165" i="65"/>
  <c r="AI177" i="65" s="1"/>
  <c r="P623" i="67"/>
  <c r="AE1043" i="67"/>
  <c r="AE892" i="67"/>
  <c r="AE437" i="67"/>
  <c r="AE741" i="67"/>
  <c r="AE589" i="67"/>
  <c r="AE131" i="67"/>
  <c r="AE284" i="67"/>
  <c r="AG957" i="67"/>
  <c r="AG351" i="67"/>
  <c r="AG806" i="67"/>
  <c r="AG655" i="67"/>
  <c r="AG503" i="67"/>
  <c r="AG45" i="67"/>
  <c r="AG198" i="67"/>
  <c r="AB938" i="67"/>
  <c r="AB636" i="67"/>
  <c r="AB787" i="67"/>
  <c r="AB332" i="67"/>
  <c r="AB484" i="67"/>
  <c r="AB26" i="67"/>
  <c r="AB179" i="67"/>
  <c r="AL757" i="67"/>
  <c r="AL925" i="67"/>
  <c r="AL319" i="67"/>
  <c r="AL774" i="67"/>
  <c r="AL623" i="67"/>
  <c r="AL13" i="67"/>
  <c r="AL166" i="67"/>
  <c r="AP924" i="67"/>
  <c r="AP622" i="67"/>
  <c r="AP773" i="67"/>
  <c r="AP318" i="67"/>
  <c r="AP12" i="67"/>
  <c r="AP165" i="67"/>
  <c r="T1058" i="67"/>
  <c r="T924" i="67"/>
  <c r="T318" i="67"/>
  <c r="T622" i="67"/>
  <c r="T12" i="67"/>
  <c r="T773" i="67"/>
  <c r="T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1058" i="67"/>
  <c r="AS452" i="67"/>
  <c r="AS907" i="67"/>
  <c r="AS756" i="67"/>
  <c r="AS604" i="67"/>
  <c r="AS299" i="67"/>
  <c r="AS146" i="67"/>
  <c r="AS924" i="67"/>
  <c r="AS773" i="67"/>
  <c r="AS318" i="67"/>
  <c r="AS622" i="67"/>
  <c r="AS165" i="67"/>
  <c r="AS12" i="67"/>
  <c r="AN1059" i="67"/>
  <c r="AN908" i="67"/>
  <c r="AN453" i="67"/>
  <c r="AN757" i="67"/>
  <c r="AN605" i="67"/>
  <c r="AN300" i="67"/>
  <c r="AN147"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K1058" i="67"/>
  <c r="AK907" i="67"/>
  <c r="AK452" i="67"/>
  <c r="AK756" i="67"/>
  <c r="AK146" i="67"/>
  <c r="AK604" i="67"/>
  <c r="AK299" i="67"/>
  <c r="AK924" i="67"/>
  <c r="AK773" i="67"/>
  <c r="AK318" i="67"/>
  <c r="AK622" i="67"/>
  <c r="AK12" i="67"/>
  <c r="AK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AL588" i="67"/>
  <c r="T1059" i="67"/>
  <c r="T757" i="67"/>
  <c r="T453" i="67"/>
  <c r="T908" i="67"/>
  <c r="T605" i="67"/>
  <c r="T300" i="67"/>
  <c r="T147" i="67"/>
  <c r="AH957" i="67"/>
  <c r="AH351" i="67"/>
  <c r="AH503" i="67"/>
  <c r="AH655" i="67"/>
  <c r="AH806" i="67"/>
  <c r="AH45" i="67"/>
  <c r="AH198" i="67"/>
  <c r="O956" i="67"/>
  <c r="O350" i="67"/>
  <c r="O654" i="67"/>
  <c r="O805" i="67"/>
  <c r="O502" i="67"/>
  <c r="O44" i="67"/>
  <c r="O197" i="67"/>
  <c r="AI22" i="68"/>
  <c r="H22" i="62" s="1"/>
  <c r="AN956" i="67"/>
  <c r="AN350" i="67"/>
  <c r="AN502" i="67"/>
  <c r="AN654" i="67"/>
  <c r="AN44" i="67"/>
  <c r="AN805" i="67"/>
  <c r="AN197" i="67"/>
  <c r="BH22" i="68"/>
  <c r="AG22" i="62" s="1"/>
  <c r="Z956" i="67"/>
  <c r="Z350" i="67"/>
  <c r="Z805" i="67"/>
  <c r="Z654" i="67"/>
  <c r="Z502" i="67"/>
  <c r="Z44" i="67"/>
  <c r="Z197" i="67"/>
  <c r="AT22" i="68"/>
  <c r="S22" i="62" s="1"/>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M165" i="65"/>
  <c r="M177" i="65" s="1"/>
  <c r="AO64" i="70"/>
  <c r="AO80" i="70"/>
  <c r="AW64" i="70"/>
  <c r="AW80" i="70"/>
  <c r="AH165" i="65"/>
  <c r="AH177" i="65" s="1"/>
  <c r="W165" i="65"/>
  <c r="W177" i="65" s="1"/>
  <c r="AR80" i="70"/>
  <c r="AR64" i="70"/>
  <c r="S938" i="67"/>
  <c r="S332" i="67"/>
  <c r="S636" i="67"/>
  <c r="S787" i="67"/>
  <c r="S179" i="67"/>
  <c r="S484" i="67"/>
  <c r="S26" i="67"/>
  <c r="U956" i="67"/>
  <c r="U350" i="67"/>
  <c r="U805" i="67"/>
  <c r="U654" i="67"/>
  <c r="U502" i="67"/>
  <c r="U44" i="67"/>
  <c r="U197" i="67"/>
  <c r="AO22" i="68"/>
  <c r="N22" i="62" s="1"/>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V957" i="67"/>
  <c r="AV351" i="67"/>
  <c r="AV655" i="67"/>
  <c r="AV806" i="67"/>
  <c r="AV503" i="67"/>
  <c r="AV45" i="67"/>
  <c r="AV198" i="67"/>
  <c r="AB333" i="67"/>
  <c r="AB485"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299" i="67"/>
  <c r="AA924" i="67"/>
  <c r="AA318" i="67"/>
  <c r="AA773" i="67"/>
  <c r="AA622" i="67"/>
  <c r="AA12" i="67"/>
  <c r="AA165" i="67"/>
  <c r="AO924" i="67"/>
  <c r="AO622" i="67"/>
  <c r="AO318" i="67"/>
  <c r="AO773" i="67"/>
  <c r="AO12" i="67"/>
  <c r="AO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131" i="67"/>
  <c r="AJ284" i="67"/>
  <c r="AJ925" i="67"/>
  <c r="AJ774" i="67"/>
  <c r="AJ319" i="67"/>
  <c r="AJ623" i="67"/>
  <c r="AJ13" i="67"/>
  <c r="AJ166" i="67"/>
  <c r="M605" i="67"/>
  <c r="M925" i="67"/>
  <c r="M319" i="67"/>
  <c r="M623" i="67"/>
  <c r="M774" i="67"/>
  <c r="M13" i="67"/>
  <c r="M166" i="67"/>
  <c r="W1059" i="67"/>
  <c r="W453" i="67"/>
  <c r="W908" i="67"/>
  <c r="W757" i="67"/>
  <c r="W605" i="67"/>
  <c r="W300" i="67"/>
  <c r="W147" i="67"/>
  <c r="W925" i="67"/>
  <c r="W319" i="67"/>
  <c r="W774" i="67"/>
  <c r="W166" i="67"/>
  <c r="W623" i="67"/>
  <c r="W13" i="67"/>
  <c r="N1059" i="67"/>
  <c r="N453" i="67"/>
  <c r="N757" i="67"/>
  <c r="N908" i="67"/>
  <c r="N147" i="67"/>
  <c r="N300" i="67"/>
  <c r="N605" i="67"/>
  <c r="AI1043" i="67"/>
  <c r="AI741" i="67"/>
  <c r="AI437" i="67"/>
  <c r="AI892" i="67"/>
  <c r="AI131" i="67"/>
  <c r="AI284" i="67"/>
  <c r="AI589" i="67"/>
  <c r="AD957" i="67"/>
  <c r="AD351" i="67"/>
  <c r="AD806" i="67"/>
  <c r="AD503" i="67"/>
  <c r="AD655" i="67"/>
  <c r="AD45" i="67"/>
  <c r="AD198" i="67"/>
  <c r="AM957" i="67"/>
  <c r="AM351" i="67"/>
  <c r="AM655" i="67"/>
  <c r="AM806" i="67"/>
  <c r="AM45" i="67"/>
  <c r="AM503" i="67"/>
  <c r="AM198" i="67"/>
  <c r="AK957" i="67"/>
  <c r="AK351" i="67"/>
  <c r="AK806" i="67"/>
  <c r="AK655" i="67"/>
  <c r="AK503" i="67"/>
  <c r="AK45" i="67"/>
  <c r="AK198"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N585" i="67"/>
  <c r="N127" i="67"/>
  <c r="N433" i="67"/>
  <c r="N737" i="67"/>
  <c r="N280" i="67"/>
  <c r="N888" i="67"/>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058" i="67"/>
  <c r="AU452" i="67"/>
  <c r="AU756" i="67"/>
  <c r="AU907" i="67"/>
  <c r="AU604" i="67"/>
  <c r="AU299" i="67"/>
  <c r="AU146" i="67"/>
  <c r="Q300" i="67"/>
  <c r="Q147"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BP22" i="68"/>
  <c r="AO22" i="62" s="1"/>
  <c r="AR957" i="67"/>
  <c r="AR351" i="67"/>
  <c r="AR806" i="67"/>
  <c r="AR655" i="67"/>
  <c r="AR503" i="67"/>
  <c r="AR45" i="67"/>
  <c r="AR198" i="67"/>
  <c r="AT956" i="67"/>
  <c r="AT350" i="67"/>
  <c r="AT805" i="67"/>
  <c r="AT654" i="67"/>
  <c r="AT502" i="67"/>
  <c r="AT44" i="67"/>
  <c r="AT197" i="67"/>
  <c r="BN22" i="68"/>
  <c r="AM22" i="62" s="1"/>
  <c r="AM938" i="67"/>
  <c r="AM787" i="67"/>
  <c r="AM332" i="67"/>
  <c r="AM636" i="67"/>
  <c r="AM26" i="67"/>
  <c r="AM484" i="67"/>
  <c r="AM179" i="67"/>
  <c r="BG14" i="68"/>
  <c r="AF15" i="62" s="1"/>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U80" i="70"/>
  <c r="AU64" i="70"/>
  <c r="AL940" i="67"/>
  <c r="AL334" i="67"/>
  <c r="AL638" i="67"/>
  <c r="AL789" i="67"/>
  <c r="AL181" i="67"/>
  <c r="AL486" i="67"/>
  <c r="AL28" i="67"/>
  <c r="BF15" i="68"/>
  <c r="AE16" i="62" s="1"/>
  <c r="Y51" i="69"/>
  <c r="Y9" i="69"/>
  <c r="AD10" i="70" s="1"/>
  <c r="AQ80" i="70"/>
  <c r="AQ64" i="70"/>
  <c r="AF80" i="70"/>
  <c r="AF64" i="70"/>
  <c r="AK80" i="70"/>
  <c r="AK64" i="70"/>
  <c r="BG80" i="70"/>
  <c r="BG64" i="70"/>
  <c r="P957" i="67"/>
  <c r="P351" i="67"/>
  <c r="P655" i="67"/>
  <c r="P806" i="67"/>
  <c r="P45" i="67"/>
  <c r="P198" i="67"/>
  <c r="P503" i="67"/>
  <c r="AG1059" i="67"/>
  <c r="AG757" i="67"/>
  <c r="AG908" i="67"/>
  <c r="AG453" i="67"/>
  <c r="AG300" i="67"/>
  <c r="AG147" i="67"/>
  <c r="AG605" i="67"/>
  <c r="AB1042" i="67"/>
  <c r="AB436" i="67"/>
  <c r="AB891" i="67"/>
  <c r="AB588" i="67"/>
  <c r="AB130" i="67"/>
  <c r="AB740" i="67"/>
  <c r="AB283" i="67"/>
  <c r="AR956" i="67"/>
  <c r="AR350" i="67"/>
  <c r="AR805" i="67"/>
  <c r="AR197" i="67"/>
  <c r="AR654" i="67"/>
  <c r="AR502" i="67"/>
  <c r="AR44" i="67"/>
  <c r="BL22" i="68"/>
  <c r="AK22" i="62" s="1"/>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L938" i="67"/>
  <c r="AL332" i="67"/>
  <c r="AL787" i="67"/>
  <c r="AL179" i="67"/>
  <c r="AL636" i="67"/>
  <c r="AL484" i="67"/>
  <c r="AL26" i="67"/>
  <c r="O1058" i="67"/>
  <c r="O452" i="67"/>
  <c r="O756" i="67"/>
  <c r="O907" i="67"/>
  <c r="O604" i="67"/>
  <c r="O299" i="67"/>
  <c r="O146"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AE80" i="70"/>
  <c r="AE64" i="70"/>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P14" i="68"/>
  <c r="O15" i="62" s="1"/>
  <c r="AV1059" i="67"/>
  <c r="AV908" i="67"/>
  <c r="AV453" i="67"/>
  <c r="AV757" i="67"/>
  <c r="AV605" i="67"/>
  <c r="AV300" i="67"/>
  <c r="AV147" i="67"/>
  <c r="AW957" i="67"/>
  <c r="AW351" i="67"/>
  <c r="AW655" i="67"/>
  <c r="AW806" i="67"/>
  <c r="AW45" i="67"/>
  <c r="AW198" i="67"/>
  <c r="AW503" i="67"/>
  <c r="AO956" i="67"/>
  <c r="AC956" i="67"/>
  <c r="AC350" i="67"/>
  <c r="AC805" i="67"/>
  <c r="AC654" i="67"/>
  <c r="AC197" i="67"/>
  <c r="AC502" i="67"/>
  <c r="AC44" i="67"/>
  <c r="AW22" i="68"/>
  <c r="V22" i="62" s="1"/>
  <c r="N503" i="67"/>
  <c r="AI939" i="67"/>
  <c r="AI333" i="67"/>
  <c r="AI788" i="67"/>
  <c r="AI180" i="67"/>
  <c r="AI637" i="67"/>
  <c r="AI485" i="67"/>
  <c r="AI27" i="67"/>
  <c r="AD1059" i="67"/>
  <c r="AD453" i="67"/>
  <c r="AD757" i="67"/>
  <c r="AD908" i="67"/>
  <c r="AD147" i="67"/>
  <c r="AD300" i="67"/>
  <c r="AD605" i="67"/>
  <c r="AM925" i="67"/>
  <c r="AM319" i="67"/>
  <c r="AM774" i="67"/>
  <c r="AM166" i="67"/>
  <c r="AM623" i="67"/>
  <c r="AM13" i="67"/>
  <c r="AK1059" i="67"/>
  <c r="AK908" i="67"/>
  <c r="AK453" i="67"/>
  <c r="AK757" i="67"/>
  <c r="AK147" i="67"/>
  <c r="AK605" i="67"/>
  <c r="AK300" i="67"/>
  <c r="AF299"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Z633" i="67"/>
  <c r="Z176" i="67"/>
  <c r="Z481" i="67"/>
  <c r="Z329" i="67"/>
  <c r="Z23" i="67"/>
  <c r="N651" i="67"/>
  <c r="N41" i="67"/>
  <c r="N802" i="67"/>
  <c r="N499" i="67"/>
  <c r="N194" i="67"/>
  <c r="N347"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Q104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D165" i="65"/>
  <c r="AD177" i="65" s="1"/>
  <c r="AX80" i="70"/>
  <c r="AX64" i="70"/>
  <c r="N904" i="67"/>
  <c r="N601" i="67"/>
  <c r="N753" i="67"/>
  <c r="N296" i="67"/>
  <c r="N143" i="67"/>
  <c r="N449" i="67"/>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939" i="67"/>
  <c r="AA333" i="67"/>
  <c r="AA637" i="67"/>
  <c r="AA788" i="67"/>
  <c r="AA485"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938" i="67"/>
  <c r="AU787" i="67"/>
  <c r="AU332" i="67"/>
  <c r="AU636" i="67"/>
  <c r="AU484" i="67"/>
  <c r="AU179" i="67"/>
  <c r="AU26" i="67"/>
  <c r="BO14" i="68"/>
  <c r="AN15" i="62" s="1"/>
  <c r="Y939" i="67"/>
  <c r="Y333" i="67"/>
  <c r="Y788" i="67"/>
  <c r="Y180" i="67"/>
  <c r="Y485" i="67"/>
  <c r="Y637" i="67"/>
  <c r="Y27" i="67"/>
  <c r="Q788" i="67"/>
  <c r="L939" i="67"/>
  <c r="L333" i="67"/>
  <c r="L485" i="67"/>
  <c r="L637" i="67"/>
  <c r="L788" i="67"/>
  <c r="L27" i="67"/>
  <c r="L180" i="67"/>
  <c r="AD179"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R1043" i="67"/>
  <c r="AR437" i="67"/>
  <c r="AR741" i="67"/>
  <c r="AR892" i="67"/>
  <c r="AR589" i="67"/>
  <c r="AR131" i="67"/>
  <c r="AR284" i="67"/>
  <c r="AO1043" i="67"/>
  <c r="AO892" i="67"/>
  <c r="AO437" i="67"/>
  <c r="AO741" i="67"/>
  <c r="AO131" i="67"/>
  <c r="AO284" i="67"/>
  <c r="AO589"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BG22" i="68"/>
  <c r="AF22" i="62" s="1"/>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U737" i="67"/>
  <c r="U280" i="67"/>
  <c r="U888" i="67"/>
  <c r="U433" i="67"/>
  <c r="U585" i="67"/>
  <c r="U127" i="67"/>
  <c r="U770" i="67"/>
  <c r="U619" i="67"/>
  <c r="P1043" i="67"/>
  <c r="AE939" i="67"/>
  <c r="AE788" i="67"/>
  <c r="AE333" i="67"/>
  <c r="AE637" i="67"/>
  <c r="AE485"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P130" i="67"/>
  <c r="T1042" i="67"/>
  <c r="T740"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S1042" i="67"/>
  <c r="AS436" i="67"/>
  <c r="AS588"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AL956" i="67"/>
  <c r="AL350" i="67"/>
  <c r="AL805" i="67"/>
  <c r="AL654" i="67"/>
  <c r="AL502" i="67"/>
  <c r="AL44" i="67"/>
  <c r="AL197" i="67"/>
  <c r="T957" i="67"/>
  <c r="T351" i="67"/>
  <c r="T806" i="67"/>
  <c r="T655" i="67"/>
  <c r="T503" i="67"/>
  <c r="T45" i="67"/>
  <c r="T198" i="67"/>
  <c r="AH939" i="67"/>
  <c r="AH788" i="67"/>
  <c r="AH333" i="67"/>
  <c r="AH637" i="67"/>
  <c r="AH485" i="67"/>
  <c r="AH27" i="67"/>
  <c r="AH180"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AV80" i="70"/>
  <c r="AV64" i="70"/>
  <c r="S924" i="67"/>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BM64" i="70"/>
  <c r="BM80" i="70"/>
  <c r="V956" i="67"/>
  <c r="V350" i="67"/>
  <c r="V654" i="67"/>
  <c r="V805" i="67"/>
  <c r="V502" i="67"/>
  <c r="V44" i="67"/>
  <c r="V197" i="67"/>
  <c r="AP22" i="68"/>
  <c r="O22" i="62" s="1"/>
  <c r="S503" i="67"/>
  <c r="S45" i="67"/>
  <c r="AG938" i="67"/>
  <c r="AG332" i="67"/>
  <c r="AG787" i="67"/>
  <c r="AG484" i="67"/>
  <c r="AG636" i="67"/>
  <c r="AG26" i="67"/>
  <c r="AG179" i="67"/>
  <c r="BA14" i="68"/>
  <c r="Z15" i="62" s="1"/>
  <c r="AV939" i="67"/>
  <c r="AV333" i="67"/>
  <c r="AV788" i="67"/>
  <c r="AV637" i="67"/>
  <c r="AV485" i="67"/>
  <c r="AV27" i="67"/>
  <c r="AV180" i="67"/>
  <c r="AB1043" i="67"/>
  <c r="AB437" i="67"/>
  <c r="AB741" i="67"/>
  <c r="AB892" i="67"/>
  <c r="AB589" i="67"/>
  <c r="AB131" i="67"/>
  <c r="AB284" i="67"/>
  <c r="AB925" i="67"/>
  <c r="AB774" i="67"/>
  <c r="AB319" i="67"/>
  <c r="AB623" i="67"/>
  <c r="AB13" i="67"/>
  <c r="AB166" i="67"/>
  <c r="AP1059" i="67"/>
  <c r="AP908" i="67"/>
  <c r="AP453" i="67"/>
  <c r="AP757" i="67"/>
  <c r="AP605" i="67"/>
  <c r="AP147" i="67"/>
  <c r="AP300" i="67"/>
  <c r="AP925" i="67"/>
  <c r="AP319" i="67"/>
  <c r="AP623" i="67"/>
  <c r="AP774" i="67"/>
  <c r="AP13" i="67"/>
  <c r="AP166" i="67"/>
  <c r="U908" i="67"/>
  <c r="U925" i="67"/>
  <c r="U319" i="67"/>
  <c r="U774" i="67"/>
  <c r="U623" i="67"/>
  <c r="U13" i="67"/>
  <c r="U166" i="67"/>
  <c r="AW1043" i="67"/>
  <c r="AW892" i="67"/>
  <c r="AW437" i="67"/>
  <c r="AW741" i="67"/>
  <c r="AW284" i="67"/>
  <c r="AW131" i="67"/>
  <c r="AW589" i="67"/>
  <c r="AA1042" i="67"/>
  <c r="AA436" i="67"/>
  <c r="AA891" i="67"/>
  <c r="AA588" i="67"/>
  <c r="AA130" i="67"/>
  <c r="AA740" i="67"/>
  <c r="AA283" i="67"/>
  <c r="AQ1042" i="67"/>
  <c r="AQ436" i="67"/>
  <c r="AQ891" i="67"/>
  <c r="AQ588" i="67"/>
  <c r="AQ130" i="67"/>
  <c r="AQ740" i="67"/>
  <c r="AQ283" i="67"/>
  <c r="AC1042" i="67"/>
  <c r="AC436" i="67"/>
  <c r="AC891" i="67"/>
  <c r="AC588" i="67"/>
  <c r="AC130" i="67"/>
  <c r="AC740" i="67"/>
  <c r="AC283" i="67"/>
  <c r="AJ1059" i="67"/>
  <c r="AJ757" i="67"/>
  <c r="AJ453" i="67"/>
  <c r="AJ908" i="67"/>
  <c r="AJ605" i="67"/>
  <c r="AJ300" i="67"/>
  <c r="AJ147" i="67"/>
  <c r="M1043" i="67"/>
  <c r="M741" i="67"/>
  <c r="M437" i="67"/>
  <c r="M892" i="67"/>
  <c r="M284" i="67"/>
  <c r="M589" i="67"/>
  <c r="M131" i="67"/>
  <c r="W1043" i="67"/>
  <c r="W892" i="67"/>
  <c r="W437" i="67"/>
  <c r="W741" i="67"/>
  <c r="W589" i="67"/>
  <c r="W284" i="67"/>
  <c r="W131" i="67"/>
  <c r="AI957" i="67"/>
  <c r="AI351" i="67"/>
  <c r="AI655" i="67"/>
  <c r="AI198" i="67"/>
  <c r="AI806" i="67"/>
  <c r="AI503" i="67"/>
  <c r="AI45" i="67"/>
  <c r="AD788" i="67"/>
  <c r="AM939" i="67"/>
  <c r="AM333" i="67"/>
  <c r="AM788" i="67"/>
  <c r="AM637" i="67"/>
  <c r="AM485" i="67"/>
  <c r="AM27" i="67"/>
  <c r="AM180" i="67"/>
  <c r="AK939" i="67"/>
  <c r="AK333" i="67"/>
  <c r="AK637" i="67"/>
  <c r="AK27" i="67"/>
  <c r="AK788" i="67"/>
  <c r="AK485" i="67"/>
  <c r="AK180" i="67"/>
  <c r="AF938" i="67"/>
  <c r="AF332" i="67"/>
  <c r="AF636" i="67"/>
  <c r="AF787" i="67"/>
  <c r="AF26" i="67"/>
  <c r="AF179" i="67"/>
  <c r="AF484" i="67"/>
  <c r="AZ14" i="68"/>
  <c r="Y15" i="62" s="1"/>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D10" i="50"/>
  <c r="AD15" i="57" s="1"/>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U14" i="68" l="1"/>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R1362" i="67" s="1"/>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G1229" i="67" s="1"/>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Q1363" i="67" s="1"/>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S1228" i="67" s="1"/>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AS1229" i="67"/>
  <c r="M1228" i="67"/>
  <c r="L1228" i="67"/>
  <c r="AF7" i="68" s="1"/>
  <c r="E9" i="62" s="1"/>
  <c r="AT1228" i="67"/>
  <c r="R1228" i="67"/>
  <c r="K1228" i="67"/>
  <c r="Z1229" i="67"/>
  <c r="AC1229" i="67"/>
  <c r="AM1261" i="67"/>
  <c r="W1229" i="67"/>
  <c r="AQ1228" i="67"/>
  <c r="T1262" i="67"/>
  <c r="O1228" i="67"/>
  <c r="AI1261" i="67"/>
  <c r="N1347" i="67"/>
  <c r="AJ1363" i="67"/>
  <c r="AQ1346" i="67"/>
  <c r="AP1229" i="67"/>
  <c r="Z1260" i="67"/>
  <c r="AA1243" i="67"/>
  <c r="AO1230" i="67"/>
  <c r="AM1229" i="67"/>
  <c r="AD1363" i="67"/>
  <c r="AT1244" i="67"/>
  <c r="R1229" i="67"/>
  <c r="AM1228" i="67"/>
  <c r="AO1348" i="67"/>
  <c r="Y1244" i="67"/>
  <c r="AM1347" i="67"/>
  <c r="AI1229" i="67"/>
  <c r="V1228" i="67"/>
  <c r="W1348" i="67"/>
  <c r="U1364" i="67"/>
  <c r="AF1230" i="67"/>
  <c r="P1262" i="67"/>
  <c r="AE1230" i="67"/>
  <c r="AE1364" i="67"/>
  <c r="Q1364" i="67"/>
  <c r="AF1261" i="67"/>
  <c r="AK1346" i="67"/>
  <c r="AE1243" i="67"/>
  <c r="AJ1262" i="67"/>
  <c r="AR1260" i="67"/>
  <c r="Y10" i="69"/>
  <c r="AI1228" i="67"/>
  <c r="T1228" i="67"/>
  <c r="AP1228" i="67"/>
  <c r="AU1229" i="67"/>
  <c r="AC1261" i="67"/>
  <c r="AM1262" i="67"/>
  <c r="AK1229" i="67"/>
  <c r="U1228" i="67"/>
  <c r="AR1364" i="67"/>
  <c r="AP1364" i="67"/>
  <c r="X1230" i="67"/>
  <c r="X1229" i="67"/>
  <c r="AP1243" i="67"/>
  <c r="Q1244" i="67"/>
  <c r="AK1228" i="67"/>
  <c r="AI1362" i="67"/>
  <c r="Y1228" i="67"/>
  <c r="AQ1229" i="67"/>
  <c r="AT1229" i="67"/>
  <c r="AL1229" i="67"/>
  <c r="AR1229" i="67"/>
  <c r="AV1228" i="67"/>
  <c r="K1346" i="67"/>
  <c r="N1260" i="67"/>
  <c r="N1228" i="67"/>
  <c r="V1243" i="67"/>
  <c r="AE1229" i="67"/>
  <c r="AN1262" i="67"/>
  <c r="AE1242" i="67"/>
  <c r="AR1346" i="67"/>
  <c r="AB1228" i="67"/>
  <c r="AM1260" i="67"/>
  <c r="AT1346" i="67"/>
  <c r="AV1346" i="67"/>
  <c r="L1243" i="67"/>
  <c r="O1243" i="67"/>
  <c r="AM1348" i="67"/>
  <c r="AF1242" i="67"/>
  <c r="AG1242" i="67"/>
  <c r="Q1228" i="67"/>
  <c r="AK7" i="68" s="1"/>
  <c r="J9" i="62" s="1"/>
  <c r="AN1242" i="67"/>
  <c r="AH1243" i="67"/>
  <c r="AS1346" i="67"/>
  <c r="AN1364" i="67"/>
  <c r="S1364" i="67"/>
  <c r="AK1364" i="67"/>
  <c r="AE1346" i="67"/>
  <c r="M1346" i="67"/>
  <c r="AA1229" i="67"/>
  <c r="Z1348" i="67"/>
  <c r="O1362" i="67"/>
  <c r="AL1242"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J1228" i="67"/>
  <c r="AO1229" i="67"/>
  <c r="AR1363" i="67"/>
  <c r="AR1244" i="67"/>
  <c r="AB1348" i="67"/>
  <c r="AA1348" i="67"/>
  <c r="K1230" i="67"/>
  <c r="AU1260" i="67"/>
  <c r="X1261" i="67"/>
  <c r="AE1228" i="67"/>
  <c r="AA1363" i="67"/>
  <c r="AQ1243" i="67"/>
  <c r="R1244" i="67"/>
  <c r="AS1244" i="67"/>
  <c r="AD1228" i="67"/>
  <c r="Y1229" i="67"/>
  <c r="AU1228" i="67"/>
  <c r="M1362" i="67"/>
  <c r="AL1228" i="67"/>
  <c r="AG1364" i="67"/>
  <c r="AF1229" i="67"/>
  <c r="AA1364" i="67"/>
  <c r="R1260" i="67"/>
  <c r="AB1229" i="67"/>
  <c r="T1261" i="67"/>
  <c r="AB1362" i="67"/>
  <c r="L1346" i="67"/>
  <c r="AR1230" i="67"/>
  <c r="M1262" i="67"/>
  <c r="M1242" i="67"/>
  <c r="U1229" i="67"/>
  <c r="AB1347" i="67"/>
  <c r="X1228" i="67"/>
  <c r="X1362" i="67"/>
  <c r="T1230" i="67"/>
  <c r="AI1346" i="67"/>
  <c r="AN1347" i="67"/>
  <c r="AN1230" i="67"/>
  <c r="AH1346" i="67"/>
  <c r="AI1243" i="67"/>
  <c r="AW1261" i="67"/>
  <c r="AV1363" i="67"/>
  <c r="V1242" i="67"/>
  <c r="AD1244" i="67"/>
  <c r="P1261" i="67"/>
  <c r="K1348" i="67"/>
  <c r="N1346" i="67"/>
  <c r="O1229" i="67"/>
  <c r="AH1228" i="67"/>
  <c r="N1363" i="67"/>
  <c r="AJ1229" i="67"/>
  <c r="AC1228" i="67"/>
  <c r="AO1228" i="67"/>
  <c r="AA1228" i="67"/>
  <c r="AW1229" i="67"/>
  <c r="AG1346" i="67"/>
  <c r="X1242" i="67"/>
  <c r="S1242" i="67"/>
  <c r="AR1228" i="67"/>
  <c r="AE1362" i="67"/>
  <c r="V1229" i="67"/>
  <c r="AP1347" i="67"/>
  <c r="AV1229" i="67"/>
  <c r="AG1228" i="67"/>
  <c r="Z1228" i="67"/>
  <c r="AT7" i="68" s="1"/>
  <c r="S9" i="62" s="1"/>
  <c r="AN1228" i="67"/>
  <c r="AF1348" i="67"/>
  <c r="AF1243" i="67"/>
  <c r="AK1260" i="67"/>
  <c r="AI1260" i="67"/>
  <c r="K1243" i="67"/>
  <c r="Z1346" i="67"/>
  <c r="T1229" i="67"/>
  <c r="AN7" i="68" s="1"/>
  <c r="M9" i="62" s="1"/>
  <c r="AV1364" i="67"/>
  <c r="AE1262" i="67"/>
  <c r="L1242" i="67"/>
  <c r="AU1261" i="67"/>
  <c r="W1242" i="67"/>
  <c r="K1229" i="67"/>
  <c r="AE7" i="68" s="1"/>
  <c r="D9" i="62" s="1"/>
  <c r="AH1229" i="67"/>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R1347" i="67"/>
  <c r="AP1230" i="67"/>
  <c r="AS1262" i="67"/>
  <c r="AC1364" i="67"/>
  <c r="Z1243" i="67"/>
  <c r="Y1243" i="67"/>
  <c r="AU1242" i="67"/>
  <c r="N1242" i="67"/>
  <c r="AH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1347" i="67"/>
  <c r="AU1346"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R1261"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K1362" i="67"/>
  <c r="AE1347" i="67"/>
  <c r="S1244" i="67"/>
  <c r="W1362" i="67"/>
  <c r="Z1261" i="67"/>
  <c r="V1363" i="67"/>
  <c r="P449" i="67"/>
  <c r="P601" i="67"/>
  <c r="Q440" i="67"/>
  <c r="Q592" i="67"/>
  <c r="Q134" i="67"/>
  <c r="Q895" i="67"/>
  <c r="Q287" i="67"/>
  <c r="Q744" i="67"/>
  <c r="Y134" i="67"/>
  <c r="Y287" i="67"/>
  <c r="Y440" i="67"/>
  <c r="Y744" i="67"/>
  <c r="Y592" i="67"/>
  <c r="Y895" i="67"/>
  <c r="L745" i="67"/>
  <c r="L441" i="67"/>
  <c r="L896" i="67"/>
  <c r="L593" i="67"/>
  <c r="L135" i="67"/>
  <c r="L288" i="67"/>
  <c r="AS1347"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AM1363" i="67"/>
  <c r="U1347" i="67"/>
  <c r="S1346" i="67"/>
  <c r="U1230" i="67"/>
  <c r="AH1363" i="67"/>
  <c r="AE1348" i="67"/>
  <c r="V1348" i="67"/>
  <c r="AE1261" i="67"/>
  <c r="AH1362" i="67"/>
  <c r="N1348" i="67"/>
  <c r="AH1244" i="67"/>
  <c r="AK1347" i="67"/>
  <c r="N1243" i="67"/>
  <c r="AC1242" i="67"/>
  <c r="AQ1242" i="67"/>
  <c r="AO1242" i="67"/>
  <c r="AA1242" i="67"/>
  <c r="AG1362" i="67"/>
  <c r="X1260" i="67"/>
  <c r="U1242" i="67"/>
  <c r="AJ167" i="65"/>
  <c r="AJ179" i="65" s="1"/>
  <c r="B168" i="65"/>
  <c r="B180" i="65" s="1"/>
  <c r="U1262" i="67"/>
  <c r="T1347" i="67"/>
  <c r="AV1230" i="67"/>
  <c r="AF1262" i="67"/>
  <c r="P1230" i="67"/>
  <c r="O1364" i="67"/>
  <c r="AT1230" i="67"/>
  <c r="AW1348" i="67"/>
  <c r="Q1262" i="67"/>
  <c r="AF1363" i="67"/>
  <c r="AN1243" i="67"/>
  <c r="AD167" i="65"/>
  <c r="AD179" i="65" s="1"/>
  <c r="R167" i="65"/>
  <c r="R179" i="65" s="1"/>
  <c r="AK1230" i="67"/>
  <c r="AR1243" i="67"/>
  <c r="AV1242" i="67"/>
  <c r="L1262" i="67"/>
  <c r="AA1230" i="67"/>
  <c r="R1364" i="67"/>
  <c r="AC1262" i="67"/>
  <c r="M1230" i="67"/>
  <c r="M1364" i="67"/>
  <c r="K1242" i="67"/>
  <c r="AA167" i="65"/>
  <c r="AA179" i="65" s="1"/>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K770"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AM1243" i="67"/>
  <c r="AD1243" i="67"/>
  <c r="W1347" i="67"/>
  <c r="AA1346" i="67"/>
  <c r="V1260" i="67"/>
  <c r="Q1362" i="67"/>
  <c r="J167" i="65"/>
  <c r="J179" i="65" s="1"/>
  <c r="X167" i="65"/>
  <c r="X179" i="65" s="1"/>
  <c r="W1244" i="67"/>
  <c r="AD1262" i="67"/>
  <c r="Z1230" i="67"/>
  <c r="Z1242" i="67"/>
  <c r="O1262" i="67"/>
  <c r="AW1230" i="67"/>
  <c r="AW1262" i="67"/>
  <c r="AG1262" i="67"/>
  <c r="Q1230" i="67"/>
  <c r="AP1346"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J1347"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AN1363" i="67"/>
  <c r="AQ1363" i="67"/>
  <c r="AR1362" i="67"/>
  <c r="AB1242" i="67"/>
  <c r="AG1261" i="67"/>
  <c r="AQ1244" i="67"/>
  <c r="L1362" i="67"/>
  <c r="AT1362" i="67"/>
  <c r="AV1362" i="67"/>
  <c r="R1348" i="67"/>
  <c r="AC1244" i="67"/>
  <c r="M1348" i="67"/>
  <c r="R1242" i="67"/>
  <c r="AS1261"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AS1363" i="67"/>
  <c r="X1348" i="67"/>
  <c r="AM1244" i="67"/>
  <c r="AI1363" i="67"/>
  <c r="AB1261" i="67"/>
  <c r="AV1347" i="67"/>
  <c r="AG1260" i="67"/>
  <c r="AI1364" i="67"/>
  <c r="S1260" i="67"/>
  <c r="Z1262" i="67"/>
  <c r="AN1346" i="67"/>
  <c r="O1346" i="67"/>
  <c r="O1230" i="67"/>
  <c r="AT1364" i="67"/>
  <c r="AG1230" i="67"/>
  <c r="AI1242"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AA1261" i="67"/>
  <c r="V1261"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M1347" i="67"/>
  <c r="F167" i="65"/>
  <c r="F179" i="65" s="1"/>
  <c r="K1363" i="67"/>
  <c r="AT1262" i="67"/>
  <c r="B164" i="65"/>
  <c r="B176" i="65" s="1"/>
  <c r="AK1262" i="67"/>
  <c r="AJ1346" i="67"/>
  <c r="H4" i="50"/>
  <c r="H4" i="57" s="1"/>
  <c r="H4" i="69"/>
  <c r="AH1348" i="67"/>
  <c r="Y1348" i="67"/>
  <c r="AW1347" i="67"/>
  <c r="U1363" i="67"/>
  <c r="AP1363" i="67"/>
  <c r="AV1243" i="67"/>
  <c r="P1260" i="67"/>
  <c r="T1364" i="67"/>
  <c r="K1261" i="67"/>
  <c r="AF1364" i="67"/>
  <c r="AQ1347" i="67"/>
  <c r="AT1347" i="67"/>
  <c r="AG1243" i="67"/>
  <c r="P1347" i="67"/>
  <c r="AO1347"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K1363" i="67"/>
  <c r="AC1260" i="67"/>
  <c r="AN1362" i="67"/>
  <c r="Q1348" i="67"/>
  <c r="AG1363" i="67"/>
  <c r="I167" i="65"/>
  <c r="I179" i="65" s="1"/>
  <c r="O167" i="65"/>
  <c r="O179" i="65" s="1"/>
  <c r="S167" i="65"/>
  <c r="S179" i="65" s="1"/>
  <c r="AM1242" i="67"/>
  <c r="AV1260" i="67"/>
  <c r="AR1348" i="67"/>
  <c r="AC1348" i="67"/>
  <c r="Z1363" i="67"/>
  <c r="AU1362" i="67"/>
  <c r="AE1260" i="67"/>
  <c r="P355" i="67"/>
  <c r="P810" i="67"/>
  <c r="P202" i="67"/>
  <c r="P659" i="67"/>
  <c r="P507" i="67"/>
  <c r="P49" i="67"/>
  <c r="T355" i="67"/>
  <c r="T810" i="67"/>
  <c r="T659" i="67"/>
  <c r="T49" i="67"/>
  <c r="T507" i="67"/>
  <c r="T202" i="67"/>
  <c r="U354" i="67"/>
  <c r="U506" i="67"/>
  <c r="AO25" i="68"/>
  <c r="N23" i="62" s="1"/>
  <c r="U809" i="67"/>
  <c r="U48" i="67"/>
  <c r="U658" i="67"/>
  <c r="U201" i="67"/>
  <c r="AH1364" i="67"/>
  <c r="AK1261" i="67"/>
  <c r="AD1261" i="67"/>
  <c r="AI1347" i="67"/>
  <c r="W1363" i="67"/>
  <c r="AA1362" i="67"/>
  <c r="AW1363" i="67"/>
  <c r="AV1261" i="67"/>
  <c r="T601" i="67"/>
  <c r="T753" i="67"/>
  <c r="T449" i="67"/>
  <c r="T296" i="67"/>
  <c r="T143" i="67"/>
  <c r="T904" i="67"/>
  <c r="T619" i="67"/>
  <c r="T770" i="67"/>
  <c r="T1244" i="67"/>
  <c r="U1348" i="67"/>
  <c r="P1348" i="67"/>
  <c r="AW1244" i="67"/>
  <c r="AG1348" i="67"/>
  <c r="AF1347" i="67"/>
  <c r="AS1362" i="67"/>
  <c r="AT1363" i="67"/>
  <c r="AN1244" i="67"/>
  <c r="AL1348" i="67"/>
  <c r="AU1348" i="67"/>
  <c r="AM1346" i="67"/>
  <c r="AJ1362" i="67"/>
  <c r="AO1363" i="67"/>
  <c r="L1244" i="67"/>
  <c r="AP1244" i="67"/>
  <c r="AS1348" i="67"/>
  <c r="L1261" i="67"/>
  <c r="Y1261" i="67"/>
  <c r="O1261" i="67"/>
  <c r="AH1260" i="67"/>
  <c r="M1260" i="67"/>
  <c r="AA1347"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S1260" i="67"/>
  <c r="AJ1244" i="67"/>
  <c r="AU1243" i="67"/>
  <c r="W1260" i="67"/>
  <c r="AA1244" i="67"/>
  <c r="K1260" i="67"/>
  <c r="L1363" i="67"/>
  <c r="AC1363" i="67"/>
  <c r="W1243" i="67"/>
  <c r="AW1243" i="67"/>
  <c r="U1261" i="67"/>
  <c r="AP1261" i="67"/>
  <c r="V1362" i="67"/>
  <c r="AI1230" i="67"/>
  <c r="Q1242" i="67"/>
  <c r="B167" i="65"/>
  <c r="B179" i="65" s="1"/>
  <c r="Y167" i="65"/>
  <c r="Y179" i="65" s="1"/>
  <c r="AD1230" i="67"/>
  <c r="AH1347" i="67"/>
  <c r="P1364" i="67"/>
  <c r="V1262" i="67"/>
  <c r="AQ1261" i="67"/>
  <c r="AT1243" i="67"/>
  <c r="AR1242" i="67"/>
  <c r="AE1363" i="67"/>
  <c r="AJ1230" i="67"/>
  <c r="AM1362" i="67"/>
  <c r="AJ1242" i="67"/>
  <c r="Z1347" i="67"/>
  <c r="N167" i="65"/>
  <c r="N179" i="65" s="1"/>
  <c r="AA1384" i="67"/>
  <c r="AA1398" i="67"/>
  <c r="AA1416" i="67"/>
  <c r="AA1536" i="67"/>
  <c r="AA1552" i="67"/>
  <c r="AN1348" i="67"/>
  <c r="Y1363" i="67"/>
  <c r="O1363" i="67"/>
  <c r="X1363" i="67"/>
  <c r="Z744" i="67"/>
  <c r="Z440" i="67"/>
  <c r="Z895" i="67"/>
  <c r="Z592" i="67"/>
  <c r="Z134" i="67"/>
  <c r="Z287" i="67"/>
  <c r="AA744" i="67"/>
  <c r="AA440" i="67"/>
  <c r="AA895" i="67"/>
  <c r="AA287" i="67"/>
  <c r="AA592" i="67"/>
  <c r="AA134" i="67"/>
  <c r="AJ15" i="57"/>
  <c r="AK15" i="57"/>
  <c r="AT42" i="36"/>
  <c r="AS83" i="36"/>
  <c r="H5" i="47"/>
  <c r="U38" i="55"/>
  <c r="AD1362" i="67" l="1"/>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K1225" i="67" s="1"/>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J7" i="68"/>
  <c r="I9" i="62" s="1"/>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AG17" i="68" s="1"/>
  <c r="F18" i="62" s="1"/>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T11" i="50"/>
  <c r="AZ11" i="50"/>
  <c r="BC11" i="50"/>
  <c r="BJ11" i="50"/>
  <c r="BA11" i="50"/>
  <c r="Z11" i="50"/>
  <c r="AE11" i="50"/>
  <c r="AG11" i="50"/>
  <c r="AY11" i="50"/>
  <c r="BE11" i="50"/>
  <c r="AW11" i="50"/>
  <c r="AU11" i="50"/>
  <c r="AM11" i="50"/>
  <c r="AD11" i="50"/>
  <c r="AA11" i="50"/>
  <c r="BH11" i="50"/>
  <c r="AL11" i="50"/>
  <c r="AN11" i="50"/>
  <c r="BF11" i="50"/>
  <c r="AQ11" i="50"/>
  <c r="AS11" i="50"/>
  <c r="AV11" i="50"/>
  <c r="AK11" i="50"/>
  <c r="AB11" i="50"/>
  <c r="AC11" i="50"/>
  <c r="Y11" i="50"/>
  <c r="AD8" i="36" s="1"/>
  <c r="BG11" i="50"/>
  <c r="AP11" i="50"/>
  <c r="AX11" i="50"/>
  <c r="BD11" i="50"/>
  <c r="BK11" i="50"/>
  <c r="AF11" i="50"/>
  <c r="BB11" i="50"/>
  <c r="AO11" i="50"/>
  <c r="AJ11" i="50"/>
  <c r="AH11" i="50"/>
  <c r="BI11" i="50"/>
  <c r="AR11" i="50"/>
  <c r="AI11" i="50"/>
  <c r="AU42" i="36"/>
  <c r="AT83" i="36"/>
  <c r="G5" i="47"/>
  <c r="K1257" i="67" l="1"/>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K1414" i="67"/>
  <c r="K1382" i="67"/>
  <c r="K160" i="67" s="1"/>
  <c r="K1550" i="67"/>
  <c r="K1534" i="67"/>
  <c r="K1396" i="67"/>
  <c r="AM8" i="36"/>
  <c r="K64" i="65"/>
  <c r="K100" i="65"/>
  <c r="S64" i="65"/>
  <c r="S100" i="65"/>
  <c r="AG9" i="36"/>
  <c r="E64" i="65"/>
  <c r="E100" i="65"/>
  <c r="T64" i="65"/>
  <c r="T100" i="65"/>
  <c r="AK64" i="65"/>
  <c r="AK100" i="65"/>
  <c r="X64" i="65"/>
  <c r="X100" i="65"/>
  <c r="J64" i="65"/>
  <c r="J100" i="65"/>
  <c r="AM64" i="65"/>
  <c r="AM100" i="65"/>
  <c r="AN8" i="36"/>
  <c r="L64" i="65"/>
  <c r="L100" i="65"/>
  <c r="M64" i="65"/>
  <c r="M100" i="65"/>
  <c r="AN64" i="65"/>
  <c r="AN100" i="65"/>
  <c r="AJ64" i="65"/>
  <c r="AJ100" i="65"/>
  <c r="N64" i="65"/>
  <c r="N100" i="65"/>
  <c r="AI64" i="65"/>
  <c r="AI100" i="65"/>
  <c r="AF8" i="36"/>
  <c r="D64" i="65"/>
  <c r="D100" i="65"/>
  <c r="Z64" i="65"/>
  <c r="Z100" i="65"/>
  <c r="AJ8" i="36"/>
  <c r="H64" i="65"/>
  <c r="H100" i="65"/>
  <c r="AF64" i="65"/>
  <c r="AF100" i="65"/>
  <c r="U64" i="65"/>
  <c r="U100" i="65"/>
  <c r="AT8" i="36"/>
  <c r="R64" i="65"/>
  <c r="R100" i="65"/>
  <c r="AG64" i="65"/>
  <c r="AG100" i="65"/>
  <c r="AD9" i="36"/>
  <c r="B100" i="65"/>
  <c r="B64" i="65"/>
  <c r="Y64" i="65"/>
  <c r="Y100" i="65"/>
  <c r="AS8" i="36"/>
  <c r="Q64" i="65"/>
  <c r="Q100" i="65"/>
  <c r="AI8" i="36"/>
  <c r="G64" i="65"/>
  <c r="G100" i="65"/>
  <c r="AH64" i="65"/>
  <c r="AH100" i="65"/>
  <c r="AE8" i="36"/>
  <c r="C64" i="65"/>
  <c r="C100" i="65"/>
  <c r="AC64" i="65"/>
  <c r="AC100" i="65"/>
  <c r="AJ9" i="36"/>
  <c r="AL64" i="65"/>
  <c r="AL100" i="65"/>
  <c r="AE64" i="65"/>
  <c r="AE100" i="65"/>
  <c r="AA64" i="65"/>
  <c r="AA100" i="65"/>
  <c r="AH8" i="36"/>
  <c r="F64" i="65"/>
  <c r="F100" i="65"/>
  <c r="V64" i="65"/>
  <c r="V100" i="65"/>
  <c r="O64" i="65"/>
  <c r="O100" i="65"/>
  <c r="AR9" i="36"/>
  <c r="P64" i="65"/>
  <c r="P100" i="65"/>
  <c r="AB64" i="65"/>
  <c r="AB100" i="65"/>
  <c r="AD64" i="65"/>
  <c r="AD100" i="65"/>
  <c r="W64" i="65"/>
  <c r="W100" i="65"/>
  <c r="K1350" i="67"/>
  <c r="AI9" i="36"/>
  <c r="AS9" i="36"/>
  <c r="AE9" i="36"/>
  <c r="AM9" i="36"/>
  <c r="AG8" i="36"/>
  <c r="AN9" i="36"/>
  <c r="AH9" i="36"/>
  <c r="AR8" i="36"/>
  <c r="AF9" i="36"/>
  <c r="AT9" i="36"/>
  <c r="AV42" i="36"/>
  <c r="AU83" i="36"/>
  <c r="F5" i="47"/>
  <c r="U19" i="55"/>
  <c r="AF83" i="65" l="1"/>
  <c r="BC11" i="69" s="1"/>
  <c r="T83" i="65"/>
  <c r="AQ11" i="69" s="1"/>
  <c r="AM83" i="65"/>
  <c r="BJ11" i="69" s="1"/>
  <c r="K83" i="65"/>
  <c r="AH11" i="69" s="1"/>
  <c r="I83" i="65"/>
  <c r="AF11" i="69" s="1"/>
  <c r="X83" i="65"/>
  <c r="AU11" i="69" s="1"/>
  <c r="N83" i="65"/>
  <c r="AK11" i="69" s="1"/>
  <c r="AL83" i="65"/>
  <c r="BI11" i="69" s="1"/>
  <c r="AE17" i="68"/>
  <c r="D18" i="62" s="1"/>
  <c r="R83" i="65"/>
  <c r="AO11" i="69" s="1"/>
  <c r="O83" i="65"/>
  <c r="AL11" i="69" s="1"/>
  <c r="Z83" i="65"/>
  <c r="AW11" i="69" s="1"/>
  <c r="U83" i="65"/>
  <c r="AR11" i="69" s="1"/>
  <c r="AK83" i="65"/>
  <c r="BH11" i="69" s="1"/>
  <c r="AH83" i="65"/>
  <c r="BE11" i="69" s="1"/>
  <c r="P83" i="65"/>
  <c r="AM11" i="69" s="1"/>
  <c r="C83" i="65"/>
  <c r="Z11" i="69" s="1"/>
  <c r="V83" i="65"/>
  <c r="AS11" i="69" s="1"/>
  <c r="AC83" i="65"/>
  <c r="AZ11" i="69" s="1"/>
  <c r="AG83" i="65"/>
  <c r="BD11" i="69" s="1"/>
  <c r="AJ83" i="65"/>
  <c r="BG11" i="69" s="1"/>
  <c r="E83" i="65"/>
  <c r="AB11" i="69" s="1"/>
  <c r="AB83" i="65"/>
  <c r="AY11" i="69" s="1"/>
  <c r="AE83" i="65"/>
  <c r="BB11" i="69" s="1"/>
  <c r="W83" i="65"/>
  <c r="AT11" i="69" s="1"/>
  <c r="AD83" i="65"/>
  <c r="BA11" i="69" s="1"/>
  <c r="AA83" i="65"/>
  <c r="AX11" i="69" s="1"/>
  <c r="Y83" i="65"/>
  <c r="AV11" i="69" s="1"/>
  <c r="L83" i="65"/>
  <c r="AI11" i="69" s="1"/>
  <c r="AI83" i="65"/>
  <c r="BF11" i="69" s="1"/>
  <c r="J83" i="65"/>
  <c r="AG11" i="69" s="1"/>
  <c r="F83" i="65"/>
  <c r="AC11" i="69" s="1"/>
  <c r="Q83" i="65"/>
  <c r="AN11" i="69" s="1"/>
  <c r="M83" i="65"/>
  <c r="AJ11" i="69" s="1"/>
  <c r="D83" i="65"/>
  <c r="AA11" i="69" s="1"/>
  <c r="G83" i="65"/>
  <c r="AD11" i="69" s="1"/>
  <c r="B83" i="65"/>
  <c r="Y11" i="69" s="1"/>
  <c r="H83" i="65"/>
  <c r="AE11" i="69" s="1"/>
  <c r="AN83" i="65"/>
  <c r="BK11" i="69" s="1"/>
  <c r="S83" i="65"/>
  <c r="AP11" i="69" s="1"/>
  <c r="Z1383" i="67"/>
  <c r="Z1397" i="67"/>
  <c r="Z1415" i="67"/>
  <c r="Z1535" i="67"/>
  <c r="Z1551" i="67"/>
  <c r="M1383" i="67"/>
  <c r="M1397" i="67"/>
  <c r="M1535" i="67"/>
  <c r="M1415" i="67"/>
  <c r="M1551" i="67"/>
  <c r="P1383" i="67"/>
  <c r="P1397" i="67"/>
  <c r="P1415" i="67"/>
  <c r="P1535" i="67"/>
  <c r="P1551" i="67"/>
  <c r="O1396" i="67"/>
  <c r="O1382" i="67"/>
  <c r="O160" i="67" s="1"/>
  <c r="O1414" i="67"/>
  <c r="O1534" i="67"/>
  <c r="O1550" i="67"/>
  <c r="P1382" i="67"/>
  <c r="P160" i="67" s="1"/>
  <c r="P1396" i="67"/>
  <c r="P1414" i="67"/>
  <c r="P1534" i="67"/>
  <c r="P1550" i="67"/>
  <c r="Z1382" i="67"/>
  <c r="Z160" i="67" s="1"/>
  <c r="Z1396" i="67"/>
  <c r="Z1414" i="67"/>
  <c r="Z1534" i="67"/>
  <c r="Z1550" i="67"/>
  <c r="Q1382" i="67"/>
  <c r="Q160" i="67" s="1"/>
  <c r="Q1396" i="67"/>
  <c r="Q1414" i="67"/>
  <c r="Q1550" i="67"/>
  <c r="Q1534" i="67"/>
  <c r="T1382" i="67"/>
  <c r="T160" i="67" s="1"/>
  <c r="T1396" i="67"/>
  <c r="T1414" i="67"/>
  <c r="T1534" i="67"/>
  <c r="T1550" i="67"/>
  <c r="O1383" i="67"/>
  <c r="O1397" i="67"/>
  <c r="O1415" i="67"/>
  <c r="O1551" i="67"/>
  <c r="O1535" i="67"/>
  <c r="L1383" i="67"/>
  <c r="L1397" i="67"/>
  <c r="L1415" i="67"/>
  <c r="L1535" i="67"/>
  <c r="L1551" i="67"/>
  <c r="Y1397" i="67"/>
  <c r="Y1383" i="67"/>
  <c r="Y1415" i="67"/>
  <c r="Y1535" i="67"/>
  <c r="Y1551" i="67"/>
  <c r="Q1383" i="67"/>
  <c r="Q1397" i="67"/>
  <c r="Q1415" i="67"/>
  <c r="Q1535" i="67"/>
  <c r="Q1551" i="67"/>
  <c r="K1551" i="67"/>
  <c r="K1535" i="67"/>
  <c r="K1397" i="67"/>
  <c r="K1415" i="67"/>
  <c r="K1383" i="67"/>
  <c r="AA1383" i="67"/>
  <c r="AA1397" i="67"/>
  <c r="AA1415" i="67"/>
  <c r="AA1551" i="67"/>
  <c r="AA1535" i="67"/>
  <c r="U1397" i="67"/>
  <c r="U1383" i="67"/>
  <c r="U1535" i="67"/>
  <c r="U1551" i="67"/>
  <c r="U1415" i="67"/>
  <c r="M1382" i="67"/>
  <c r="M160" i="67" s="1"/>
  <c r="M1396" i="67"/>
  <c r="M1414" i="67"/>
  <c r="M1550" i="67"/>
  <c r="M1534" i="67"/>
  <c r="E4" i="50"/>
  <c r="E4" i="57" s="1"/>
  <c r="E4" i="69"/>
  <c r="N1382" i="67"/>
  <c r="N160" i="67" s="1"/>
  <c r="N1396" i="67"/>
  <c r="N1414" i="67"/>
  <c r="N1534" i="67"/>
  <c r="N1550" i="67"/>
  <c r="Y1382" i="67"/>
  <c r="Y160" i="67" s="1"/>
  <c r="Y1396" i="67"/>
  <c r="Y1414" i="67"/>
  <c r="Y1534" i="67"/>
  <c r="Y1550" i="67"/>
  <c r="T1383" i="67"/>
  <c r="T1397" i="67"/>
  <c r="T1415" i="67"/>
  <c r="T1535" i="67"/>
  <c r="T1551" i="67"/>
  <c r="L1382" i="67"/>
  <c r="L160" i="67" s="1"/>
  <c r="L1396" i="67"/>
  <c r="L1414" i="67"/>
  <c r="L1534" i="67"/>
  <c r="L1550" i="67"/>
  <c r="AA1396" i="67"/>
  <c r="AA1382" i="67"/>
  <c r="AA160" i="67" s="1"/>
  <c r="AA1534" i="67"/>
  <c r="AA1414" i="67"/>
  <c r="AA1550" i="67"/>
  <c r="N1383" i="67"/>
  <c r="N1397" i="67"/>
  <c r="N1415" i="67"/>
  <c r="N1535" i="67"/>
  <c r="N1551" i="67"/>
  <c r="U1382" i="67"/>
  <c r="U160" i="67" s="1"/>
  <c r="U1396" i="67"/>
  <c r="U1414" i="67"/>
  <c r="U1550" i="67"/>
  <c r="U1534"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P161" i="67" l="1"/>
  <c r="P8" i="67"/>
  <c r="D4" i="50"/>
  <c r="D4" i="57" s="1"/>
  <c r="D4" i="69"/>
  <c r="N161" i="67"/>
  <c r="N8" i="67"/>
  <c r="U161" i="67"/>
  <c r="U8" i="67"/>
  <c r="Q8" i="67"/>
  <c r="Q161" i="67"/>
  <c r="Y8" i="67"/>
  <c r="Y161" i="67"/>
  <c r="AA8" i="67"/>
  <c r="AA161" i="67"/>
  <c r="L161" i="67"/>
  <c r="L8" i="67"/>
  <c r="M8" i="67"/>
  <c r="M161" i="67"/>
  <c r="T161" i="67"/>
  <c r="T8" i="67"/>
  <c r="K161" i="67"/>
  <c r="K8" i="67"/>
  <c r="O8" i="67"/>
  <c r="O161"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C4" i="50" l="1"/>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BA17" i="68" s="1"/>
  <c r="Z18" i="62" s="1"/>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X17" i="68" s="1"/>
  <c r="W18" i="62" s="1"/>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AW17" i="68" s="1"/>
  <c r="V18" i="62" s="1"/>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V1551" i="67" l="1"/>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I72"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F72" i="45" l="1"/>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369" i="67" l="1"/>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1248" i="67" l="1"/>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E6" i="68" s="1"/>
  <c r="D8" i="62" s="1"/>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18" i="68" l="1"/>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M817" i="67"/>
  <c r="M209" i="67"/>
  <c r="M514" i="67"/>
  <c r="AG46" i="68"/>
  <c r="M56"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AO262" i="67" l="1"/>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P52" i="45" s="1"/>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J52" i="45" l="1"/>
  <c r="AQ52" i="45"/>
  <c r="AQ67" i="45" s="1"/>
  <c r="AL52" i="45"/>
  <c r="AN52" i="45"/>
  <c r="AN67" i="45" s="1"/>
  <c r="AO11" i="45"/>
  <c r="AO59"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O71" i="45"/>
  <c r="AK71" i="45"/>
  <c r="AJ67" i="45"/>
  <c r="AL67" i="45"/>
  <c r="AP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F1164" i="67" l="1"/>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1321" i="67" s="1"/>
  <c r="K711" i="67"/>
  <c r="K1317" i="67" s="1"/>
  <c r="K664" i="67"/>
  <c r="K1270" i="67" s="1"/>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AP1013" i="67" l="1"/>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AE44" i="68"/>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1318" i="67" s="1"/>
  <c r="K716" i="67"/>
  <c r="K1322" i="67" s="1"/>
  <c r="K665" i="67"/>
  <c r="K1271" i="67" s="1"/>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AB1317" i="67" l="1"/>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M1318" i="67" l="1"/>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I11" i="45"/>
  <c r="BI59"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AX52" i="45"/>
  <c r="AX67" i="45" s="1"/>
  <c r="AU52" i="45"/>
  <c r="BG52" i="45"/>
  <c r="BG67" i="45" s="1"/>
  <c r="BL52" i="45"/>
  <c r="BL67" i="45" s="1"/>
  <c r="BI19" i="45"/>
  <c r="BI60"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BI71" i="45"/>
  <c r="AZ71" i="45"/>
  <c r="BG71" i="45"/>
  <c r="BD71" i="45"/>
  <c r="BB71" i="45"/>
  <c r="BD67"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2" i="67"/>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O171" i="65"/>
  <c r="X667"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N6"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AA6"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W6" i="67" l="1"/>
  <c r="AV1121" i="67"/>
  <c r="AD4" i="67"/>
  <c r="Z5" i="67"/>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AD1220" i="67"/>
  <c r="O160" i="65"/>
  <c r="O172" i="65" s="1"/>
  <c r="X668" i="67" s="1"/>
  <c r="Q160" i="65"/>
  <c r="Q172" i="65" s="1"/>
  <c r="Z668" i="67" s="1"/>
  <c r="AW1222" i="67"/>
  <c r="C161" i="65"/>
  <c r="C173" i="65" s="1"/>
  <c r="L669" i="67" s="1"/>
  <c r="Z1221" i="67"/>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AV67" i="68"/>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J41" i="62" l="1"/>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K1235" i="67"/>
  <c r="K1355" i="67"/>
  <c r="K1291" i="67"/>
  <c r="K1289" i="67"/>
  <c r="K1221" i="67"/>
  <c r="K1222" i="67"/>
  <c r="AE5" i="68" s="1"/>
  <c r="K1273" i="67"/>
  <c r="K1275" i="67"/>
  <c r="B172" i="65"/>
  <c r="K713" i="67" s="1"/>
  <c r="K1319" i="67" s="1"/>
  <c r="AE12" i="68"/>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71" i="68"/>
  <c r="AE50" i="68"/>
  <c r="AE45" i="68" l="1"/>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D56" i="69" s="1"/>
  <c r="BD58" i="69" s="1"/>
  <c r="BD59" i="69" s="1"/>
  <c r="BD60" i="69" s="1"/>
  <c r="BD61" i="69" s="1"/>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AC1267" i="67" l="1"/>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BD9" i="70"/>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251" i="67" s="1"/>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Q1251" i="67" l="1"/>
  <c r="BB8" i="70"/>
  <c r="AI919" i="67" s="1"/>
  <c r="AB24" i="65"/>
  <c r="BL9" i="70"/>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51"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38" i="67"/>
  <c r="AS1054" i="67"/>
  <c r="AS952" i="67"/>
  <c r="AS93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J126" i="65"/>
  <c r="AJ136" i="65" s="1"/>
  <c r="AS466" i="67" s="1"/>
  <c r="BL54" i="70"/>
  <c r="AS973" i="67" s="1"/>
  <c r="AJ197" i="65"/>
  <c r="AJ198" i="65" s="1"/>
  <c r="BL70" i="70"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Z1269" i="67" s="1"/>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I933" i="67" l="1"/>
  <c r="AI1053" i="67"/>
  <c r="AI1037" i="67"/>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AW1358" i="67" s="1"/>
  <c r="BN18" i="68"/>
  <c r="AM19" i="62" s="1"/>
  <c r="AW1071" i="67"/>
  <c r="AW1103" i="67"/>
  <c r="AW1256" i="67" s="1"/>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W1019"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51"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I1020"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AI1357"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AD1342"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238"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BF18" i="68" l="1"/>
  <c r="AE19" i="62" s="1"/>
  <c r="AQ1139" i="67"/>
  <c r="AQ1171" i="67"/>
  <c r="AQ1237" i="67"/>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Q1324" i="67" s="1"/>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016" i="67"/>
  <c r="AD838" i="67"/>
  <c r="AD1171" i="67"/>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Z1324" i="67" s="1"/>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972"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I1293"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AG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P162" i="65"/>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B1320" i="67" l="1"/>
  <c r="AN1320" i="67"/>
  <c r="AG1342" i="67"/>
  <c r="P1255" i="67"/>
  <c r="AQ1276" i="67"/>
  <c r="P1237" i="67"/>
  <c r="AJ1016" i="67"/>
  <c r="AJ1140" i="67"/>
  <c r="T1167" i="67"/>
  <c r="P1170" i="67"/>
  <c r="AJ1167" i="67"/>
  <c r="AJ1320" i="67" s="1"/>
  <c r="AJ1171" i="67"/>
  <c r="AJ989" i="67"/>
  <c r="AF5" i="68"/>
  <c r="E7" i="62" s="1"/>
  <c r="L1167" i="67"/>
  <c r="AM1166" i="67"/>
  <c r="L1171" i="67"/>
  <c r="AJ1020" i="67"/>
  <c r="P1357" i="67"/>
  <c r="P1341" i="67"/>
  <c r="AM1170" i="67"/>
  <c r="AM1124" i="67"/>
  <c r="L1140" i="67"/>
  <c r="AM1342" i="67"/>
  <c r="Z1320" i="67"/>
  <c r="AW989" i="67"/>
  <c r="AW838" i="67"/>
  <c r="BI4" i="68"/>
  <c r="BI58" i="68" s="1"/>
  <c r="BQ5" i="68"/>
  <c r="AP7" i="62" s="1"/>
  <c r="AN1293" i="67"/>
  <c r="BH47" i="68" s="1"/>
  <c r="BH56" i="68" s="1"/>
  <c r="AK1324" i="67"/>
  <c r="AG1167" i="67"/>
  <c r="S1140" i="67"/>
  <c r="Y988" i="67"/>
  <c r="Y1223" i="67"/>
  <c r="AS5" i="68" s="1"/>
  <c r="AD1167" i="67"/>
  <c r="AD1320" i="67" s="1"/>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AD1324" i="67" s="1"/>
  <c r="M1167" i="67"/>
  <c r="AM1224" i="67"/>
  <c r="BG5" i="68" s="1"/>
  <c r="AD1140" i="67"/>
  <c r="AD1293" i="67" s="1"/>
  <c r="AX47" i="68" s="1"/>
  <c r="AX56" i="68" s="1"/>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J12" i="68"/>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BE51" i="68"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O989" i="67"/>
  <c r="AT988" i="67"/>
  <c r="AU988" i="67"/>
  <c r="U972" i="67"/>
  <c r="U1015" i="67"/>
  <c r="U1019" i="67"/>
  <c r="O988" i="67"/>
  <c r="W988" i="67"/>
  <c r="AM838" i="67"/>
  <c r="AM989" i="67"/>
  <c r="M838" i="67"/>
  <c r="M989" i="67"/>
  <c r="S838" i="67"/>
  <c r="S989" i="67"/>
  <c r="G162" i="65"/>
  <c r="G174" i="65" s="1"/>
  <c r="P670" i="67" s="1"/>
  <c r="P972" i="67"/>
  <c r="P1019" i="67"/>
  <c r="P1015" i="67"/>
  <c r="AM1020" i="67"/>
  <c r="T1016" i="67"/>
  <c r="T1320" i="67" s="1"/>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AV50" i="68"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M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G1320"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Y1292"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J1293" i="67" l="1"/>
  <c r="P1320" i="67"/>
  <c r="AJ1324" i="67"/>
  <c r="AF4" i="68"/>
  <c r="AF58" i="68" s="1"/>
  <c r="L1324" i="67"/>
  <c r="AZ5" i="68"/>
  <c r="L1293" i="67"/>
  <c r="AX51" i="68"/>
  <c r="AT50" i="68"/>
  <c r="AT49" i="68" s="1"/>
  <c r="AW1293" i="67"/>
  <c r="BQ47" i="68" s="1"/>
  <c r="BQ43" i="68" s="1"/>
  <c r="AP39" i="62" s="1"/>
  <c r="BI51" i="68"/>
  <c r="BI49" i="68" s="1"/>
  <c r="AK50" i="68"/>
  <c r="AK49" i="68" s="1"/>
  <c r="BI71" i="68"/>
  <c r="O1020" i="67"/>
  <c r="O1324" i="67" s="1"/>
  <c r="BQ4" i="68"/>
  <c r="BQ58" i="68" s="1"/>
  <c r="O838" i="67"/>
  <c r="BE50" i="68"/>
  <c r="BE49" i="68" s="1"/>
  <c r="BC71" i="68"/>
  <c r="AM1320" i="67"/>
  <c r="W1140" i="67"/>
  <c r="AU1167" i="67"/>
  <c r="AL1167" i="67"/>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AN71" i="68" s="1"/>
  <c r="M7" i="62"/>
  <c r="BJ11" i="68"/>
  <c r="BJ59" i="68" s="1"/>
  <c r="AI13" i="62"/>
  <c r="AS11" i="68"/>
  <c r="AS59" i="68" s="1"/>
  <c r="R13" i="62"/>
  <c r="BA11" i="68"/>
  <c r="BA59" i="68" s="1"/>
  <c r="Z13" i="62"/>
  <c r="AM4" i="68"/>
  <c r="AM58" i="68" s="1"/>
  <c r="L7" i="62"/>
  <c r="AJ11" i="68"/>
  <c r="AJ59" i="68" s="1"/>
  <c r="I13" i="62"/>
  <c r="AZ4" i="68"/>
  <c r="AZ58" i="68" s="1"/>
  <c r="Y7"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M713" i="67"/>
  <c r="AM1319" i="67" s="1"/>
  <c r="BG50" i="68" s="1"/>
  <c r="L717" i="67"/>
  <c r="L1323" i="67" s="1"/>
  <c r="AF51" i="68" s="1"/>
  <c r="AA670" i="67"/>
  <c r="AA1276" i="67" s="1"/>
  <c r="AU45" i="68" s="1"/>
  <c r="V717" i="67"/>
  <c r="V1323" i="67" s="1"/>
  <c r="AV43" i="68"/>
  <c r="BE43" i="68"/>
  <c r="AU838" i="67"/>
  <c r="AU989" i="67"/>
  <c r="AU1293" i="67" s="1"/>
  <c r="W838" i="67"/>
  <c r="W989" i="67"/>
  <c r="AL1020" i="67"/>
  <c r="W1016" i="67"/>
  <c r="AU1016" i="67"/>
  <c r="AV838" i="67"/>
  <c r="AV989" i="67"/>
  <c r="AR838" i="67"/>
  <c r="AR989" i="67"/>
  <c r="AU1020" i="67"/>
  <c r="AR1020" i="67"/>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F47" i="68"/>
  <c r="AF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BD51" i="68"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J47" i="68"/>
  <c r="AJ56" i="68" s="1"/>
  <c r="AP50" i="68"/>
  <c r="N1277" i="67"/>
  <c r="AV1277" i="67"/>
  <c r="BJ47" i="68"/>
  <c r="BJ56" i="68" s="1"/>
  <c r="AU1277" i="67"/>
  <c r="AX43" i="68"/>
  <c r="U1277" i="67"/>
  <c r="W1277" i="67"/>
  <c r="AL1277" i="67"/>
  <c r="AR1277" i="67"/>
  <c r="U1292" i="67"/>
  <c r="AL1320" i="67"/>
  <c r="AH1320" i="67"/>
  <c r="AT1292" i="67"/>
  <c r="AR1324" i="67"/>
  <c r="AC1292" i="67"/>
  <c r="O1277" i="67"/>
  <c r="AL1292" i="67"/>
  <c r="AF1277" i="67"/>
  <c r="AT1277" i="67"/>
  <c r="AH1292" i="67"/>
  <c r="AF1292" i="67"/>
  <c r="O1293" i="67"/>
  <c r="AH1277" i="67"/>
  <c r="W1276" i="67"/>
  <c r="X1292" i="67"/>
  <c r="O1292" i="67"/>
  <c r="N1292" i="67"/>
  <c r="AR1292" i="67"/>
  <c r="AV1292" i="67"/>
  <c r="AU1292" i="67"/>
  <c r="AC1277" i="67"/>
  <c r="W1292" i="67"/>
  <c r="X1277" i="67"/>
  <c r="O1320" i="67"/>
  <c r="BL5" i="68"/>
  <c r="BB5" i="68"/>
  <c r="BP5" i="68"/>
  <c r="AR5" i="68"/>
  <c r="BQ59" i="68"/>
  <c r="AC1324" i="67" l="1"/>
  <c r="BQ71" i="68"/>
  <c r="AP51" i="68"/>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BH72" i="68" s="1"/>
  <c r="BH73" i="68" s="1"/>
  <c r="AE5" i="63" s="1"/>
  <c r="AE6" i="63" s="1"/>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W51" i="68" s="1"/>
  <c r="AF713" i="67"/>
  <c r="AF1319" i="67" s="1"/>
  <c r="AL717" i="67"/>
  <c r="AL1323" i="67" s="1"/>
  <c r="BF51" i="68" s="1"/>
  <c r="AC713" i="67"/>
  <c r="AC1319" i="67" s="1"/>
  <c r="AW50" i="68" s="1"/>
  <c r="AF717" i="67"/>
  <c r="AF1323" i="67" s="1"/>
  <c r="AZ51" i="68" s="1"/>
  <c r="N1276" i="67"/>
  <c r="AH45" i="68" s="1"/>
  <c r="AL43" i="68"/>
  <c r="AP43" i="68"/>
  <c r="BD49" i="68"/>
  <c r="BD43" i="68"/>
  <c r="AV1293" i="67"/>
  <c r="BP47" i="68" s="1"/>
  <c r="BP56" i="68" s="1"/>
  <c r="AM43" i="68"/>
  <c r="AS43" i="68"/>
  <c r="AF43" i="68"/>
  <c r="AQ45" i="68"/>
  <c r="AG43" i="68"/>
  <c r="AF49" i="68"/>
  <c r="AW45" i="68"/>
  <c r="BF45" i="68"/>
  <c r="AR45" i="68"/>
  <c r="AP49" i="68"/>
  <c r="AU43" i="68"/>
  <c r="BO47" i="68"/>
  <c r="BO56" i="68" s="1"/>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BL50" i="68" s="1"/>
  <c r="AU717" i="67"/>
  <c r="AU1323" i="67" s="1"/>
  <c r="AT713" i="67"/>
  <c r="AT1319" i="67" s="1"/>
  <c r="BN50" i="68" s="1"/>
  <c r="AV713" i="67"/>
  <c r="AV1319" i="67" s="1"/>
  <c r="BP50" i="68" s="1"/>
  <c r="AN43" i="68"/>
  <c r="BG43" i="68"/>
  <c r="AO45" i="68"/>
  <c r="BJ43" i="68"/>
  <c r="AZ45" i="68"/>
  <c r="BQ65" i="68"/>
  <c r="W40" i="62" l="1"/>
  <c r="BN51" i="68"/>
  <c r="BN49" i="68" s="1"/>
  <c r="AS49" i="68"/>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BD66" i="68"/>
  <c r="AC40" i="62"/>
  <c r="AS66" i="68"/>
  <c r="R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AM72" i="68" s="1"/>
  <c r="AM73" i="68" s="1"/>
  <c r="J5" i="63" s="1"/>
  <c r="J6" i="63" s="1"/>
  <c r="L39" i="62"/>
  <c r="AG66" i="68"/>
  <c r="F40" i="62"/>
  <c r="AY65" i="68"/>
  <c r="X39" i="62"/>
  <c r="BO43" i="68"/>
  <c r="BB49" i="68"/>
  <c r="AQ43" i="68"/>
  <c r="BF49" i="68"/>
  <c r="BL43" i="68"/>
  <c r="AO49" i="68"/>
  <c r="AI43" i="68"/>
  <c r="AI49" i="68"/>
  <c r="AW49" i="68"/>
  <c r="AQ49" i="68"/>
  <c r="AR43" i="68"/>
  <c r="AO43" i="68"/>
  <c r="AW43" i="68"/>
  <c r="BL49" i="68"/>
  <c r="N1323" i="67"/>
  <c r="BB43" i="68"/>
  <c r="BF43" i="68"/>
  <c r="N1319" i="67"/>
  <c r="BP49" i="68"/>
  <c r="AZ43" i="68"/>
  <c r="BQ49" i="68"/>
  <c r="AP40" i="62" s="1"/>
  <c r="AH51" i="68"/>
  <c r="AH43" i="68"/>
  <c r="BN43" i="68"/>
  <c r="BP43" i="68"/>
  <c r="AP72" i="68" l="1"/>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AW66" i="68"/>
  <c r="V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F80" i="68" l="1"/>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<sst xmlns="http://schemas.openxmlformats.org/spreadsheetml/2006/main" count="15696" uniqueCount="1455">
  <si>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</si>
  <si>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</si>
  <si>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</si>
  <si>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</si>
  <si>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</si>
  <si>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</si>
  <si>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</si>
  <si>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</si>
  <si>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</si>
  <si>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</si>
  <si>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</si>
  <si>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</si>
  <si>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</si>
  <si>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</si>
  <si>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</si>
  <si>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</si>
  <si>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</si>
  <si>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</si>
  <si>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</si>
  <si>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</si>
  <si>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</si>
  <si>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</si>
  <si>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</si>
  <si>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</si>
  <si>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</si>
  <si>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</si>
  <si>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</si>
  <si>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</si>
  <si>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</si>
  <si>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</si>
  <si>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</si>
  <si>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</si>
  <si>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</si>
  <si>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</si>
  <si>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</si>
  <si>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</si>
  <si>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</si>
  <si>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</si>
  <si>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</si>
  <si>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</si>
  <si>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</si>
  <si>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</si>
  <si>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</si>
  <si>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</si>
  <si>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</si>
  <si>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</si>
  <si>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</si>
  <si>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</si>
  <si>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</si>
  <si>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</si>
  <si>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</si>
  <si>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</si>
  <si>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</si>
  <si>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</si>
  <si>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</si>
  <si>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</si>
  <si>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</si>
  <si>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</si>
  <si>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</si>
  <si>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</si>
  <si>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</si>
  <si>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</si>
  <si>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</si>
  <si>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</si>
  <si>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</si>
  <si>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</si>
  <si>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</si>
  <si>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</si>
  <si>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</si>
  <si>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</si>
  <si>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</si>
  <si>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</si>
  <si>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</si>
  <si>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</si>
  <si>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</si>
  <si>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</si>
  <si>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</si>
  <si>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</si>
  <si>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</si>
  <si>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</si>
  <si>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</si>
  <si>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</si>
  <si>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</si>
  <si>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</si>
  <si>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</si>
  <si>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</si>
  <si>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</si>
  <si>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</si>
  <si>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</si>
  <si>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</si>
  <si>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</si>
  <si>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</si>
  <si>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</si>
  <si>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</si>
  <si>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</si>
  <si>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</si>
  <si>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</si>
  <si>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</si>
  <si>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</si>
  <si>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</si>
  <si>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</si>
  <si>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</si>
  <si>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</si>
  <si>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</si>
  <si>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</si>
  <si>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</si>
  <si>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</si>
  <si>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</si>
  <si>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</si>
  <si>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</si>
  <si>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</si>
  <si>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</si>
  <si>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</si>
  <si>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</si>
  <si>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</si>
  <si>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</si>
  <si>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</si>
  <si>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</si>
  <si>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</si>
  <si>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</si>
  <si>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</si>
  <si>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</si>
  <si>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</si>
  <si>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</si>
  <si>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</si>
  <si>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</si>
  <si>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</si>
  <si>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</si>
  <si>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</si>
  <si>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</si>
  <si>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</si>
  <si>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</si>
  <si>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</si>
  <si>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</si>
  <si>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</si>
  <si>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</si>
  <si>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</si>
  <si>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</si>
  <si>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</si>
  <si>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</si>
  <si>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</si>
  <si>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</si>
  <si>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</si>
  <si>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</si>
  <si>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</si>
  <si>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</si>
  <si>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</si>
  <si>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</si>
  <si>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</si>
  <si>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</si>
  <si>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</si>
  <si>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</si>
  <si>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</si>
  <si>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</si>
  <si>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</si>
  <si>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</si>
  <si>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</si>
  <si>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</si>
  <si>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</si>
  <si>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</si>
  <si>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</si>
  <si>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</si>
  <si>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</si>
  <si>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</si>
  <si>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</si>
  <si>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</si>
  <si>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</si>
  <si>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</si>
  <si>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</si>
  <si>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</si>
  <si>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</si>
  <si>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</si>
  <si>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</si>
  <si>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</si>
  <si>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</si>
  <si>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</si>
  <si>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</si>
  <si>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</si>
  <si>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</si>
  <si>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</si>
  <si>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</si>
  <si>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</si>
  <si>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</si>
  <si>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</si>
  <si>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</si>
  <si>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</si>
  <si>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</si>
  <si>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</si>
  <si>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</si>
  <si>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</si>
  <si>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</si>
  <si>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</si>
  <si>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</si>
  <si>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</si>
  <si>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</si>
  <si>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</si>
  <si>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</si>
  <si>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</si>
  <si>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</si>
  <si>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</si>
  <si>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</si>
  <si>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</si>
  <si>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</si>
  <si>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</si>
  <si>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</si>
  <si>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</si>
  <si>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</si>
  <si>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</si>
  <si>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</si>
  <si>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</si>
  <si>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</si>
  <si>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</si>
  <si>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</si>
  <si>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</si>
  <si>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</si>
  <si>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</si>
  <si>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</si>
  <si>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</si>
  <si>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</si>
  <si>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</si>
  <si>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</si>
  <si>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</si>
  <si>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</si>
  <si>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</si>
  <si>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</si>
  <si>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</si>
  <si>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</si>
  <si>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</si>
  <si>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</si>
  <si>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</si>
  <si>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</si>
  <si>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</si>
  <si>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</si>
  <si>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</si>
  <si>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</si>
  <si>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</si>
  <si>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</si>
  <si>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</si>
  <si>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</si>
  <si>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</si>
  <si>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</si>
  <si>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</si>
  <si>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</si>
  <si>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</si>
  <si>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</si>
  <si>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</si>
  <si>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</si>
  <si>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</si>
  <si>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</si>
  <si>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</si>
  <si>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</si>
  <si>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</si>
  <si>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</si>
  <si>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</si>
  <si>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</si>
  <si>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</si>
  <si>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</si>
  <si>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</si>
  <si>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</si>
  <si>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</si>
  <si>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</si>
  <si>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</si>
  <si>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</si>
  <si>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</si>
  <si>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</si>
  <si>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</si>
  <si>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</si>
  <si>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</si>
  <si>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</si>
  <si>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</si>
  <si>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</si>
  <si>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</si>
  <si>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</si>
  <si>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</si>
  <si>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</si>
  <si>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</si>
  <si>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</si>
  <si>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</si>
  <si>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</si>
  <si>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</si>
  <si>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</si>
  <si>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</si>
  <si>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</si>
  <si>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</si>
  <si>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</si>
  <si>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</si>
  <si>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</si>
  <si>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</si>
  <si>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</si>
  <si>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</si>
  <si>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</si>
  <si>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</si>
  <si>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</si>
  <si>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</si>
  <si>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</si>
  <si>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</si>
  <si>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</si>
  <si>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</si>
  <si>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</si>
  <si>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</si>
  <si>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</si>
  <si>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</si>
  <si>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</si>
  <si>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</si>
  <si>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</si>
  <si>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</si>
  <si>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</si>
  <si>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</si>
  <si>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</si>
  <si>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</si>
  <si>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</si>
  <si>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</si>
  <si>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</si>
  <si>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</si>
  <si>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</si>
  <si>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</si>
  <si>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</si>
  <si>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</si>
  <si>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</si>
  <si>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</si>
  <si>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</si>
  <si>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</si>
  <si>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</si>
  <si>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</si>
  <si>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</si>
  <si>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</si>
  <si>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</si>
  <si>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</si>
  <si>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</si>
  <si>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</si>
  <si>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</si>
  <si>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</si>
  <si>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</si>
  <si>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</si>
  <si>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</si>
  <si>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</si>
  <si>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</si>
  <si>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</si>
  <si>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</si>
  <si>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</si>
  <si>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</si>
  <si>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</si>
  <si>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</si>
  <si>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</si>
  <si>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</si>
  <si>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</si>
  <si>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</si>
  <si>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</si>
  <si>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</si>
  <si>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</si>
  <si>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</si>
  <si>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</si>
  <si>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</si>
  <si>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</si>
  <si>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</si>
  <si>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</si>
  <si>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</si>
  <si>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</si>
  <si>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</si>
  <si>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</si>
  <si>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</si>
  <si>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</si>
  <si>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</si>
  <si>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</si>
  <si>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</si>
  <si>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</si>
  <si>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</si>
  <si>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</si>
  <si>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</si>
  <si>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</si>
  <si>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</si>
  <si>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</si>
  <si>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</si>
  <si>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</si>
  <si>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</si>
  <si>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</si>
  <si>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</si>
  <si>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</si>
  <si>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</si>
  <si>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</si>
  <si>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</si>
  <si>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</si>
  <si>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</si>
  <si>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</si>
  <si>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</si>
  <si>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</si>
  <si>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</si>
  <si>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</si>
  <si>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</si>
  <si>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</si>
  <si>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</si>
  <si>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</si>
  <si>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</si>
  <si>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</si>
  <si>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</si>
  <si>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</si>
  <si>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</si>
  <si>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</si>
  <si>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</si>
  <si>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</si>
  <si>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</si>
  <si>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</si>
  <si>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</si>
  <si>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</si>
  <si>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</si>
  <si>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</si>
  <si>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</si>
  <si>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</si>
  <si>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</si>
  <si>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</si>
  <si>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</si>
  <si>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</si>
  <si>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</si>
  <si>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</si>
  <si>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</si>
  <si>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</si>
  <si>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</si>
  <si>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</si>
  <si>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</si>
  <si>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</si>
  <si>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</si>
  <si>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</si>
  <si>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</si>
  <si>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</si>
  <si>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</si>
  <si>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</si>
  <si>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</si>
  <si>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</si>
  <si>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</si>
  <si>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</si>
  <si>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</si>
  <si>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</si>
  <si>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</si>
  <si>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</si>
  <si>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</si>
  <si>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</si>
  <si>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</si>
  <si>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</si>
  <si>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</si>
  <si>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</si>
  <si>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</si>
  <si>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</si>
  <si>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</si>
  <si>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</si>
  <si>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</si>
  <si>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</si>
  <si>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</si>
  <si>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</si>
  <si>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</si>
  <si>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</si>
  <si>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</si>
  <si>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</si>
  <si>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</si>
  <si>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</si>
  <si>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</si>
  <si>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</si>
  <si>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</si>
  <si>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</si>
  <si>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</si>
  <si>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</si>
  <si>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</si>
  <si>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</si>
  <si>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</si>
  <si>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</si>
  <si>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</si>
  <si>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</si>
  <si>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</si>
  <si>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</si>
  <si>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</si>
  <si>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</si>
  <si>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</si>
  <si>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</si>
  <si>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</si>
  <si>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</si>
  <si>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</si>
  <si>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</si>
  <si>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</si>
  <si>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</si>
  <si>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</si>
  <si>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</si>
  <si>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</si>
  <si>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</si>
  <si>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</si>
  <si>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</si>
  <si>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</si>
  <si>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</si>
  <si>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</si>
  <si>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</si>
  <si>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</si>
  <si>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</si>
  <si>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</si>
  <si>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</si>
  <si>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</si>
  <si>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</si>
  <si>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</si>
  <si>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</si>
  <si>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</si>
  <si>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</si>
  <si>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</si>
  <si>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</si>
  <si>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</si>
  <si>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</si>
  <si>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</si>
  <si>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</si>
  <si>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</si>
  <si>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</si>
  <si>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</si>
  <si>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</si>
  <si>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</si>
  <si>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</si>
  <si>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</si>
  <si>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</si>
  <si>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</si>
  <si>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</si>
  <si>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</si>
  <si>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</si>
  <si>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</si>
  <si>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</si>
  <si>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</si>
  <si>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</si>
  <si>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</si>
  <si>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</si>
  <si>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</si>
  <si>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</si>
  <si>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</si>
  <si>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</si>
  <si>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</si>
  <si>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</si>
  <si>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</si>
  <si>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</si>
  <si>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</si>
  <si>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</si>
  <si>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</si>
  <si>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</si>
  <si>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</si>
  <si>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</si>
  <si>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</si>
  <si>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</si>
  <si>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</si>
  <si>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</si>
  <si>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</si>
  <si>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</si>
  <si>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</si>
  <si>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</si>
  <si>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</si>
  <si>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</si>
  <si>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</si>
  <si>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</si>
  <si>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</si>
  <si>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</si>
  <si>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</si>
  <si>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</si>
  <si>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</si>
  <si>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</si>
  <si>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</si>
  <si>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</si>
  <si>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</si>
  <si>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</si>
  <si>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</si>
  <si>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</si>
  <si>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</si>
  <si>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</si>
  <si>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</si>
  <si>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</si>
  <si>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</si>
  <si>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</si>
  <si>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</si>
  <si>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</si>
  <si>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</si>
  <si>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</si>
  <si>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</si>
  <si>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</si>
  <si>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</si>
  <si>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</si>
  <si>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</si>
  <si>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</si>
  <si>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</si>
  <si>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</si>
  <si>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</si>
  <si>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</si>
  <si>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</si>
  <si>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</si>
  <si>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</si>
  <si>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</si>
  <si>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</si>
  <si>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</si>
  <si>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</si>
  <si>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</si>
  <si>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</si>
  <si>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</si>
  <si>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</si>
  <si>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</si>
  <si>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</si>
  <si>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</si>
  <si>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</si>
  <si>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</si>
  <si>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</si>
  <si>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</si>
  <si>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</si>
  <si>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</si>
  <si>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</si>
  <si>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</si>
  <si>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</si>
  <si>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</si>
  <si>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</si>
  <si>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</si>
  <si>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</si>
  <si>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</si>
  <si>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</si>
  <si>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</si>
  <si>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</si>
  <si>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</si>
  <si>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</si>
  <si>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</si>
  <si>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</si>
  <si>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</si>
  <si>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</si>
  <si>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</si>
  <si>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</si>
  <si>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</si>
  <si>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</si>
  <si>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</si>
  <si>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</si>
  <si>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</si>
  <si>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</si>
  <si>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</si>
  <si>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</si>
  <si>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</si>
  <si>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</si>
  <si>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</si>
  <si>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</si>
  <si>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</si>
  <si>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</si>
  <si>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</si>
  <si>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</si>
  <si>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</si>
  <si>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</si>
  <si>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</si>
  <si>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</si>
  <si>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</si>
  <si>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</si>
  <si>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</si>
  <si>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</si>
  <si>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</si>
  <si>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</si>
  <si>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</si>
  <si>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</si>
  <si>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</si>
  <si>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</si>
  <si>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</si>
  <si>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</si>
  <si>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</si>
  <si>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</si>
  <si>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</si>
  <si>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</si>
  <si>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</si>
  <si>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</si>
  <si>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</si>
  <si>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</si>
  <si>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</si>
  <si>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</si>
  <si>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</si>
  <si>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</si>
  <si>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</si>
  <si>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</si>
  <si>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</si>
  <si>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</si>
  <si>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</si>
  <si>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</si>
  <si>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</si>
  <si>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</si>
  <si>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</si>
  <si>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</si>
  <si>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</si>
  <si>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</si>
  <si>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</si>
  <si>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</si>
  <si>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</si>
  <si>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</si>
  <si>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</si>
  <si>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</si>
  <si>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</si>
  <si>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</si>
  <si>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</si>
  <si>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</si>
  <si>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</si>
  <si>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</si>
  <si>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</si>
  <si>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</si>
  <si>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</si>
  <si>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</si>
  <si>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</si>
  <si>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</si>
  <si>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</si>
  <si>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</si>
  <si>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</si>
  <si>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</si>
  <si>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</si>
  <si>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</si>
  <si>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</si>
  <si>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</si>
  <si>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</si>
  <si>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</si>
  <si>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</si>
  <si>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</si>
  <si>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</si>
  <si>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</si>
  <si>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</si>
  <si>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</si>
  <si>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</si>
  <si>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</si>
  <si>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</si>
  <si>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</si>
  <si>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</si>
  <si>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</si>
  <si>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</si>
  <si>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</si>
  <si>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</si>
  <si>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</si>
  <si>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</si>
  <si>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</si>
  <si>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</si>
  <si>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</si>
  <si>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</si>
  <si>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</si>
  <si>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</si>
  <si>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</si>
  <si>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</si>
  <si>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</si>
  <si>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</si>
  <si>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</si>
  <si>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</si>
  <si>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</si>
  <si>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</si>
  <si>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</si>
  <si>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</si>
  <si>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</si>
  <si>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</si>
  <si>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</si>
  <si>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</si>
  <si>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</si>
  <si>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</si>
  <si>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</si>
  <si>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</si>
  <si>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</si>
  <si>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</si>
  <si>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</si>
  <si>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</si>
  <si>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</si>
  <si>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</si>
  <si>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</si>
  <si>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</si>
  <si>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</si>
  <si>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</si>
  <si>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</si>
  <si>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</si>
  <si>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</si>
  <si>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</si>
  <si>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</si>
  <si>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</si>
  <si>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</si>
  <si>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</si>
  <si>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</si>
  <si>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</si>
  <si>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</si>
  <si>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</si>
  <si>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</si>
  <si>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</si>
  <si>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</si>
  <si>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</si>
  <si>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</si>
  <si>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</si>
  <si>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</si>
  <si>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</si>
  <si>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</si>
  <si>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</si>
  <si>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</si>
  <si>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</si>
  <si>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</si>
  <si>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</si>
  <si>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</si>
  <si>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</si>
  <si>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</si>
  <si>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</si>
  <si>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</si>
  <si>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</si>
  <si>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</si>
  <si>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</si>
  <si>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</si>
  <si>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</si>
  <si>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</si>
  <si>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</si>
  <si>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</si>
  <si>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</si>
  <si>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</si>
  <si>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</si>
  <si>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</si>
  <si>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</si>
  <si>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</si>
  <si>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</si>
  <si>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</si>
  <si>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</si>
  <si>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</si>
  <si>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</si>
  <si>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</si>
  <si>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</si>
  <si>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</si>
  <si>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</si>
  <si>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</si>
  <si>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</si>
  <si>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</si>
  <si>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</si>
  <si>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</si>
  <si>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</si>
  <si>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</si>
  <si>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</si>
  <si>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</si>
  <si>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</si>
  <si>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</si>
  <si>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</si>
  <si>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</si>
  <si>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</si>
  <si>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</si>
  <si>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</si>
  <si>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</si>
  <si>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</si>
  <si>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</si>
  <si>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</si>
  <si>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</si>
  <si>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</si>
  <si>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</si>
  <si>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</si>
  <si>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</si>
  <si>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</si>
  <si>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</si>
  <si>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</si>
  <si>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</si>
  <si>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</si>
  <si>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</si>
  <si>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</si>
  <si>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</si>
  <si>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</si>
  <si>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</si>
  <si>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</si>
  <si>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</si>
  <si>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</si>
  <si>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</si>
  <si>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</si>
  <si>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</si>
  <si>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</si>
  <si>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</si>
  <si>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</si>
  <si>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</si>
  <si>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</si>
  <si>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</si>
  <si>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</si>
  <si>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</si>
  <si>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</si>
  <si>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</si>
  <si>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</si>
  <si>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</si>
  <si>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</si>
  <si>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</si>
  <si>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</si>
  <si>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</si>
  <si>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</si>
  <si>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</si>
  <si>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</si>
  <si>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</si>
  <si>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</si>
  <si>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</si>
  <si>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</si>
  <si>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</si>
  <si>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</si>
  <si>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</si>
  <si>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</si>
  <si>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</si>
  <si>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</si>
  <si>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</si>
  <si>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</si>
  <si>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</si>
  <si>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</si>
  <si>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</si>
  <si>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</si>
  <si>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</si>
  <si>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</si>
  <si>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</si>
  <si>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</si>
  <si>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</si>
  <si>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</si>
  <si>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</si>
  <si>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</si>
  <si>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</si>
  <si>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</si>
  <si>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</si>
  <si>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</si>
  <si>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</si>
  <si>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</si>
  <si>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</si>
  <si>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</si>
  <si>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</si>
  <si>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</si>
  <si>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</si>
  <si>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trana</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</si>
  <si>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</si>
  <si>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</si>
  <si>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</si>
  <si>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</si>
  <si>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</si>
  <si>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</si>
  <si>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</si>
  <si>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</si>
  <si>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</si>
  <si>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</si>
  <si>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</si>
  <si>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</si>
  <si>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</si>
  <si>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</si>
  <si>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</si>
  <si>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</si>
  <si>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</si>
  <si>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</si>
  <si>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</si>
  <si>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</si>
  <si>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</si>
  <si>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</si>
  <si>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</si>
  <si>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</si>
  <si>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</si>
  <si>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</si>
  <si>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</si>
  <si>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</si>
  <si>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</si>
  <si>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</si>
  <si>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</si>
  <si>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</si>
  <si>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</si>
  <si>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</si>
  <si>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</si>
  <si>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</si>
  <si>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</si>
  <si>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</si>
  <si>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</si>
  <si>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</si>
  <si>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</si>
  <si>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</si>
  <si>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</si>
  <si>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</si>
  <si>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</si>
  <si>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</si>
  <si>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</si>
  <si>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</si>
  <si>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</si>
  <si>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</si>
  <si>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</si>
  <si>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</si>
  <si>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</si>
  <si>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</si>
  <si>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</si>
  <si>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</si>
  <si>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</si>
  <si>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</si>
  <si>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</si>
  <si>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</si>
  <si>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</si>
  <si>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</si>
  <si>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</si>
  <si>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</si>
  <si>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</si>
  <si>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</si>
  <si>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</si>
  <si>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</si>
  <si>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</si>
  <si>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</si>
  <si>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</si>
  <si>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</si>
  <si>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</si>
  <si>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</si>
  <si>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</si>
  <si>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</si>
  <si>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</si>
  <si>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</si>
  <si>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</si>
  <si>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</si>
  <si>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</si>
  <si>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</si>
  <si>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</si>
  <si>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</si>
  <si>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</si>
  <si>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</si>
  <si>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</si>
  <si>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</si>
  <si>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</si>
  <si>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</si>
  <si>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</si>
  <si>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</si>
  <si>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</si>
  <si>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</si>
  <si>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</si>
  <si>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</si>
  <si>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</si>
  <si>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</si>
  <si>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</si>
  <si>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</si>
  <si>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</si>
  <si>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</si>
  <si>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</si>
  <si>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</si>
  <si>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</si>
  <si>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</si>
  <si>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</si>
  <si>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</si>
  <si>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</si>
  <si>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</si>
  <si>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</si>
  <si>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</si>
  <si>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</si>
  <si>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</si>
  <si>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</si>
  <si>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</si>
  <si>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</si>
  <si>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</si>
  <si>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</si>
  <si>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</si>
  <si>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</si>
  <si>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</si>
  <si>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</si>
  <si>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</si>
  <si>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</si>
  <si>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</si>
  <si>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</si>
  <si>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</si>
  <si>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</si>
  <si>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</si>
  <si>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</si>
  <si>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</si>
  <si>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</si>
  <si>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</si>
  <si>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</si>
  <si>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</si>
  <si>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</si>
  <si>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</si>
  <si>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</si>
  <si>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</si>
  <si>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</si>
  <si>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</si>
  <si>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</si>
  <si>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</si>
  <si>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</si>
  <si>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</si>
  <si>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</si>
  <si>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</si>
  <si>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</si>
  <si>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</si>
  <si>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</si>
  <si>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</si>
  <si>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</si>
  <si>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</si>
  <si>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</si>
  <si>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</si>
  <si>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</si>
  <si>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</si>
  <si>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</si>
  <si>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</si>
  <si>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</si>
  <si>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</si>
  <si>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</si>
  <si>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</si>
  <si>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</si>
  <si>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</si>
  <si>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</si>
  <si>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</si>
  <si>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</si>
  <si>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</si>
  <si>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</si>
  <si>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</si>
  <si>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</si>
  <si>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</si>
  <si>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</si>
  <si>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</si>
  <si>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</si>
  <si>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</si>
  <si>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</si>
  <si>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</si>
  <si>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</si>
  <si>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</si>
  <si>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</si>
  <si>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</si>
  <si>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</si>
  <si>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</si>
  <si>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</si>
  <si>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</si>
  <si>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</si>
  <si>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</si>
  <si>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</si>
  <si>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</si>
  <si>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</si>
  <si>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</si>
  <si>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</si>
  <si>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</si>
  <si>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</si>
  <si>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</si>
  <si>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</si>
  <si>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</si>
  <si>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</si>
  <si>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</si>
  <si>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</si>
  <si>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</si>
  <si>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</si>
  <si>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</si>
  <si>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</si>
  <si>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</si>
  <si>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</si>
  <si>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</si>
  <si>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</si>
  <si>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</si>
  <si>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</si>
  <si>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</si>
  <si>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</si>
  <si>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</si>
  <si>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</si>
  <si>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</si>
  <si>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</si>
  <si>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</si>
  <si>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</si>
  <si>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</si>
  <si>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</si>
  <si>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</si>
  <si>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</si>
  <si>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</si>
  <si>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</si>
  <si>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</si>
  <si>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</si>
  <si>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</si>
  <si>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</si>
  <si>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</si>
  <si>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</si>
  <si>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</si>
  <si>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</si>
  <si>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</si>
  <si>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</si>
  <si>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</si>
  <si>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</si>
  <si>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</si>
  <si>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</si>
  <si>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</si>
  <si>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</si>
  <si>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</si>
  <si>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</si>
  <si>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</si>
  <si>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</si>
  <si>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</si>
  <si>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</si>
  <si>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</si>
  <si>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</si>
  <si>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</si>
  <si>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</si>
  <si>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</si>
  <si>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</si>
  <si>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</si>
  <si>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</si>
  <si>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</si>
  <si>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</si>
  <si>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</si>
  <si>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</si>
  <si>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</si>
  <si>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</si>
  <si>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</si>
  <si>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</si>
  <si>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</si>
  <si>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</si>
  <si>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</si>
  <si>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</si>
  <si>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</si>
  <si>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</si>
  <si>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</si>
  <si>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</si>
  <si>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</si>
  <si>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</si>
  <si>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</si>
  <si>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</si>
  <si>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</si>
  <si>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</si>
  <si>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</si>
  <si>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</si>
  <si>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</si>
  <si>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</si>
  <si>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</si>
  <si>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</si>
  <si>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</si>
  <si>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</si>
  <si>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</si>
  <si>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</si>
  <si>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</si>
  <si>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</si>
  <si>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</si>
  <si>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</si>
  <si>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</si>
  <si>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</si>
  <si>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</si>
  <si>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</si>
  <si>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</si>
  <si>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</si>
  <si>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</si>
  <si>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</si>
  <si>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</si>
  <si>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</si>
  <si>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</si>
  <si>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</si>
  <si>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</si>
  <si>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</si>
  <si>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</si>
  <si>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</si>
  <si>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</si>
  <si>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</si>
  <si>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</si>
  <si>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</si>
  <si>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</si>
  <si>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</si>
  <si>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</si>
  <si>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</si>
  <si>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</si>
  <si>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</si>
  <si>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</si>
  <si>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</si>
  <si>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</si>
  <si>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</si>
  <si>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</si>
  <si>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</si>
  <si>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</si>
  <si>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</si>
  <si>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</si>
  <si>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</si>
  <si>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</si>
  <si>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</si>
  <si>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</si>
  <si>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</si>
  <si>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</si>
  <si>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</si>
  <si>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</si>
  <si>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</si>
  <si>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</si>
  <si>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</si>
  <si>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</si>
  <si>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</si>
  <si>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</si>
  <si>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</si>
  <si>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</si>
  <si>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</si>
  <si>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</si>
  <si>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</si>
  <si>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</si>
  <si>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</si>
  <si>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</si>
  <si>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</si>
  <si>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</si>
  <si>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</si>
  <si>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</si>
  <si>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</si>
  <si>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</si>
  <si>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</si>
  <si>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</si>
  <si>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</si>
  <si>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</si>
  <si>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</si>
  <si>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</si>
  <si>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</si>
  <si>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</si>
  <si>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</si>
  <si>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</si>
  <si>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</si>
  <si>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</si>
  <si>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</si>
  <si>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</si>
  <si>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</si>
  <si>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</si>
  <si>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</si>
  <si>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</si>
  <si>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</si>
  <si>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</si>
  <si>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</si>
  <si>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</si>
  <si>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</si>
  <si>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</si>
  <si>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</si>
  <si>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</si>
  <si>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</si>
  <si>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</si>
  <si>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</si>
  <si>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</si>
  <si>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</si>
  <si>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</si>
  <si>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</si>
  <si>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</si>
  <si>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</si>
  <si>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</si>
  <si>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</si>
  <si>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</si>
  <si>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</si>
  <si>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</si>
  <si>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</si>
  <si>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</si>
  <si>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</si>
  <si>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</si>
  <si>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</si>
  <si>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</si>
  <si>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</si>
  <si>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</si>
  <si>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</si>
  <si>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</si>
  <si>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</si>
  <si>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</si>
  <si>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</si>
  <si>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</si>
  <si>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</si>
  <si>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</si>
  <si>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</si>
  <si>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</si>
  <si>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</si>
  <si>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</si>
  <si>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</si>
  <si>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</si>
  <si>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</si>
  <si>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</si>
  <si>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</si>
  <si>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</si>
  <si>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</si>
  <si>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</si>
  <si>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</si>
  <si>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</si>
  <si>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</si>
  <si>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</si>
  <si>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</si>
  <si>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</si>
  <si>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</si>
  <si>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</si>
  <si>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</si>
  <si>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</si>
  <si>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</si>
  <si>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</si>
  <si>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</si>
  <si>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</si>
  <si>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</si>
  <si>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</si>
  <si>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</si>
  <si>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</si>
  <si>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</si>
  <si>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</si>
  <si>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</si>
  <si>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</si>
  <si>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</si>
  <si>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</si>
  <si>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</si>
  <si>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</si>
  <si>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</si>
  <si>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</si>
  <si>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</si>
  <si>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</si>
  <si>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</si>
  <si>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</si>
  <si>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</si>
  <si>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</si>
  <si>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</si>
  <si>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</si>
  <si>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</si>
  <si>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</si>
  <si>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</si>
  <si>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</si>
  <si>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</si>
  <si>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</si>
  <si>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</si>
  <si>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</si>
  <si>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</si>
  <si>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</si>
  <si>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</si>
  <si>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</si>
  <si>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</si>
  <si>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</si>
  <si>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</si>
  <si>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</si>
  <si>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</si>
  <si>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</si>
  <si>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</si>
  <si>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</si>
  <si>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</si>
  <si>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</si>
  <si>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</si>
  <si>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</si>
  <si>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</si>
  <si>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</si>
  <si>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</si>
  <si>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</si>
  <si>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</si>
  <si>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</si>
  <si>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</si>
  <si>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</si>
  <si>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</si>
  <si>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</si>
  <si>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</si>
  <si>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</si>
  <si>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</si>
  <si>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</si>
  <si>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</si>
  <si>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</si>
  <si>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</si>
  <si>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</si>
  <si>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</si>
  <si>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</si>
  <si>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</si>
  <si>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</si>
  <si>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</si>
  <si>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</si>
  <si>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</si>
  <si>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</si>
  <si>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</si>
  <si>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</si>
  <si>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</si>
  <si>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</si>
  <si>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</si>
  <si>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</si>
  <si>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</si>
  <si>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</si>
  <si>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</si>
  <si>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</si>
  <si>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</si>
  <si>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</si>
  <si>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</si>
  <si>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</si>
  <si>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</si>
  <si>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</si>
  <si>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</si>
  <si>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</si>
  <si>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</si>
  <si>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</si>
  <si>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</si>
  <si>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</si>
  <si>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</si>
  <si>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</si>
  <si>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</si>
  <si>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</si>
  <si>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</si>
  <si>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</si>
  <si>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</si>
  <si>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</si>
  <si>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</si>
  <si>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</si>
  <si>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</si>
  <si>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</si>
  <si>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</si>
  <si>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</si>
  <si>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</si>
  <si>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</si>
  <si>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gl</t>
  </si>
  <si>
    <t>pg</t>
  </si>
  <si>
    <t>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</si>
</sst>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6">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0" fontId="0" fillId="0" borderId="0" xfId="0" applyFill="1"/>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0" fillId="0" borderId="1" xfId="0" applyBorder="1" applyAlignment="1">
      <alignment vertical="center"/>
    </xf>
    <xf numFmtId="0" fontId="13" fillId="0" borderId="0" xfId="0" applyFont="1"/>
    <xf numFmtId="0" fontId="13" fillId="0" borderId="0" xfId="0" applyFont="1" applyFill="1"/>
    <xf numFmtId="0" fontId="2" fillId="0" borderId="0" xfId="0" applyFont="1" applyFill="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applyFill="1"/>
    <xf numFmtId="2" fontId="15" fillId="0" borderId="0" xfId="0" applyNumberFormat="1" applyFont="1" applyFill="1"/>
    <xf numFmtId="0" fontId="2" fillId="0" borderId="0" xfId="0" applyFont="1"/>
    <xf numFmtId="2" fontId="2" fillId="0" borderId="0" xfId="0" applyNumberFormat="1" applyFont="1"/>
    <xf numFmtId="2" fontId="15" fillId="0" borderId="0" xfId="0" applyNumberFormat="1" applyFont="1"/>
    <xf numFmtId="2" fontId="2" fillId="0" borderId="0" xfId="0" applyNumberFormat="1" applyFont="1" applyFill="1" applyAlignment="1">
      <alignment horizontal="right"/>
    </xf>
    <xf numFmtId="2" fontId="15" fillId="0" borderId="0" xfId="0" applyNumberFormat="1" applyFont="1" applyFill="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0" fillId="0" borderId="1" xfId="0"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0" fontId="0" fillId="0" borderId="1" xfId="0" applyBorder="1" applyAlignment="1">
      <alignment vertical="center"/>
    </xf>
    <xf numFmtId="164" fontId="0" fillId="0" borderId="0" xfId="0" applyNumberFormat="1"/>
    <xf numFmtId="0" fontId="26" fillId="0" borderId="0" xfId="0" applyFont="1"/>
    <xf numFmtId="3" fontId="1" fillId="31" borderId="0" xfId="16" applyNumberFormat="1"/>
    <xf numFmtId="3" fontId="0" fillId="0" borderId="0" xfId="0" applyNumberFormat="1" applyFill="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Border="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48.414826700289169</c:v>
                </c:pt>
                <c:pt idx="1">
                  <c:v>50.448798407481377</c:v>
                </c:pt>
                <c:pt idx="2">
                  <c:v>52.583198043553097</c:v>
                </c:pt>
                <c:pt idx="3">
                  <c:v>53.838243463793447</c:v>
                </c:pt>
                <c:pt idx="4">
                  <c:v>52.381590470556326</c:v>
                </c:pt>
                <c:pt idx="5">
                  <c:v>53.214703803416278</c:v>
                </c:pt>
                <c:pt idx="6">
                  <c:v>54.207584899968928</c:v>
                </c:pt>
                <c:pt idx="7">
                  <c:v>55.188632360107675</c:v>
                </c:pt>
                <c:pt idx="8">
                  <c:v>55.731226947537017</c:v>
                </c:pt>
                <c:pt idx="9">
                  <c:v>56.059513401077403</c:v>
                </c:pt>
                <c:pt idx="10">
                  <c:v>55.627575301066337</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2.9941029471168969E-3</c:v>
                </c:pt>
                <c:pt idx="9">
                  <c:v>3.0605223474033326E-3</c:v>
                </c:pt>
                <c:pt idx="10">
                  <c:v>2.794495463465674E-3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52.583198043553097</c:v>
                </c:pt>
                <c:pt idx="1">
                  <c:v>53.838243463793447</c:v>
                </c:pt>
                <c:pt idx="2">
                  <c:v>52.381590470556326</c:v>
                </c:pt>
                <c:pt idx="3">
                  <c:v>53.214703803416278</c:v>
                </c:pt>
                <c:pt idx="4">
                  <c:v>54.207584899968928</c:v>
                </c:pt>
                <c:pt idx="5">
                  <c:v>55.188632360107675</c:v>
                </c:pt>
                <c:pt idx="6">
                  <c:v>55.731226947537017</c:v>
                </c:pt>
                <c:pt idx="7">
                  <c:v>56.059513401077403</c:v>
                </c:pt>
                <c:pt idx="8">
                  <c:v>55.627575301066337</c:v>
                </c:pt>
                <c:pt idx="9">
                  <c:v>55.186167154941195</c:v>
                </c:pt>
                <c:pt idx="10">
                  <c:v>55.459673801821602</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1.7136060892304253E-2</c:v>
                </c:pt>
                <c:pt idx="7">
                  <c:v>1.8196196501834357E-2</c:v>
                </c:pt>
                <c:pt idx="8">
                  <c:v>1.8684763785133233E-2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1471.6927305891734</c:v>
                </c:pt>
                <c:pt idx="13">
                  <c:v>1518.9933100212588</c:v>
                </c:pt>
                <c:pt idx="14">
                  <c:v>1556.6174956060458</c:v>
                </c:pt>
                <c:pt idx="15">
                  <c:v>1555.0201243622939</c:v>
                </c:pt>
                <c:pt idx="16">
                  <c:v>1552.9795162211663</c:v>
                </c:pt>
                <c:pt idx="17">
                  <c:v>1590.3184320860232</c:v>
                </c:pt>
                <c:pt idx="18">
                  <c:v>1615.1249775493789</c:v>
                </c:pt>
                <c:pt idx="19">
                  <c:v>1595.5061008051746</c:v>
                </c:pt>
                <c:pt idx="20">
                  <c:v>1379.2058010071614</c:v>
                </c:pt>
                <c:pt idx="21">
                  <c:v>1466.86627521982</c:v>
                </c:pt>
                <c:pt idx="22">
                  <c:v>1530.7820004044163</c:v>
                </c:pt>
                <c:pt idx="23">
                  <c:v>1589.6708056490111</c:v>
                </c:pt>
                <c:pt idx="24">
                  <c:v>1658.5091278919829</c:v>
                </c:pt>
                <c:pt idx="25">
                  <c:v>1761.0294989230817</c:v>
                </c:pt>
                <c:pt idx="26">
                  <c:v>1875.3017563695294</c:v>
                </c:pt>
                <c:pt idx="27">
                  <c:v>1999.7084856953788</c:v>
                </c:pt>
                <c:pt idx="28">
                  <c:v>2112.1374067662528</c:v>
                </c:pt>
                <c:pt idx="29">
                  <c:v>2241.7986792666456</c:v>
                </c:pt>
                <c:pt idx="30">
                  <c:v>2392.8188088662323</c:v>
                </c:pt>
                <c:pt idx="31">
                  <c:v>2544.1931756839931</c:v>
                </c:pt>
                <c:pt idx="32">
                  <c:v>2703.819675900922</c:v>
                </c:pt>
                <c:pt idx="33">
                  <c:v>2868.6569232593038</c:v>
                </c:pt>
                <c:pt idx="34">
                  <c:v>3052.8270250133164</c:v>
                </c:pt>
                <c:pt idx="35">
                  <c:v>3219.5764756710419</c:v>
                </c:pt>
                <c:pt idx="36">
                  <c:v>3399.2720594175453</c:v>
                </c:pt>
                <c:pt idx="37">
                  <c:v>3584.0673985345115</c:v>
                </c:pt>
                <c:pt idx="38">
                  <c:v>3763.805205721309</c:v>
                </c:pt>
                <c:pt idx="39">
                  <c:v>3945.3041534233544</c:v>
                </c:pt>
                <c:pt idx="40">
                  <c:v>4134.9016149322842</c:v>
                </c:pt>
                <c:pt idx="41">
                  <c:v>4336.8809078953354</c:v>
                </c:pt>
                <c:pt idx="42">
                  <c:v>4530.5876863595558</c:v>
                </c:pt>
                <c:pt idx="43">
                  <c:v>4728.7675751736761</c:v>
                </c:pt>
                <c:pt idx="44">
                  <c:v>4931.8003966392325</c:v>
                </c:pt>
                <c:pt idx="45">
                  <c:v>5149.1126776725177</c:v>
                </c:pt>
                <c:pt idx="46">
                  <c:v>5375.1780327105098</c:v>
                </c:pt>
                <c:pt idx="47">
                  <c:v>5515.3779964517589</c:v>
                </c:pt>
                <c:pt idx="48">
                  <c:v>5650.6854171882369</c:v>
                </c:pt>
                <c:pt idx="49">
                  <c:v>5799.3709902477349</c:v>
                </c:pt>
                <c:pt idx="50">
                  <c:v>5944.253346185792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1794.0813978567999</c:v>
                </c:pt>
                <c:pt idx="13">
                  <c:v>1859.704051977712</c:v>
                </c:pt>
                <c:pt idx="14">
                  <c:v>1911.9021211526674</c:v>
                </c:pt>
                <c:pt idx="15">
                  <c:v>1909.6860015640707</c:v>
                </c:pt>
                <c:pt idx="16">
                  <c:v>1906.8549554363208</c:v>
                </c:pt>
                <c:pt idx="17">
                  <c:v>1958.6572544878038</c:v>
                </c:pt>
                <c:pt idx="18">
                  <c:v>1993.0727177320496</c:v>
                </c:pt>
                <c:pt idx="19">
                  <c:v>1965.8543880988104</c:v>
                </c:pt>
                <c:pt idx="20">
                  <c:v>1665.7692743366272</c:v>
                </c:pt>
                <c:pt idx="21">
                  <c:v>1787.3853950776406</c:v>
                </c:pt>
                <c:pt idx="22">
                  <c:v>1876.059140241762</c:v>
                </c:pt>
                <c:pt idx="23">
                  <c:v>1957.7587672771638</c:v>
                </c:pt>
                <c:pt idx="24">
                  <c:v>2053.2618977895595</c:v>
                </c:pt>
                <c:pt idx="25">
                  <c:v>2195.4939577198393</c:v>
                </c:pt>
                <c:pt idx="26">
                  <c:v>2354.0300457775115</c:v>
                </c:pt>
                <c:pt idx="27">
                  <c:v>2526.6262352298181</c:v>
                </c:pt>
                <c:pt idx="28">
                  <c:v>2682.6049629579729</c:v>
                </c:pt>
                <c:pt idx="29">
                  <c:v>2862.491064573017</c:v>
                </c:pt>
                <c:pt idx="30">
                  <c:v>3072.0094647490296</c:v>
                </c:pt>
                <c:pt idx="31">
                  <c:v>3282.0193173918847</c:v>
                </c:pt>
                <c:pt idx="32">
                  <c:v>3503.4778013689665</c:v>
                </c:pt>
                <c:pt idx="33">
                  <c:v>3732.1654369014973</c:v>
                </c:pt>
                <c:pt idx="34">
                  <c:v>3987.6745877813396</c:v>
                </c:pt>
                <c:pt idx="35">
                  <c:v>4219.0151264543447</c:v>
                </c:pt>
                <c:pt idx="36">
                  <c:v>4468.3165363066992</c:v>
                </c:pt>
                <c:pt idx="37">
                  <c:v>4724.6931128228698</c:v>
                </c:pt>
                <c:pt idx="38">
                  <c:v>4974.0531015394035</c:v>
                </c:pt>
                <c:pt idx="39">
                  <c:v>5225.8564158193449</c:v>
                </c:pt>
                <c:pt idx="40">
                  <c:v>5488.8952366580525</c:v>
                </c:pt>
                <c:pt idx="41">
                  <c:v>5769.1120424739602</c:v>
                </c:pt>
                <c:pt idx="42">
                  <c:v>6037.851941152896</c:v>
                </c:pt>
                <c:pt idx="43">
                  <c:v>6312.7976279397271</c:v>
                </c:pt>
                <c:pt idx="44">
                  <c:v>6594.4760508723066</c:v>
                </c:pt>
                <c:pt idx="45">
                  <c:v>6895.9651409784674</c:v>
                </c:pt>
                <c:pt idx="46">
                  <c:v>7209.5978444357152</c:v>
                </c:pt>
                <c:pt idx="47">
                  <c:v>7404.1048428450313</c:v>
                </c:pt>
                <c:pt idx="48">
                  <c:v>7591.8241515213958</c:v>
                </c:pt>
                <c:pt idx="49">
                  <c:v>7798.1036950450098</c:v>
                </c:pt>
                <c:pt idx="50">
                  <c:v>7999.1068295963951</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450.281785935556</c:v>
                </c:pt>
                <c:pt idx="13">
                  <c:v>460.38252588684514</c:v>
                </c:pt>
                <c:pt idx="14">
                  <c:v>469.51705680255589</c:v>
                </c:pt>
                <c:pt idx="15">
                  <c:v>474.2242091677785</c:v>
                </c:pt>
                <c:pt idx="16">
                  <c:v>479.06226588659001</c:v>
                </c:pt>
                <c:pt idx="17">
                  <c:v>488.71243810357356</c:v>
                </c:pt>
                <c:pt idx="18">
                  <c:v>496.96202871842729</c:v>
                </c:pt>
                <c:pt idx="19">
                  <c:v>500.08373305547713</c:v>
                </c:pt>
                <c:pt idx="20">
                  <c:v>480.20866222848468</c:v>
                </c:pt>
                <c:pt idx="21">
                  <c:v>494.48543599880816</c:v>
                </c:pt>
                <c:pt idx="22">
                  <c:v>506.02120814060305</c:v>
                </c:pt>
                <c:pt idx="23">
                  <c:v>517.0134187406079</c:v>
                </c:pt>
                <c:pt idx="24">
                  <c:v>529.22038682385369</c:v>
                </c:pt>
                <c:pt idx="25">
                  <c:v>545.42814031573926</c:v>
                </c:pt>
                <c:pt idx="26">
                  <c:v>562.45161867969603</c:v>
                </c:pt>
                <c:pt idx="27">
                  <c:v>580.70013880073975</c:v>
                </c:pt>
                <c:pt idx="28">
                  <c:v>597.57873276693863</c:v>
                </c:pt>
                <c:pt idx="29">
                  <c:v>616.51615022930741</c:v>
                </c:pt>
                <c:pt idx="30">
                  <c:v>637.99707616440435</c:v>
                </c:pt>
                <c:pt idx="31">
                  <c:v>659.05113235036583</c:v>
                </c:pt>
                <c:pt idx="32">
                  <c:v>681.10179560261145</c:v>
                </c:pt>
                <c:pt idx="33">
                  <c:v>703.79233787715089</c:v>
                </c:pt>
                <c:pt idx="34">
                  <c:v>728.78051219070448</c:v>
                </c:pt>
                <c:pt idx="35">
                  <c:v>751.75280359321744</c:v>
                </c:pt>
                <c:pt idx="36">
                  <c:v>775.78605419302687</c:v>
                </c:pt>
                <c:pt idx="37">
                  <c:v>800.43940465684284</c:v>
                </c:pt>
                <c:pt idx="38">
                  <c:v>824.52085201178329</c:v>
                </c:pt>
                <c:pt idx="39">
                  <c:v>848.83086262126108</c:v>
                </c:pt>
                <c:pt idx="40">
                  <c:v>874.11341393613793</c:v>
                </c:pt>
                <c:pt idx="41">
                  <c:v>900.408623986576</c:v>
                </c:pt>
                <c:pt idx="42">
                  <c:v>925.74896860836145</c:v>
                </c:pt>
                <c:pt idx="43">
                  <c:v>951.6305014981325</c:v>
                </c:pt>
                <c:pt idx="44">
                  <c:v>978.09790288351894</c:v>
                </c:pt>
                <c:pt idx="45">
                  <c:v>1006.2576652230206</c:v>
                </c:pt>
                <c:pt idx="46">
                  <c:v>1034.9857101788693</c:v>
                </c:pt>
                <c:pt idx="47">
                  <c:v>1053.6469391229134</c:v>
                </c:pt>
                <c:pt idx="48">
                  <c:v>1071.7451914338103</c:v>
                </c:pt>
                <c:pt idx="49">
                  <c:v>1091.4249558781657</c:v>
                </c:pt>
                <c:pt idx="50">
                  <c:v>1110.6697131200428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420.48092757924292</c:v>
                </c:pt>
                <c:pt idx="13">
                  <c:v>429.76722964472526</c:v>
                </c:pt>
                <c:pt idx="14">
                  <c:v>438.16522956540933</c:v>
                </c:pt>
                <c:pt idx="15">
                  <c:v>442.49283714094429</c:v>
                </c:pt>
                <c:pt idx="16">
                  <c:v>446.94079405474309</c:v>
                </c:pt>
                <c:pt idx="17">
                  <c:v>455.8128583414192</c:v>
                </c:pt>
                <c:pt idx="18">
                  <c:v>463.39727203146003</c:v>
                </c:pt>
                <c:pt idx="19">
                  <c:v>466.26726864287377</c:v>
                </c:pt>
                <c:pt idx="20">
                  <c:v>447.99475473177637</c:v>
                </c:pt>
                <c:pt idx="21">
                  <c:v>461.12037071547059</c:v>
                </c:pt>
                <c:pt idx="22">
                  <c:v>471.72599616310043</c:v>
                </c:pt>
                <c:pt idx="23">
                  <c:v>481.83188825529447</c:v>
                </c:pt>
                <c:pt idx="24">
                  <c:v>493.05459010400955</c:v>
                </c:pt>
                <c:pt idx="25">
                  <c:v>507.95548800400115</c:v>
                </c:pt>
                <c:pt idx="26">
                  <c:v>523.60633765019281</c:v>
                </c:pt>
                <c:pt idx="27">
                  <c:v>540.3834520902509</c:v>
                </c:pt>
                <c:pt idx="28">
                  <c:v>555.90109958604114</c:v>
                </c:pt>
                <c:pt idx="29">
                  <c:v>573.3115645365076</c:v>
                </c:pt>
                <c:pt idx="30">
                  <c:v>593.06045103804615</c:v>
                </c:pt>
                <c:pt idx="31">
                  <c:v>612.41688694168727</c:v>
                </c:pt>
                <c:pt idx="32">
                  <c:v>632.68957198180169</c:v>
                </c:pt>
                <c:pt idx="33">
                  <c:v>653.55054163423551</c:v>
                </c:pt>
                <c:pt idx="34">
                  <c:v>676.52388179145532</c:v>
                </c:pt>
                <c:pt idx="35">
                  <c:v>697.64388271503049</c:v>
                </c:pt>
                <c:pt idx="36">
                  <c:v>719.73929609677805</c:v>
                </c:pt>
                <c:pt idx="37">
                  <c:v>742.40480975590117</c:v>
                </c:pt>
                <c:pt idx="38">
                  <c:v>764.54453371577279</c:v>
                </c:pt>
                <c:pt idx="39">
                  <c:v>786.89439153048443</c:v>
                </c:pt>
                <c:pt idx="40">
                  <c:v>810.13837262773473</c:v>
                </c:pt>
                <c:pt idx="41">
                  <c:v>834.3133602604488</c:v>
                </c:pt>
                <c:pt idx="42">
                  <c:v>857.61047470316726</c:v>
                </c:pt>
                <c:pt idx="43">
                  <c:v>881.40514058816063</c:v>
                </c:pt>
                <c:pt idx="44">
                  <c:v>905.73843550896447</c:v>
                </c:pt>
                <c:pt idx="45">
                  <c:v>931.62763376947726</c:v>
                </c:pt>
                <c:pt idx="46">
                  <c:v>958.03929316248241</c:v>
                </c:pt>
                <c:pt idx="47">
                  <c:v>975.19583909111998</c:v>
                </c:pt>
                <c:pt idx="48">
                  <c:v>991.83480204104262</c:v>
                </c:pt>
                <c:pt idx="49">
                  <c:v>1009.9277574174951</c:v>
                </c:pt>
                <c:pt idx="50">
                  <c:v>1027.6207808778347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922.56326417698381</c:v>
                </c:pt>
                <c:pt idx="13">
                  <c:v>950.19334704133212</c:v>
                </c:pt>
                <c:pt idx="14">
                  <c:v>973.98575952784233</c:v>
                </c:pt>
                <c:pt idx="15">
                  <c:v>981.37991006119432</c:v>
                </c:pt>
                <c:pt idx="16">
                  <c:v>988.88720735980576</c:v>
                </c:pt>
                <c:pt idx="17">
                  <c:v>1013.4640315259311</c:v>
                </c:pt>
                <c:pt idx="18">
                  <c:v>1032.8243968801235</c:v>
                </c:pt>
                <c:pt idx="19">
                  <c:v>1033.4242571076566</c:v>
                </c:pt>
                <c:pt idx="20">
                  <c:v>950.48138679716874</c:v>
                </c:pt>
                <c:pt idx="21">
                  <c:v>994.35910410454983</c:v>
                </c:pt>
                <c:pt idx="22">
                  <c:v>1028.2092381218911</c:v>
                </c:pt>
                <c:pt idx="23">
                  <c:v>1059.9970480700063</c:v>
                </c:pt>
                <c:pt idx="24">
                  <c:v>1096.0958506857344</c:v>
                </c:pt>
                <c:pt idx="25">
                  <c:v>1146.6046682085916</c:v>
                </c:pt>
                <c:pt idx="26">
                  <c:v>1201.1842198816125</c:v>
                </c:pt>
                <c:pt idx="27">
                  <c:v>1260.1346180567266</c:v>
                </c:pt>
                <c:pt idx="28">
                  <c:v>1314.0477232027379</c:v>
                </c:pt>
                <c:pt idx="29">
                  <c:v>1375.3529647241976</c:v>
                </c:pt>
                <c:pt idx="30">
                  <c:v>1445.8067489140628</c:v>
                </c:pt>
                <c:pt idx="31">
                  <c:v>1515.6385454347687</c:v>
                </c:pt>
                <c:pt idx="32">
                  <c:v>1589.0278792731049</c:v>
                </c:pt>
                <c:pt idx="33">
                  <c:v>1664.6810435043324</c:v>
                </c:pt>
                <c:pt idx="34">
                  <c:v>1748.607355951618</c:v>
                </c:pt>
                <c:pt idx="35">
                  <c:v>1825.1686983334487</c:v>
                </c:pt>
                <c:pt idx="36">
                  <c:v>1906.4822321121742</c:v>
                </c:pt>
                <c:pt idx="37">
                  <c:v>1990.0012318875147</c:v>
                </c:pt>
                <c:pt idx="38">
                  <c:v>2071.404058756324</c:v>
                </c:pt>
                <c:pt idx="39">
                  <c:v>2153.5923019730003</c:v>
                </c:pt>
                <c:pt idx="40">
                  <c:v>2239.2627611855505</c:v>
                </c:pt>
                <c:pt idx="41">
                  <c:v>2329.4748815916914</c:v>
                </c:pt>
                <c:pt idx="42">
                  <c:v>2416.1935923610185</c:v>
                </c:pt>
                <c:pt idx="43">
                  <c:v>2504.8422881023776</c:v>
                </c:pt>
                <c:pt idx="44">
                  <c:v>2595.5827479657564</c:v>
                </c:pt>
                <c:pt idx="45">
                  <c:v>2692.4261011662243</c:v>
                </c:pt>
                <c:pt idx="46">
                  <c:v>2792.2366238720847</c:v>
                </c:pt>
                <c:pt idx="47">
                  <c:v>2855.5301293611933</c:v>
                </c:pt>
                <c:pt idx="48">
                  <c:v>2916.7604460988255</c:v>
                </c:pt>
                <c:pt idx="49">
                  <c:v>2983.7018017495889</c:v>
                </c:pt>
                <c:pt idx="50">
                  <c:v>3049.0436640824278</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922.74732071589835</c:v>
                </c:pt>
                <c:pt idx="13">
                  <c:v>946.92978710430327</c:v>
                </c:pt>
                <c:pt idx="14">
                  <c:v>967.75343855981521</c:v>
                </c:pt>
                <c:pt idx="15">
                  <c:v>974.22496445503134</c:v>
                </c:pt>
                <c:pt idx="16">
                  <c:v>980.79551892939685</c:v>
                </c:pt>
                <c:pt idx="17">
                  <c:v>1002.3057050279677</c:v>
                </c:pt>
                <c:pt idx="18">
                  <c:v>1019.2503297235784</c:v>
                </c:pt>
                <c:pt idx="19">
                  <c:v>1019.7753408088246</c:v>
                </c:pt>
                <c:pt idx="20">
                  <c:v>947.18188593977345</c:v>
                </c:pt>
                <c:pt idx="21">
                  <c:v>985.5846453232715</c:v>
                </c:pt>
                <c:pt idx="22">
                  <c:v>1015.2110395739236</c:v>
                </c:pt>
                <c:pt idx="23">
                  <c:v>1043.0324416813776</c:v>
                </c:pt>
                <c:pt idx="24">
                  <c:v>1074.6269209741959</c:v>
                </c:pt>
                <c:pt idx="25">
                  <c:v>1118.8333675513295</c:v>
                </c:pt>
                <c:pt idx="26">
                  <c:v>1166.6026116866813</c:v>
                </c:pt>
                <c:pt idx="27">
                  <c:v>1218.1973184217895</c:v>
                </c:pt>
                <c:pt idx="28">
                  <c:v>1265.3832736535862</c:v>
                </c:pt>
                <c:pt idx="29">
                  <c:v>1319.0389919445606</c:v>
                </c:pt>
                <c:pt idx="30">
                  <c:v>1380.7017193591694</c:v>
                </c:pt>
                <c:pt idx="31">
                  <c:v>1441.8200692568055</c:v>
                </c:pt>
                <c:pt idx="32">
                  <c:v>1506.0520553686888</c:v>
                </c:pt>
                <c:pt idx="33">
                  <c:v>1572.2653964643382</c:v>
                </c:pt>
                <c:pt idx="34">
                  <c:v>1645.7195818833054</c:v>
                </c:pt>
                <c:pt idx="35">
                  <c:v>1712.7277808050958</c:v>
                </c:pt>
                <c:pt idx="36">
                  <c:v>1783.8952039062299</c:v>
                </c:pt>
                <c:pt idx="37">
                  <c:v>1856.9929001663611</c:v>
                </c:pt>
                <c:pt idx="38">
                  <c:v>1928.2384745767138</c:v>
                </c:pt>
                <c:pt idx="39">
                  <c:v>2000.1714629382463</c:v>
                </c:pt>
                <c:pt idx="40">
                  <c:v>2075.152164608885</c:v>
                </c:pt>
                <c:pt idx="41">
                  <c:v>2154.1078297170475</c:v>
                </c:pt>
                <c:pt idx="42">
                  <c:v>2230.0059845912397</c:v>
                </c:pt>
                <c:pt idx="43">
                  <c:v>2307.5933054713914</c:v>
                </c:pt>
                <c:pt idx="44">
                  <c:v>2387.0113850872863</c:v>
                </c:pt>
                <c:pt idx="45">
                  <c:v>2471.7708534250587</c:v>
                </c:pt>
                <c:pt idx="46">
                  <c:v>2559.1272548659681</c:v>
                </c:pt>
                <c:pt idx="47">
                  <c:v>2614.5231462431043</c:v>
                </c:pt>
                <c:pt idx="48">
                  <c:v>2668.1132886878004</c:v>
                </c:pt>
                <c:pt idx="49">
                  <c:v>2726.7018600998554</c:v>
                </c:pt>
                <c:pt idx="50">
                  <c:v>2783.8905191920994</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211.0882778503904</c:v>
                </c:pt>
                <c:pt idx="13">
                  <c:v>216.81058915385393</c:v>
                </c:pt>
                <c:pt idx="14">
                  <c:v>221.61611154515259</c:v>
                </c:pt>
                <c:pt idx="15">
                  <c:v>222.58768085228562</c:v>
                </c:pt>
                <c:pt idx="16">
                  <c:v>223.55767202476633</c:v>
                </c:pt>
                <c:pt idx="17">
                  <c:v>228.46171604146332</c:v>
                </c:pt>
                <c:pt idx="18">
                  <c:v>232.14395681418955</c:v>
                </c:pt>
                <c:pt idx="19">
                  <c:v>231.45746689841411</c:v>
                </c:pt>
                <c:pt idx="20">
                  <c:v>211.36167273441168</c:v>
                </c:pt>
                <c:pt idx="21">
                  <c:v>220.94156782788949</c:v>
                </c:pt>
                <c:pt idx="22">
                  <c:v>228.18638841553062</c:v>
                </c:pt>
                <c:pt idx="23">
                  <c:v>234.94533247604363</c:v>
                </c:pt>
                <c:pt idx="24">
                  <c:v>242.69799892600136</c:v>
                </c:pt>
                <c:pt idx="25">
                  <c:v>253.78897541637724</c:v>
                </c:pt>
                <c:pt idx="26">
                  <c:v>265.91084273652859</c:v>
                </c:pt>
                <c:pt idx="27">
                  <c:v>279.04206766239679</c:v>
                </c:pt>
                <c:pt idx="28">
                  <c:v>290.99832776113027</c:v>
                </c:pt>
                <c:pt idx="29">
                  <c:v>304.66528522916673</c:v>
                </c:pt>
                <c:pt idx="30">
                  <c:v>320.45066708352232</c:v>
                </c:pt>
                <c:pt idx="31">
                  <c:v>336.16295544654878</c:v>
                </c:pt>
                <c:pt idx="32">
                  <c:v>352.69691947279057</c:v>
                </c:pt>
                <c:pt idx="33">
                  <c:v>369.7521653387152</c:v>
                </c:pt>
                <c:pt idx="34">
                  <c:v>388.72382770971103</c:v>
                </c:pt>
                <c:pt idx="35">
                  <c:v>405.98119854638412</c:v>
                </c:pt>
                <c:pt idx="36">
                  <c:v>424.41167853566702</c:v>
                </c:pt>
                <c:pt idx="37">
                  <c:v>443.35091789138272</c:v>
                </c:pt>
                <c:pt idx="38">
                  <c:v>461.79554625539237</c:v>
                </c:pt>
                <c:pt idx="39">
                  <c:v>480.41919567732941</c:v>
                </c:pt>
                <c:pt idx="40">
                  <c:v>499.84795243221987</c:v>
                </c:pt>
                <c:pt idx="41">
                  <c:v>520.39821020911313</c:v>
                </c:pt>
                <c:pt idx="42">
                  <c:v>540.13496218586693</c:v>
                </c:pt>
                <c:pt idx="43">
                  <c:v>560.31733195053494</c:v>
                </c:pt>
                <c:pt idx="44">
                  <c:v>580.98286415060466</c:v>
                </c:pt>
                <c:pt idx="45">
                  <c:v>603.06279932368352</c:v>
                </c:pt>
                <c:pt idx="46">
                  <c:v>625.90150044225186</c:v>
                </c:pt>
                <c:pt idx="47">
                  <c:v>640.26041237610889</c:v>
                </c:pt>
                <c:pt idx="48">
                  <c:v>654.13860357475721</c:v>
                </c:pt>
                <c:pt idx="49">
                  <c:v>669.34099233547454</c:v>
                </c:pt>
                <c:pt idx="50">
                  <c:v>684.17029806495168</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233.79012764994368</c:v>
                </c:pt>
                <c:pt idx="13">
                  <c:v>240.53806399401768</c:v>
                </c:pt>
                <c:pt idx="14">
                  <c:v>246.20489291625375</c:v>
                </c:pt>
                <c:pt idx="15">
                  <c:v>247.35059916862448</c:v>
                </c:pt>
                <c:pt idx="16">
                  <c:v>248.49444443308113</c:v>
                </c:pt>
                <c:pt idx="17">
                  <c:v>254.27745327308932</c:v>
                </c:pt>
                <c:pt idx="18">
                  <c:v>258.61967183132663</c:v>
                </c:pt>
                <c:pt idx="19">
                  <c:v>257.8101405061613</c:v>
                </c:pt>
                <c:pt idx="20">
                  <c:v>234.11252382455493</c:v>
                </c:pt>
                <c:pt idx="21">
                  <c:v>245.40944893846259</c:v>
                </c:pt>
                <c:pt idx="22">
                  <c:v>253.95277794610485</c:v>
                </c:pt>
                <c:pt idx="23">
                  <c:v>261.9231454872579</c:v>
                </c:pt>
                <c:pt idx="24">
                  <c:v>271.06534291882519</c:v>
                </c:pt>
                <c:pt idx="25">
                  <c:v>284.1441845584576</c:v>
                </c:pt>
                <c:pt idx="26">
                  <c:v>298.43868632703192</c:v>
                </c:pt>
                <c:pt idx="27">
                  <c:v>313.92345554359736</c:v>
                </c:pt>
                <c:pt idx="28">
                  <c:v>328.02266786897582</c:v>
                </c:pt>
                <c:pt idx="29">
                  <c:v>344.13919039295246</c:v>
                </c:pt>
                <c:pt idx="30">
                  <c:v>362.75382812781675</c:v>
                </c:pt>
                <c:pt idx="31">
                  <c:v>381.28227163092771</c:v>
                </c:pt>
                <c:pt idx="32">
                  <c:v>400.77966190690921</c:v>
                </c:pt>
                <c:pt idx="33">
                  <c:v>420.89176475006144</c:v>
                </c:pt>
                <c:pt idx="34">
                  <c:v>443.26376851421492</c:v>
                </c:pt>
                <c:pt idx="35">
                  <c:v>463.61422372301564</c:v>
                </c:pt>
                <c:pt idx="36">
                  <c:v>485.3480475510089</c:v>
                </c:pt>
                <c:pt idx="37">
                  <c:v>507.6818170368104</c:v>
                </c:pt>
                <c:pt idx="38">
                  <c:v>529.43232509027905</c:v>
                </c:pt>
                <c:pt idx="39">
                  <c:v>551.39394062096812</c:v>
                </c:pt>
                <c:pt idx="40">
                  <c:v>574.30496500846436</c:v>
                </c:pt>
                <c:pt idx="41">
                  <c:v>598.53850002234128</c:v>
                </c:pt>
                <c:pt idx="42">
                  <c:v>621.81272243266358</c:v>
                </c:pt>
                <c:pt idx="43">
                  <c:v>645.61243188959452</c:v>
                </c:pt>
                <c:pt idx="44">
                  <c:v>669.98190226742554</c:v>
                </c:pt>
                <c:pt idx="45">
                  <c:v>696.01928281661651</c:v>
                </c:pt>
                <c:pt idx="46">
                  <c:v>722.95142494529625</c:v>
                </c:pt>
                <c:pt idx="47">
                  <c:v>739.8839227702897</c:v>
                </c:pt>
                <c:pt idx="48">
                  <c:v>756.24953900698142</c:v>
                </c:pt>
                <c:pt idx="49">
                  <c:v>774.17669224890574</c:v>
                </c:pt>
                <c:pt idx="50">
                  <c:v>791.66389379782458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2858.59235794801</c:v>
                </c:pt>
                <c:pt idx="13">
                  <c:v>2902.3785252225885</c:v>
                </c:pt>
                <c:pt idx="14">
                  <c:v>2942.925642104633</c:v>
                </c:pt>
                <c:pt idx="15">
                  <c:v>2967.6875783693099</c:v>
                </c:pt>
                <c:pt idx="16">
                  <c:v>2993.2116332839532</c:v>
                </c:pt>
                <c:pt idx="17">
                  <c:v>3036.4916017245287</c:v>
                </c:pt>
                <c:pt idx="18">
                  <c:v>3074.8009983488796</c:v>
                </c:pt>
                <c:pt idx="19">
                  <c:v>3094.6430263660254</c:v>
                </c:pt>
                <c:pt idx="20">
                  <c:v>3031.1952385229606</c:v>
                </c:pt>
                <c:pt idx="21">
                  <c:v>3089.2503244220929</c:v>
                </c:pt>
                <c:pt idx="22">
                  <c:v>3137.4337229653347</c:v>
                </c:pt>
                <c:pt idx="23">
                  <c:v>3183.7181232273356</c:v>
                </c:pt>
                <c:pt idx="24">
                  <c:v>3234.4831833016156</c:v>
                </c:pt>
                <c:pt idx="25">
                  <c:v>3299.8368866346095</c:v>
                </c:pt>
                <c:pt idx="26">
                  <c:v>3367.2649390095648</c:v>
                </c:pt>
                <c:pt idx="27">
                  <c:v>3439.1930231066308</c:v>
                </c:pt>
                <c:pt idx="28">
                  <c:v>3506.2076809218311</c:v>
                </c:pt>
                <c:pt idx="29">
                  <c:v>3580.7482633752729</c:v>
                </c:pt>
                <c:pt idx="30">
                  <c:v>3664.5736681198655</c:v>
                </c:pt>
                <c:pt idx="31">
                  <c:v>3746.1149416789767</c:v>
                </c:pt>
                <c:pt idx="32">
                  <c:v>3831.3157495766004</c:v>
                </c:pt>
                <c:pt idx="33">
                  <c:v>3918.8823320601296</c:v>
                </c:pt>
                <c:pt idx="34">
                  <c:v>4014.829053913355</c:v>
                </c:pt>
                <c:pt idx="35">
                  <c:v>4103.5077559496904</c:v>
                </c:pt>
                <c:pt idx="36">
                  <c:v>4195.3154362968435</c:v>
                </c:pt>
                <c:pt idx="37">
                  <c:v>4289.4065347228834</c:v>
                </c:pt>
                <c:pt idx="38">
                  <c:v>4381.4569582023842</c:v>
                </c:pt>
                <c:pt idx="39">
                  <c:v>4474.3708828598583</c:v>
                </c:pt>
                <c:pt idx="40">
                  <c:v>4570.8475565354038</c:v>
                </c:pt>
                <c:pt idx="41">
                  <c:v>4670.3061399159496</c:v>
                </c:pt>
                <c:pt idx="42">
                  <c:v>4766.3259160586294</c:v>
                </c:pt>
                <c:pt idx="43">
                  <c:v>4864.3344156718149</c:v>
                </c:pt>
                <c:pt idx="44">
                  <c:v>4964.4938871791319</c:v>
                </c:pt>
                <c:pt idx="45">
                  <c:v>5070.8186155094609</c:v>
                </c:pt>
                <c:pt idx="46">
                  <c:v>5178.484149615706</c:v>
                </c:pt>
                <c:pt idx="47">
                  <c:v>5249.6469457634803</c:v>
                </c:pt>
                <c:pt idx="48">
                  <c:v>5318.7850606218271</c:v>
                </c:pt>
                <c:pt idx="49">
                  <c:v>5393.6783468933763</c:v>
                </c:pt>
                <c:pt idx="50">
                  <c:v>5467.01137953136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1954.9472316851625</c:v>
                </c:pt>
                <c:pt idx="13">
                  <c:v>1994.9655739095974</c:v>
                </c:pt>
                <c:pt idx="14">
                  <c:v>2032.0235879034808</c:v>
                </c:pt>
                <c:pt idx="15">
                  <c:v>2054.6547452131726</c:v>
                </c:pt>
                <c:pt idx="16">
                  <c:v>2077.9824404216661</c:v>
                </c:pt>
                <c:pt idx="17">
                  <c:v>2117.5381425148985</c:v>
                </c:pt>
                <c:pt idx="18">
                  <c:v>2152.5509933751055</c:v>
                </c:pt>
                <c:pt idx="19">
                  <c:v>2170.6856033910403</c:v>
                </c:pt>
                <c:pt idx="20">
                  <c:v>2112.6975344339007</c:v>
                </c:pt>
                <c:pt idx="21">
                  <c:v>2165.7569465722472</c:v>
                </c:pt>
                <c:pt idx="22">
                  <c:v>2209.7941357682803</c:v>
                </c:pt>
                <c:pt idx="23">
                  <c:v>2252.0957365848662</c:v>
                </c:pt>
                <c:pt idx="24">
                  <c:v>2298.4924338421756</c:v>
                </c:pt>
                <c:pt idx="25">
                  <c:v>2358.2224131576381</c:v>
                </c:pt>
                <c:pt idx="26">
                  <c:v>2419.8482425787643</c:v>
                </c:pt>
                <c:pt idx="27">
                  <c:v>2485.5868733863867</c:v>
                </c:pt>
                <c:pt idx="28">
                  <c:v>2546.8348810890184</c:v>
                </c:pt>
                <c:pt idx="29">
                  <c:v>2614.9612032565765</c:v>
                </c:pt>
                <c:pt idx="30">
                  <c:v>2691.5733833803765</c:v>
                </c:pt>
                <c:pt idx="31">
                  <c:v>2766.097983129926</c:v>
                </c:pt>
                <c:pt idx="32">
                  <c:v>2843.9672121689564</c:v>
                </c:pt>
                <c:pt idx="33">
                  <c:v>2923.9986395207761</c:v>
                </c:pt>
                <c:pt idx="34">
                  <c:v>3011.6890903966682</c:v>
                </c:pt>
                <c:pt idx="35">
                  <c:v>3092.7369387697572</c:v>
                </c:pt>
                <c:pt idx="36">
                  <c:v>3176.6445150580562</c:v>
                </c:pt>
                <c:pt idx="37">
                  <c:v>3262.6390199772468</c:v>
                </c:pt>
                <c:pt idx="38">
                  <c:v>3346.768451210784</c:v>
                </c:pt>
                <c:pt idx="39">
                  <c:v>3431.6870788458846</c:v>
                </c:pt>
                <c:pt idx="40">
                  <c:v>3519.8618788828967</c:v>
                </c:pt>
                <c:pt idx="41">
                  <c:v>3610.7619935679963</c:v>
                </c:pt>
                <c:pt idx="42">
                  <c:v>3698.519212369431</c:v>
                </c:pt>
                <c:pt idx="43">
                  <c:v>3788.0940238350827</c:v>
                </c:pt>
                <c:pt idx="44">
                  <c:v>3879.634714817767</c:v>
                </c:pt>
                <c:pt idx="45">
                  <c:v>3976.8101387035999</c:v>
                </c:pt>
                <c:pt idx="46">
                  <c:v>4075.210991251884</c:v>
                </c:pt>
                <c:pt idx="47">
                  <c:v>4140.2501875814214</c:v>
                </c:pt>
                <c:pt idx="48">
                  <c:v>4203.4389276189631</c:v>
                </c:pt>
                <c:pt idx="49">
                  <c:v>4271.8876032368335</c:v>
                </c:pt>
                <c:pt idx="50">
                  <c:v>4338.9102859498344</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152.70746443895251</c:v>
                </c:pt>
                <c:pt idx="13">
                  <c:v>154.14741601678881</c:v>
                </c:pt>
                <c:pt idx="14">
                  <c:v>155.63753881537838</c:v>
                </c:pt>
                <c:pt idx="15">
                  <c:v>157.17088339373075</c:v>
                </c:pt>
                <c:pt idx="16">
                  <c:v>158.76141676617351</c:v>
                </c:pt>
                <c:pt idx="17">
                  <c:v>160.42353136903782</c:v>
                </c:pt>
                <c:pt idx="18">
                  <c:v>162.10387130782757</c:v>
                </c:pt>
                <c:pt idx="19">
                  <c:v>163.79772899475685</c:v>
                </c:pt>
                <c:pt idx="20">
                  <c:v>165.45915817917029</c:v>
                </c:pt>
                <c:pt idx="21">
                  <c:v>166.73560259458941</c:v>
                </c:pt>
                <c:pt idx="22">
                  <c:v>168.01920305189384</c:v>
                </c:pt>
                <c:pt idx="23">
                  <c:v>169.31582749172225</c:v>
                </c:pt>
                <c:pt idx="24">
                  <c:v>170.63020597363595</c:v>
                </c:pt>
                <c:pt idx="25">
                  <c:v>171.96973796962129</c:v>
                </c:pt>
                <c:pt idx="26">
                  <c:v>173.13623677237291</c:v>
                </c:pt>
                <c:pt idx="27">
                  <c:v>174.31696606360507</c:v>
                </c:pt>
                <c:pt idx="28">
                  <c:v>175.50529921254639</c:v>
                </c:pt>
                <c:pt idx="29">
                  <c:v>176.71024568918338</c:v>
                </c:pt>
                <c:pt idx="30">
                  <c:v>177.93317449567635</c:v>
                </c:pt>
                <c:pt idx="31">
                  <c:v>179.00941419553524</c:v>
                </c:pt>
                <c:pt idx="32">
                  <c:v>180.09695921269105</c:v>
                </c:pt>
                <c:pt idx="33">
                  <c:v>181.1949580380859</c:v>
                </c:pt>
                <c:pt idx="34">
                  <c:v>182.30778854057979</c:v>
                </c:pt>
                <c:pt idx="35">
                  <c:v>183.4243303371247</c:v>
                </c:pt>
                <c:pt idx="36">
                  <c:v>184.40112715139415</c:v>
                </c:pt>
                <c:pt idx="37">
                  <c:v>185.38622807052749</c:v>
                </c:pt>
                <c:pt idx="38">
                  <c:v>186.37658816983975</c:v>
                </c:pt>
                <c:pt idx="39">
                  <c:v>187.37433449323541</c:v>
                </c:pt>
                <c:pt idx="40">
                  <c:v>188.38144782468717</c:v>
                </c:pt>
                <c:pt idx="41">
                  <c:v>189.2542634902313</c:v>
                </c:pt>
                <c:pt idx="42">
                  <c:v>190.12959782073196</c:v>
                </c:pt>
                <c:pt idx="43">
                  <c:v>191.01136497698354</c:v>
                </c:pt>
                <c:pt idx="44">
                  <c:v>191.89971215936308</c:v>
                </c:pt>
                <c:pt idx="45">
                  <c:v>192.79754277877811</c:v>
                </c:pt>
                <c:pt idx="46">
                  <c:v>193.55418265977497</c:v>
                </c:pt>
                <c:pt idx="47">
                  <c:v>194.28817521225676</c:v>
                </c:pt>
                <c:pt idx="48">
                  <c:v>195.02420616796343</c:v>
                </c:pt>
                <c:pt idx="49">
                  <c:v>195.76785958013085</c:v>
                </c:pt>
                <c:pt idx="50">
                  <c:v>196.51391937171059</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168.45470578324009</c:v>
                </c:pt>
                <c:pt idx="13">
                  <c:v>170.97741273547854</c:v>
                </c:pt>
                <c:pt idx="14">
                  <c:v>173.58801659296341</c:v>
                </c:pt>
                <c:pt idx="15">
                  <c:v>176.27434236080549</c:v>
                </c:pt>
                <c:pt idx="16">
                  <c:v>179.06085939248081</c:v>
                </c:pt>
                <c:pt idx="17">
                  <c:v>181.9727823547538</c:v>
                </c:pt>
                <c:pt idx="18">
                  <c:v>184.91663498907531</c:v>
                </c:pt>
                <c:pt idx="19">
                  <c:v>187.88416989003346</c:v>
                </c:pt>
                <c:pt idx="20">
                  <c:v>190.79489204116959</c:v>
                </c:pt>
                <c:pt idx="21">
                  <c:v>193.03114446138102</c:v>
                </c:pt>
                <c:pt idx="22">
                  <c:v>195.27993382859293</c:v>
                </c:pt>
                <c:pt idx="23">
                  <c:v>197.5515404153314</c:v>
                </c:pt>
                <c:pt idx="24">
                  <c:v>199.85425099618206</c:v>
                </c:pt>
                <c:pt idx="25">
                  <c:v>202.20102899276981</c:v>
                </c:pt>
                <c:pt idx="26">
                  <c:v>204.24466343490923</c:v>
                </c:pt>
                <c:pt idx="27">
                  <c:v>206.31322882109995</c:v>
                </c:pt>
                <c:pt idx="28">
                  <c:v>208.39511570018118</c:v>
                </c:pt>
                <c:pt idx="29">
                  <c:v>210.50610811164466</c:v>
                </c:pt>
                <c:pt idx="30">
                  <c:v>212.64860446340964</c:v>
                </c:pt>
                <c:pt idx="31">
                  <c:v>214.53411048659729</c:v>
                </c:pt>
                <c:pt idx="32">
                  <c:v>216.43942273312007</c:v>
                </c:pt>
                <c:pt idx="33">
                  <c:v>218.36304941127216</c:v>
                </c:pt>
                <c:pt idx="34">
                  <c:v>220.3126602791061</c:v>
                </c:pt>
                <c:pt idx="35">
                  <c:v>222.26877310676178</c:v>
                </c:pt>
                <c:pt idx="36">
                  <c:v>223.98006128631613</c:v>
                </c:pt>
                <c:pt idx="37">
                  <c:v>225.7058977488785</c:v>
                </c:pt>
                <c:pt idx="38">
                  <c:v>227.44094797293442</c:v>
                </c:pt>
                <c:pt idx="39">
                  <c:v>229.18893840910084</c:v>
                </c:pt>
                <c:pt idx="40">
                  <c:v>230.95333926955405</c:v>
                </c:pt>
                <c:pt idx="41">
                  <c:v>232.48245884647713</c:v>
                </c:pt>
                <c:pt idx="42">
                  <c:v>234.01599097010941</c:v>
                </c:pt>
                <c:pt idx="43">
                  <c:v>235.56079301037931</c:v>
                </c:pt>
                <c:pt idx="44">
                  <c:v>237.11712285332982</c:v>
                </c:pt>
                <c:pt idx="45">
                  <c:v>238.69006709700651</c:v>
                </c:pt>
                <c:pt idx="46">
                  <c:v>240.01565381638758</c:v>
                </c:pt>
                <c:pt idx="47">
                  <c:v>241.30156380359654</c:v>
                </c:pt>
                <c:pt idx="48">
                  <c:v>242.59104494838192</c:v>
                </c:pt>
                <c:pt idx="49">
                  <c:v>243.89388016993121</c:v>
                </c:pt>
                <c:pt idx="50">
                  <c:v>245.2009312207949</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590659.82732236863</c:v>
                </c:pt>
                <c:pt idx="23">
                  <c:v>594647.99563903548</c:v>
                </c:pt>
                <c:pt idx="24">
                  <c:v>598136.63268648856</c:v>
                </c:pt>
                <c:pt idx="25">
                  <c:v>598587.8952012012</c:v>
                </c:pt>
                <c:pt idx="26">
                  <c:v>599365.15063746762</c:v>
                </c:pt>
                <c:pt idx="27">
                  <c:v>603824.89896406408</c:v>
                </c:pt>
                <c:pt idx="28">
                  <c:v>607391.06462310744</c:v>
                </c:pt>
                <c:pt idx="29">
                  <c:v>607422.33297804231</c:v>
                </c:pt>
                <c:pt idx="30">
                  <c:v>591329.43600858422</c:v>
                </c:pt>
                <c:pt idx="31">
                  <c:v>599103.82544002542</c:v>
                </c:pt>
                <c:pt idx="32">
                  <c:v>604988.90466458153</c:v>
                </c:pt>
                <c:pt idx="33">
                  <c:v>610541.33764853247</c:v>
                </c:pt>
                <c:pt idx="34">
                  <c:v>616979.54736215889</c:v>
                </c:pt>
                <c:pt idx="35">
                  <c:v>626204.5269397886</c:v>
                </c:pt>
                <c:pt idx="36">
                  <c:v>635808.80407396378</c:v>
                </c:pt>
                <c:pt idx="37">
                  <c:v>646241.21705830109</c:v>
                </c:pt>
                <c:pt idx="38">
                  <c:v>655728.43045806733</c:v>
                </c:pt>
                <c:pt idx="39">
                  <c:v>666598.46233373915</c:v>
                </c:pt>
                <c:pt idx="40">
                  <c:v>679157.87823684874</c:v>
                </c:pt>
                <c:pt idx="41">
                  <c:v>691249.48892285035</c:v>
                </c:pt>
                <c:pt idx="42">
                  <c:v>703971.48325899884</c:v>
                </c:pt>
                <c:pt idx="43">
                  <c:v>717079.34406684258</c:v>
                </c:pt>
                <c:pt idx="44">
                  <c:v>731664.68078541593</c:v>
                </c:pt>
                <c:pt idx="45">
                  <c:v>744869.8509050631</c:v>
                </c:pt>
                <c:pt idx="46">
                  <c:v>758591.49039818766</c:v>
                </c:pt>
                <c:pt idx="47">
                  <c:v>772671.78695896757</c:v>
                </c:pt>
                <c:pt idx="48">
                  <c:v>786331.1864182672</c:v>
                </c:pt>
                <c:pt idx="49">
                  <c:v>800094.11184154206</c:v>
                </c:pt>
                <c:pt idx="50">
                  <c:v>814440.85787634295</c:v>
                </c:pt>
                <c:pt idx="51">
                  <c:v>829262.64082236879</c:v>
                </c:pt>
                <c:pt idx="52">
                  <c:v>843418.9615521878</c:v>
                </c:pt>
                <c:pt idx="53">
                  <c:v>857874.32045169827</c:v>
                </c:pt>
                <c:pt idx="54">
                  <c:v>872654.76942911511</c:v>
                </c:pt>
                <c:pt idx="55">
                  <c:v>888461.01760093297</c:v>
                </c:pt>
                <c:pt idx="56">
                  <c:v>904441.22626746865</c:v>
                </c:pt>
                <c:pt idx="57">
                  <c:v>914005.57331168395</c:v>
                </c:pt>
                <c:pt idx="58">
                  <c:v>923198.32476661098</c:v>
                </c:pt>
                <c:pt idx="59">
                  <c:v>933369.00360126945</c:v>
                </c:pt>
                <c:pt idx="60">
                  <c:v>943246.5608825559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489403.85692424828</c:v>
                </c:pt>
                <c:pt idx="23">
                  <c:v>492708.33924377221</c:v>
                </c:pt>
                <c:pt idx="24">
                  <c:v>495598.9242259477</c:v>
                </c:pt>
                <c:pt idx="25">
                  <c:v>495972.82745242387</c:v>
                </c:pt>
                <c:pt idx="26">
                  <c:v>496616.83909961605</c:v>
                </c:pt>
                <c:pt idx="27">
                  <c:v>500312.05914165312</c:v>
                </c:pt>
                <c:pt idx="28">
                  <c:v>503266.88211628905</c:v>
                </c:pt>
                <c:pt idx="29">
                  <c:v>503292.79018180649</c:v>
                </c:pt>
                <c:pt idx="30">
                  <c:v>489958.67554996983</c:v>
                </c:pt>
                <c:pt idx="31">
                  <c:v>496400.31250744965</c:v>
                </c:pt>
                <c:pt idx="32">
                  <c:v>501276.52100779617</c:v>
                </c:pt>
                <c:pt idx="33">
                  <c:v>505877.10833735543</c:v>
                </c:pt>
                <c:pt idx="34">
                  <c:v>511211.62495721737</c:v>
                </c:pt>
                <c:pt idx="35">
                  <c:v>518855.17946439621</c:v>
                </c:pt>
                <c:pt idx="36">
                  <c:v>526813.00908985571</c:v>
                </c:pt>
                <c:pt idx="37">
                  <c:v>535457.00841973512</c:v>
                </c:pt>
                <c:pt idx="38">
                  <c:v>543317.84237954149</c:v>
                </c:pt>
                <c:pt idx="39">
                  <c:v>552324.4402193838</c:v>
                </c:pt>
                <c:pt idx="40">
                  <c:v>562730.81339624606</c:v>
                </c:pt>
                <c:pt idx="41">
                  <c:v>572749.57653607603</c:v>
                </c:pt>
                <c:pt idx="42">
                  <c:v>583290.65755745617</c:v>
                </c:pt>
                <c:pt idx="43">
                  <c:v>594151.45651252673</c:v>
                </c:pt>
                <c:pt idx="44">
                  <c:v>606236.44979363028</c:v>
                </c:pt>
                <c:pt idx="45">
                  <c:v>617177.8764641952</c:v>
                </c:pt>
                <c:pt idx="46">
                  <c:v>628547.23490135546</c:v>
                </c:pt>
                <c:pt idx="47">
                  <c:v>640213.76633743022</c:v>
                </c:pt>
                <c:pt idx="48">
                  <c:v>651531.55446084996</c:v>
                </c:pt>
                <c:pt idx="49">
                  <c:v>662935.12124013482</c:v>
                </c:pt>
                <c:pt idx="50">
                  <c:v>674822.4250975413</c:v>
                </c:pt>
                <c:pt idx="51">
                  <c:v>687103.33096710558</c:v>
                </c:pt>
                <c:pt idx="52">
                  <c:v>698832.85385752702</c:v>
                </c:pt>
                <c:pt idx="53">
                  <c:v>710810.15123140719</c:v>
                </c:pt>
                <c:pt idx="54">
                  <c:v>723056.80895555252</c:v>
                </c:pt>
                <c:pt idx="55">
                  <c:v>736153.41458363016</c:v>
                </c:pt>
                <c:pt idx="56">
                  <c:v>749394.15890733118</c:v>
                </c:pt>
                <c:pt idx="57">
                  <c:v>757318.90360110952</c:v>
                </c:pt>
                <c:pt idx="58">
                  <c:v>764935.75480662053</c:v>
                </c:pt>
                <c:pt idx="59">
                  <c:v>773362.88869819476</c:v>
                </c:pt>
                <c:pt idx="60">
                  <c:v>781547.15044554637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607535.8223887221</c:v>
                </c:pt>
                <c:pt idx="23">
                  <c:v>611637.9383715794</c:v>
                </c:pt>
                <c:pt idx="24">
                  <c:v>615226.25076324551</c:v>
                </c:pt>
                <c:pt idx="25">
                  <c:v>615690.40649266425</c:v>
                </c:pt>
                <c:pt idx="26">
                  <c:v>616489.86922710971</c:v>
                </c:pt>
                <c:pt idx="27">
                  <c:v>621077.03893446608</c:v>
                </c:pt>
                <c:pt idx="28">
                  <c:v>624745.09504091064</c:v>
                </c:pt>
                <c:pt idx="29">
                  <c:v>624777.25677741505</c:v>
                </c:pt>
                <c:pt idx="30">
                  <c:v>608224.56275168678</c:v>
                </c:pt>
                <c:pt idx="31">
                  <c:v>616221.07759545487</c:v>
                </c:pt>
                <c:pt idx="32">
                  <c:v>622274.30194071261</c:v>
                </c:pt>
                <c:pt idx="33">
                  <c:v>627985.37586706202</c:v>
                </c:pt>
                <c:pt idx="34">
                  <c:v>634607.53442964924</c:v>
                </c:pt>
                <c:pt idx="35">
                  <c:v>644096.08485235402</c:v>
                </c:pt>
                <c:pt idx="36">
                  <c:v>653974.76990464854</c:v>
                </c:pt>
                <c:pt idx="37">
                  <c:v>664705.25183139544</c:v>
                </c:pt>
                <c:pt idx="38">
                  <c:v>674463.52847115509</c:v>
                </c:pt>
                <c:pt idx="39">
                  <c:v>685644.13268613187</c:v>
                </c:pt>
                <c:pt idx="40">
                  <c:v>698562.3890436159</c:v>
                </c:pt>
                <c:pt idx="41">
                  <c:v>710999.47432064614</c:v>
                </c:pt>
                <c:pt idx="42">
                  <c:v>724084.9542092561</c:v>
                </c:pt>
                <c:pt idx="43">
                  <c:v>737567.32532589533</c:v>
                </c:pt>
                <c:pt idx="44">
                  <c:v>752569.38595071365</c:v>
                </c:pt>
                <c:pt idx="45">
                  <c:v>766151.84664520796</c:v>
                </c:pt>
                <c:pt idx="46">
                  <c:v>780265.53298099316</c:v>
                </c:pt>
                <c:pt idx="47">
                  <c:v>794748.12372922397</c:v>
                </c:pt>
                <c:pt idx="48">
                  <c:v>808797.79174450354</c:v>
                </c:pt>
                <c:pt idx="49">
                  <c:v>822953.94360844337</c:v>
                </c:pt>
                <c:pt idx="50">
                  <c:v>837710.59667281003</c:v>
                </c:pt>
                <c:pt idx="51">
                  <c:v>852955.85913157952</c:v>
                </c:pt>
                <c:pt idx="52">
                  <c:v>867516.64616796467</c:v>
                </c:pt>
                <c:pt idx="53">
                  <c:v>882385.01532174693</c:v>
                </c:pt>
                <c:pt idx="54">
                  <c:v>897587.76284137566</c:v>
                </c:pt>
                <c:pt idx="55">
                  <c:v>913845.61810381699</c:v>
                </c:pt>
                <c:pt idx="56">
                  <c:v>930282.40416082507</c:v>
                </c:pt>
                <c:pt idx="57">
                  <c:v>940120.01826344652</c:v>
                </c:pt>
                <c:pt idx="58">
                  <c:v>949575.41975994292</c:v>
                </c:pt>
                <c:pt idx="59">
                  <c:v>960036.68941844883</c:v>
                </c:pt>
                <c:pt idx="60">
                  <c:v>970196.46262205765</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5984261.233029482</c:v>
                </c:pt>
                <c:pt idx="23">
                  <c:v>5953794.0597159145</c:v>
                </c:pt>
                <c:pt idx="24">
                  <c:v>5898185.8883474981</c:v>
                </c:pt>
                <c:pt idx="25">
                  <c:v>5745970.6114831753</c:v>
                </c:pt>
                <c:pt idx="26">
                  <c:v>5599829.6425982891</c:v>
                </c:pt>
                <c:pt idx="27">
                  <c:v>5551992.8329450591</c:v>
                </c:pt>
                <c:pt idx="28">
                  <c:v>5474731.2958658384</c:v>
                </c:pt>
                <c:pt idx="29">
                  <c:v>5301139.6705897786</c:v>
                </c:pt>
                <c:pt idx="30">
                  <c:v>4718721.9406965245</c:v>
                </c:pt>
                <c:pt idx="31">
                  <c:v>4834023.1532464344</c:v>
                </c:pt>
                <c:pt idx="32">
                  <c:v>4896300.3686555112</c:v>
                </c:pt>
                <c:pt idx="33">
                  <c:v>4945799.9855607199</c:v>
                </c:pt>
                <c:pt idx="34">
                  <c:v>5012324.2866323097</c:v>
                </c:pt>
                <c:pt idx="35">
                  <c:v>5140041.8344212947</c:v>
                </c:pt>
                <c:pt idx="36">
                  <c:v>5279825.7369139744</c:v>
                </c:pt>
                <c:pt idx="37">
                  <c:v>5432134.9654965019</c:v>
                </c:pt>
                <c:pt idx="38">
                  <c:v>5556324.6591268294</c:v>
                </c:pt>
                <c:pt idx="39">
                  <c:v>5705398.1870173495</c:v>
                </c:pt>
                <c:pt idx="40">
                  <c:v>5884960.6480244119</c:v>
                </c:pt>
                <c:pt idx="41">
                  <c:v>6003243.5859460318</c:v>
                </c:pt>
                <c:pt idx="42">
                  <c:v>6124065.5184204346</c:v>
                </c:pt>
                <c:pt idx="43">
                  <c:v>6241795.211035423</c:v>
                </c:pt>
                <c:pt idx="44">
                  <c:v>6377999.0871575838</c:v>
                </c:pt>
                <c:pt idx="45">
                  <c:v>6475058.7488337113</c:v>
                </c:pt>
                <c:pt idx="46">
                  <c:v>6577309.5931838136</c:v>
                </c:pt>
                <c:pt idx="47">
                  <c:v>6675154.4594423026</c:v>
                </c:pt>
                <c:pt idx="48">
                  <c:v>6754203.7727909777</c:v>
                </c:pt>
                <c:pt idx="49">
                  <c:v>6824553.6756699514</c:v>
                </c:pt>
                <c:pt idx="50">
                  <c:v>6894587.7164701195</c:v>
                </c:pt>
                <c:pt idx="51">
                  <c:v>7002380.9552292489</c:v>
                </c:pt>
                <c:pt idx="52">
                  <c:v>7090166.2277606353</c:v>
                </c:pt>
                <c:pt idx="53">
                  <c:v>7174460.8637415282</c:v>
                </c:pt>
                <c:pt idx="54">
                  <c:v>7255541.4999423893</c:v>
                </c:pt>
                <c:pt idx="55">
                  <c:v>7344146.1229910608</c:v>
                </c:pt>
                <c:pt idx="56">
                  <c:v>7430933.3870434612</c:v>
                </c:pt>
                <c:pt idx="57">
                  <c:v>7413052.6565260356</c:v>
                </c:pt>
                <c:pt idx="58">
                  <c:v>7384995.5807863967</c:v>
                </c:pt>
                <c:pt idx="59">
                  <c:v>7366450.2517271712</c:v>
                </c:pt>
                <c:pt idx="60">
                  <c:v>7338853.470458135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5306797.6972148223</c:v>
                </c:pt>
                <c:pt idx="23">
                  <c:v>5279779.6378612826</c:v>
                </c:pt>
                <c:pt idx="24">
                  <c:v>5230466.731176083</c:v>
                </c:pt>
                <c:pt idx="25">
                  <c:v>5095483.3724473435</c:v>
                </c:pt>
                <c:pt idx="26">
                  <c:v>4965886.6641909359</c:v>
                </c:pt>
                <c:pt idx="27">
                  <c:v>4923465.3424229762</c:v>
                </c:pt>
                <c:pt idx="28">
                  <c:v>4854950.3944470631</c:v>
                </c:pt>
                <c:pt idx="29">
                  <c:v>4701010.6512777284</c:v>
                </c:pt>
                <c:pt idx="30">
                  <c:v>4184527.0040138983</c:v>
                </c:pt>
                <c:pt idx="31">
                  <c:v>4286775.2491053287</c:v>
                </c:pt>
                <c:pt idx="32">
                  <c:v>4342002.2137133768</c:v>
                </c:pt>
                <c:pt idx="33">
                  <c:v>4385898.1004029019</c:v>
                </c:pt>
                <c:pt idx="34">
                  <c:v>4444891.3485229919</c:v>
                </c:pt>
                <c:pt idx="35">
                  <c:v>4558150.305996242</c:v>
                </c:pt>
                <c:pt idx="36">
                  <c:v>4682109.6157539012</c:v>
                </c:pt>
                <c:pt idx="37">
                  <c:v>4817176.2901572743</c:v>
                </c:pt>
                <c:pt idx="38">
                  <c:v>4927306.7731879428</c:v>
                </c:pt>
                <c:pt idx="39">
                  <c:v>5059504.052638026</c:v>
                </c:pt>
                <c:pt idx="40">
                  <c:v>5218738.6878707036</c:v>
                </c:pt>
                <c:pt idx="41">
                  <c:v>5323631.1045181779</c:v>
                </c:pt>
                <c:pt idx="42">
                  <c:v>5430775.0823728377</c:v>
                </c:pt>
                <c:pt idx="43">
                  <c:v>5535176.8852578271</c:v>
                </c:pt>
                <c:pt idx="44">
                  <c:v>5655961.4546491774</c:v>
                </c:pt>
                <c:pt idx="45">
                  <c:v>5742033.2300978182</c:v>
                </c:pt>
                <c:pt idx="46">
                  <c:v>5832708.5071630031</c:v>
                </c:pt>
                <c:pt idx="47">
                  <c:v>5919476.5961092114</c:v>
                </c:pt>
                <c:pt idx="48">
                  <c:v>5989576.9305882249</c:v>
                </c:pt>
                <c:pt idx="49">
                  <c:v>6051962.6935186349</c:v>
                </c:pt>
                <c:pt idx="50">
                  <c:v>6114068.3523414256</c:v>
                </c:pt>
                <c:pt idx="51">
                  <c:v>6209658.5829391442</c:v>
                </c:pt>
                <c:pt idx="52">
                  <c:v>6287505.9000896197</c:v>
                </c:pt>
                <c:pt idx="53">
                  <c:v>6362257.7470915429</c:v>
                </c:pt>
                <c:pt idx="54">
                  <c:v>6434159.4433451379</c:v>
                </c:pt>
                <c:pt idx="55">
                  <c:v>6512733.3543505631</c:v>
                </c:pt>
                <c:pt idx="56">
                  <c:v>6589695.6451140121</c:v>
                </c:pt>
                <c:pt idx="57">
                  <c:v>6573839.148240068</c:v>
                </c:pt>
                <c:pt idx="58">
                  <c:v>6548958.3452256722</c:v>
                </c:pt>
                <c:pt idx="59">
                  <c:v>6532512.4873806983</c:v>
                </c:pt>
                <c:pt idx="60">
                  <c:v>6508039.8700289112</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543007.49179039791</c:v>
                </c:pt>
                <c:pt idx="23">
                  <c:v>563264.94874187512</c:v>
                </c:pt>
                <c:pt idx="24">
                  <c:v>581463.66332741594</c:v>
                </c:pt>
                <c:pt idx="25">
                  <c:v>590003.82779140584</c:v>
                </c:pt>
                <c:pt idx="26">
                  <c:v>598674.66430219111</c:v>
                </c:pt>
                <c:pt idx="27">
                  <c:v>617814.32044813794</c:v>
                </c:pt>
                <c:pt idx="28">
                  <c:v>633958.70908242883</c:v>
                </c:pt>
                <c:pt idx="29">
                  <c:v>638671.61459478887</c:v>
                </c:pt>
                <c:pt idx="30">
                  <c:v>591407.68067539216</c:v>
                </c:pt>
                <c:pt idx="31">
                  <c:v>620381.42192109535</c:v>
                </c:pt>
                <c:pt idx="32">
                  <c:v>643229.65896732954</c:v>
                </c:pt>
                <c:pt idx="33">
                  <c:v>664898.12383580545</c:v>
                </c:pt>
                <c:pt idx="34">
                  <c:v>689384.88286130771</c:v>
                </c:pt>
                <c:pt idx="35">
                  <c:v>723080.40597535833</c:v>
                </c:pt>
                <c:pt idx="36">
                  <c:v>759519.77018615231</c:v>
                </c:pt>
                <c:pt idx="37">
                  <c:v>798913.78090440843</c:v>
                </c:pt>
                <c:pt idx="38">
                  <c:v>835303.99361631507</c:v>
                </c:pt>
                <c:pt idx="39">
                  <c:v>876586.94370818068</c:v>
                </c:pt>
                <c:pt idx="40">
                  <c:v>923922.33122630802</c:v>
                </c:pt>
                <c:pt idx="41">
                  <c:v>973644.96966303198</c:v>
                </c:pt>
                <c:pt idx="42">
                  <c:v>1026134.6694727911</c:v>
                </c:pt>
                <c:pt idx="43">
                  <c:v>1080587.5477016529</c:v>
                </c:pt>
                <c:pt idx="44">
                  <c:v>1140947.4616278226</c:v>
                </c:pt>
                <c:pt idx="45">
                  <c:v>1197041.5875276658</c:v>
                </c:pt>
                <c:pt idx="46">
                  <c:v>1256783.4383009032</c:v>
                </c:pt>
                <c:pt idx="47">
                  <c:v>1318533.556299502</c:v>
                </c:pt>
                <c:pt idx="48">
                  <c:v>1379436.2312595109</c:v>
                </c:pt>
                <c:pt idx="49">
                  <c:v>1441412.16189231</c:v>
                </c:pt>
                <c:pt idx="50">
                  <c:v>1506283.3274274806</c:v>
                </c:pt>
                <c:pt idx="51">
                  <c:v>1572842.3752946462</c:v>
                </c:pt>
                <c:pt idx="52">
                  <c:v>1637489.0113383858</c:v>
                </c:pt>
                <c:pt idx="53">
                  <c:v>1703885.9918647576</c:v>
                </c:pt>
                <c:pt idx="54">
                  <c:v>1772158.3783189105</c:v>
                </c:pt>
                <c:pt idx="55">
                  <c:v>1845070.7542588846</c:v>
                </c:pt>
                <c:pt idx="56">
                  <c:v>1920512.5389712632</c:v>
                </c:pt>
                <c:pt idx="57">
                  <c:v>1971249.191358055</c:v>
                </c:pt>
                <c:pt idx="58">
                  <c:v>2020875.6816750302</c:v>
                </c:pt>
                <c:pt idx="59">
                  <c:v>2074782.376103628</c:v>
                </c:pt>
                <c:pt idx="60">
                  <c:v>2127910.5135592604</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19015978.109920204</c:v>
                      </c:pt>
                      <c:pt idx="23">
                        <c:v>19026240.670801673</c:v>
                      </c:pt>
                      <c:pt idx="24">
                        <c:v>19049833.423283767</c:v>
                      </c:pt>
                      <c:pt idx="25">
                        <c:v>19084859.062341545</c:v>
                      </c:pt>
                      <c:pt idx="26">
                        <c:v>19132134.129473589</c:v>
                      </c:pt>
                      <c:pt idx="27">
                        <c:v>19192608.724077564</c:v>
                      </c:pt>
                      <c:pt idx="28">
                        <c:v>19259245.436183929</c:v>
                      </c:pt>
                      <c:pt idx="29">
                        <c:v>19331009.292671949</c:v>
                      </c:pt>
                      <c:pt idx="30">
                        <c:v>19402108.703371886</c:v>
                      </c:pt>
                      <c:pt idx="31">
                        <c:v>19431205.754321072</c:v>
                      </c:pt>
                      <c:pt idx="32">
                        <c:v>19464246.359067999</c:v>
                      </c:pt>
                      <c:pt idx="33">
                        <c:v>19501612.945101976</c:v>
                      </c:pt>
                      <c:pt idx="34">
                        <c:v>19543576.565399341</c:v>
                      </c:pt>
                      <c:pt idx="35">
                        <c:v>19590730.489597119</c:v>
                      </c:pt>
                      <c:pt idx="36">
                        <c:v>19620378.823161986</c:v>
                      </c:pt>
                      <c:pt idx="37">
                        <c:v>19653764.356108122</c:v>
                      </c:pt>
                      <c:pt idx="38">
                        <c:v>19689957.923144069</c:v>
                      </c:pt>
                      <c:pt idx="39">
                        <c:v>19729808.078013156</c:v>
                      </c:pt>
                      <c:pt idx="40">
                        <c:v>19773310.257666815</c:v>
                      </c:pt>
                      <c:pt idx="41">
                        <c:v>19802103.499767277</c:v>
                      </c:pt>
                      <c:pt idx="42">
                        <c:v>19833698.158773553</c:v>
                      </c:pt>
                      <c:pt idx="43">
                        <c:v>19867881.991291877</c:v>
                      </c:pt>
                      <c:pt idx="44">
                        <c:v>19905025.039787918</c:v>
                      </c:pt>
                      <c:pt idx="45">
                        <c:v>19943812.908300757</c:v>
                      </c:pt>
                      <c:pt idx="46">
                        <c:v>19968628.337633636</c:v>
                      </c:pt>
                      <c:pt idx="47">
                        <c:v>19995548.848563652</c:v>
                      </c:pt>
                      <c:pt idx="48">
                        <c:v>20024166.731079645</c:v>
                      </c:pt>
                      <c:pt idx="49">
                        <c:v>20054638.640662499</c:v>
                      </c:pt>
                      <c:pt idx="50">
                        <c:v>20087107.330470581</c:v>
                      </c:pt>
                      <c:pt idx="51">
                        <c:v>20106243.92218877</c:v>
                      </c:pt>
                      <c:pt idx="52">
                        <c:v>20126634.397774529</c:v>
                      </c:pt>
                      <c:pt idx="53">
                        <c:v>20148638.087778486</c:v>
                      </c:pt>
                      <c:pt idx="54">
                        <c:v>20172216.176146753</c:v>
                      </c:pt>
                      <c:pt idx="55">
                        <c:v>20197621.807867199</c:v>
                      </c:pt>
                      <c:pt idx="56">
                        <c:v>20209072.110197529</c:v>
                      </c:pt>
                      <c:pt idx="57">
                        <c:v>20219010.828117702</c:v>
                      </c:pt>
                      <c:pt idx="58">
                        <c:v>20229982.866633583</c:v>
                      </c:pt>
                      <c:pt idx="59">
                        <c:v>20242526.88546627</c:v>
                      </c:pt>
                      <c:pt idx="60">
                        <c:v>20256063.336397491</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2841467.9934363523</c:v>
                      </c:pt>
                      <c:pt idx="23">
                        <c:v>2843001.4795450778</c:v>
                      </c:pt>
                      <c:pt idx="24">
                        <c:v>2846526.8333642413</c:v>
                      </c:pt>
                      <c:pt idx="25">
                        <c:v>2851760.5495452886</c:v>
                      </c:pt>
                      <c:pt idx="26">
                        <c:v>2858824.6400362835</c:v>
                      </c:pt>
                      <c:pt idx="27">
                        <c:v>2867861.0737127396</c:v>
                      </c:pt>
                      <c:pt idx="28">
                        <c:v>2877818.283567714</c:v>
                      </c:pt>
                      <c:pt idx="29">
                        <c:v>2888541.6184452334</c:v>
                      </c:pt>
                      <c:pt idx="30">
                        <c:v>2899165.6683199373</c:v>
                      </c:pt>
                      <c:pt idx="31">
                        <c:v>2903513.5035192408</c:v>
                      </c:pt>
                      <c:pt idx="32">
                        <c:v>2908450.6053779768</c:v>
                      </c:pt>
                      <c:pt idx="33">
                        <c:v>2914034.1182336286</c:v>
                      </c:pt>
                      <c:pt idx="34">
                        <c:v>2920304.5442550741</c:v>
                      </c:pt>
                      <c:pt idx="35">
                        <c:v>2927350.5329283057</c:v>
                      </c:pt>
                      <c:pt idx="36">
                        <c:v>2931780.7436908716</c:v>
                      </c:pt>
                      <c:pt idx="37">
                        <c:v>2936769.3865448916</c:v>
                      </c:pt>
                      <c:pt idx="38">
                        <c:v>2942177.6206996883</c:v>
                      </c:pt>
                      <c:pt idx="39">
                        <c:v>2948132.2415421959</c:v>
                      </c:pt>
                      <c:pt idx="40">
                        <c:v>2954632.5672375704</c:v>
                      </c:pt>
                      <c:pt idx="41">
                        <c:v>2958935.0057123522</c:v>
                      </c:pt>
                      <c:pt idx="42">
                        <c:v>2963656.0467132893</c:v>
                      </c:pt>
                      <c:pt idx="43">
                        <c:v>2968763.9757102807</c:v>
                      </c:pt>
                      <c:pt idx="44">
                        <c:v>2974314.0864050915</c:v>
                      </c:pt>
                      <c:pt idx="45">
                        <c:v>2980109.9748035618</c:v>
                      </c:pt>
                      <c:pt idx="46">
                        <c:v>2983818.0274624974</c:v>
                      </c:pt>
                      <c:pt idx="47">
                        <c:v>2987840.6325439946</c:v>
                      </c:pt>
                      <c:pt idx="48">
                        <c:v>2992116.8678624756</c:v>
                      </c:pt>
                      <c:pt idx="49">
                        <c:v>2996670.1417081896</c:v>
                      </c:pt>
                      <c:pt idx="50">
                        <c:v>3001521.7850128454</c:v>
                      </c:pt>
                      <c:pt idx="51">
                        <c:v>3004381.2757293563</c:v>
                      </c:pt>
                      <c:pt idx="52">
                        <c:v>3007428.1284030904</c:v>
                      </c:pt>
                      <c:pt idx="53">
                        <c:v>3010716.0361048314</c:v>
                      </c:pt>
                      <c:pt idx="54">
                        <c:v>3014239.1987345726</c:v>
                      </c:pt>
                      <c:pt idx="55">
                        <c:v>3018035.4425548688</c:v>
                      </c:pt>
                      <c:pt idx="56">
                        <c:v>3019746.4072708949</c:v>
                      </c:pt>
                      <c:pt idx="57">
                        <c:v>3021231.5030520707</c:v>
                      </c:pt>
                      <c:pt idx="58">
                        <c:v>3022871.0030601909</c:v>
                      </c:pt>
                      <c:pt idx="59">
                        <c:v>3024745.3966788682</c:v>
                      </c:pt>
                      <c:pt idx="60">
                        <c:v>3026768.0847490504</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2067614.642656798</c:v>
                      </c:pt>
                      <c:pt idx="23">
                        <c:v>2072988.7168994576</c:v>
                      </c:pt>
                      <c:pt idx="24">
                        <c:v>2080235.7608107477</c:v>
                      </c:pt>
                      <c:pt idx="25">
                        <c:v>2089062.4763060827</c:v>
                      </c:pt>
                      <c:pt idx="26">
                        <c:v>2099634.7522200332</c:v>
                      </c:pt>
                      <c:pt idx="27">
                        <c:v>2112133.6230614381</c:v>
                      </c:pt>
                      <c:pt idx="28">
                        <c:v>2125379.9594243024</c:v>
                      </c:pt>
                      <c:pt idx="29">
                        <c:v>2139218.7685610452</c:v>
                      </c:pt>
                      <c:pt idx="30">
                        <c:v>2152691.6803786336</c:v>
                      </c:pt>
                      <c:pt idx="31">
                        <c:v>2158871.1518625161</c:v>
                      </c:pt>
                      <c:pt idx="32">
                        <c:v>2165535.0758280959</c:v>
                      </c:pt>
                      <c:pt idx="33">
                        <c:v>2172757.6865047915</c:v>
                      </c:pt>
                      <c:pt idx="34">
                        <c:v>2180592.4512838051</c:v>
                      </c:pt>
                      <c:pt idx="35">
                        <c:v>2189144.7698348155</c:v>
                      </c:pt>
                      <c:pt idx="36">
                        <c:v>2194649.3351718113</c:v>
                      </c:pt>
                      <c:pt idx="37">
                        <c:v>2200656.3872116311</c:v>
                      </c:pt>
                      <c:pt idx="38">
                        <c:v>2207016.5011669281</c:v>
                      </c:pt>
                      <c:pt idx="39">
                        <c:v>2213874.2752633416</c:v>
                      </c:pt>
                      <c:pt idx="40">
                        <c:v>2221232.0213697874</c:v>
                      </c:pt>
                      <c:pt idx="41">
                        <c:v>2226074.9830982564</c:v>
                      </c:pt>
                      <c:pt idx="42">
                        <c:v>2231295.4056526404</c:v>
                      </c:pt>
                      <c:pt idx="43">
                        <c:v>2236860.7897538398</c:v>
                      </c:pt>
                      <c:pt idx="44">
                        <c:v>2242833.6889893389</c:v>
                      </c:pt>
                      <c:pt idx="45">
                        <c:v>2249001.2656106222</c:v>
                      </c:pt>
                      <c:pt idx="46">
                        <c:v>2252824.6348691038</c:v>
                      </c:pt>
                      <c:pt idx="47">
                        <c:v>2256931.5289434274</c:v>
                      </c:pt>
                      <c:pt idx="48">
                        <c:v>2261257.1118704318</c:v>
                      </c:pt>
                      <c:pt idx="49">
                        <c:v>2265828.172219194</c:v>
                      </c:pt>
                      <c:pt idx="50">
                        <c:v>2270668.8953284565</c:v>
                      </c:pt>
                      <c:pt idx="51">
                        <c:v>2273308.3380504865</c:v>
                      </c:pt>
                      <c:pt idx="52">
                        <c:v>2276108.0357723883</c:v>
                      </c:pt>
                      <c:pt idx="53">
                        <c:v>2279126.7508470975</c:v>
                      </c:pt>
                      <c:pt idx="54">
                        <c:v>2282358.8672227631</c:v>
                      </c:pt>
                      <c:pt idx="55">
                        <c:v>2285845.4727006</c:v>
                      </c:pt>
                      <c:pt idx="56">
                        <c:v>2287063.3452138416</c:v>
                      </c:pt>
                      <c:pt idx="57">
                        <c:v>2288011.3846140928</c:v>
                      </c:pt>
                      <c:pt idx="58">
                        <c:v>2289097.7022010405</c:v>
                      </c:pt>
                      <c:pt idx="59">
                        <c:v>2290408.4783192039</c:v>
                      </c:pt>
                      <c:pt idx="60">
                        <c:v>2291851.6496943706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4013604.8945690775</c:v>
                      </c:pt>
                      <c:pt idx="23">
                        <c:v>4024036.9210401229</c:v>
                      </c:pt>
                      <c:pt idx="24">
                        <c:v>4038104.7121620388</c:v>
                      </c:pt>
                      <c:pt idx="25">
                        <c:v>4055238.9245941597</c:v>
                      </c:pt>
                      <c:pt idx="26">
                        <c:v>4075761.5778388875</c:v>
                      </c:pt>
                      <c:pt idx="27">
                        <c:v>4100024.0918251434</c:v>
                      </c:pt>
                      <c:pt idx="28">
                        <c:v>4125737.5682942332</c:v>
                      </c:pt>
                      <c:pt idx="29">
                        <c:v>4152601.1389714396</c:v>
                      </c:pt>
                      <c:pt idx="30">
                        <c:v>4178754.4383820524</c:v>
                      </c:pt>
                      <c:pt idx="31">
                        <c:v>4190749.8830272364</c:v>
                      </c:pt>
                      <c:pt idx="32">
                        <c:v>4203685.735431009</c:v>
                      </c:pt>
                      <c:pt idx="33">
                        <c:v>4217706.0973328296</c:v>
                      </c:pt>
                      <c:pt idx="34">
                        <c:v>4232914.7583744442</c:v>
                      </c:pt>
                      <c:pt idx="35">
                        <c:v>4249516.3179146415</c:v>
                      </c:pt>
                      <c:pt idx="36">
                        <c:v>4260201.6506276326</c:v>
                      </c:pt>
                      <c:pt idx="37">
                        <c:v>4271862.3987049302</c:v>
                      </c:pt>
                      <c:pt idx="38">
                        <c:v>4284208.5022652121</c:v>
                      </c:pt>
                      <c:pt idx="39">
                        <c:v>4297520.6519817803</c:v>
                      </c:pt>
                      <c:pt idx="40">
                        <c:v>4311803.335600174</c:v>
                      </c:pt>
                      <c:pt idx="41">
                        <c:v>4321204.3789554378</c:v>
                      </c:pt>
                      <c:pt idx="42">
                        <c:v>4331338.1403845362</c:v>
                      </c:pt>
                      <c:pt idx="43">
                        <c:v>4342141.5330515699</c:v>
                      </c:pt>
                      <c:pt idx="44">
                        <c:v>4353735.9845087156</c:v>
                      </c:pt>
                      <c:pt idx="45">
                        <c:v>4365708.3391265012</c:v>
                      </c:pt>
                      <c:pt idx="46">
                        <c:v>4373130.1735694353</c:v>
                      </c:pt>
                      <c:pt idx="47">
                        <c:v>4381102.3797137104</c:v>
                      </c:pt>
                      <c:pt idx="48">
                        <c:v>4389499.0995131908</c:v>
                      </c:pt>
                      <c:pt idx="49">
                        <c:v>4398372.3343078457</c:v>
                      </c:pt>
                      <c:pt idx="50">
                        <c:v>4407769.0321081793</c:v>
                      </c:pt>
                      <c:pt idx="51">
                        <c:v>4412892.65621565</c:v>
                      </c:pt>
                      <c:pt idx="52">
                        <c:v>4418327.3635581648</c:v>
                      </c:pt>
                      <c:pt idx="53">
                        <c:v>4424187.2222326007</c:v>
                      </c:pt>
                      <c:pt idx="54">
                        <c:v>4430461.3304912457</c:v>
                      </c:pt>
                      <c:pt idx="55">
                        <c:v>4437229.4470070461</c:v>
                      </c:pt>
                      <c:pt idx="56">
                        <c:v>4439593.5524739269</c:v>
                      </c:pt>
                      <c:pt idx="57">
                        <c:v>4441433.8642508844</c:v>
                      </c:pt>
                      <c:pt idx="58">
                        <c:v>4443542.5983902542</c:v>
                      </c:pt>
                      <c:pt idx="59">
                        <c:v>4446087.0461490415</c:v>
                      </c:pt>
                      <c:pt idx="60">
                        <c:v>4448888.4964655424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309028.21482486243</c:v>
                      </c:pt>
                      <c:pt idx="23">
                        <c:v>311109.49077674747</c:v>
                      </c:pt>
                      <c:pt idx="24">
                        <c:v>312368.726893201</c:v>
                      </c:pt>
                      <c:pt idx="25">
                        <c:v>310711.90538947925</c:v>
                      </c:pt>
                      <c:pt idx="26">
                        <c:v>309018.75882889726</c:v>
                      </c:pt>
                      <c:pt idx="27">
                        <c:v>310067.87140764558</c:v>
                      </c:pt>
                      <c:pt idx="28">
                        <c:v>310203.40095841023</c:v>
                      </c:pt>
                      <c:pt idx="29">
                        <c:v>307310.42974195653</c:v>
                      </c:pt>
                      <c:pt idx="30">
                        <c:v>291417.48625663668</c:v>
                      </c:pt>
                      <c:pt idx="31">
                        <c:v>296267.12707988336</c:v>
                      </c:pt>
                      <c:pt idx="32">
                        <c:v>299454.18407005235</c:v>
                      </c:pt>
                      <c:pt idx="33">
                        <c:v>302235.01720775856</c:v>
                      </c:pt>
                      <c:pt idx="34">
                        <c:v>305572.60015256866</c:v>
                      </c:pt>
                      <c:pt idx="35">
                        <c:v>310935.7271768942</c:v>
                      </c:pt>
                      <c:pt idx="36">
                        <c:v>317067.33587666636</c:v>
                      </c:pt>
                      <c:pt idx="37">
                        <c:v>323693.44719337235</c:v>
                      </c:pt>
                      <c:pt idx="38">
                        <c:v>329450.58294558077</c:v>
                      </c:pt>
                      <c:pt idx="39">
                        <c:v>336124.42724780034</c:v>
                      </c:pt>
                      <c:pt idx="40">
                        <c:v>343932.94455007225</c:v>
                      </c:pt>
                      <c:pt idx="41">
                        <c:v>351780.39813392184</c:v>
                      </c:pt>
                      <c:pt idx="42">
                        <c:v>359970.25786443474</c:v>
                      </c:pt>
                      <c:pt idx="43">
                        <c:v>368314.94094541977</c:v>
                      </c:pt>
                      <c:pt idx="44">
                        <c:v>377624.15751612128</c:v>
                      </c:pt>
                      <c:pt idx="45">
                        <c:v>385767.15791927977</c:v>
                      </c:pt>
                      <c:pt idx="46">
                        <c:v>394715.64380230469</c:v>
                      </c:pt>
                      <c:pt idx="47">
                        <c:v>403812.62364224845</c:v>
                      </c:pt>
                      <c:pt idx="48">
                        <c:v>412484.39145008556</c:v>
                      </c:pt>
                      <c:pt idx="49">
                        <c:v>421117.89382583258</c:v>
                      </c:pt>
                      <c:pt idx="50">
                        <c:v>430062.37784765434</c:v>
                      </c:pt>
                      <c:pt idx="51">
                        <c:v>439795.81987288076</c:v>
                      </c:pt>
                      <c:pt idx="52">
                        <c:v>448949.70744499733</c:v>
                      </c:pt>
                      <c:pt idx="53">
                        <c:v>458224.29357395851</c:v>
                      </c:pt>
                      <c:pt idx="54">
                        <c:v>467636.69872761058</c:v>
                      </c:pt>
                      <c:pt idx="55">
                        <c:v>477687.79124097835</c:v>
                      </c:pt>
                      <c:pt idx="56">
                        <c:v>488374.84363116487</c:v>
                      </c:pt>
                      <c:pt idx="57">
                        <c:v>494397.26415126788</c:v>
                      </c:pt>
                      <c:pt idx="58">
                        <c:v>500093.47763044975</c:v>
                      </c:pt>
                      <c:pt idx="59">
                        <c:v>506426.13931096264</c:v>
                      </c:pt>
                      <c:pt idx="60">
                        <c:v>512488.59166730172</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1662639.7620173867</c:v>
                      </c:pt>
                      <c:pt idx="23">
                        <c:v>1659701.2391141164</c:v>
                      </c:pt>
                      <c:pt idx="24">
                        <c:v>1650389.446765966</c:v>
                      </c:pt>
                      <c:pt idx="25">
                        <c:v>1613971.4933432096</c:v>
                      </c:pt>
                      <c:pt idx="26">
                        <c:v>1579532.4314629554</c:v>
                      </c:pt>
                      <c:pt idx="27">
                        <c:v>1573973.8935418692</c:v>
                      </c:pt>
                      <c:pt idx="28">
                        <c:v>1560480.4598362304</c:v>
                      </c:pt>
                      <c:pt idx="29">
                        <c:v>1518921.6065929763</c:v>
                      </c:pt>
                      <c:pt idx="30">
                        <c:v>1354807.7952915137</c:v>
                      </c:pt>
                      <c:pt idx="31">
                        <c:v>1383950.5406940717</c:v>
                      </c:pt>
                      <c:pt idx="32">
                        <c:v>1397370.2479355219</c:v>
                      </c:pt>
                      <c:pt idx="33">
                        <c:v>1407143.9339865751</c:v>
                      </c:pt>
                      <c:pt idx="34">
                        <c:v>1422149.1756442031</c:v>
                      </c:pt>
                      <c:pt idx="35">
                        <c:v>1455471.287126642</c:v>
                      </c:pt>
                      <c:pt idx="36">
                        <c:v>1492973.4671379884</c:v>
                      </c:pt>
                      <c:pt idx="37">
                        <c:v>1534241.3307043214</c:v>
                      </c:pt>
                      <c:pt idx="38">
                        <c:v>1567240.774243711</c:v>
                      </c:pt>
                      <c:pt idx="39">
                        <c:v>1607659.1578988556</c:v>
                      </c:pt>
                      <c:pt idx="40">
                        <c:v>1657121.9644214814</c:v>
                      </c:pt>
                      <c:pt idx="41">
                        <c:v>1703940.8632798954</c:v>
                      </c:pt>
                      <c:pt idx="42">
                        <c:v>1752669.0051408822</c:v>
                      </c:pt>
                      <c:pt idx="43">
                        <c:v>1801682.865650746</c:v>
                      </c:pt>
                      <c:pt idx="44">
                        <c:v>1857582.0608102814</c:v>
                      </c:pt>
                      <c:pt idx="45">
                        <c:v>1902901.2469935985</c:v>
                      </c:pt>
                      <c:pt idx="46">
                        <c:v>1951462.2865246367</c:v>
                      </c:pt>
                      <c:pt idx="47">
                        <c:v>2000032.5008307698</c:v>
                      </c:pt>
                      <c:pt idx="48">
                        <c:v>2044114.5694916397</c:v>
                      </c:pt>
                      <c:pt idx="49">
                        <c:v>2086829.4035433815</c:v>
                      </c:pt>
                      <c:pt idx="50">
                        <c:v>2130867.7239570478</c:v>
                      </c:pt>
                      <c:pt idx="51">
                        <c:v>2177425.2404752914</c:v>
                      </c:pt>
                      <c:pt idx="52">
                        <c:v>2218358.6086947974</c:v>
                      </c:pt>
                      <c:pt idx="53">
                        <c:v>2258993.7289762339</c:v>
                      </c:pt>
                      <c:pt idx="54">
                        <c:v>2299438.6443952997</c:v>
                      </c:pt>
                      <c:pt idx="55">
                        <c:v>2343264.2578999992</c:v>
                      </c:pt>
                      <c:pt idx="56">
                        <c:v>2387725.6561000939</c:v>
                      </c:pt>
                      <c:pt idx="57">
                        <c:v>2398121.3774620751</c:v>
                      </c:pt>
                      <c:pt idx="58">
                        <c:v>2405657.1540186224</c:v>
                      </c:pt>
                      <c:pt idx="59">
                        <c:v>2416970.0421904633</c:v>
                      </c:pt>
                      <c:pt idx="60">
                        <c:v>2425803.1620990899</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226723.6039114618</c:v>
                      </c:pt>
                      <c:pt idx="23">
                        <c:v>226322.89624283405</c:v>
                      </c:pt>
                      <c:pt idx="24">
                        <c:v>225053.10637717717</c:v>
                      </c:pt>
                      <c:pt idx="25">
                        <c:v>220087.02181952857</c:v>
                      </c:pt>
                      <c:pt idx="26">
                        <c:v>215390.78610858481</c:v>
                      </c:pt>
                      <c:pt idx="27">
                        <c:v>214632.80366480033</c:v>
                      </c:pt>
                      <c:pt idx="28">
                        <c:v>212792.78997766777</c:v>
                      </c:pt>
                      <c:pt idx="29">
                        <c:v>207125.67362631494</c:v>
                      </c:pt>
                      <c:pt idx="30">
                        <c:v>184746.51753975186</c:v>
                      </c:pt>
                      <c:pt idx="31">
                        <c:v>188720.52827646432</c:v>
                      </c:pt>
                      <c:pt idx="32">
                        <c:v>190550.48835484387</c:v>
                      </c:pt>
                      <c:pt idx="33">
                        <c:v>191883.26372544206</c:v>
                      </c:pt>
                      <c:pt idx="34">
                        <c:v>193929.43304239132</c:v>
                      </c:pt>
                      <c:pt idx="35">
                        <c:v>198473.35733545118</c:v>
                      </c:pt>
                      <c:pt idx="36">
                        <c:v>203587.29097336205</c:v>
                      </c:pt>
                      <c:pt idx="37">
                        <c:v>209214.72691422564</c:v>
                      </c:pt>
                      <c:pt idx="38">
                        <c:v>213714.65103323333</c:v>
                      </c:pt>
                      <c:pt idx="39">
                        <c:v>219226.24880438938</c:v>
                      </c:pt>
                      <c:pt idx="40">
                        <c:v>225971.17696656563</c:v>
                      </c:pt>
                      <c:pt idx="41">
                        <c:v>232355.57226544028</c:v>
                      </c:pt>
                      <c:pt idx="42">
                        <c:v>239000.31888284755</c:v>
                      </c:pt>
                      <c:pt idx="43">
                        <c:v>245684.02713419264</c:v>
                      </c:pt>
                      <c:pt idx="44">
                        <c:v>253306.64465594746</c:v>
                      </c:pt>
                      <c:pt idx="45">
                        <c:v>259486.53368094523</c:v>
                      </c:pt>
                      <c:pt idx="46">
                        <c:v>266108.49361699587</c:v>
                      </c:pt>
                      <c:pt idx="47">
                        <c:v>272731.70465874131</c:v>
                      </c:pt>
                      <c:pt idx="48">
                        <c:v>278742.89583976904</c:v>
                      </c:pt>
                      <c:pt idx="49">
                        <c:v>284567.64593773382</c:v>
                      </c:pt>
                      <c:pt idx="50">
                        <c:v>290572.87144868833</c:v>
                      </c:pt>
                      <c:pt idx="51">
                        <c:v>296921.62370117608</c:v>
                      </c:pt>
                      <c:pt idx="52">
                        <c:v>302503.44664019963</c:v>
                      </c:pt>
                      <c:pt idx="53">
                        <c:v>308044.59940585005</c:v>
                      </c:pt>
                      <c:pt idx="54">
                        <c:v>313559.81514481356</c:v>
                      </c:pt>
                      <c:pt idx="55">
                        <c:v>319536.0351681817</c:v>
                      </c:pt>
                      <c:pt idx="56">
                        <c:v>325598.95310455828</c:v>
                      </c:pt>
                      <c:pt idx="57">
                        <c:v>327016.55147210113</c:v>
                      </c:pt>
                      <c:pt idx="58">
                        <c:v>328044.15736617573</c:v>
                      </c:pt>
                      <c:pt idx="59">
                        <c:v>329586.82393506315</c:v>
                      </c:pt>
                      <c:pt idx="60">
                        <c:v>330791.34028623952</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23722316.120305818</c:v>
                      </c:pt>
                      <c:pt idx="23">
                        <c:v>24255517.547089841</c:v>
                      </c:pt>
                      <c:pt idx="24">
                        <c:v>24737792.39705459</c:v>
                      </c:pt>
                      <c:pt idx="25">
                        <c:v>24986769.935444243</c:v>
                      </c:pt>
                      <c:pt idx="26">
                        <c:v>25242611.383872338</c:v>
                      </c:pt>
                      <c:pt idx="27">
                        <c:v>25751990.995527692</c:v>
                      </c:pt>
                      <c:pt idx="28">
                        <c:v>26187557.3575183</c:v>
                      </c:pt>
                      <c:pt idx="29">
                        <c:v>26352887.537919145</c:v>
                      </c:pt>
                      <c:pt idx="30">
                        <c:v>25306294.482290111</c:v>
                      </c:pt>
                      <c:pt idx="31">
                        <c:v>26059411.395958323</c:v>
                      </c:pt>
                      <c:pt idx="32">
                        <c:v>26668085.197670184</c:v>
                      </c:pt>
                      <c:pt idx="33">
                        <c:v>27248115.759416535</c:v>
                      </c:pt>
                      <c:pt idx="34">
                        <c:v>27892172.101899307</c:v>
                      </c:pt>
                      <c:pt idx="35">
                        <c:v>28747098.466273185</c:v>
                      </c:pt>
                      <c:pt idx="36">
                        <c:v>29645035.599693645</c:v>
                      </c:pt>
                      <c:pt idx="37">
                        <c:v>30607560.322320882</c:v>
                      </c:pt>
                      <c:pt idx="38">
                        <c:v>31497897.745242074</c:v>
                      </c:pt>
                      <c:pt idx="39">
                        <c:v>32496773.134270821</c:v>
                      </c:pt>
                      <c:pt idx="40">
                        <c:v>33629741.281645209</c:v>
                      </c:pt>
                      <c:pt idx="41">
                        <c:v>34740233.640220329</c:v>
                      </c:pt>
                      <c:pt idx="42">
                        <c:v>35903284.562247403</c:v>
                      </c:pt>
                      <c:pt idx="43">
                        <c:v>37100091.569474109</c:v>
                      </c:pt>
                      <c:pt idx="44">
                        <c:v>38418045.08595679</c:v>
                      </c:pt>
                      <c:pt idx="45">
                        <c:v>39629757.601917654</c:v>
                      </c:pt>
                      <c:pt idx="46">
                        <c:v>40897425.728926994</c:v>
                      </c:pt>
                      <c:pt idx="47">
                        <c:v>42197810.282211758</c:v>
                      </c:pt>
                      <c:pt idx="48">
                        <c:v>43468070.734643765</c:v>
                      </c:pt>
                      <c:pt idx="49">
                        <c:v>44750405.498853803</c:v>
                      </c:pt>
                      <c:pt idx="50">
                        <c:v>46084037.642377004</c:v>
                      </c:pt>
                      <c:pt idx="51">
                        <c:v>47471084.011199221</c:v>
                      </c:pt>
                      <c:pt idx="52">
                        <c:v>48807813.560112186</c:v>
                      </c:pt>
                      <c:pt idx="53">
                        <c:v>50173100.244788811</c:v>
                      </c:pt>
                      <c:pt idx="54">
                        <c:v>51569300.435655385</c:v>
                      </c:pt>
                      <c:pt idx="55">
                        <c:v>53054754.472894639</c:v>
                      </c:pt>
                      <c:pt idx="56">
                        <c:v>54570197.843457237</c:v>
                      </c:pt>
                      <c:pt idx="57">
                        <c:v>55554881.961270951</c:v>
                      </c:pt>
                      <c:pt idx="58">
                        <c:v>56509893.628442757</c:v>
                      </c:pt>
                      <c:pt idx="59">
                        <c:v>57548305.395463832</c:v>
                      </c:pt>
                      <c:pt idx="60">
                        <c:v>58563792.567195043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94671432.457114488</c:v>
                      </c:pt>
                      <c:pt idx="23">
                        <c:v>96428528.046156064</c:v>
                      </c:pt>
                      <c:pt idx="24">
                        <c:v>97579368.002101943</c:v>
                      </c:pt>
                      <c:pt idx="25">
                        <c:v>96313578.260154381</c:v>
                      </c:pt>
                      <c:pt idx="26">
                        <c:v>95086019.997496322</c:v>
                      </c:pt>
                      <c:pt idx="27">
                        <c:v>96302421.111577123</c:v>
                      </c:pt>
                      <c:pt idx="28">
                        <c:v>96771134.989491895</c:v>
                      </c:pt>
                      <c:pt idx="29">
                        <c:v>94622256.390508652</c:v>
                      </c:pt>
                      <c:pt idx="30">
                        <c:v>80990433.305591747</c:v>
                      </c:pt>
                      <c:pt idx="31">
                        <c:v>85319343.807031661</c:v>
                      </c:pt>
                      <c:pt idx="32">
                        <c:v>88217437.338910028</c:v>
                      </c:pt>
                      <c:pt idx="33">
                        <c:v>90793472.776288718</c:v>
                      </c:pt>
                      <c:pt idx="34">
                        <c:v>93904272.508303806</c:v>
                      </c:pt>
                      <c:pt idx="35">
                        <c:v>98869028.052305982</c:v>
                      </c:pt>
                      <c:pt idx="36">
                        <c:v>104421557.99432579</c:v>
                      </c:pt>
                      <c:pt idx="37">
                        <c:v>110459761.1973415</c:v>
                      </c:pt>
                      <c:pt idx="38">
                        <c:v>115761831.53299367</c:v>
                      </c:pt>
                      <c:pt idx="39">
                        <c:v>121934875.58387122</c:v>
                      </c:pt>
                      <c:pt idx="40">
                        <c:v>129183453.50427844</c:v>
                      </c:pt>
                      <c:pt idx="41">
                        <c:v>136359775.72562358</c:v>
                      </c:pt>
                      <c:pt idx="42">
                        <c:v>143887311.12384263</c:v>
                      </c:pt>
                      <c:pt idx="43">
                        <c:v>151599519.14646712</c:v>
                      </c:pt>
                      <c:pt idx="44">
                        <c:v>160235371.76852328</c:v>
                      </c:pt>
                      <c:pt idx="45">
                        <c:v>167861616.62962788</c:v>
                      </c:pt>
                      <c:pt idx="46">
                        <c:v>176072560.99005142</c:v>
                      </c:pt>
                      <c:pt idx="47">
                        <c:v>184454404.7540805</c:v>
                      </c:pt>
                      <c:pt idx="48">
                        <c:v>192485785.44341132</c:v>
                      </c:pt>
                      <c:pt idx="49">
                        <c:v>200521041.74331012</c:v>
                      </c:pt>
                      <c:pt idx="50">
                        <c:v>208881379.63531357</c:v>
                      </c:pt>
                      <c:pt idx="51">
                        <c:v>217777137.48843226</c:v>
                      </c:pt>
                      <c:pt idx="52">
                        <c:v>226168889.71351093</c:v>
                      </c:pt>
                      <c:pt idx="53">
                        <c:v>234699076.59540045</c:v>
                      </c:pt>
                      <c:pt idx="54">
                        <c:v>243385051.60669318</c:v>
                      </c:pt>
                      <c:pt idx="55">
                        <c:v>252687740.48288339</c:v>
                      </c:pt>
                      <c:pt idx="56">
                        <c:v>262328161.23909059</c:v>
                      </c:pt>
                      <c:pt idx="57">
                        <c:v>267709128.86294454</c:v>
                      </c:pt>
                      <c:pt idx="58">
                        <c:v>272809271.76045728</c:v>
                      </c:pt>
                      <c:pt idx="59">
                        <c:v>278510791.03549379</c:v>
                      </c:pt>
                      <c:pt idx="60">
                        <c:v>283983738.79926437</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988429.83834607655</c:v>
                      </c:pt>
                      <c:pt idx="23">
                        <c:v>1010646.5644620776</c:v>
                      </c:pt>
                      <c:pt idx="24">
                        <c:v>1030741.3498772755</c:v>
                      </c:pt>
                      <c:pt idx="25">
                        <c:v>1041115.4139768444</c:v>
                      </c:pt>
                      <c:pt idx="26">
                        <c:v>1051775.474328015</c:v>
                      </c:pt>
                      <c:pt idx="27">
                        <c:v>1072999.6248136547</c:v>
                      </c:pt>
                      <c:pt idx="28">
                        <c:v>1091148.2232299303</c:v>
                      </c:pt>
                      <c:pt idx="29">
                        <c:v>1098036.980746632</c:v>
                      </c:pt>
                      <c:pt idx="30">
                        <c:v>1054428.9367620889</c:v>
                      </c:pt>
                      <c:pt idx="31">
                        <c:v>1085808.8081649311</c:v>
                      </c:pt>
                      <c:pt idx="32">
                        <c:v>1111170.216569592</c:v>
                      </c:pt>
                      <c:pt idx="33">
                        <c:v>1135338.1566423567</c:v>
                      </c:pt>
                      <c:pt idx="34">
                        <c:v>1162173.8375791388</c:v>
                      </c:pt>
                      <c:pt idx="35">
                        <c:v>1197795.7694280506</c:v>
                      </c:pt>
                      <c:pt idx="36">
                        <c:v>1235209.8166539031</c:v>
                      </c:pt>
                      <c:pt idx="37">
                        <c:v>1275315.013430038</c:v>
                      </c:pt>
                      <c:pt idx="38">
                        <c:v>1312412.4060517543</c:v>
                      </c:pt>
                      <c:pt idx="39">
                        <c:v>1354032.2139279521</c:v>
                      </c:pt>
                      <c:pt idx="40">
                        <c:v>1401239.2200685516</c:v>
                      </c:pt>
                      <c:pt idx="41">
                        <c:v>1447509.7350091815</c:v>
                      </c:pt>
                      <c:pt idx="42">
                        <c:v>1495970.1900936433</c:v>
                      </c:pt>
                      <c:pt idx="43">
                        <c:v>1545837.1487280892</c:v>
                      </c:pt>
                      <c:pt idx="44">
                        <c:v>1600751.8785815344</c:v>
                      </c:pt>
                      <c:pt idx="45">
                        <c:v>1651239.9000799039</c:v>
                      </c:pt>
                      <c:pt idx="46">
                        <c:v>1704059.4053719596</c:v>
                      </c:pt>
                      <c:pt idx="47">
                        <c:v>1758242.0950921581</c:v>
                      </c:pt>
                      <c:pt idx="48">
                        <c:v>1811169.6139434921</c:v>
                      </c:pt>
                      <c:pt idx="49">
                        <c:v>1864600.2291189104</c:v>
                      </c:pt>
                      <c:pt idx="50">
                        <c:v>1920168.2350990435</c:v>
                      </c:pt>
                      <c:pt idx="51">
                        <c:v>1977961.8337999692</c:v>
                      </c:pt>
                      <c:pt idx="52">
                        <c:v>2033658.8983380098</c:v>
                      </c:pt>
                      <c:pt idx="53">
                        <c:v>2090545.8435328689</c:v>
                      </c:pt>
                      <c:pt idx="54">
                        <c:v>2148720.8514856431</c:v>
                      </c:pt>
                      <c:pt idx="55">
                        <c:v>2210614.7697039456</c:v>
                      </c:pt>
                      <c:pt idx="56">
                        <c:v>2273758.2434773869</c:v>
                      </c:pt>
                      <c:pt idx="57">
                        <c:v>2314786.7483862918</c:v>
                      </c:pt>
                      <c:pt idx="58">
                        <c:v>2354578.9011851172</c:v>
                      </c:pt>
                      <c:pt idx="59">
                        <c:v>2397846.0581443287</c:v>
                      </c:pt>
                      <c:pt idx="60">
                        <c:v>2440158.023633129</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3944643.0190464407</c:v>
                      </c:pt>
                      <c:pt idx="23">
                        <c:v>4017855.3352565062</c:v>
                      </c:pt>
                      <c:pt idx="24">
                        <c:v>4065807.0000875848</c:v>
                      </c:pt>
                      <c:pt idx="25">
                        <c:v>4013065.7608397696</c:v>
                      </c:pt>
                      <c:pt idx="26">
                        <c:v>3961917.4998956835</c:v>
                      </c:pt>
                      <c:pt idx="27">
                        <c:v>4012600.879649051</c:v>
                      </c:pt>
                      <c:pt idx="28">
                        <c:v>4032130.6245621657</c:v>
                      </c:pt>
                      <c:pt idx="29">
                        <c:v>3942594.0162711977</c:v>
                      </c:pt>
                      <c:pt idx="30">
                        <c:v>3374601.3877329929</c:v>
                      </c:pt>
                      <c:pt idx="31">
                        <c:v>3554972.6586263222</c:v>
                      </c:pt>
                      <c:pt idx="32">
                        <c:v>3675726.5557879214</c:v>
                      </c:pt>
                      <c:pt idx="33">
                        <c:v>3783061.3656787002</c:v>
                      </c:pt>
                      <c:pt idx="34">
                        <c:v>3912678.0211793291</c:v>
                      </c:pt>
                      <c:pt idx="35">
                        <c:v>4119542.8355127531</c:v>
                      </c:pt>
                      <c:pt idx="36">
                        <c:v>4350898.2497635782</c:v>
                      </c:pt>
                      <c:pt idx="37">
                        <c:v>4602490.0498892339</c:v>
                      </c:pt>
                      <c:pt idx="38">
                        <c:v>4823409.6472080741</c:v>
                      </c:pt>
                      <c:pt idx="39">
                        <c:v>5080619.8159946389</c:v>
                      </c:pt>
                      <c:pt idx="40">
                        <c:v>5382643.8960116068</c:v>
                      </c:pt>
                      <c:pt idx="41">
                        <c:v>5681657.321900988</c:v>
                      </c:pt>
                      <c:pt idx="42">
                        <c:v>5995304.6301601157</c:v>
                      </c:pt>
                      <c:pt idx="43">
                        <c:v>6316646.6311028022</c:v>
                      </c:pt>
                      <c:pt idx="44">
                        <c:v>6676473.8236884763</c:v>
                      </c:pt>
                      <c:pt idx="45">
                        <c:v>6994234.026234502</c:v>
                      </c:pt>
                      <c:pt idx="46">
                        <c:v>7336356.7079188162</c:v>
                      </c:pt>
                      <c:pt idx="47">
                        <c:v>7685600.1980866957</c:v>
                      </c:pt>
                      <c:pt idx="48">
                        <c:v>8020241.0601421464</c:v>
                      </c:pt>
                      <c:pt idx="49">
                        <c:v>8355043.4059712626</c:v>
                      </c:pt>
                      <c:pt idx="50">
                        <c:v>8703390.8181380723</c:v>
                      </c:pt>
                      <c:pt idx="51">
                        <c:v>9074047.3953513522</c:v>
                      </c:pt>
                      <c:pt idx="52">
                        <c:v>9423703.7380629648</c:v>
                      </c:pt>
                      <c:pt idx="53">
                        <c:v>9779128.1914750282</c:v>
                      </c:pt>
                      <c:pt idx="54">
                        <c:v>10141043.816945558</c:v>
                      </c:pt>
                      <c:pt idx="55">
                        <c:v>10528655.853453485</c:v>
                      </c:pt>
                      <c:pt idx="56">
                        <c:v>10930340.051628785</c:v>
                      </c:pt>
                      <c:pt idx="57">
                        <c:v>11154547.035956033</c:v>
                      </c:pt>
                      <c:pt idx="58">
                        <c:v>11367052.990019064</c:v>
                      </c:pt>
                      <c:pt idx="59">
                        <c:v>11604616.293145586</c:v>
                      </c:pt>
                      <c:pt idx="60">
                        <c:v>11832655.783302693</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24683.367452658804</c:v>
                </c:pt>
                <c:pt idx="13">
                  <c:v>24650.189452440565</c:v>
                </c:pt>
                <c:pt idx="14">
                  <c:v>24544.093639596515</c:v>
                </c:pt>
                <c:pt idx="15">
                  <c:v>24140.855034258169</c:v>
                </c:pt>
                <c:pt idx="16">
                  <c:v>23759.191709341216</c:v>
                </c:pt>
                <c:pt idx="17">
                  <c:v>23689.297013784038</c:v>
                </c:pt>
                <c:pt idx="18">
                  <c:v>23529.542562385181</c:v>
                </c:pt>
                <c:pt idx="19">
                  <c:v>23066.991414207259</c:v>
                </c:pt>
                <c:pt idx="20">
                  <c:v>21303.967381995029</c:v>
                </c:pt>
                <c:pt idx="21">
                  <c:v>21713.687537069913</c:v>
                </c:pt>
                <c:pt idx="22">
                  <c:v>21957.492762752772</c:v>
                </c:pt>
                <c:pt idx="23">
                  <c:v>22163.082048042328</c:v>
                </c:pt>
                <c:pt idx="24">
                  <c:v>22425.804557527983</c:v>
                </c:pt>
                <c:pt idx="25">
                  <c:v>22888.132208535564</c:v>
                </c:pt>
                <c:pt idx="26">
                  <c:v>23385.954149519908</c:v>
                </c:pt>
                <c:pt idx="27">
                  <c:v>23927.987836027696</c:v>
                </c:pt>
                <c:pt idx="28">
                  <c:v>24382.811490470587</c:v>
                </c:pt>
                <c:pt idx="29">
                  <c:v>24921.974091541579</c:v>
                </c:pt>
                <c:pt idx="30">
                  <c:v>25564.343899418323</c:v>
                </c:pt>
                <c:pt idx="31">
                  <c:v>26033.066926596006</c:v>
                </c:pt>
                <c:pt idx="32">
                  <c:v>26516.562847733574</c:v>
                </c:pt>
                <c:pt idx="33">
                  <c:v>26996.640446850615</c:v>
                </c:pt>
                <c:pt idx="34">
                  <c:v>27544.849842596203</c:v>
                </c:pt>
                <c:pt idx="35">
                  <c:v>27970.755811998624</c:v>
                </c:pt>
                <c:pt idx="36">
                  <c:v>28415.726539002233</c:v>
                </c:pt>
                <c:pt idx="37">
                  <c:v>28853.41441399711</c:v>
                </c:pt>
                <c:pt idx="38">
                  <c:v>29235.467635879326</c:v>
                </c:pt>
                <c:pt idx="39">
                  <c:v>29595.548461537317</c:v>
                </c:pt>
                <c:pt idx="40">
                  <c:v>29962.155078360938</c:v>
                </c:pt>
                <c:pt idx="41">
                  <c:v>30435.972979249818</c:v>
                </c:pt>
                <c:pt idx="42">
                  <c:v>30847.921741495957</c:v>
                </c:pt>
                <c:pt idx="43">
                  <c:v>31254.362511646552</c:v>
                </c:pt>
                <c:pt idx="44">
                  <c:v>31656.365812327476</c:v>
                </c:pt>
                <c:pt idx="45">
                  <c:v>32091.480404089387</c:v>
                </c:pt>
                <c:pt idx="46">
                  <c:v>32522.75971561452</c:v>
                </c:pt>
                <c:pt idx="47">
                  <c:v>32593.417208552168</c:v>
                </c:pt>
                <c:pt idx="48">
                  <c:v>32632.326910513839</c:v>
                </c:pt>
                <c:pt idx="49">
                  <c:v>32709.12745699814</c:v>
                </c:pt>
                <c:pt idx="50">
                  <c:v>32758.180544503717</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776.19766672522439</c:v>
                </c:pt>
                <c:pt idx="13">
                  <c:v>778.26255986850208</c:v>
                </c:pt>
                <c:pt idx="14">
                  <c:v>777.87529463079261</c:v>
                </c:pt>
                <c:pt idx="15">
                  <c:v>766.79735078990893</c:v>
                </c:pt>
                <c:pt idx="16">
                  <c:v>756.45051286830517</c:v>
                </c:pt>
                <c:pt idx="17">
                  <c:v>757.58949175276257</c:v>
                </c:pt>
                <c:pt idx="18">
                  <c:v>755.57035153124014</c:v>
                </c:pt>
                <c:pt idx="19">
                  <c:v>742.2462384507578</c:v>
                </c:pt>
                <c:pt idx="20">
                  <c:v>679.23773386736423</c:v>
                </c:pt>
                <c:pt idx="21">
                  <c:v>693.81666750299894</c:v>
                </c:pt>
                <c:pt idx="22">
                  <c:v>702.12189592018728</c:v>
                </c:pt>
                <c:pt idx="23">
                  <c:v>709.02134442049771</c:v>
                </c:pt>
                <c:pt idx="24">
                  <c:v>718.15152317978789</c:v>
                </c:pt>
                <c:pt idx="25">
                  <c:v>734.95294359004652</c:v>
                </c:pt>
                <c:pt idx="26">
                  <c:v>753.50531155199462</c:v>
                </c:pt>
                <c:pt idx="27">
                  <c:v>773.80880531109665</c:v>
                </c:pt>
                <c:pt idx="28">
                  <c:v>790.84431926311163</c:v>
                </c:pt>
                <c:pt idx="29">
                  <c:v>811.17136441161904</c:v>
                </c:pt>
                <c:pt idx="30">
                  <c:v>835.52195955507943</c:v>
                </c:pt>
                <c:pt idx="31">
                  <c:v>858.88263401501126</c:v>
                </c:pt>
                <c:pt idx="32">
                  <c:v>883.29039523114466</c:v>
                </c:pt>
                <c:pt idx="33">
                  <c:v>908.06510573319633</c:v>
                </c:pt>
                <c:pt idx="34">
                  <c:v>936.05489265895505</c:v>
                </c:pt>
                <c:pt idx="35">
                  <c:v>959.75137388133339</c:v>
                </c:pt>
                <c:pt idx="36">
                  <c:v>984.98720984235922</c:v>
                </c:pt>
                <c:pt idx="37">
                  <c:v>1010.4909178209149</c:v>
                </c:pt>
                <c:pt idx="38">
                  <c:v>1034.2953425900832</c:v>
                </c:pt>
                <c:pt idx="39">
                  <c:v>1057.7541449215751</c:v>
                </c:pt>
                <c:pt idx="40">
                  <c:v>1082.0566838401382</c:v>
                </c:pt>
                <c:pt idx="41">
                  <c:v>1107.6265105192613</c:v>
                </c:pt>
                <c:pt idx="42">
                  <c:v>1130.9650458759186</c:v>
                </c:pt>
                <c:pt idx="43">
                  <c:v>1154.4363735792269</c:v>
                </c:pt>
                <c:pt idx="44">
                  <c:v>1178.0942315918537</c:v>
                </c:pt>
                <c:pt idx="45">
                  <c:v>1203.5664612241167</c:v>
                </c:pt>
                <c:pt idx="46">
                  <c:v>1229.5209327037915</c:v>
                </c:pt>
                <c:pt idx="47">
                  <c:v>1240.1539718487838</c:v>
                </c:pt>
                <c:pt idx="48">
                  <c:v>1249.6235065005746</c:v>
                </c:pt>
                <c:pt idx="49">
                  <c:v>1260.9916563037802</c:v>
                </c:pt>
                <c:pt idx="50">
                  <c:v>1271.3735461423246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1618.9525249848919</c:v>
                </c:pt>
                <c:pt idx="13">
                  <c:v>1641.6084477586605</c:v>
                </c:pt>
                <c:pt idx="14">
                  <c:v>1657.425962272584</c:v>
                </c:pt>
                <c:pt idx="15">
                  <c:v>1644.8228903470936</c:v>
                </c:pt>
                <c:pt idx="16">
                  <c:v>1633.1444432752792</c:v>
                </c:pt>
                <c:pt idx="17">
                  <c:v>1651.006194213953</c:v>
                </c:pt>
                <c:pt idx="18">
                  <c:v>1660.1279902204478</c:v>
                </c:pt>
                <c:pt idx="19">
                  <c:v>1638.3661763389489</c:v>
                </c:pt>
                <c:pt idx="20">
                  <c:v>1480.7132782504391</c:v>
                </c:pt>
                <c:pt idx="21">
                  <c:v>1535.9032755407259</c:v>
                </c:pt>
                <c:pt idx="22">
                  <c:v>1574.2742113965967</c:v>
                </c:pt>
                <c:pt idx="23">
                  <c:v>1608.9621631374678</c:v>
                </c:pt>
                <c:pt idx="24">
                  <c:v>1650.1324159892563</c:v>
                </c:pt>
                <c:pt idx="25">
                  <c:v>1713.4578763269938</c:v>
                </c:pt>
                <c:pt idx="26">
                  <c:v>1782.8457041452368</c:v>
                </c:pt>
                <c:pt idx="27">
                  <c:v>1858.1445817305187</c:v>
                </c:pt>
                <c:pt idx="28">
                  <c:v>1924.8289325427115</c:v>
                </c:pt>
                <c:pt idx="29">
                  <c:v>2002.0035376746864</c:v>
                </c:pt>
                <c:pt idx="30">
                  <c:v>2092.1109368882021</c:v>
                </c:pt>
                <c:pt idx="31">
                  <c:v>2178.5513858882605</c:v>
                </c:pt>
                <c:pt idx="32">
                  <c:v>2269.1801643330377</c:v>
                </c:pt>
                <c:pt idx="33">
                  <c:v>2362.0144235639755</c:v>
                </c:pt>
                <c:pt idx="34">
                  <c:v>2465.8272373680097</c:v>
                </c:pt>
                <c:pt idx="35">
                  <c:v>2557.6635165404659</c:v>
                </c:pt>
                <c:pt idx="36">
                  <c:v>2655.657028169705</c:v>
                </c:pt>
                <c:pt idx="37">
                  <c:v>2755.6908545616147</c:v>
                </c:pt>
                <c:pt idx="38">
                  <c:v>2851.5877758132688</c:v>
                </c:pt>
                <c:pt idx="39">
                  <c:v>2947.5544015719511</c:v>
                </c:pt>
                <c:pt idx="40">
                  <c:v>3047.3978261227653</c:v>
                </c:pt>
                <c:pt idx="41">
                  <c:v>3154.2340046442987</c:v>
                </c:pt>
                <c:pt idx="42">
                  <c:v>3255.1908603827083</c:v>
                </c:pt>
                <c:pt idx="43">
                  <c:v>3357.8776000746889</c:v>
                </c:pt>
                <c:pt idx="44">
                  <c:v>3462.5024924523336</c:v>
                </c:pt>
                <c:pt idx="45">
                  <c:v>3574.5274397991784</c:v>
                </c:pt>
                <c:pt idx="46">
                  <c:v>3689.9138865854529</c:v>
                </c:pt>
                <c:pt idx="47">
                  <c:v>3754.9477369487436</c:v>
                </c:pt>
                <c:pt idx="48">
                  <c:v>3816.7493987976663</c:v>
                </c:pt>
                <c:pt idx="49">
                  <c:v>3885.7715804110699</c:v>
                </c:pt>
                <c:pt idx="50">
                  <c:v>3952.1839681913507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888.5196405131752</c:v>
                </c:pt>
                <c:pt idx="14">
                  <c:v>891.96064822562096</c:v>
                </c:pt>
                <c:pt idx="15">
                  <c:v>894.88916078976843</c:v>
                </c:pt>
                <c:pt idx="16">
                  <c:v>895.84739945695708</c:v>
                </c:pt>
                <c:pt idx="17">
                  <c:v>896.81728908321736</c:v>
                </c:pt>
                <c:pt idx="18">
                  <c:v>899.77409431497051</c:v>
                </c:pt>
                <c:pt idx="19">
                  <c:v>902.09125086952031</c:v>
                </c:pt>
                <c:pt idx="20">
                  <c:v>902.24725498392274</c:v>
                </c:pt>
                <c:pt idx="21">
                  <c:v>892.60902179925608</c:v>
                </c:pt>
                <c:pt idx="22">
                  <c:v>897.88077216623924</c:v>
                </c:pt>
                <c:pt idx="23">
                  <c:v>901.86785433623902</c:v>
                </c:pt>
                <c:pt idx="24">
                  <c:v>905.54375743786386</c:v>
                </c:pt>
                <c:pt idx="25">
                  <c:v>909.62789125994425</c:v>
                </c:pt>
                <c:pt idx="26">
                  <c:v>915.17819871340487</c:v>
                </c:pt>
                <c:pt idx="27">
                  <c:v>920.99002879575733</c:v>
                </c:pt>
                <c:pt idx="28">
                  <c:v>927.07478216005029</c:v>
                </c:pt>
                <c:pt idx="29">
                  <c:v>932.48269891354084</c:v>
                </c:pt>
                <c:pt idx="30">
                  <c:v>938.44873038731919</c:v>
                </c:pt>
                <c:pt idx="31">
                  <c:v>945.07999666505555</c:v>
                </c:pt>
                <c:pt idx="32">
                  <c:v>951.43174054913004</c:v>
                </c:pt>
                <c:pt idx="33">
                  <c:v>957.88938710584625</c:v>
                </c:pt>
                <c:pt idx="34">
                  <c:v>964.3285468230124</c:v>
                </c:pt>
                <c:pt idx="35">
                  <c:v>971.2274721173485</c:v>
                </c:pt>
                <c:pt idx="36">
                  <c:v>977.31823571713028</c:v>
                </c:pt>
                <c:pt idx="37">
                  <c:v>983.57793052447698</c:v>
                </c:pt>
                <c:pt idx="38">
                  <c:v>989.80396855314598</c:v>
                </c:pt>
                <c:pt idx="39">
                  <c:v>995.6874985828008</c:v>
                </c:pt>
                <c:pt idx="40">
                  <c:v>1001.4527108587529</c:v>
                </c:pt>
                <c:pt idx="41">
                  <c:v>1007.2848843182181</c:v>
                </c:pt>
                <c:pt idx="42">
                  <c:v>1013.2376412307941</c:v>
                </c:pt>
                <c:pt idx="43">
                  <c:v>1018.7943384588782</c:v>
                </c:pt>
                <c:pt idx="44">
                  <c:v>1024.3150671694632</c:v>
                </c:pt>
                <c:pt idx="45">
                  <c:v>1029.8081254914655</c:v>
                </c:pt>
                <c:pt idx="46">
                  <c:v>1035.5032855203945</c:v>
                </c:pt>
                <c:pt idx="47">
                  <c:v>1041.199437822145</c:v>
                </c:pt>
                <c:pt idx="48">
                  <c:v>1044.7334229183193</c:v>
                </c:pt>
                <c:pt idx="49">
                  <c:v>1048.092878940131</c:v>
                </c:pt>
                <c:pt idx="50">
                  <c:v>1051.6990964077904</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470.04378916185391</c:v>
                </c:pt>
                <c:pt idx="14">
                  <c:v>469.95709010424787</c:v>
                </c:pt>
                <c:pt idx="15">
                  <c:v>469.88330378909933</c:v>
                </c:pt>
                <c:pt idx="16">
                  <c:v>469.85916016712889</c:v>
                </c:pt>
                <c:pt idx="17">
                  <c:v>469.83472298953274</c:v>
                </c:pt>
                <c:pt idx="18">
                  <c:v>469.76022381704024</c:v>
                </c:pt>
                <c:pt idx="19">
                  <c:v>469.7018411261563</c:v>
                </c:pt>
                <c:pt idx="20">
                  <c:v>469.69791047245496</c:v>
                </c:pt>
                <c:pt idx="21">
                  <c:v>469.94075379160097</c:v>
                </c:pt>
                <c:pt idx="22">
                  <c:v>469.80792764677761</c:v>
                </c:pt>
                <c:pt idx="23">
                  <c:v>469.70746978802691</c:v>
                </c:pt>
                <c:pt idx="24">
                  <c:v>469.61485234529096</c:v>
                </c:pt>
                <c:pt idx="25">
                  <c:v>469.51194918926763</c:v>
                </c:pt>
                <c:pt idx="26">
                  <c:v>469.37210456645607</c:v>
                </c:pt>
                <c:pt idx="27">
                  <c:v>469.22567066301434</c:v>
                </c:pt>
                <c:pt idx="28">
                  <c:v>469.07236022998597</c:v>
                </c:pt>
                <c:pt idx="29">
                  <c:v>468.93610325955154</c:v>
                </c:pt>
                <c:pt idx="30">
                  <c:v>468.78578412351658</c:v>
                </c:pt>
                <c:pt idx="31">
                  <c:v>468.61870384208186</c:v>
                </c:pt>
                <c:pt idx="32">
                  <c:v>468.45866636035458</c:v>
                </c:pt>
                <c:pt idx="33">
                  <c:v>468.29596057251365</c:v>
                </c:pt>
                <c:pt idx="34">
                  <c:v>468.1337205760052</c:v>
                </c:pt>
                <c:pt idx="35">
                  <c:v>467.95989640253708</c:v>
                </c:pt>
                <c:pt idx="36">
                  <c:v>467.8064345366156</c:v>
                </c:pt>
                <c:pt idx="37">
                  <c:v>467.64871630810501</c:v>
                </c:pt>
                <c:pt idx="38">
                  <c:v>467.49184609018818</c:v>
                </c:pt>
                <c:pt idx="39">
                  <c:v>467.34360564680793</c:v>
                </c:pt>
                <c:pt idx="40">
                  <c:v>467.19834631785739</c:v>
                </c:pt>
                <c:pt idx="41">
                  <c:v>467.05139984607189</c:v>
                </c:pt>
                <c:pt idx="42">
                  <c:v>466.90141517367164</c:v>
                </c:pt>
                <c:pt idx="43">
                  <c:v>466.76140955516212</c:v>
                </c:pt>
                <c:pt idx="44">
                  <c:v>466.62231019343295</c:v>
                </c:pt>
                <c:pt idx="45">
                  <c:v>466.48390801020918</c:v>
                </c:pt>
                <c:pt idx="46">
                  <c:v>466.34041370601517</c:v>
                </c:pt>
                <c:pt idx="47">
                  <c:v>466.19689440068032</c:v>
                </c:pt>
                <c:pt idx="48">
                  <c:v>466.10785270038889</c:v>
                </c:pt>
                <c:pt idx="49">
                  <c:v>466.02320840560674</c:v>
                </c:pt>
                <c:pt idx="50">
                  <c:v>465.93234675050559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17197.553314646342</c:v>
                </c:pt>
                <c:pt idx="13">
                  <c:v>17174.195465448476</c:v>
                </c:pt>
                <c:pt idx="14">
                  <c:v>17113.948872666017</c:v>
                </c:pt>
                <c:pt idx="15">
                  <c:v>16898.866322268357</c:v>
                </c:pt>
                <c:pt idx="16">
                  <c:v>16693.646990374629</c:v>
                </c:pt>
                <c:pt idx="17">
                  <c:v>16650.371841828572</c:v>
                </c:pt>
                <c:pt idx="18">
                  <c:v>16562.016366601565</c:v>
                </c:pt>
                <c:pt idx="19">
                  <c:v>16316.350537786429</c:v>
                </c:pt>
                <c:pt idx="20">
                  <c:v>15396.492254781857</c:v>
                </c:pt>
                <c:pt idx="21">
                  <c:v>15595.578758180762</c:v>
                </c:pt>
                <c:pt idx="22">
                  <c:v>15720.530709803525</c:v>
                </c:pt>
                <c:pt idx="23">
                  <c:v>15824.56598704005</c:v>
                </c:pt>
                <c:pt idx="24">
                  <c:v>15957.684778570629</c:v>
                </c:pt>
                <c:pt idx="25">
                  <c:v>16193.843660056084</c:v>
                </c:pt>
                <c:pt idx="26">
                  <c:v>16449.058268095661</c:v>
                </c:pt>
                <c:pt idx="27">
                  <c:v>16726.864372603122</c:v>
                </c:pt>
                <c:pt idx="28">
                  <c:v>16959.603994516165</c:v>
                </c:pt>
                <c:pt idx="29">
                  <c:v>17234.802113490197</c:v>
                </c:pt>
                <c:pt idx="30">
                  <c:v>17563.032503235932</c:v>
                </c:pt>
                <c:pt idx="31">
                  <c:v>17799.328542154482</c:v>
                </c:pt>
                <c:pt idx="32">
                  <c:v>18042.239658585549</c:v>
                </c:pt>
                <c:pt idx="33">
                  <c:v>18282.699889747437</c:v>
                </c:pt>
                <c:pt idx="34">
                  <c:v>18557.185309866483</c:v>
                </c:pt>
                <c:pt idx="35">
                  <c:v>18768.609073106949</c:v>
                </c:pt>
                <c:pt idx="36">
                  <c:v>18988.222910261502</c:v>
                </c:pt>
                <c:pt idx="37">
                  <c:v>19203.363500903437</c:v>
                </c:pt>
                <c:pt idx="38">
                  <c:v>19389.222347021248</c:v>
                </c:pt>
                <c:pt idx="39">
                  <c:v>19562.737004381022</c:v>
                </c:pt>
                <c:pt idx="40">
                  <c:v>19738.560811438274</c:v>
                </c:pt>
                <c:pt idx="41">
                  <c:v>19970.35880467153</c:v>
                </c:pt>
                <c:pt idx="42">
                  <c:v>20170.049509193337</c:v>
                </c:pt>
                <c:pt idx="43">
                  <c:v>20365.82807688199</c:v>
                </c:pt>
                <c:pt idx="44">
                  <c:v>20558.502690321449</c:v>
                </c:pt>
                <c:pt idx="45">
                  <c:v>20767.014284901037</c:v>
                </c:pt>
                <c:pt idx="46">
                  <c:v>20972.720668109854</c:v>
                </c:pt>
                <c:pt idx="47">
                  <c:v>20995.87247878894</c:v>
                </c:pt>
                <c:pt idx="48">
                  <c:v>21000.826230868748</c:v>
                </c:pt>
                <c:pt idx="49">
                  <c:v>21024.178683481376</c:v>
                </c:pt>
                <c:pt idx="50">
                  <c:v>21033.250790498889</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2056.4782344841292</c:v>
                </c:pt>
                <c:pt idx="13">
                  <c:v>2055.3077576706228</c:v>
                </c:pt>
                <c:pt idx="14">
                  <c:v>2049.6595240467386</c:v>
                </c:pt>
                <c:pt idx="15">
                  <c:v>2025.0550336948868</c:v>
                </c:pt>
                <c:pt idx="16">
                  <c:v>2001.9262546909861</c:v>
                </c:pt>
                <c:pt idx="17">
                  <c:v>1999.0019504542583</c:v>
                </c:pt>
                <c:pt idx="18">
                  <c:v>1990.4170561315395</c:v>
                </c:pt>
                <c:pt idx="19">
                  <c:v>1962.3654312924355</c:v>
                </c:pt>
                <c:pt idx="20">
                  <c:v>1850.3188844383581</c:v>
                </c:pt>
                <c:pt idx="21">
                  <c:v>1877.1633566643613</c:v>
                </c:pt>
                <c:pt idx="22">
                  <c:v>1893.6481904060943</c:v>
                </c:pt>
                <c:pt idx="23">
                  <c:v>1907.7043501417088</c:v>
                </c:pt>
                <c:pt idx="24">
                  <c:v>1925.5118328339661</c:v>
                </c:pt>
                <c:pt idx="25">
                  <c:v>1956.3029509888447</c:v>
                </c:pt>
                <c:pt idx="26">
                  <c:v>1989.2444577705241</c:v>
                </c:pt>
                <c:pt idx="27">
                  <c:v>2025.1189642247361</c:v>
                </c:pt>
                <c:pt idx="28">
                  <c:v>2055.4165756385901</c:v>
                </c:pt>
                <c:pt idx="29">
                  <c:v>2091.2254794000851</c:v>
                </c:pt>
                <c:pt idx="30">
                  <c:v>2133.7965555443229</c:v>
                </c:pt>
                <c:pt idx="31">
                  <c:v>2165.5655629360554</c:v>
                </c:pt>
                <c:pt idx="32">
                  <c:v>2198.3911355399214</c:v>
                </c:pt>
                <c:pt idx="33">
                  <c:v>2231.1025143526422</c:v>
                </c:pt>
                <c:pt idx="34">
                  <c:v>2268.3507935733296</c:v>
                </c:pt>
                <c:pt idx="35">
                  <c:v>2297.7649152023978</c:v>
                </c:pt>
                <c:pt idx="36">
                  <c:v>2328.3280716637692</c:v>
                </c:pt>
                <c:pt idx="37">
                  <c:v>2358.5281714520361</c:v>
                </c:pt>
                <c:pt idx="38">
                  <c:v>2385.2068282723071</c:v>
                </c:pt>
                <c:pt idx="39">
                  <c:v>2410.5491837116842</c:v>
                </c:pt>
                <c:pt idx="40">
                  <c:v>2436.4214401269624</c:v>
                </c:pt>
                <c:pt idx="41">
                  <c:v>2468.8007703295339</c:v>
                </c:pt>
                <c:pt idx="42">
                  <c:v>2497.2170799767368</c:v>
                </c:pt>
                <c:pt idx="43">
                  <c:v>2525.3463546683975</c:v>
                </c:pt>
                <c:pt idx="44">
                  <c:v>2553.2662035210615</c:v>
                </c:pt>
                <c:pt idx="45">
                  <c:v>2583.4423250101627</c:v>
                </c:pt>
                <c:pt idx="46">
                  <c:v>2613.2914993908598</c:v>
                </c:pt>
                <c:pt idx="47">
                  <c:v>2619.5191948549927</c:v>
                </c:pt>
                <c:pt idx="48">
                  <c:v>2623.6675290847393</c:v>
                </c:pt>
                <c:pt idx="49">
                  <c:v>2630.356725700085</c:v>
                </c:pt>
                <c:pt idx="50">
                  <c:v>2635.275238813299</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465.52309402510247</c:v>
                </c:pt>
                <c:pt idx="13">
                  <c:v>471.57318156155264</c:v>
                </c:pt>
                <c:pt idx="14">
                  <c:v>476.09339328675753</c:v>
                </c:pt>
                <c:pt idx="15">
                  <c:v>473.96437499514201</c:v>
                </c:pt>
                <c:pt idx="16">
                  <c:v>472.09699807907236</c:v>
                </c:pt>
                <c:pt idx="17">
                  <c:v>477.28710722663743</c:v>
                </c:pt>
                <c:pt idx="18">
                  <c:v>480.44831368167752</c:v>
                </c:pt>
                <c:pt idx="19">
                  <c:v>476.28591955783185</c:v>
                </c:pt>
                <c:pt idx="20">
                  <c:v>439.65690954727233</c:v>
                </c:pt>
                <c:pt idx="21">
                  <c:v>453.0467639005434</c:v>
                </c:pt>
                <c:pt idx="22">
                  <c:v>462.44950413156857</c:v>
                </c:pt>
                <c:pt idx="23">
                  <c:v>471.00192475527535</c:v>
                </c:pt>
                <c:pt idx="24">
                  <c:v>481.13513661196691</c:v>
                </c:pt>
                <c:pt idx="25">
                  <c:v>496.60371888178844</c:v>
                </c:pt>
                <c:pt idx="26">
                  <c:v>513.47936357955768</c:v>
                </c:pt>
                <c:pt idx="27">
                  <c:v>531.80358640785698</c:v>
                </c:pt>
                <c:pt idx="28">
                  <c:v>548.09385926217351</c:v>
                </c:pt>
                <c:pt idx="29">
                  <c:v>566.93038482536087</c:v>
                </c:pt>
                <c:pt idx="30">
                  <c:v>588.9020368980689</c:v>
                </c:pt>
                <c:pt idx="31">
                  <c:v>610.51879878561567</c:v>
                </c:pt>
                <c:pt idx="32">
                  <c:v>633.2136304910423</c:v>
                </c:pt>
                <c:pt idx="33">
                  <c:v>656.51191387640733</c:v>
                </c:pt>
                <c:pt idx="34">
                  <c:v>682.53304657119838</c:v>
                </c:pt>
                <c:pt idx="35">
                  <c:v>705.73755522552858</c:v>
                </c:pt>
                <c:pt idx="36">
                  <c:v>730.44058311327751</c:v>
                </c:pt>
                <c:pt idx="37">
                  <c:v>755.71039830107281</c:v>
                </c:pt>
                <c:pt idx="38">
                  <c:v>780.04836539082589</c:v>
                </c:pt>
                <c:pt idx="39">
                  <c:v>804.47215733917176</c:v>
                </c:pt>
                <c:pt idx="40">
                  <c:v>829.90789191012993</c:v>
                </c:pt>
                <c:pt idx="41">
                  <c:v>856.668806396381</c:v>
                </c:pt>
                <c:pt idx="42">
                  <c:v>882.04495292660965</c:v>
                </c:pt>
                <c:pt idx="43">
                  <c:v>907.88937788999999</c:v>
                </c:pt>
                <c:pt idx="44">
                  <c:v>934.25339297037988</c:v>
                </c:pt>
                <c:pt idx="45">
                  <c:v>962.47315180169846</c:v>
                </c:pt>
                <c:pt idx="46">
                  <c:v>991.50387160456614</c:v>
                </c:pt>
                <c:pt idx="47">
                  <c:v>1008.2496738271612</c:v>
                </c:pt>
                <c:pt idx="48">
                  <c:v>1024.2304096813875</c:v>
                </c:pt>
                <c:pt idx="49">
                  <c:v>1042.00823118733</c:v>
                </c:pt>
                <c:pt idx="50">
                  <c:v>1059.1731536986429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22950.420398106195</c:v>
                </c:pt>
                <c:pt idx="3">
                  <c:v>23010.477258185831</c:v>
                </c:pt>
                <c:pt idx="4">
                  <c:v>22929.532908254714</c:v>
                </c:pt>
                <c:pt idx="5">
                  <c:v>22669.376557317759</c:v>
                </c:pt>
                <c:pt idx="6">
                  <c:v>22459.770218724454</c:v>
                </c:pt>
                <c:pt idx="7">
                  <c:v>22437.351131953077</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27078.51764436892</c:v>
                      </c:pt>
                      <c:pt idx="3">
                        <c:v>27070.060460067725</c:v>
                      </c:pt>
                      <c:pt idx="4">
                        <c:v>26979.394896499893</c:v>
                      </c:pt>
                      <c:pt idx="5">
                        <c:v>26552.475275395169</c:v>
                      </c:pt>
                      <c:pt idx="6">
                        <c:v>26148.7866654848</c:v>
                      </c:pt>
                      <c:pt idx="7">
                        <c:v>26097.892699750755</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50028.938042475114</c:v>
                      </c:pt>
                      <c:pt idx="3">
                        <c:v>50080.537718253559</c:v>
                      </c:pt>
                      <c:pt idx="4">
                        <c:v>49908.92780475461</c:v>
                      </c:pt>
                      <c:pt idx="5">
                        <c:v>49221.851832712928</c:v>
                      </c:pt>
                      <c:pt idx="6">
                        <c:v>48608.556884209254</c:v>
                      </c:pt>
                      <c:pt idx="7">
                        <c:v>48535.243831703832</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590659.82732236863</c:v>
                </c:pt>
                <c:pt idx="23">
                  <c:v>594647.99563903548</c:v>
                </c:pt>
                <c:pt idx="24">
                  <c:v>598136.63268648856</c:v>
                </c:pt>
                <c:pt idx="25">
                  <c:v>598587.8952012012</c:v>
                </c:pt>
                <c:pt idx="26">
                  <c:v>599365.15063746762</c:v>
                </c:pt>
                <c:pt idx="27">
                  <c:v>603824.89896406408</c:v>
                </c:pt>
                <c:pt idx="28">
                  <c:v>607391.06462310744</c:v>
                </c:pt>
                <c:pt idx="29">
                  <c:v>607422.33297804231</c:v>
                </c:pt>
                <c:pt idx="30">
                  <c:v>591329.43600858422</c:v>
                </c:pt>
                <c:pt idx="31">
                  <c:v>594310.99483650515</c:v>
                </c:pt>
                <c:pt idx="32">
                  <c:v>595309.08218994818</c:v>
                </c:pt>
                <c:pt idx="33">
                  <c:v>595888.34554496768</c:v>
                </c:pt>
                <c:pt idx="34">
                  <c:v>597236.20184656978</c:v>
                </c:pt>
                <c:pt idx="35">
                  <c:v>601156.34586219699</c:v>
                </c:pt>
                <c:pt idx="36">
                  <c:v>605289.98147841368</c:v>
                </c:pt>
                <c:pt idx="37">
                  <c:v>610051.7089030362</c:v>
                </c:pt>
                <c:pt idx="38">
                  <c:v>613761.8109087511</c:v>
                </c:pt>
                <c:pt idx="39">
                  <c:v>618603.37304570992</c:v>
                </c:pt>
                <c:pt idx="40">
                  <c:v>624825.24797790078</c:v>
                </c:pt>
                <c:pt idx="41">
                  <c:v>634912.65557563817</c:v>
                </c:pt>
                <c:pt idx="42">
                  <c:v>645541.85014850192</c:v>
                </c:pt>
                <c:pt idx="43">
                  <c:v>656486.13949319441</c:v>
                </c:pt>
                <c:pt idx="44">
                  <c:v>668741.51823787007</c:v>
                </c:pt>
                <c:pt idx="45">
                  <c:v>679693.73895087012</c:v>
                </c:pt>
                <c:pt idx="46">
                  <c:v>691076.84775274887</c:v>
                </c:pt>
                <c:pt idx="47">
                  <c:v>702744.99023918109</c:v>
                </c:pt>
                <c:pt idx="48">
                  <c:v>713988.71726778673</c:v>
                </c:pt>
                <c:pt idx="49">
                  <c:v>725285.31238435791</c:v>
                </c:pt>
                <c:pt idx="50">
                  <c:v>737068.97637809033</c:v>
                </c:pt>
                <c:pt idx="51">
                  <c:v>749238.7959830102</c:v>
                </c:pt>
                <c:pt idx="52">
                  <c:v>760763.90332007338</c:v>
                </c:pt>
                <c:pt idx="53">
                  <c:v>772515.82556675421</c:v>
                </c:pt>
                <c:pt idx="54">
                  <c:v>784516.63771677448</c:v>
                </c:pt>
                <c:pt idx="55">
                  <c:v>797393.76329683722</c:v>
                </c:pt>
                <c:pt idx="56">
                  <c:v>810379.33873565192</c:v>
                </c:pt>
                <c:pt idx="57">
                  <c:v>817577.98532730131</c:v>
                </c:pt>
                <c:pt idx="58">
                  <c:v>824416.10401658353</c:v>
                </c:pt>
                <c:pt idx="59">
                  <c:v>832098.46671053173</c:v>
                </c:pt>
                <c:pt idx="60">
                  <c:v>839489.43918547477</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489403.85692424828</c:v>
                </c:pt>
                <c:pt idx="23">
                  <c:v>492708.33924377221</c:v>
                </c:pt>
                <c:pt idx="24">
                  <c:v>495598.9242259477</c:v>
                </c:pt>
                <c:pt idx="25">
                  <c:v>495972.82745242387</c:v>
                </c:pt>
                <c:pt idx="26">
                  <c:v>496616.83909961605</c:v>
                </c:pt>
                <c:pt idx="27">
                  <c:v>500312.05914165312</c:v>
                </c:pt>
                <c:pt idx="28">
                  <c:v>503266.88211628905</c:v>
                </c:pt>
                <c:pt idx="29">
                  <c:v>503292.79018180649</c:v>
                </c:pt>
                <c:pt idx="30">
                  <c:v>489958.67554996983</c:v>
                </c:pt>
                <c:pt idx="31">
                  <c:v>492429.11000739003</c:v>
                </c:pt>
                <c:pt idx="32">
                  <c:v>493256.09667167137</c:v>
                </c:pt>
                <c:pt idx="33">
                  <c:v>493736.05773725896</c:v>
                </c:pt>
                <c:pt idx="34">
                  <c:v>494852.85295858636</c:v>
                </c:pt>
                <c:pt idx="35">
                  <c:v>498100.9722858204</c:v>
                </c:pt>
                <c:pt idx="36">
                  <c:v>501525.98465354275</c:v>
                </c:pt>
                <c:pt idx="37">
                  <c:v>505471.41594823002</c:v>
                </c:pt>
                <c:pt idx="38">
                  <c:v>508545.50046725088</c:v>
                </c:pt>
                <c:pt idx="39">
                  <c:v>512557.08052358823</c:v>
                </c:pt>
                <c:pt idx="40">
                  <c:v>517712.34832454642</c:v>
                </c:pt>
                <c:pt idx="41">
                  <c:v>526070.48604838585</c:v>
                </c:pt>
                <c:pt idx="42">
                  <c:v>534877.53298018733</c:v>
                </c:pt>
                <c:pt idx="43">
                  <c:v>543945.65843721828</c:v>
                </c:pt>
                <c:pt idx="44">
                  <c:v>554100.11511137802</c:v>
                </c:pt>
                <c:pt idx="45">
                  <c:v>563174.81227357814</c:v>
                </c:pt>
                <c:pt idx="46">
                  <c:v>572606.53099513473</c:v>
                </c:pt>
                <c:pt idx="47">
                  <c:v>582274.4204838929</c:v>
                </c:pt>
                <c:pt idx="48">
                  <c:v>591590.65145045181</c:v>
                </c:pt>
                <c:pt idx="49">
                  <c:v>600950.68740418227</c:v>
                </c:pt>
                <c:pt idx="50">
                  <c:v>610714.29471327481</c:v>
                </c:pt>
                <c:pt idx="51">
                  <c:v>620797.85952877987</c:v>
                </c:pt>
                <c:pt idx="52">
                  <c:v>630347.23417948931</c:v>
                </c:pt>
                <c:pt idx="53">
                  <c:v>640084.54118388204</c:v>
                </c:pt>
                <c:pt idx="54">
                  <c:v>650028.07125104172</c:v>
                </c:pt>
                <c:pt idx="55">
                  <c:v>660697.68958880799</c:v>
                </c:pt>
                <c:pt idx="56">
                  <c:v>671457.16638096864</c:v>
                </c:pt>
                <c:pt idx="57">
                  <c:v>677421.75927119248</c:v>
                </c:pt>
                <c:pt idx="58">
                  <c:v>683087.62904231215</c:v>
                </c:pt>
                <c:pt idx="59">
                  <c:v>689453.01527444052</c:v>
                </c:pt>
                <c:pt idx="60">
                  <c:v>695576.96389653615</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607535.8223887221</c:v>
                </c:pt>
                <c:pt idx="23">
                  <c:v>611637.9383715794</c:v>
                </c:pt>
                <c:pt idx="24">
                  <c:v>615226.25076324551</c:v>
                </c:pt>
                <c:pt idx="25">
                  <c:v>615690.40649266425</c:v>
                </c:pt>
                <c:pt idx="26">
                  <c:v>616489.86922710971</c:v>
                </c:pt>
                <c:pt idx="27">
                  <c:v>621077.03893446608</c:v>
                </c:pt>
                <c:pt idx="28">
                  <c:v>624745.09504091064</c:v>
                </c:pt>
                <c:pt idx="29">
                  <c:v>624777.25677741505</c:v>
                </c:pt>
                <c:pt idx="30">
                  <c:v>608224.56275168678</c:v>
                </c:pt>
                <c:pt idx="31">
                  <c:v>611291.3089746912</c:v>
                </c:pt>
                <c:pt idx="32">
                  <c:v>612317.9131096612</c:v>
                </c:pt>
                <c:pt idx="33">
                  <c:v>612913.72684625268</c:v>
                </c:pt>
                <c:pt idx="34">
                  <c:v>614300.09332790039</c:v>
                </c:pt>
                <c:pt idx="35">
                  <c:v>618332.24145825999</c:v>
                </c:pt>
                <c:pt idx="36">
                  <c:v>622583.9809492256</c:v>
                </c:pt>
                <c:pt idx="37">
                  <c:v>627481.75772883731</c:v>
                </c:pt>
                <c:pt idx="38">
                  <c:v>631297.86264900118</c:v>
                </c:pt>
                <c:pt idx="39">
                  <c:v>636277.75513273035</c:v>
                </c:pt>
                <c:pt idx="40">
                  <c:v>642677.39792012668</c:v>
                </c:pt>
                <c:pt idx="41">
                  <c:v>653053.01716351358</c:v>
                </c:pt>
                <c:pt idx="42">
                  <c:v>663985.9030098879</c:v>
                </c:pt>
                <c:pt idx="43">
                  <c:v>675242.88633585721</c:v>
                </c:pt>
                <c:pt idx="44">
                  <c:v>687848.41875895218</c:v>
                </c:pt>
                <c:pt idx="45">
                  <c:v>699113.56006375235</c:v>
                </c:pt>
                <c:pt idx="46">
                  <c:v>710821.90054568474</c:v>
                </c:pt>
                <c:pt idx="47">
                  <c:v>722823.41853172926</c:v>
                </c:pt>
                <c:pt idx="48">
                  <c:v>734388.3949040093</c:v>
                </c:pt>
                <c:pt idx="49">
                  <c:v>746007.74988105404</c:v>
                </c:pt>
                <c:pt idx="50">
                  <c:v>758128.08998889301</c:v>
                </c:pt>
                <c:pt idx="51">
                  <c:v>770645.61872538214</c:v>
                </c:pt>
                <c:pt idx="52">
                  <c:v>782500.01484350418</c:v>
                </c:pt>
                <c:pt idx="53">
                  <c:v>794587.70629723312</c:v>
                </c:pt>
                <c:pt idx="54">
                  <c:v>806931.39879439678</c:v>
                </c:pt>
                <c:pt idx="55">
                  <c:v>820176.44224817562</c:v>
                </c:pt>
                <c:pt idx="56">
                  <c:v>833533.03412809921</c:v>
                </c:pt>
                <c:pt idx="57">
                  <c:v>840937.35633665288</c:v>
                </c:pt>
                <c:pt idx="58">
                  <c:v>847970.84984562895</c:v>
                </c:pt>
                <c:pt idx="59">
                  <c:v>855872.70861654705</c:v>
                </c:pt>
                <c:pt idx="60">
                  <c:v>863474.85173363134</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5984261.233029482</c:v>
                </c:pt>
                <c:pt idx="23">
                  <c:v>5953794.0597159145</c:v>
                </c:pt>
                <c:pt idx="24">
                  <c:v>5898185.8883474981</c:v>
                </c:pt>
                <c:pt idx="25">
                  <c:v>5745970.6114831753</c:v>
                </c:pt>
                <c:pt idx="26">
                  <c:v>5599829.6425982891</c:v>
                </c:pt>
                <c:pt idx="27">
                  <c:v>5551992.8329450591</c:v>
                </c:pt>
                <c:pt idx="28">
                  <c:v>5474731.2958658384</c:v>
                </c:pt>
                <c:pt idx="29">
                  <c:v>5301139.6705897786</c:v>
                </c:pt>
                <c:pt idx="30">
                  <c:v>4718721.9406965245</c:v>
                </c:pt>
                <c:pt idx="31">
                  <c:v>4711534.1123859668</c:v>
                </c:pt>
                <c:pt idx="32">
                  <c:v>4650247.1416900577</c:v>
                </c:pt>
                <c:pt idx="33">
                  <c:v>4576010.7270728555</c:v>
                </c:pt>
                <c:pt idx="34">
                  <c:v>4516773.9429858532</c:v>
                </c:pt>
                <c:pt idx="35">
                  <c:v>4510532.5038587032</c:v>
                </c:pt>
                <c:pt idx="36">
                  <c:v>4510832.1551695792</c:v>
                </c:pt>
                <c:pt idx="37">
                  <c:v>4517346.9802303929</c:v>
                </c:pt>
                <c:pt idx="38">
                  <c:v>4496010.7192518292</c:v>
                </c:pt>
                <c:pt idx="39">
                  <c:v>4491072.1137791025</c:v>
                </c:pt>
                <c:pt idx="40">
                  <c:v>4505400.890733039</c:v>
                </c:pt>
                <c:pt idx="41">
                  <c:v>4530917.9657591889</c:v>
                </c:pt>
                <c:pt idx="42">
                  <c:v>4556281.5571180247</c:v>
                </c:pt>
                <c:pt idx="43">
                  <c:v>4577213.5049043419</c:v>
                </c:pt>
                <c:pt idx="44">
                  <c:v>4609684.5032126708</c:v>
                </c:pt>
                <c:pt idx="45">
                  <c:v>4611330.4249759261</c:v>
                </c:pt>
                <c:pt idx="46">
                  <c:v>4615078.158247265</c:v>
                </c:pt>
                <c:pt idx="47">
                  <c:v>4614009.3957581082</c:v>
                </c:pt>
                <c:pt idx="48">
                  <c:v>4598280.1180993337</c:v>
                </c:pt>
                <c:pt idx="49">
                  <c:v>4575380.7139388472</c:v>
                </c:pt>
                <c:pt idx="50">
                  <c:v>4551228.0774298152</c:v>
                </c:pt>
                <c:pt idx="51">
                  <c:v>4584218.1474687643</c:v>
                </c:pt>
                <c:pt idx="52">
                  <c:v>4602892.9051738065</c:v>
                </c:pt>
                <c:pt idx="53">
                  <c:v>4618437.0245618345</c:v>
                </c:pt>
                <c:pt idx="54">
                  <c:v>4631093.3487354163</c:v>
                </c:pt>
                <c:pt idx="55">
                  <c:v>4647843.9256793922</c:v>
                </c:pt>
                <c:pt idx="56">
                  <c:v>4662593.5662119258</c:v>
                </c:pt>
                <c:pt idx="57">
                  <c:v>4610214.8858198384</c:v>
                </c:pt>
                <c:pt idx="58">
                  <c:v>4551808.9980495395</c:v>
                </c:pt>
                <c:pt idx="59">
                  <c:v>4499797.6705995882</c:v>
                </c:pt>
                <c:pt idx="60">
                  <c:v>4442570.1132161999</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5306797.6972148223</c:v>
                </c:pt>
                <c:pt idx="23">
                  <c:v>5279779.6378612826</c:v>
                </c:pt>
                <c:pt idx="24">
                  <c:v>5230466.731176083</c:v>
                </c:pt>
                <c:pt idx="25">
                  <c:v>5095483.3724473435</c:v>
                </c:pt>
                <c:pt idx="26">
                  <c:v>4965886.6641909359</c:v>
                </c:pt>
                <c:pt idx="27">
                  <c:v>4923465.3424229762</c:v>
                </c:pt>
                <c:pt idx="28">
                  <c:v>4854950.3944470631</c:v>
                </c:pt>
                <c:pt idx="29">
                  <c:v>4701010.6512777284</c:v>
                </c:pt>
                <c:pt idx="30">
                  <c:v>4184527.0040138983</c:v>
                </c:pt>
                <c:pt idx="31">
                  <c:v>4178152.8921158565</c:v>
                </c:pt>
                <c:pt idx="32">
                  <c:v>4123804.0690458999</c:v>
                </c:pt>
                <c:pt idx="33">
                  <c:v>4057971.7768381923</c:v>
                </c:pt>
                <c:pt idx="34">
                  <c:v>4005441.0437799073</c:v>
                </c:pt>
                <c:pt idx="35">
                  <c:v>3999906.1826671516</c:v>
                </c:pt>
                <c:pt idx="36">
                  <c:v>4000171.9111881172</c:v>
                </c:pt>
                <c:pt idx="37">
                  <c:v>4005949.2088835556</c:v>
                </c:pt>
                <c:pt idx="38">
                  <c:v>3987028.3736761501</c:v>
                </c:pt>
                <c:pt idx="39">
                  <c:v>3982648.85561543</c:v>
                </c:pt>
                <c:pt idx="40">
                  <c:v>3995355.5068764682</c:v>
                </c:pt>
                <c:pt idx="41">
                  <c:v>4017983.8564279592</c:v>
                </c:pt>
                <c:pt idx="42">
                  <c:v>4040476.097821644</c:v>
                </c:pt>
                <c:pt idx="43">
                  <c:v>4059038.3911415855</c:v>
                </c:pt>
                <c:pt idx="44">
                  <c:v>4087833.4273772733</c:v>
                </c:pt>
                <c:pt idx="45">
                  <c:v>4089293.0183748771</c:v>
                </c:pt>
                <c:pt idx="46">
                  <c:v>4092616.4799551214</c:v>
                </c:pt>
                <c:pt idx="47">
                  <c:v>4091668.7094458691</c:v>
                </c:pt>
                <c:pt idx="48">
                  <c:v>4077720.104729597</c:v>
                </c:pt>
                <c:pt idx="49">
                  <c:v>4057413.0859457701</c:v>
                </c:pt>
                <c:pt idx="50">
                  <c:v>4035994.7101736097</c:v>
                </c:pt>
                <c:pt idx="51">
                  <c:v>4065250.0553024891</c:v>
                </c:pt>
                <c:pt idx="52">
                  <c:v>4081810.6894937526</c:v>
                </c:pt>
                <c:pt idx="53">
                  <c:v>4095595.0972529473</c:v>
                </c:pt>
                <c:pt idx="54">
                  <c:v>4106818.6300106514</c:v>
                </c:pt>
                <c:pt idx="55">
                  <c:v>4121672.9152251212</c:v>
                </c:pt>
                <c:pt idx="56">
                  <c:v>4134752.7851313297</c:v>
                </c:pt>
                <c:pt idx="57">
                  <c:v>4088303.7666704222</c:v>
                </c:pt>
                <c:pt idx="58">
                  <c:v>4036509.8661948745</c:v>
                </c:pt>
                <c:pt idx="59">
                  <c:v>3990386.6135505778</c:v>
                </c:pt>
                <c:pt idx="60">
                  <c:v>3939637.6475690822</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543007.49179039791</c:v>
                </c:pt>
                <c:pt idx="23">
                  <c:v>563264.94874187512</c:v>
                </c:pt>
                <c:pt idx="24">
                  <c:v>581463.66332741594</c:v>
                </c:pt>
                <c:pt idx="25">
                  <c:v>590003.82779140584</c:v>
                </c:pt>
                <c:pt idx="26">
                  <c:v>598674.66430219111</c:v>
                </c:pt>
                <c:pt idx="27">
                  <c:v>617814.32044813794</c:v>
                </c:pt>
                <c:pt idx="28">
                  <c:v>633958.70908242883</c:v>
                </c:pt>
                <c:pt idx="29">
                  <c:v>638671.61459478887</c:v>
                </c:pt>
                <c:pt idx="30">
                  <c:v>591407.68067539216</c:v>
                </c:pt>
                <c:pt idx="31">
                  <c:v>611206.14853008732</c:v>
                </c:pt>
                <c:pt idx="32">
                  <c:v>624246.58680008829</c:v>
                </c:pt>
                <c:pt idx="33">
                  <c:v>635516.04421068856</c:v>
                </c:pt>
                <c:pt idx="34">
                  <c:v>648848.2526071677</c:v>
                </c:pt>
                <c:pt idx="35">
                  <c:v>670107.03806065023</c:v>
                </c:pt>
                <c:pt idx="36">
                  <c:v>692963.41157666012</c:v>
                </c:pt>
                <c:pt idx="37">
                  <c:v>717494.68236783356</c:v>
                </c:pt>
                <c:pt idx="38">
                  <c:v>738238.08215894026</c:v>
                </c:pt>
                <c:pt idx="39">
                  <c:v>762276.66429253283</c:v>
                </c:pt>
                <c:pt idx="40">
                  <c:v>790416.45342891675</c:v>
                </c:pt>
                <c:pt idx="41">
                  <c:v>821643.47220152733</c:v>
                </c:pt>
                <c:pt idx="42">
                  <c:v>854104.86662732123</c:v>
                </c:pt>
                <c:pt idx="43">
                  <c:v>887039.42632510792</c:v>
                </c:pt>
                <c:pt idx="44">
                  <c:v>923635.35687567387</c:v>
                </c:pt>
                <c:pt idx="45">
                  <c:v>955428.98368984181</c:v>
                </c:pt>
                <c:pt idx="46">
                  <c:v>988912.82148767007</c:v>
                </c:pt>
                <c:pt idx="47">
                  <c:v>1022673.2976493411</c:v>
                </c:pt>
                <c:pt idx="48">
                  <c:v>1054423.1080462888</c:v>
                </c:pt>
                <c:pt idx="49">
                  <c:v>1085671.1361477501</c:v>
                </c:pt>
                <c:pt idx="50">
                  <c:v>1117765.909590167</c:v>
                </c:pt>
                <c:pt idx="51">
                  <c:v>1158236.0157574657</c:v>
                </c:pt>
                <c:pt idx="52">
                  <c:v>1196507.0626884943</c:v>
                </c:pt>
                <c:pt idx="53">
                  <c:v>1235322.8472017227</c:v>
                </c:pt>
                <c:pt idx="54">
                  <c:v>1274746.6017324834</c:v>
                </c:pt>
                <c:pt idx="55">
                  <c:v>1316758.0853179072</c:v>
                </c:pt>
                <c:pt idx="56">
                  <c:v>1359755.6620945183</c:v>
                </c:pt>
                <c:pt idx="57">
                  <c:v>1384215.2392491424</c:v>
                </c:pt>
                <c:pt idx="58">
                  <c:v>1407315.8052346774</c:v>
                </c:pt>
                <c:pt idx="59">
                  <c:v>1432871.6990553653</c:v>
                </c:pt>
                <c:pt idx="60">
                  <c:v>1457280.0035630902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19015978.109920204</c:v>
                      </c:pt>
                      <c:pt idx="23">
                        <c:v>19026240.670801673</c:v>
                      </c:pt>
                      <c:pt idx="24">
                        <c:v>19049833.423283767</c:v>
                      </c:pt>
                      <c:pt idx="25">
                        <c:v>19084859.062341545</c:v>
                      </c:pt>
                      <c:pt idx="26">
                        <c:v>19132134.129473589</c:v>
                      </c:pt>
                      <c:pt idx="27">
                        <c:v>19192608.724077564</c:v>
                      </c:pt>
                      <c:pt idx="28">
                        <c:v>19259245.436183929</c:v>
                      </c:pt>
                      <c:pt idx="29">
                        <c:v>19331009.292671949</c:v>
                      </c:pt>
                      <c:pt idx="30">
                        <c:v>19402108.703371886</c:v>
                      </c:pt>
                      <c:pt idx="31">
                        <c:v>19427319.513170213</c:v>
                      </c:pt>
                      <c:pt idx="32">
                        <c:v>19456460.660524372</c:v>
                      </c:pt>
                      <c:pt idx="33">
                        <c:v>19489911.977334917</c:v>
                      </c:pt>
                      <c:pt idx="34">
                        <c:v>19527941.704147018</c:v>
                      </c:pt>
                      <c:pt idx="35">
                        <c:v>19571139.759107526</c:v>
                      </c:pt>
                      <c:pt idx="36">
                        <c:v>19596834.368574195</c:v>
                      </c:pt>
                      <c:pt idx="37">
                        <c:v>19626249.086009569</c:v>
                      </c:pt>
                      <c:pt idx="38">
                        <c:v>19658453.990467038</c:v>
                      </c:pt>
                      <c:pt idx="39">
                        <c:v>19694294.423472732</c:v>
                      </c:pt>
                      <c:pt idx="40">
                        <c:v>19733763.637151483</c:v>
                      </c:pt>
                      <c:pt idx="41">
                        <c:v>19760519.082417767</c:v>
                      </c:pt>
                      <c:pt idx="42">
                        <c:v>19790064.02282425</c:v>
                      </c:pt>
                      <c:pt idx="43">
                        <c:v>19822185.862711906</c:v>
                      </c:pt>
                      <c:pt idx="44">
                        <c:v>19857252.979692426</c:v>
                      </c:pt>
                      <c:pt idx="45">
                        <c:v>19893953.376030006</c:v>
                      </c:pt>
                      <c:pt idx="46">
                        <c:v>19916709.903955787</c:v>
                      </c:pt>
                      <c:pt idx="47">
                        <c:v>19941560.866672534</c:v>
                      </c:pt>
                      <c:pt idx="48">
                        <c:v>19968099.064232621</c:v>
                      </c:pt>
                      <c:pt idx="49">
                        <c:v>19996480.188604578</c:v>
                      </c:pt>
                      <c:pt idx="50">
                        <c:v>20026846.008479167</c:v>
                      </c:pt>
                      <c:pt idx="51">
                        <c:v>20043914.566029985</c:v>
                      </c:pt>
                      <c:pt idx="52">
                        <c:v>20062229.167701647</c:v>
                      </c:pt>
                      <c:pt idx="53">
                        <c:v>20082147.582088817</c:v>
                      </c:pt>
                      <c:pt idx="54">
                        <c:v>20103630.641147859</c:v>
                      </c:pt>
                      <c:pt idx="55">
                        <c:v>20126930.131539661</c:v>
                      </c:pt>
                      <c:pt idx="56">
                        <c:v>20136319.450600818</c:v>
                      </c:pt>
                      <c:pt idx="57">
                        <c:v>20144200.488053665</c:v>
                      </c:pt>
                      <c:pt idx="58">
                        <c:v>20153108.931740377</c:v>
                      </c:pt>
                      <c:pt idx="59">
                        <c:v>20163581.030612953</c:v>
                      </c:pt>
                      <c:pt idx="60">
                        <c:v>20175039.083051898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2841467.9934363523</c:v>
                      </c:pt>
                      <c:pt idx="23">
                        <c:v>2843001.4795450778</c:v>
                      </c:pt>
                      <c:pt idx="24">
                        <c:v>2846526.8333642413</c:v>
                      </c:pt>
                      <c:pt idx="25">
                        <c:v>2851760.5495452886</c:v>
                      </c:pt>
                      <c:pt idx="26">
                        <c:v>2858824.6400362835</c:v>
                      </c:pt>
                      <c:pt idx="27">
                        <c:v>2867861.0737127396</c:v>
                      </c:pt>
                      <c:pt idx="28">
                        <c:v>2877818.283567714</c:v>
                      </c:pt>
                      <c:pt idx="29">
                        <c:v>2888541.6184452334</c:v>
                      </c:pt>
                      <c:pt idx="30">
                        <c:v>2899165.6683199373</c:v>
                      </c:pt>
                      <c:pt idx="31">
                        <c:v>2902932.8008185374</c:v>
                      </c:pt>
                      <c:pt idx="32">
                        <c:v>2907287.2251358256</c:v>
                      </c:pt>
                      <c:pt idx="33">
                        <c:v>2912285.6977626886</c:v>
                      </c:pt>
                      <c:pt idx="34">
                        <c:v>2917968.3006196697</c:v>
                      </c:pt>
                      <c:pt idx="35">
                        <c:v>2924423.1823953777</c:v>
                      </c:pt>
                      <c:pt idx="36">
                        <c:v>2928262.606798443</c:v>
                      </c:pt>
                      <c:pt idx="37">
                        <c:v>2932657.9094037293</c:v>
                      </c:pt>
                      <c:pt idx="38">
                        <c:v>2937470.1365065691</c:v>
                      </c:pt>
                      <c:pt idx="39">
                        <c:v>2942825.6035074196</c:v>
                      </c:pt>
                      <c:pt idx="40">
                        <c:v>2948723.3021030952</c:v>
                      </c:pt>
                      <c:pt idx="41">
                        <c:v>2952721.242200356</c:v>
                      </c:pt>
                      <c:pt idx="42">
                        <c:v>2957136.00341052</c:v>
                      </c:pt>
                      <c:pt idx="43">
                        <c:v>2961935.8185661472</c:v>
                      </c:pt>
                      <c:pt idx="44">
                        <c:v>2967175.7325977189</c:v>
                      </c:pt>
                      <c:pt idx="45">
                        <c:v>2972659.6998665524</c:v>
                      </c:pt>
                      <c:pt idx="46">
                        <c:v>2976060.1005910947</c:v>
                      </c:pt>
                      <c:pt idx="47">
                        <c:v>2979773.4628361259</c:v>
                      </c:pt>
                      <c:pt idx="48">
                        <c:v>2983738.9406324611</c:v>
                      </c:pt>
                      <c:pt idx="49">
                        <c:v>2987979.7982972362</c:v>
                      </c:pt>
                      <c:pt idx="50">
                        <c:v>2992517.2196578067</c:v>
                      </c:pt>
                      <c:pt idx="51">
                        <c:v>2995067.6937745954</c:v>
                      </c:pt>
                      <c:pt idx="52">
                        <c:v>2997804.3583922004</c:v>
                      </c:pt>
                      <c:pt idx="53">
                        <c:v>3000780.6731856856</c:v>
                      </c:pt>
                      <c:pt idx="54">
                        <c:v>3003990.7854588754</c:v>
                      </c:pt>
                      <c:pt idx="55">
                        <c:v>3007472.3185059265</c:v>
                      </c:pt>
                      <c:pt idx="56">
                        <c:v>3008875.3202047199</c:v>
                      </c:pt>
                      <c:pt idx="57">
                        <c:v>3010052.9464907777</c:v>
                      </c:pt>
                      <c:pt idx="58">
                        <c:v>3011384.093248562</c:v>
                      </c:pt>
                      <c:pt idx="59">
                        <c:v>3012948.8896318204</c:v>
                      </c:pt>
                      <c:pt idx="60">
                        <c:v>3014661.012410054</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2067614.642656798</c:v>
                      </c:pt>
                      <c:pt idx="23">
                        <c:v>2072988.7168994576</c:v>
                      </c:pt>
                      <c:pt idx="24">
                        <c:v>2080235.7608107477</c:v>
                      </c:pt>
                      <c:pt idx="25">
                        <c:v>2089062.4763060827</c:v>
                      </c:pt>
                      <c:pt idx="26">
                        <c:v>2099634.7522200332</c:v>
                      </c:pt>
                      <c:pt idx="27">
                        <c:v>2112133.6230614381</c:v>
                      </c:pt>
                      <c:pt idx="28">
                        <c:v>2125379.9594243024</c:v>
                      </c:pt>
                      <c:pt idx="29">
                        <c:v>2139218.7685610452</c:v>
                      </c:pt>
                      <c:pt idx="30">
                        <c:v>2152691.6803786336</c:v>
                      </c:pt>
                      <c:pt idx="31">
                        <c:v>2158871.1518625161</c:v>
                      </c:pt>
                      <c:pt idx="32">
                        <c:v>2165535.0758280959</c:v>
                      </c:pt>
                      <c:pt idx="33">
                        <c:v>2172757.6865047915</c:v>
                      </c:pt>
                      <c:pt idx="34">
                        <c:v>2180592.4512838051</c:v>
                      </c:pt>
                      <c:pt idx="35">
                        <c:v>2189144.7698348155</c:v>
                      </c:pt>
                      <c:pt idx="36">
                        <c:v>2194649.3351718113</c:v>
                      </c:pt>
                      <c:pt idx="37">
                        <c:v>2200656.3872116311</c:v>
                      </c:pt>
                      <c:pt idx="38">
                        <c:v>2207016.5011669281</c:v>
                      </c:pt>
                      <c:pt idx="39">
                        <c:v>2213874.2752633416</c:v>
                      </c:pt>
                      <c:pt idx="40">
                        <c:v>2221232.0213697874</c:v>
                      </c:pt>
                      <c:pt idx="41">
                        <c:v>2226074.9830982564</c:v>
                      </c:pt>
                      <c:pt idx="42">
                        <c:v>2231295.4056526404</c:v>
                      </c:pt>
                      <c:pt idx="43">
                        <c:v>2236860.7897538398</c:v>
                      </c:pt>
                      <c:pt idx="44">
                        <c:v>2242833.6889893389</c:v>
                      </c:pt>
                      <c:pt idx="45">
                        <c:v>2249001.2656106222</c:v>
                      </c:pt>
                      <c:pt idx="46">
                        <c:v>2252824.6348691038</c:v>
                      </c:pt>
                      <c:pt idx="47">
                        <c:v>2256931.5289434274</c:v>
                      </c:pt>
                      <c:pt idx="48">
                        <c:v>2261257.1118704318</c:v>
                      </c:pt>
                      <c:pt idx="49">
                        <c:v>2265828.172219194</c:v>
                      </c:pt>
                      <c:pt idx="50">
                        <c:v>2270668.8953284565</c:v>
                      </c:pt>
                      <c:pt idx="51">
                        <c:v>2273308.3380504865</c:v>
                      </c:pt>
                      <c:pt idx="52">
                        <c:v>2276108.0357723883</c:v>
                      </c:pt>
                      <c:pt idx="53">
                        <c:v>2279126.7508470975</c:v>
                      </c:pt>
                      <c:pt idx="54">
                        <c:v>2282358.8672227631</c:v>
                      </c:pt>
                      <c:pt idx="55">
                        <c:v>2285845.4727006</c:v>
                      </c:pt>
                      <c:pt idx="56">
                        <c:v>2287063.3452138416</c:v>
                      </c:pt>
                      <c:pt idx="57">
                        <c:v>2288011.3846140928</c:v>
                      </c:pt>
                      <c:pt idx="58">
                        <c:v>2289097.7022010405</c:v>
                      </c:pt>
                      <c:pt idx="59">
                        <c:v>2290408.4783192039</c:v>
                      </c:pt>
                      <c:pt idx="60">
                        <c:v>2291851.6496943706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4013604.8945690775</c:v>
                      </c:pt>
                      <c:pt idx="23">
                        <c:v>4024036.9210401229</c:v>
                      </c:pt>
                      <c:pt idx="24">
                        <c:v>4038104.7121620388</c:v>
                      </c:pt>
                      <c:pt idx="25">
                        <c:v>4055238.9245941597</c:v>
                      </c:pt>
                      <c:pt idx="26">
                        <c:v>4075761.5778388875</c:v>
                      </c:pt>
                      <c:pt idx="27">
                        <c:v>4100024.0918251434</c:v>
                      </c:pt>
                      <c:pt idx="28">
                        <c:v>4125737.5682942332</c:v>
                      </c:pt>
                      <c:pt idx="29">
                        <c:v>4152601.1389714396</c:v>
                      </c:pt>
                      <c:pt idx="30">
                        <c:v>4178754.4383820524</c:v>
                      </c:pt>
                      <c:pt idx="31">
                        <c:v>4190749.8830272364</c:v>
                      </c:pt>
                      <c:pt idx="32">
                        <c:v>4203685.735431009</c:v>
                      </c:pt>
                      <c:pt idx="33">
                        <c:v>4217706.0973328296</c:v>
                      </c:pt>
                      <c:pt idx="34">
                        <c:v>4232914.7583744442</c:v>
                      </c:pt>
                      <c:pt idx="35">
                        <c:v>4249516.3179146415</c:v>
                      </c:pt>
                      <c:pt idx="36">
                        <c:v>4260201.6506276326</c:v>
                      </c:pt>
                      <c:pt idx="37">
                        <c:v>4271862.3987049302</c:v>
                      </c:pt>
                      <c:pt idx="38">
                        <c:v>4284208.5022652121</c:v>
                      </c:pt>
                      <c:pt idx="39">
                        <c:v>4297520.6519817803</c:v>
                      </c:pt>
                      <c:pt idx="40">
                        <c:v>4311803.335600174</c:v>
                      </c:pt>
                      <c:pt idx="41">
                        <c:v>4321204.3789554378</c:v>
                      </c:pt>
                      <c:pt idx="42">
                        <c:v>4331338.1403845362</c:v>
                      </c:pt>
                      <c:pt idx="43">
                        <c:v>4342141.5330515699</c:v>
                      </c:pt>
                      <c:pt idx="44">
                        <c:v>4353735.9845087156</c:v>
                      </c:pt>
                      <c:pt idx="45">
                        <c:v>4365708.3391265012</c:v>
                      </c:pt>
                      <c:pt idx="46">
                        <c:v>4373130.1735694353</c:v>
                      </c:pt>
                      <c:pt idx="47">
                        <c:v>4381102.3797137104</c:v>
                      </c:pt>
                      <c:pt idx="48">
                        <c:v>4389499.0995131908</c:v>
                      </c:pt>
                      <c:pt idx="49">
                        <c:v>4398372.3343078457</c:v>
                      </c:pt>
                      <c:pt idx="50">
                        <c:v>4407769.0321081793</c:v>
                      </c:pt>
                      <c:pt idx="51">
                        <c:v>4412892.65621565</c:v>
                      </c:pt>
                      <c:pt idx="52">
                        <c:v>4418327.3635581648</c:v>
                      </c:pt>
                      <c:pt idx="53">
                        <c:v>4424187.2222326007</c:v>
                      </c:pt>
                      <c:pt idx="54">
                        <c:v>4430461.3304912457</c:v>
                      </c:pt>
                      <c:pt idx="55">
                        <c:v>4437229.4470070461</c:v>
                      </c:pt>
                      <c:pt idx="56">
                        <c:v>4439593.5524739269</c:v>
                      </c:pt>
                      <c:pt idx="57">
                        <c:v>4441433.8642508844</c:v>
                      </c:pt>
                      <c:pt idx="58">
                        <c:v>4443542.5983902542</c:v>
                      </c:pt>
                      <c:pt idx="59">
                        <c:v>4446087.0461490415</c:v>
                      </c:pt>
                      <c:pt idx="60">
                        <c:v>4448888.4964655424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309028.21482486243</c:v>
                      </c:pt>
                      <c:pt idx="23">
                        <c:v>311109.49077674747</c:v>
                      </c:pt>
                      <c:pt idx="24">
                        <c:v>312368.726893201</c:v>
                      </c:pt>
                      <c:pt idx="25">
                        <c:v>310711.90538947925</c:v>
                      </c:pt>
                      <c:pt idx="26">
                        <c:v>309018.75882889726</c:v>
                      </c:pt>
                      <c:pt idx="27">
                        <c:v>310067.87140764558</c:v>
                      </c:pt>
                      <c:pt idx="28">
                        <c:v>310203.40095841023</c:v>
                      </c:pt>
                      <c:pt idx="29">
                        <c:v>307310.42974195653</c:v>
                      </c:pt>
                      <c:pt idx="30">
                        <c:v>291417.48625663668</c:v>
                      </c:pt>
                      <c:pt idx="31">
                        <c:v>296267.12707988336</c:v>
                      </c:pt>
                      <c:pt idx="32">
                        <c:v>299454.18407005235</c:v>
                      </c:pt>
                      <c:pt idx="33">
                        <c:v>302235.01720775856</c:v>
                      </c:pt>
                      <c:pt idx="34">
                        <c:v>305572.60015256866</c:v>
                      </c:pt>
                      <c:pt idx="35">
                        <c:v>310935.7271768942</c:v>
                      </c:pt>
                      <c:pt idx="36">
                        <c:v>317067.33587666636</c:v>
                      </c:pt>
                      <c:pt idx="37">
                        <c:v>323693.44719337235</c:v>
                      </c:pt>
                      <c:pt idx="38">
                        <c:v>329450.58294558077</c:v>
                      </c:pt>
                      <c:pt idx="39">
                        <c:v>336124.42724780034</c:v>
                      </c:pt>
                      <c:pt idx="40">
                        <c:v>343932.94455007225</c:v>
                      </c:pt>
                      <c:pt idx="41">
                        <c:v>351780.39813392184</c:v>
                      </c:pt>
                      <c:pt idx="42">
                        <c:v>359970.25786443474</c:v>
                      </c:pt>
                      <c:pt idx="43">
                        <c:v>368314.94094541977</c:v>
                      </c:pt>
                      <c:pt idx="44">
                        <c:v>377624.15751612128</c:v>
                      </c:pt>
                      <c:pt idx="45">
                        <c:v>385767.15791927977</c:v>
                      </c:pt>
                      <c:pt idx="46">
                        <c:v>394715.64380230469</c:v>
                      </c:pt>
                      <c:pt idx="47">
                        <c:v>403812.62364224845</c:v>
                      </c:pt>
                      <c:pt idx="48">
                        <c:v>412484.39145008556</c:v>
                      </c:pt>
                      <c:pt idx="49">
                        <c:v>421117.89382583258</c:v>
                      </c:pt>
                      <c:pt idx="50">
                        <c:v>430062.37784765434</c:v>
                      </c:pt>
                      <c:pt idx="51">
                        <c:v>439795.81987288076</c:v>
                      </c:pt>
                      <c:pt idx="52">
                        <c:v>448949.70744499733</c:v>
                      </c:pt>
                      <c:pt idx="53">
                        <c:v>458224.29357395851</c:v>
                      </c:pt>
                      <c:pt idx="54">
                        <c:v>467636.69872761058</c:v>
                      </c:pt>
                      <c:pt idx="55">
                        <c:v>477687.79124097835</c:v>
                      </c:pt>
                      <c:pt idx="56">
                        <c:v>488374.84363116487</c:v>
                      </c:pt>
                      <c:pt idx="57">
                        <c:v>494397.26415126788</c:v>
                      </c:pt>
                      <c:pt idx="58">
                        <c:v>500093.47763044975</c:v>
                      </c:pt>
                      <c:pt idx="59">
                        <c:v>506426.13931096264</c:v>
                      </c:pt>
                      <c:pt idx="60">
                        <c:v>512488.59166730172</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1662639.7620173867</c:v>
                      </c:pt>
                      <c:pt idx="23">
                        <c:v>1659701.2391141164</c:v>
                      </c:pt>
                      <c:pt idx="24">
                        <c:v>1650389.446765966</c:v>
                      </c:pt>
                      <c:pt idx="25">
                        <c:v>1613971.4933432096</c:v>
                      </c:pt>
                      <c:pt idx="26">
                        <c:v>1579532.4314629554</c:v>
                      </c:pt>
                      <c:pt idx="27">
                        <c:v>1573973.8935418692</c:v>
                      </c:pt>
                      <c:pt idx="28">
                        <c:v>1560480.4598362304</c:v>
                      </c:pt>
                      <c:pt idx="29">
                        <c:v>1518921.6065929763</c:v>
                      </c:pt>
                      <c:pt idx="30">
                        <c:v>1354807.7952915137</c:v>
                      </c:pt>
                      <c:pt idx="31">
                        <c:v>1383673.7505859332</c:v>
                      </c:pt>
                      <c:pt idx="32">
                        <c:v>1396811.2998363478</c:v>
                      </c:pt>
                      <c:pt idx="33">
                        <c:v>1406299.6476261832</c:v>
                      </c:pt>
                      <c:pt idx="34">
                        <c:v>1421011.4563036875</c:v>
                      </c:pt>
                      <c:pt idx="35">
                        <c:v>1454015.8158395153</c:v>
                      </c:pt>
                      <c:pt idx="36">
                        <c:v>1491181.8989774229</c:v>
                      </c:pt>
                      <c:pt idx="37">
                        <c:v>1532093.3928413352</c:v>
                      </c:pt>
                      <c:pt idx="38">
                        <c:v>1564733.1890049209</c:v>
                      </c:pt>
                      <c:pt idx="39">
                        <c:v>1604765.3714146377</c:v>
                      </c:pt>
                      <c:pt idx="40">
                        <c:v>1653807.7204926384</c:v>
                      </c:pt>
                      <c:pt idx="41">
                        <c:v>1700362.5874670078</c:v>
                      </c:pt>
                      <c:pt idx="42">
                        <c:v>1748813.1333295722</c:v>
                      </c:pt>
                      <c:pt idx="43">
                        <c:v>1797538.9950597496</c:v>
                      </c:pt>
                      <c:pt idx="44">
                        <c:v>1853123.8638643369</c:v>
                      </c:pt>
                      <c:pt idx="45">
                        <c:v>1898143.9938761145</c:v>
                      </c:pt>
                      <c:pt idx="46">
                        <c:v>1946388.4845796728</c:v>
                      </c:pt>
                      <c:pt idx="47">
                        <c:v>1994632.4130785267</c:v>
                      </c:pt>
                      <c:pt idx="48">
                        <c:v>2038391.0486970635</c:v>
                      </c:pt>
                      <c:pt idx="49">
                        <c:v>2080777.5982731057</c:v>
                      </c:pt>
                      <c:pt idx="50">
                        <c:v>2124475.1207851768</c:v>
                      </c:pt>
                      <c:pt idx="51">
                        <c:v>2170675.2222298179</c:v>
                      </c:pt>
                      <c:pt idx="52">
                        <c:v>2211259.8611469739</c:v>
                      </c:pt>
                      <c:pt idx="53">
                        <c:v>2251539.049670612</c:v>
                      </c:pt>
                      <c:pt idx="54">
                        <c:v>2291620.5530043561</c:v>
                      </c:pt>
                      <c:pt idx="55">
                        <c:v>2335062.8329973486</c:v>
                      </c:pt>
                      <c:pt idx="56">
                        <c:v>2379129.8437381336</c:v>
                      </c:pt>
                      <c:pt idx="57">
                        <c:v>2389248.3283654652</c:v>
                      </c:pt>
                      <c:pt idx="58">
                        <c:v>2396515.6568333516</c:v>
                      </c:pt>
                      <c:pt idx="59">
                        <c:v>2407543.8590259203</c:v>
                      </c:pt>
                      <c:pt idx="60">
                        <c:v>2416099.949450694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226723.6039114618</c:v>
                      </c:pt>
                      <c:pt idx="23">
                        <c:v>226322.89624283405</c:v>
                      </c:pt>
                      <c:pt idx="24">
                        <c:v>225053.10637717717</c:v>
                      </c:pt>
                      <c:pt idx="25">
                        <c:v>220087.02181952857</c:v>
                      </c:pt>
                      <c:pt idx="26">
                        <c:v>215390.78610858481</c:v>
                      </c:pt>
                      <c:pt idx="27">
                        <c:v>214632.80366480033</c:v>
                      </c:pt>
                      <c:pt idx="28">
                        <c:v>212792.78997766777</c:v>
                      </c:pt>
                      <c:pt idx="29">
                        <c:v>207125.67362631494</c:v>
                      </c:pt>
                      <c:pt idx="30">
                        <c:v>184746.51753975186</c:v>
                      </c:pt>
                      <c:pt idx="31">
                        <c:v>188682.78417080906</c:v>
                      </c:pt>
                      <c:pt idx="32">
                        <c:v>190474.26815950195</c:v>
                      </c:pt>
                      <c:pt idx="33">
                        <c:v>191768.13376720677</c:v>
                      </c:pt>
                      <c:pt idx="34">
                        <c:v>193774.28949595738</c:v>
                      </c:pt>
                      <c:pt idx="35">
                        <c:v>198274.88397811571</c:v>
                      </c:pt>
                      <c:pt idx="36">
                        <c:v>203342.98622419403</c:v>
                      </c:pt>
                      <c:pt idx="37">
                        <c:v>208921.82629654571</c:v>
                      </c:pt>
                      <c:pt idx="38">
                        <c:v>213372.70759158014</c:v>
                      </c:pt>
                      <c:pt idx="39">
                        <c:v>218831.64155654149</c:v>
                      </c:pt>
                      <c:pt idx="40">
                        <c:v>225519.23461263251</c:v>
                      </c:pt>
                      <c:pt idx="41">
                        <c:v>231867.62556368287</c:v>
                      </c:pt>
                      <c:pt idx="42">
                        <c:v>238474.51818130529</c:v>
                      </c:pt>
                      <c:pt idx="43">
                        <c:v>245118.95387178403</c:v>
                      </c:pt>
                      <c:pt idx="44">
                        <c:v>252698.70870877319</c:v>
                      </c:pt>
                      <c:pt idx="45">
                        <c:v>258837.81734674287</c:v>
                      </c:pt>
                      <c:pt idx="46">
                        <c:v>265416.61153359176</c:v>
                      </c:pt>
                      <c:pt idx="47">
                        <c:v>271995.32905616274</c:v>
                      </c:pt>
                      <c:pt idx="48">
                        <c:v>277962.41573141771</c:v>
                      </c:pt>
                      <c:pt idx="49">
                        <c:v>283742.39976451441</c:v>
                      </c:pt>
                      <c:pt idx="50">
                        <c:v>289701.15283434227</c:v>
                      </c:pt>
                      <c:pt idx="51">
                        <c:v>296001.16666770243</c:v>
                      </c:pt>
                      <c:pt idx="52">
                        <c:v>301535.43561095098</c:v>
                      </c:pt>
                      <c:pt idx="53">
                        <c:v>307028.05222781072</c:v>
                      </c:pt>
                      <c:pt idx="54">
                        <c:v>312493.71177332127</c:v>
                      </c:pt>
                      <c:pt idx="55">
                        <c:v>318417.65904509299</c:v>
                      </c:pt>
                      <c:pt idx="56">
                        <c:v>324426.79687338183</c:v>
                      </c:pt>
                      <c:pt idx="57">
                        <c:v>325806.59023165429</c:v>
                      </c:pt>
                      <c:pt idx="58">
                        <c:v>326797.58956818428</c:v>
                      </c:pt>
                      <c:pt idx="59">
                        <c:v>328301.43532171642</c:v>
                      </c:pt>
                      <c:pt idx="60">
                        <c:v>329468.17492509459</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23722316.120305818</c:v>
                      </c:pt>
                      <c:pt idx="23">
                        <c:v>24255517.547089841</c:v>
                      </c:pt>
                      <c:pt idx="24">
                        <c:v>24737792.39705459</c:v>
                      </c:pt>
                      <c:pt idx="25">
                        <c:v>24986769.935444243</c:v>
                      </c:pt>
                      <c:pt idx="26">
                        <c:v>25242611.383872338</c:v>
                      </c:pt>
                      <c:pt idx="27">
                        <c:v>25751990.995527692</c:v>
                      </c:pt>
                      <c:pt idx="28">
                        <c:v>26187557.3575183</c:v>
                      </c:pt>
                      <c:pt idx="29">
                        <c:v>26352887.537919145</c:v>
                      </c:pt>
                      <c:pt idx="30">
                        <c:v>25306294.482290111</c:v>
                      </c:pt>
                      <c:pt idx="31">
                        <c:v>26059411.395958323</c:v>
                      </c:pt>
                      <c:pt idx="32">
                        <c:v>26668085.197670184</c:v>
                      </c:pt>
                      <c:pt idx="33">
                        <c:v>27248115.759416535</c:v>
                      </c:pt>
                      <c:pt idx="34">
                        <c:v>27892172.101899307</c:v>
                      </c:pt>
                      <c:pt idx="35">
                        <c:v>28747098.466273185</c:v>
                      </c:pt>
                      <c:pt idx="36">
                        <c:v>29645035.599693645</c:v>
                      </c:pt>
                      <c:pt idx="37">
                        <c:v>30607560.322320882</c:v>
                      </c:pt>
                      <c:pt idx="38">
                        <c:v>31497897.745242074</c:v>
                      </c:pt>
                      <c:pt idx="39">
                        <c:v>32496773.134270821</c:v>
                      </c:pt>
                      <c:pt idx="40">
                        <c:v>33629741.281645209</c:v>
                      </c:pt>
                      <c:pt idx="41">
                        <c:v>34740233.640220329</c:v>
                      </c:pt>
                      <c:pt idx="42">
                        <c:v>35903284.562247403</c:v>
                      </c:pt>
                      <c:pt idx="43">
                        <c:v>37100091.569474109</c:v>
                      </c:pt>
                      <c:pt idx="44">
                        <c:v>38418045.08595679</c:v>
                      </c:pt>
                      <c:pt idx="45">
                        <c:v>39629757.601917654</c:v>
                      </c:pt>
                      <c:pt idx="46">
                        <c:v>40897425.728926994</c:v>
                      </c:pt>
                      <c:pt idx="47">
                        <c:v>42197810.282211758</c:v>
                      </c:pt>
                      <c:pt idx="48">
                        <c:v>43468070.734643765</c:v>
                      </c:pt>
                      <c:pt idx="49">
                        <c:v>44750405.498853803</c:v>
                      </c:pt>
                      <c:pt idx="50">
                        <c:v>46084037.642377004</c:v>
                      </c:pt>
                      <c:pt idx="51">
                        <c:v>47471084.011199221</c:v>
                      </c:pt>
                      <c:pt idx="52">
                        <c:v>48807813.560112186</c:v>
                      </c:pt>
                      <c:pt idx="53">
                        <c:v>50173100.244788811</c:v>
                      </c:pt>
                      <c:pt idx="54">
                        <c:v>51569300.435655385</c:v>
                      </c:pt>
                      <c:pt idx="55">
                        <c:v>53054754.472894639</c:v>
                      </c:pt>
                      <c:pt idx="56">
                        <c:v>54570197.843457237</c:v>
                      </c:pt>
                      <c:pt idx="57">
                        <c:v>55554881.961270951</c:v>
                      </c:pt>
                      <c:pt idx="58">
                        <c:v>56509893.628442757</c:v>
                      </c:pt>
                      <c:pt idx="59">
                        <c:v>57548305.395463832</c:v>
                      </c:pt>
                      <c:pt idx="60">
                        <c:v>58563792.567195043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94671432.457114488</c:v>
                      </c:pt>
                      <c:pt idx="23">
                        <c:v>96428528.046156064</c:v>
                      </c:pt>
                      <c:pt idx="24">
                        <c:v>97579368.002101943</c:v>
                      </c:pt>
                      <c:pt idx="25">
                        <c:v>96313578.260154381</c:v>
                      </c:pt>
                      <c:pt idx="26">
                        <c:v>95086019.997496322</c:v>
                      </c:pt>
                      <c:pt idx="27">
                        <c:v>96302421.111577123</c:v>
                      </c:pt>
                      <c:pt idx="28">
                        <c:v>96771134.989491895</c:v>
                      </c:pt>
                      <c:pt idx="29">
                        <c:v>94622256.390508652</c:v>
                      </c:pt>
                      <c:pt idx="30">
                        <c:v>80990433.305591747</c:v>
                      </c:pt>
                      <c:pt idx="31">
                        <c:v>85302279.938270241</c:v>
                      </c:pt>
                      <c:pt idx="32">
                        <c:v>88182150.363974467</c:v>
                      </c:pt>
                      <c:pt idx="33">
                        <c:v>90738996.692622945</c:v>
                      </c:pt>
                      <c:pt idx="34">
                        <c:v>93829149.090297177</c:v>
                      </c:pt>
                      <c:pt idx="35">
                        <c:v>98770159.024253681</c:v>
                      </c:pt>
                      <c:pt idx="36">
                        <c:v>104296252.1247326</c:v>
                      </c:pt>
                      <c:pt idx="37">
                        <c:v>110305117.53166522</c:v>
                      </c:pt>
                      <c:pt idx="38">
                        <c:v>115576612.60254088</c:v>
                      </c:pt>
                      <c:pt idx="39">
                        <c:v>121715392.80782023</c:v>
                      </c:pt>
                      <c:pt idx="40">
                        <c:v>128925086.59726988</c:v>
                      </c:pt>
                      <c:pt idx="41">
                        <c:v>136073420.19659978</c:v>
                      </c:pt>
                      <c:pt idx="42">
                        <c:v>143570759.03937021</c:v>
                      </c:pt>
                      <c:pt idx="43">
                        <c:v>151250840.25243026</c:v>
                      </c:pt>
                      <c:pt idx="44">
                        <c:v>159850806.87627885</c:v>
                      </c:pt>
                      <c:pt idx="45">
                        <c:v>167441962.58805385</c:v>
                      </c:pt>
                      <c:pt idx="46">
                        <c:v>175614772.33147728</c:v>
                      </c:pt>
                      <c:pt idx="47">
                        <c:v>183956377.86124447</c:v>
                      </c:pt>
                      <c:pt idx="48">
                        <c:v>191946825.24416977</c:v>
                      </c:pt>
                      <c:pt idx="49">
                        <c:v>199939530.72225451</c:v>
                      </c:pt>
                      <c:pt idx="50">
                        <c:v>208254735.49640763</c:v>
                      </c:pt>
                      <c:pt idx="51">
                        <c:v>217102028.36221811</c:v>
                      </c:pt>
                      <c:pt idx="52">
                        <c:v>225445149.2664277</c:v>
                      </c:pt>
                      <c:pt idx="53">
                        <c:v>233924569.64263564</c:v>
                      </c:pt>
                      <c:pt idx="54">
                        <c:v>242557542.43123046</c:v>
                      </c:pt>
                      <c:pt idx="55">
                        <c:v>251803333.3911933</c:v>
                      </c:pt>
                      <c:pt idx="56">
                        <c:v>261383779.85862985</c:v>
                      </c:pt>
                      <c:pt idx="57">
                        <c:v>266718605.0861516</c:v>
                      </c:pt>
                      <c:pt idx="58">
                        <c:v>271772596.52776754</c:v>
                      </c:pt>
                      <c:pt idx="59">
                        <c:v>277424598.95045537</c:v>
                      </c:pt>
                      <c:pt idx="60">
                        <c:v>282847803.84406728</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988429.83834607655</c:v>
                      </c:pt>
                      <c:pt idx="23">
                        <c:v>1010646.5644620776</c:v>
                      </c:pt>
                      <c:pt idx="24">
                        <c:v>1030741.3498772755</c:v>
                      </c:pt>
                      <c:pt idx="25">
                        <c:v>1041115.4139768444</c:v>
                      </c:pt>
                      <c:pt idx="26">
                        <c:v>1051775.474328015</c:v>
                      </c:pt>
                      <c:pt idx="27">
                        <c:v>1072999.6248136547</c:v>
                      </c:pt>
                      <c:pt idx="28">
                        <c:v>1091148.2232299303</c:v>
                      </c:pt>
                      <c:pt idx="29">
                        <c:v>1098036.980746632</c:v>
                      </c:pt>
                      <c:pt idx="30">
                        <c:v>1054428.9367620889</c:v>
                      </c:pt>
                      <c:pt idx="31">
                        <c:v>1085808.8081649311</c:v>
                      </c:pt>
                      <c:pt idx="32">
                        <c:v>1111170.216569592</c:v>
                      </c:pt>
                      <c:pt idx="33">
                        <c:v>1135338.1566423567</c:v>
                      </c:pt>
                      <c:pt idx="34">
                        <c:v>1162173.8375791388</c:v>
                      </c:pt>
                      <c:pt idx="35">
                        <c:v>1197795.7694280506</c:v>
                      </c:pt>
                      <c:pt idx="36">
                        <c:v>1235209.8166539031</c:v>
                      </c:pt>
                      <c:pt idx="37">
                        <c:v>1275315.013430038</c:v>
                      </c:pt>
                      <c:pt idx="38">
                        <c:v>1312412.4060517543</c:v>
                      </c:pt>
                      <c:pt idx="39">
                        <c:v>1354032.2139279521</c:v>
                      </c:pt>
                      <c:pt idx="40">
                        <c:v>1401239.2200685516</c:v>
                      </c:pt>
                      <c:pt idx="41">
                        <c:v>1447509.7350091815</c:v>
                      </c:pt>
                      <c:pt idx="42">
                        <c:v>1495970.1900936433</c:v>
                      </c:pt>
                      <c:pt idx="43">
                        <c:v>1545837.1487280892</c:v>
                      </c:pt>
                      <c:pt idx="44">
                        <c:v>1600751.8785815344</c:v>
                      </c:pt>
                      <c:pt idx="45">
                        <c:v>1651239.9000799039</c:v>
                      </c:pt>
                      <c:pt idx="46">
                        <c:v>1704059.4053719596</c:v>
                      </c:pt>
                      <c:pt idx="47">
                        <c:v>1758242.0950921581</c:v>
                      </c:pt>
                      <c:pt idx="48">
                        <c:v>1811169.6139434921</c:v>
                      </c:pt>
                      <c:pt idx="49">
                        <c:v>1864600.2291189104</c:v>
                      </c:pt>
                      <c:pt idx="50">
                        <c:v>1920168.2350990435</c:v>
                      </c:pt>
                      <c:pt idx="51">
                        <c:v>1977961.8337999692</c:v>
                      </c:pt>
                      <c:pt idx="52">
                        <c:v>2033658.8983380098</c:v>
                      </c:pt>
                      <c:pt idx="53">
                        <c:v>2090545.8435328689</c:v>
                      </c:pt>
                      <c:pt idx="54">
                        <c:v>2148720.8514856431</c:v>
                      </c:pt>
                      <c:pt idx="55">
                        <c:v>2210614.7697039456</c:v>
                      </c:pt>
                      <c:pt idx="56">
                        <c:v>2273758.2434773869</c:v>
                      </c:pt>
                      <c:pt idx="57">
                        <c:v>2314786.7483862918</c:v>
                      </c:pt>
                      <c:pt idx="58">
                        <c:v>2354578.9011851172</c:v>
                      </c:pt>
                      <c:pt idx="59">
                        <c:v>2397846.0581443287</c:v>
                      </c:pt>
                      <c:pt idx="60">
                        <c:v>2440158.023633129</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3944643.0190464407</c:v>
                      </c:pt>
                      <c:pt idx="23">
                        <c:v>4017855.3352565062</c:v>
                      </c:pt>
                      <c:pt idx="24">
                        <c:v>4065807.0000875848</c:v>
                      </c:pt>
                      <c:pt idx="25">
                        <c:v>4013065.7608397696</c:v>
                      </c:pt>
                      <c:pt idx="26">
                        <c:v>3961917.4998956835</c:v>
                      </c:pt>
                      <c:pt idx="27">
                        <c:v>4012600.879649051</c:v>
                      </c:pt>
                      <c:pt idx="28">
                        <c:v>4032130.6245621657</c:v>
                      </c:pt>
                      <c:pt idx="29">
                        <c:v>3942594.0162711977</c:v>
                      </c:pt>
                      <c:pt idx="30">
                        <c:v>3374601.3877329929</c:v>
                      </c:pt>
                      <c:pt idx="31">
                        <c:v>3554261.6640945966</c:v>
                      </c:pt>
                      <c:pt idx="32">
                        <c:v>3674256.2651656065</c:v>
                      </c:pt>
                      <c:pt idx="33">
                        <c:v>3780791.5288592926</c:v>
                      </c:pt>
                      <c:pt idx="34">
                        <c:v>3909547.8787623858</c:v>
                      </c:pt>
                      <c:pt idx="35">
                        <c:v>4115423.2926772404</c:v>
                      </c:pt>
                      <c:pt idx="36">
                        <c:v>4345677.1718638623</c:v>
                      </c:pt>
                      <c:pt idx="37">
                        <c:v>4596046.5638193889</c:v>
                      </c:pt>
                      <c:pt idx="38">
                        <c:v>4815692.191772541</c:v>
                      </c:pt>
                      <c:pt idx="39">
                        <c:v>5071474.7003258476</c:v>
                      </c:pt>
                      <c:pt idx="40">
                        <c:v>5371878.6082195826</c:v>
                      </c:pt>
                      <c:pt idx="41">
                        <c:v>5669725.8415249959</c:v>
                      </c:pt>
                      <c:pt idx="42">
                        <c:v>5982114.9599737637</c:v>
                      </c:pt>
                      <c:pt idx="43">
                        <c:v>6302118.3438512664</c:v>
                      </c:pt>
                      <c:pt idx="44">
                        <c:v>6660450.2865116252</c:v>
                      </c:pt>
                      <c:pt idx="45">
                        <c:v>6976748.4411689164</c:v>
                      </c:pt>
                      <c:pt idx="46">
                        <c:v>7317282.1804782264</c:v>
                      </c:pt>
                      <c:pt idx="47">
                        <c:v>7664849.0775518604</c:v>
                      </c:pt>
                      <c:pt idx="48">
                        <c:v>7997784.3851737473</c:v>
                      </c:pt>
                      <c:pt idx="49">
                        <c:v>8330813.7800939456</c:v>
                      </c:pt>
                      <c:pt idx="50">
                        <c:v>8677280.6456836592</c:v>
                      </c:pt>
                      <c:pt idx="51">
                        <c:v>9045917.8484257627</c:v>
                      </c:pt>
                      <c:pt idx="52">
                        <c:v>9393547.8861011621</c:v>
                      </c:pt>
                      <c:pt idx="53">
                        <c:v>9746857.0684431605</c:v>
                      </c:pt>
                      <c:pt idx="54">
                        <c:v>10106564.267967945</c:v>
                      </c:pt>
                      <c:pt idx="55">
                        <c:v>10491805.557966398</c:v>
                      </c:pt>
                      <c:pt idx="56">
                        <c:v>10890990.82744292</c:v>
                      </c:pt>
                      <c:pt idx="57">
                        <c:v>11113275.211922994</c:v>
                      </c:pt>
                      <c:pt idx="58">
                        <c:v>11323858.188656991</c:v>
                      </c:pt>
                      <c:pt idx="59">
                        <c:v>11559358.289602319</c:v>
                      </c:pt>
                      <c:pt idx="60">
                        <c:v>11785325.16016948</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24683.367452658804</c:v>
                </c:pt>
                <c:pt idx="13">
                  <c:v>24650.189452440565</c:v>
                </c:pt>
                <c:pt idx="14">
                  <c:v>24544.093639596515</c:v>
                </c:pt>
                <c:pt idx="15">
                  <c:v>24140.855034258169</c:v>
                </c:pt>
                <c:pt idx="16">
                  <c:v>23759.191709341216</c:v>
                </c:pt>
                <c:pt idx="17">
                  <c:v>23689.297013784038</c:v>
                </c:pt>
                <c:pt idx="18">
                  <c:v>23529.542562385181</c:v>
                </c:pt>
                <c:pt idx="19">
                  <c:v>23066.991414207259</c:v>
                </c:pt>
                <c:pt idx="20">
                  <c:v>21303.967381995029</c:v>
                </c:pt>
                <c:pt idx="21">
                  <c:v>20649.957883443545</c:v>
                </c:pt>
                <c:pt idx="22">
                  <c:v>19760.461513501192</c:v>
                </c:pt>
                <c:pt idx="23">
                  <c:v>18772.039407752603</c:v>
                </c:pt>
                <c:pt idx="24">
                  <c:v>17765.82754467021</c:v>
                </c:pt>
                <c:pt idx="25">
                  <c:v>16830.722465781517</c:v>
                </c:pt>
                <c:pt idx="26">
                  <c:v>15824.715599675659</c:v>
                </c:pt>
                <c:pt idx="27">
                  <c:v>14747.928180253755</c:v>
                </c:pt>
                <c:pt idx="28">
                  <c:v>13528.875407918067</c:v>
                </c:pt>
                <c:pt idx="29">
                  <c:v>12258.210905207752</c:v>
                </c:pt>
                <c:pt idx="30">
                  <c:v>10926.213250969935</c:v>
                </c:pt>
                <c:pt idx="31">
                  <c:v>10427.667994094067</c:v>
                </c:pt>
                <c:pt idx="32">
                  <c:v>9908.6787417399682</c:v>
                </c:pt>
                <c:pt idx="33">
                  <c:v>9363.4276972303196</c:v>
                </c:pt>
                <c:pt idx="34">
                  <c:v>8808.2185949783852</c:v>
                </c:pt>
                <c:pt idx="35">
                  <c:v>8200.4889122934655</c:v>
                </c:pt>
                <c:pt idx="36">
                  <c:v>7571.1751344653239</c:v>
                </c:pt>
                <c:pt idx="37">
                  <c:v>6918.0084912356378</c:v>
                </c:pt>
                <c:pt idx="38">
                  <c:v>6236.818426577197</c:v>
                </c:pt>
                <c:pt idx="39">
                  <c:v>5535.0954094850767</c:v>
                </c:pt>
                <c:pt idx="40">
                  <c:v>4816.0774337582588</c:v>
                </c:pt>
                <c:pt idx="41">
                  <c:v>4401.6145857429392</c:v>
                </c:pt>
                <c:pt idx="42">
                  <c:v>3970.4080682702202</c:v>
                </c:pt>
                <c:pt idx="43">
                  <c:v>3525.1003969229791</c:v>
                </c:pt>
                <c:pt idx="44">
                  <c:v>3065.9215842416684</c:v>
                </c:pt>
                <c:pt idx="45">
                  <c:v>2591.4314193530736</c:v>
                </c:pt>
                <c:pt idx="46">
                  <c:v>2098.4391784763311</c:v>
                </c:pt>
                <c:pt idx="47">
                  <c:v>1618.5984583460897</c:v>
                </c:pt>
                <c:pt idx="48">
                  <c:v>1139.1602507863556</c:v>
                </c:pt>
                <c:pt idx="49">
                  <c:v>653.89531007679045</c:v>
                </c:pt>
                <c:pt idx="50">
                  <c:v>169.36220489405812</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776.20162139075501</c:v>
                </c:pt>
                <c:pt idx="13">
                  <c:v>778.26654421075602</c:v>
                </c:pt>
                <c:pt idx="14">
                  <c:v>777.87930634834117</c:v>
                </c:pt>
                <c:pt idx="15">
                  <c:v>766.80137344333446</c:v>
                </c:pt>
                <c:pt idx="16">
                  <c:v>756.45454841737524</c:v>
                </c:pt>
                <c:pt idx="17">
                  <c:v>757.59356096490853</c:v>
                </c:pt>
                <c:pt idx="18">
                  <c:v>755.5744495617347</c:v>
                </c:pt>
                <c:pt idx="19">
                  <c:v>742.25034543644745</c:v>
                </c:pt>
                <c:pt idx="20">
                  <c:v>679.24175805668563</c:v>
                </c:pt>
                <c:pt idx="21">
                  <c:v>641.50514661538648</c:v>
                </c:pt>
                <c:pt idx="22">
                  <c:v>596.67750214379703</c:v>
                </c:pt>
                <c:pt idx="23">
                  <c:v>549.93163541297361</c:v>
                </c:pt>
                <c:pt idx="24">
                  <c:v>504.19063340577708</c:v>
                </c:pt>
                <c:pt idx="25">
                  <c:v>462.54789019216872</c:v>
                </c:pt>
                <c:pt idx="26">
                  <c:v>420.01225443771136</c:v>
                </c:pt>
                <c:pt idx="27">
                  <c:v>376.22853552889262</c:v>
                </c:pt>
                <c:pt idx="28">
                  <c:v>328.62045757705687</c:v>
                </c:pt>
                <c:pt idx="29">
                  <c:v>280.36627916492671</c:v>
                </c:pt>
                <c:pt idx="30">
                  <c:v>231.05663936107314</c:v>
                </c:pt>
                <c:pt idx="31">
                  <c:v>223.5845776435068</c:v>
                </c:pt>
                <c:pt idx="32">
                  <c:v>215.67686474677495</c:v>
                </c:pt>
                <c:pt idx="33">
                  <c:v>207.10732650876082</c:v>
                </c:pt>
                <c:pt idx="34">
                  <c:v>198.56625447714438</c:v>
                </c:pt>
                <c:pt idx="35">
                  <c:v>188.16877968833674</c:v>
                </c:pt>
                <c:pt idx="36">
                  <c:v>177.41599975032693</c:v>
                </c:pt>
                <c:pt idx="37">
                  <c:v>165.95200004542465</c:v>
                </c:pt>
                <c:pt idx="38">
                  <c:v>153.41033276083047</c:v>
                </c:pt>
                <c:pt idx="39">
                  <c:v>140.10322295144206</c:v>
                </c:pt>
                <c:pt idx="40">
                  <c:v>126.23125213004496</c:v>
                </c:pt>
                <c:pt idx="41">
                  <c:v>130.14478691018587</c:v>
                </c:pt>
                <c:pt idx="42">
                  <c:v>133.7236267878489</c:v>
                </c:pt>
                <c:pt idx="43">
                  <c:v>137.32276073112257</c:v>
                </c:pt>
                <c:pt idx="44">
                  <c:v>140.94982043577215</c:v>
                </c:pt>
                <c:pt idx="45">
                  <c:v>144.85201186709708</c:v>
                </c:pt>
                <c:pt idx="46">
                  <c:v>148.86433582857541</c:v>
                </c:pt>
                <c:pt idx="47">
                  <c:v>150.53534875185912</c:v>
                </c:pt>
                <c:pt idx="48">
                  <c:v>152.01804377454678</c:v>
                </c:pt>
                <c:pt idx="49">
                  <c:v>153.78082932813098</c:v>
                </c:pt>
                <c:pt idx="50">
                  <c:v>155.38176308961553</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1618.9525249848919</c:v>
                </c:pt>
                <c:pt idx="13">
                  <c:v>1641.6084477586605</c:v>
                </c:pt>
                <c:pt idx="14">
                  <c:v>1657.425962272584</c:v>
                </c:pt>
                <c:pt idx="15">
                  <c:v>1644.8228903470936</c:v>
                </c:pt>
                <c:pt idx="16">
                  <c:v>1633.1444432752792</c:v>
                </c:pt>
                <c:pt idx="17">
                  <c:v>1651.006194213953</c:v>
                </c:pt>
                <c:pt idx="18">
                  <c:v>1660.1279902204478</c:v>
                </c:pt>
                <c:pt idx="19">
                  <c:v>1638.3661763389489</c:v>
                </c:pt>
                <c:pt idx="20">
                  <c:v>1480.7132782504391</c:v>
                </c:pt>
                <c:pt idx="21">
                  <c:v>1535.9032755407259</c:v>
                </c:pt>
                <c:pt idx="22">
                  <c:v>1574.2742113965967</c:v>
                </c:pt>
                <c:pt idx="23">
                  <c:v>1608.9621631374678</c:v>
                </c:pt>
                <c:pt idx="24">
                  <c:v>1650.1324159892563</c:v>
                </c:pt>
                <c:pt idx="25">
                  <c:v>1713.4578763269938</c:v>
                </c:pt>
                <c:pt idx="26">
                  <c:v>1782.8457041452368</c:v>
                </c:pt>
                <c:pt idx="27">
                  <c:v>1858.1445817305187</c:v>
                </c:pt>
                <c:pt idx="28">
                  <c:v>1924.8289325427115</c:v>
                </c:pt>
                <c:pt idx="29">
                  <c:v>2002.0035376746864</c:v>
                </c:pt>
                <c:pt idx="30">
                  <c:v>2092.1109368882021</c:v>
                </c:pt>
                <c:pt idx="31">
                  <c:v>2178.5513858882605</c:v>
                </c:pt>
                <c:pt idx="32">
                  <c:v>2269.1801643330377</c:v>
                </c:pt>
                <c:pt idx="33">
                  <c:v>2362.0144235639755</c:v>
                </c:pt>
                <c:pt idx="34">
                  <c:v>2465.8272373680097</c:v>
                </c:pt>
                <c:pt idx="35">
                  <c:v>2557.6635165404659</c:v>
                </c:pt>
                <c:pt idx="36">
                  <c:v>2655.657028169705</c:v>
                </c:pt>
                <c:pt idx="37">
                  <c:v>2755.6908545616147</c:v>
                </c:pt>
                <c:pt idx="38">
                  <c:v>2851.5877758132688</c:v>
                </c:pt>
                <c:pt idx="39">
                  <c:v>2947.5544015719511</c:v>
                </c:pt>
                <c:pt idx="40">
                  <c:v>3047.3978261227653</c:v>
                </c:pt>
                <c:pt idx="41">
                  <c:v>3154.2340046442987</c:v>
                </c:pt>
                <c:pt idx="42">
                  <c:v>3255.1908603827083</c:v>
                </c:pt>
                <c:pt idx="43">
                  <c:v>3357.8776000746889</c:v>
                </c:pt>
                <c:pt idx="44">
                  <c:v>3462.5024924523336</c:v>
                </c:pt>
                <c:pt idx="45">
                  <c:v>3574.5274397991784</c:v>
                </c:pt>
                <c:pt idx="46">
                  <c:v>3689.9138865854529</c:v>
                </c:pt>
                <c:pt idx="47">
                  <c:v>3754.9477369487436</c:v>
                </c:pt>
                <c:pt idx="48">
                  <c:v>3816.7493987976663</c:v>
                </c:pt>
                <c:pt idx="49">
                  <c:v>3885.7715804110699</c:v>
                </c:pt>
                <c:pt idx="50">
                  <c:v>3952.1839681913507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888.5196405131752</c:v>
                </c:pt>
                <c:pt idx="14">
                  <c:v>891.96064822562096</c:v>
                </c:pt>
                <c:pt idx="15">
                  <c:v>894.88916078976843</c:v>
                </c:pt>
                <c:pt idx="16">
                  <c:v>895.84739945695708</c:v>
                </c:pt>
                <c:pt idx="17">
                  <c:v>896.81728908321736</c:v>
                </c:pt>
                <c:pt idx="18">
                  <c:v>899.77409431497051</c:v>
                </c:pt>
                <c:pt idx="19">
                  <c:v>902.09125086952031</c:v>
                </c:pt>
                <c:pt idx="20">
                  <c:v>902.24725498392274</c:v>
                </c:pt>
                <c:pt idx="21">
                  <c:v>892.60902179925608</c:v>
                </c:pt>
                <c:pt idx="22">
                  <c:v>897.88077216623924</c:v>
                </c:pt>
                <c:pt idx="23">
                  <c:v>901.86785433623902</c:v>
                </c:pt>
                <c:pt idx="24">
                  <c:v>905.54375743786386</c:v>
                </c:pt>
                <c:pt idx="25">
                  <c:v>909.62789125994425</c:v>
                </c:pt>
                <c:pt idx="26">
                  <c:v>915.17819871340487</c:v>
                </c:pt>
                <c:pt idx="27">
                  <c:v>920.99002879575733</c:v>
                </c:pt>
                <c:pt idx="28">
                  <c:v>927.07478216005029</c:v>
                </c:pt>
                <c:pt idx="29">
                  <c:v>932.48269891354084</c:v>
                </c:pt>
                <c:pt idx="30">
                  <c:v>938.44873038731919</c:v>
                </c:pt>
                <c:pt idx="31">
                  <c:v>945.07999666505555</c:v>
                </c:pt>
                <c:pt idx="32">
                  <c:v>951.43174054913004</c:v>
                </c:pt>
                <c:pt idx="33">
                  <c:v>957.88938710584625</c:v>
                </c:pt>
                <c:pt idx="34">
                  <c:v>964.3285468230124</c:v>
                </c:pt>
                <c:pt idx="35">
                  <c:v>971.2274721173485</c:v>
                </c:pt>
                <c:pt idx="36">
                  <c:v>977.31823571713028</c:v>
                </c:pt>
                <c:pt idx="37">
                  <c:v>983.57793052447698</c:v>
                </c:pt>
                <c:pt idx="38">
                  <c:v>989.80396855314598</c:v>
                </c:pt>
                <c:pt idx="39">
                  <c:v>995.6874985828008</c:v>
                </c:pt>
                <c:pt idx="40">
                  <c:v>1001.4527108587529</c:v>
                </c:pt>
                <c:pt idx="41">
                  <c:v>1007.2848843182181</c:v>
                </c:pt>
                <c:pt idx="42">
                  <c:v>1013.2376412307941</c:v>
                </c:pt>
                <c:pt idx="43">
                  <c:v>1018.7943384588782</c:v>
                </c:pt>
                <c:pt idx="44">
                  <c:v>1024.3150671694632</c:v>
                </c:pt>
                <c:pt idx="45">
                  <c:v>1029.8081254914655</c:v>
                </c:pt>
                <c:pt idx="46">
                  <c:v>1035.5032855203945</c:v>
                </c:pt>
                <c:pt idx="47">
                  <c:v>1041.199437822145</c:v>
                </c:pt>
                <c:pt idx="48">
                  <c:v>1044.7334229183193</c:v>
                </c:pt>
                <c:pt idx="49">
                  <c:v>1048.092878940131</c:v>
                </c:pt>
                <c:pt idx="50">
                  <c:v>1051.6990964077904</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470.04378916185391</c:v>
                </c:pt>
                <c:pt idx="14">
                  <c:v>469.95709010424787</c:v>
                </c:pt>
                <c:pt idx="15">
                  <c:v>469.88330378909933</c:v>
                </c:pt>
                <c:pt idx="16">
                  <c:v>469.85916016712889</c:v>
                </c:pt>
                <c:pt idx="17">
                  <c:v>469.83472298953274</c:v>
                </c:pt>
                <c:pt idx="18">
                  <c:v>469.76022381704024</c:v>
                </c:pt>
                <c:pt idx="19">
                  <c:v>469.7018411261563</c:v>
                </c:pt>
                <c:pt idx="20">
                  <c:v>469.69791047245496</c:v>
                </c:pt>
                <c:pt idx="21">
                  <c:v>469.94075379160097</c:v>
                </c:pt>
                <c:pt idx="22">
                  <c:v>469.80792764677761</c:v>
                </c:pt>
                <c:pt idx="23">
                  <c:v>469.70746978802691</c:v>
                </c:pt>
                <c:pt idx="24">
                  <c:v>469.61485234529096</c:v>
                </c:pt>
                <c:pt idx="25">
                  <c:v>469.51194918926763</c:v>
                </c:pt>
                <c:pt idx="26">
                  <c:v>469.37210456645607</c:v>
                </c:pt>
                <c:pt idx="27">
                  <c:v>469.22567066301434</c:v>
                </c:pt>
                <c:pt idx="28">
                  <c:v>469.07236022998597</c:v>
                </c:pt>
                <c:pt idx="29">
                  <c:v>468.93610325955154</c:v>
                </c:pt>
                <c:pt idx="30">
                  <c:v>468.78578412351658</c:v>
                </c:pt>
                <c:pt idx="31">
                  <c:v>468.61870384208186</c:v>
                </c:pt>
                <c:pt idx="32">
                  <c:v>468.45866636035458</c:v>
                </c:pt>
                <c:pt idx="33">
                  <c:v>468.29596057251365</c:v>
                </c:pt>
                <c:pt idx="34">
                  <c:v>468.1337205760052</c:v>
                </c:pt>
                <c:pt idx="35">
                  <c:v>467.95989640253708</c:v>
                </c:pt>
                <c:pt idx="36">
                  <c:v>467.8064345366156</c:v>
                </c:pt>
                <c:pt idx="37">
                  <c:v>467.64871630810501</c:v>
                </c:pt>
                <c:pt idx="38">
                  <c:v>467.49184609018818</c:v>
                </c:pt>
                <c:pt idx="39">
                  <c:v>467.34360564680793</c:v>
                </c:pt>
                <c:pt idx="40">
                  <c:v>467.19834631785739</c:v>
                </c:pt>
                <c:pt idx="41">
                  <c:v>467.05139984607189</c:v>
                </c:pt>
                <c:pt idx="42">
                  <c:v>466.90141517367164</c:v>
                </c:pt>
                <c:pt idx="43">
                  <c:v>466.76140955516212</c:v>
                </c:pt>
                <c:pt idx="44">
                  <c:v>466.62231019343295</c:v>
                </c:pt>
                <c:pt idx="45">
                  <c:v>466.48390801020918</c:v>
                </c:pt>
                <c:pt idx="46">
                  <c:v>466.34041370601517</c:v>
                </c:pt>
                <c:pt idx="47">
                  <c:v>466.19689440068032</c:v>
                </c:pt>
                <c:pt idx="48">
                  <c:v>466.10785270038889</c:v>
                </c:pt>
                <c:pt idx="49">
                  <c:v>466.02320840560674</c:v>
                </c:pt>
                <c:pt idx="50">
                  <c:v>465.93234675050559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17197.553314646342</c:v>
                </c:pt>
                <c:pt idx="13">
                  <c:v>17174.195465448476</c:v>
                </c:pt>
                <c:pt idx="14">
                  <c:v>17113.948872666017</c:v>
                </c:pt>
                <c:pt idx="15">
                  <c:v>16898.866322268357</c:v>
                </c:pt>
                <c:pt idx="16">
                  <c:v>16693.646990374629</c:v>
                </c:pt>
                <c:pt idx="17">
                  <c:v>16650.371841828572</c:v>
                </c:pt>
                <c:pt idx="18">
                  <c:v>16562.016366601565</c:v>
                </c:pt>
                <c:pt idx="19">
                  <c:v>16316.350537786429</c:v>
                </c:pt>
                <c:pt idx="20">
                  <c:v>15396.492254781857</c:v>
                </c:pt>
                <c:pt idx="21">
                  <c:v>15009.016901487264</c:v>
                </c:pt>
                <c:pt idx="22">
                  <c:v>14545.204040261386</c:v>
                </c:pt>
                <c:pt idx="23">
                  <c:v>14062.299195771073</c:v>
                </c:pt>
                <c:pt idx="24">
                  <c:v>13602.043656706424</c:v>
                </c:pt>
                <c:pt idx="25">
                  <c:v>13211.078323194053</c:v>
                </c:pt>
                <c:pt idx="26">
                  <c:v>12817.53995248615</c:v>
                </c:pt>
                <c:pt idx="27">
                  <c:v>12421.610918930208</c:v>
                </c:pt>
                <c:pt idx="28">
                  <c:v>11984.734215180686</c:v>
                </c:pt>
                <c:pt idx="29">
                  <c:v>11555.949720260865</c:v>
                </c:pt>
                <c:pt idx="30">
                  <c:v>11134.10664423838</c:v>
                </c:pt>
                <c:pt idx="31">
                  <c:v>10936.744341363852</c:v>
                </c:pt>
                <c:pt idx="32">
                  <c:v>10733.715596110644</c:v>
                </c:pt>
                <c:pt idx="33">
                  <c:v>10521.760479054312</c:v>
                </c:pt>
                <c:pt idx="34">
                  <c:v>10312.850629564922</c:v>
                </c:pt>
                <c:pt idx="35">
                  <c:v>10076.215517432898</c:v>
                </c:pt>
                <c:pt idx="36">
                  <c:v>9833.2759631210356</c:v>
                </c:pt>
                <c:pt idx="37">
                  <c:v>9582.8465239149282</c:v>
                </c:pt>
                <c:pt idx="38">
                  <c:v>9319.7071830471214</c:v>
                </c:pt>
                <c:pt idx="39">
                  <c:v>9049.2751318754254</c:v>
                </c:pt>
                <c:pt idx="40">
                  <c:v>8775.3086609778147</c:v>
                </c:pt>
                <c:pt idx="41">
                  <c:v>8672.6611528765334</c:v>
                </c:pt>
                <c:pt idx="42">
                  <c:v>8561.9405333031445</c:v>
                </c:pt>
                <c:pt idx="43">
                  <c:v>8448.0802496750912</c:v>
                </c:pt>
                <c:pt idx="44">
                  <c:v>8331.7030964422538</c:v>
                </c:pt>
                <c:pt idx="45">
                  <c:v>8215.2934519929477</c:v>
                </c:pt>
                <c:pt idx="46">
                  <c:v>8094.3687946123946</c:v>
                </c:pt>
                <c:pt idx="47">
                  <c:v>7954.0233820742496</c:v>
                </c:pt>
                <c:pt idx="48">
                  <c:v>7812.7250337491641</c:v>
                </c:pt>
                <c:pt idx="49">
                  <c:v>7675.3024008734501</c:v>
                </c:pt>
                <c:pt idx="50">
                  <c:v>7539.4855227083626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2056.4781493806254</c:v>
                </c:pt>
                <c:pt idx="13">
                  <c:v>2055.3076963021613</c:v>
                </c:pt>
                <c:pt idx="14">
                  <c:v>2049.6594433522159</c:v>
                </c:pt>
                <c:pt idx="15">
                  <c:v>2025.0550206719267</c:v>
                </c:pt>
                <c:pt idx="16">
                  <c:v>2001.92620465456</c:v>
                </c:pt>
                <c:pt idx="17">
                  <c:v>1999.0018964795431</c:v>
                </c:pt>
                <c:pt idx="18">
                  <c:v>1990.4170505941213</c:v>
                </c:pt>
                <c:pt idx="19">
                  <c:v>1962.3654167576074</c:v>
                </c:pt>
                <c:pt idx="20">
                  <c:v>1850.3188794549972</c:v>
                </c:pt>
                <c:pt idx="21">
                  <c:v>1812.9977372289361</c:v>
                </c:pt>
                <c:pt idx="22">
                  <c:v>1764.8390713839867</c:v>
                </c:pt>
                <c:pt idx="23">
                  <c:v>1714.19598663283</c:v>
                </c:pt>
                <c:pt idx="24">
                  <c:v>1666.3609039440153</c:v>
                </c:pt>
                <c:pt idx="25">
                  <c:v>1627.6275791437531</c:v>
                </c:pt>
                <c:pt idx="26">
                  <c:v>1588.4419716596606</c:v>
                </c:pt>
                <c:pt idx="27">
                  <c:v>1549.1968677979185</c:v>
                </c:pt>
                <c:pt idx="28">
                  <c:v>1504.4975119575231</c:v>
                </c:pt>
                <c:pt idx="29">
                  <c:v>1461.2642202598142</c:v>
                </c:pt>
                <c:pt idx="30">
                  <c:v>1419.4417747774448</c:v>
                </c:pt>
                <c:pt idx="31">
                  <c:v>1400.3617153719142</c:v>
                </c:pt>
                <c:pt idx="32">
                  <c:v>1380.6669401722177</c:v>
                </c:pt>
                <c:pt idx="33">
                  <c:v>1359.8009717580212</c:v>
                </c:pt>
                <c:pt idx="34">
                  <c:v>1339.688598488018</c:v>
                </c:pt>
                <c:pt idx="35">
                  <c:v>1315.2689203837965</c:v>
                </c:pt>
                <c:pt idx="36">
                  <c:v>1290.0211480225958</c:v>
                </c:pt>
                <c:pt idx="37">
                  <c:v>1263.6744330232875</c:v>
                </c:pt>
                <c:pt idx="38">
                  <c:v>1235.2577817081428</c:v>
                </c:pt>
                <c:pt idx="39">
                  <c:v>1205.6639922323657</c:v>
                </c:pt>
                <c:pt idx="40">
                  <c:v>1175.5132537973648</c:v>
                </c:pt>
                <c:pt idx="41">
                  <c:v>1168.246492789568</c:v>
                </c:pt>
                <c:pt idx="42">
                  <c:v>1159.5728904460195</c:v>
                </c:pt>
                <c:pt idx="43">
                  <c:v>1150.5187649396089</c:v>
                </c:pt>
                <c:pt idx="44">
                  <c:v>1141.1317592216244</c:v>
                </c:pt>
                <c:pt idx="45">
                  <c:v>1131.987623953371</c:v>
                </c:pt>
                <c:pt idx="46">
                  <c:v>1122.1190463927746</c:v>
                </c:pt>
                <c:pt idx="47">
                  <c:v>1107.1066554121396</c:v>
                </c:pt>
                <c:pt idx="48">
                  <c:v>1091.822324466209</c:v>
                </c:pt>
                <c:pt idx="49">
                  <c:v>1077.233676507391</c:v>
                </c:pt>
                <c:pt idx="50">
                  <c:v>1062.5173633385095</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465.52309402510247</c:v>
                </c:pt>
                <c:pt idx="13">
                  <c:v>471.57318156155264</c:v>
                </c:pt>
                <c:pt idx="14">
                  <c:v>476.09339328675753</c:v>
                </c:pt>
                <c:pt idx="15">
                  <c:v>473.96437499514201</c:v>
                </c:pt>
                <c:pt idx="16">
                  <c:v>472.09699807907236</c:v>
                </c:pt>
                <c:pt idx="17">
                  <c:v>477.28710722663743</c:v>
                </c:pt>
                <c:pt idx="18">
                  <c:v>480.44831368167752</c:v>
                </c:pt>
                <c:pt idx="19">
                  <c:v>476.28591955783185</c:v>
                </c:pt>
                <c:pt idx="20">
                  <c:v>439.65690954727233</c:v>
                </c:pt>
                <c:pt idx="21">
                  <c:v>453.0467639005434</c:v>
                </c:pt>
                <c:pt idx="22">
                  <c:v>462.44950413156857</c:v>
                </c:pt>
                <c:pt idx="23">
                  <c:v>471.00192475527535</c:v>
                </c:pt>
                <c:pt idx="24">
                  <c:v>481.13513661196691</c:v>
                </c:pt>
                <c:pt idx="25">
                  <c:v>496.60371888178844</c:v>
                </c:pt>
                <c:pt idx="26">
                  <c:v>513.47936357955768</c:v>
                </c:pt>
                <c:pt idx="27">
                  <c:v>531.80358640785698</c:v>
                </c:pt>
                <c:pt idx="28">
                  <c:v>548.09385926217351</c:v>
                </c:pt>
                <c:pt idx="29">
                  <c:v>566.93038482536087</c:v>
                </c:pt>
                <c:pt idx="30">
                  <c:v>588.9020368980689</c:v>
                </c:pt>
                <c:pt idx="31">
                  <c:v>610.51879878561567</c:v>
                </c:pt>
                <c:pt idx="32">
                  <c:v>633.2136304910423</c:v>
                </c:pt>
                <c:pt idx="33">
                  <c:v>656.51191387640733</c:v>
                </c:pt>
                <c:pt idx="34">
                  <c:v>682.53304657119838</c:v>
                </c:pt>
                <c:pt idx="35">
                  <c:v>705.73755522552858</c:v>
                </c:pt>
                <c:pt idx="36">
                  <c:v>730.44058311327751</c:v>
                </c:pt>
                <c:pt idx="37">
                  <c:v>755.71039830107281</c:v>
                </c:pt>
                <c:pt idx="38">
                  <c:v>780.04836539082589</c:v>
                </c:pt>
                <c:pt idx="39">
                  <c:v>804.47215733917176</c:v>
                </c:pt>
                <c:pt idx="40">
                  <c:v>829.90789191012993</c:v>
                </c:pt>
                <c:pt idx="41">
                  <c:v>856.668806396381</c:v>
                </c:pt>
                <c:pt idx="42">
                  <c:v>882.04495292660965</c:v>
                </c:pt>
                <c:pt idx="43">
                  <c:v>907.88937788999999</c:v>
                </c:pt>
                <c:pt idx="44">
                  <c:v>934.25339297037988</c:v>
                </c:pt>
                <c:pt idx="45">
                  <c:v>962.47315180169846</c:v>
                </c:pt>
                <c:pt idx="46">
                  <c:v>991.50387160456614</c:v>
                </c:pt>
                <c:pt idx="47">
                  <c:v>1008.2496738271612</c:v>
                </c:pt>
                <c:pt idx="48">
                  <c:v>1024.2304096813875</c:v>
                </c:pt>
                <c:pt idx="49">
                  <c:v>1042.00823118733</c:v>
                </c:pt>
                <c:pt idx="50">
                  <c:v>1059.1731536986429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22950.420313002691</c:v>
                </c:pt>
                <c:pt idx="3">
                  <c:v>23010.477196817366</c:v>
                </c:pt>
                <c:pt idx="4">
                  <c:v>22929.53282756019</c:v>
                </c:pt>
                <c:pt idx="5">
                  <c:v>22669.376544294799</c:v>
                </c:pt>
                <c:pt idx="6">
                  <c:v>22459.770168688028</c:v>
                </c:pt>
                <c:pt idx="7">
                  <c:v>22437.351077978361</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27078.521599034451</c:v>
                      </c:pt>
                      <c:pt idx="3">
                        <c:v>27070.064444409982</c:v>
                      </c:pt>
                      <c:pt idx="4">
                        <c:v>26979.398908217441</c:v>
                      </c:pt>
                      <c:pt idx="5">
                        <c:v>26552.479298048595</c:v>
                      </c:pt>
                      <c:pt idx="6">
                        <c:v>26148.790701033871</c:v>
                      </c:pt>
                      <c:pt idx="7">
                        <c:v>26097.896768962903</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50028.941912037146</c:v>
                      </c:pt>
                      <c:pt idx="3">
                        <c:v>50080.541641227348</c:v>
                      </c:pt>
                      <c:pt idx="4">
                        <c:v>49908.931735777631</c:v>
                      </c:pt>
                      <c:pt idx="5">
                        <c:v>49221.855842343393</c:v>
                      </c:pt>
                      <c:pt idx="6">
                        <c:v>48608.5608697219</c:v>
                      </c:pt>
                      <c:pt idx="7">
                        <c:v>48535.24784694126</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50028.938042475114</c:v>
                </c:pt>
                <c:pt idx="1">
                  <c:v>50080.537718253559</c:v>
                </c:pt>
                <c:pt idx="2">
                  <c:v>49908.92780475461</c:v>
                </c:pt>
                <c:pt idx="3">
                  <c:v>49221.851832712928</c:v>
                </c:pt>
                <c:pt idx="4">
                  <c:v>48608.556884209254</c:v>
                </c:pt>
                <c:pt idx="5">
                  <c:v>48535.243831703832</c:v>
                </c:pt>
                <c:pt idx="6">
                  <c:v>48297.754908429706</c:v>
                </c:pt>
                <c:pt idx="7">
                  <c:v>47532.856231236481</c:v>
                </c:pt>
                <c:pt idx="8">
                  <c:v>44489.148501804942</c:v>
                </c:pt>
                <c:pt idx="9">
                  <c:v>45206.922499779503</c:v>
                </c:pt>
                <c:pt idx="10">
                  <c:v>45661.741811414198</c:v>
                </c:pt>
                <c:pt idx="11">
                  <c:v>46047.808450713135</c:v>
                </c:pt>
                <c:pt idx="12">
                  <c:v>46533.833635409392</c:v>
                </c:pt>
                <c:pt idx="13">
                  <c:v>47371.04745160228</c:v>
                </c:pt>
                <c:pt idx="14">
                  <c:v>48275.611282577593</c:v>
                </c:pt>
                <c:pt idx="15">
                  <c:v>49259.277042259739</c:v>
                </c:pt>
                <c:pt idx="16">
                  <c:v>50091.438982440421</c:v>
                </c:pt>
                <c:pt idx="17">
                  <c:v>51071.577913734771</c:v>
                </c:pt>
                <c:pt idx="18">
                  <c:v>52235.35401813002</c:v>
                </c:pt>
                <c:pt idx="19">
                  <c:v>53118.038365487155</c:v>
                </c:pt>
                <c:pt idx="20">
                  <c:v>54029.208255953665</c:v>
                </c:pt>
                <c:pt idx="21">
                  <c:v>54937.673861457879</c:v>
                </c:pt>
                <c:pt idx="22">
                  <c:v>55969.731812213773</c:v>
                </c:pt>
                <c:pt idx="23">
                  <c:v>56789.95223918109</c:v>
                </c:pt>
                <c:pt idx="24">
                  <c:v>57646.983839537832</c:v>
                </c:pt>
                <c:pt idx="25">
                  <c:v>58494.93593362534</c:v>
                </c:pt>
                <c:pt idx="26">
                  <c:v>59247.649341892298</c:v>
                </c:pt>
                <c:pt idx="27">
                  <c:v>59963.66719517258</c:v>
                </c:pt>
                <c:pt idx="28">
                  <c:v>60694.667031654419</c:v>
                </c:pt>
                <c:pt idx="29">
                  <c:v>61605.009907852058</c:v>
                </c:pt>
                <c:pt idx="30">
                  <c:v>62408.03549933101</c:v>
                </c:pt>
                <c:pt idx="31">
                  <c:v>63203.298801028519</c:v>
                </c:pt>
                <c:pt idx="32">
                  <c:v>63993.420464019422</c:v>
                </c:pt>
                <c:pt idx="33">
                  <c:v>64845.789868997577</c:v>
                </c:pt>
                <c:pt idx="34">
                  <c:v>65696.043547104113</c:v>
                </c:pt>
                <c:pt idx="35">
                  <c:v>65901.541376110617</c:v>
                </c:pt>
                <c:pt idx="36">
                  <c:v>66047.74554533101</c:v>
                </c:pt>
                <c:pt idx="37">
                  <c:v>66263.526210891214</c:v>
                </c:pt>
                <c:pt idx="38">
                  <c:v>66431.539979668567</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50028.941912037146</c:v>
                </c:pt>
                <c:pt idx="1">
                  <c:v>50080.541641227348</c:v>
                </c:pt>
                <c:pt idx="2">
                  <c:v>49908.931735777631</c:v>
                </c:pt>
                <c:pt idx="3">
                  <c:v>49221.855842343393</c:v>
                </c:pt>
                <c:pt idx="4">
                  <c:v>48608.5608697219</c:v>
                </c:pt>
                <c:pt idx="5">
                  <c:v>48535.24784694126</c:v>
                </c:pt>
                <c:pt idx="6">
                  <c:v>48297.759000922779</c:v>
                </c:pt>
                <c:pt idx="7">
                  <c:v>47532.860323687339</c:v>
                </c:pt>
                <c:pt idx="8">
                  <c:v>44489.152521010896</c:v>
                </c:pt>
                <c:pt idx="9">
                  <c:v>43440.153849136594</c:v>
                </c:pt>
                <c:pt idx="10">
                  <c:v>42055.130379821989</c:v>
                </c:pt>
                <c:pt idx="11">
                  <c:v>40541.90094663803</c:v>
                </c:pt>
                <c:pt idx="12">
                  <c:v>39045.103682023451</c:v>
                </c:pt>
                <c:pt idx="13">
                  <c:v>37729.791946743237</c:v>
                </c:pt>
                <c:pt idx="14">
                  <c:v>36348.558873898684</c:v>
                </c:pt>
                <c:pt idx="15">
                  <c:v>34900.461566603874</c:v>
                </c:pt>
                <c:pt idx="16">
                  <c:v>33249.49019518531</c:v>
                </c:pt>
                <c:pt idx="17">
                  <c:v>31568.19598978465</c:v>
                </c:pt>
                <c:pt idx="18">
                  <c:v>29849.477409723189</c:v>
                </c:pt>
                <c:pt idx="19">
                  <c:v>29249.553328258935</c:v>
                </c:pt>
                <c:pt idx="20">
                  <c:v>28627.462361633083</c:v>
                </c:pt>
                <c:pt idx="21">
                  <c:v>27971.262379325402</c:v>
                </c:pt>
                <c:pt idx="22">
                  <c:v>27322.615051027271</c:v>
                </c:pt>
                <c:pt idx="23">
                  <c:v>26573.213194790285</c:v>
                </c:pt>
                <c:pt idx="24">
                  <c:v>25801.607354127249</c:v>
                </c:pt>
                <c:pt idx="25">
                  <c:v>24999.620377671119</c:v>
                </c:pt>
                <c:pt idx="26">
                  <c:v>24148.650912222627</c:v>
                </c:pt>
                <c:pt idx="27">
                  <c:v>23267.21615716529</c:v>
                </c:pt>
                <c:pt idx="28">
                  <c:v>22368.603618551584</c:v>
                </c:pt>
                <c:pt idx="29">
                  <c:v>21994.917861401133</c:v>
                </c:pt>
                <c:pt idx="30">
                  <c:v>21587.527241596301</c:v>
                </c:pt>
                <c:pt idx="31">
                  <c:v>21164.34765652116</c:v>
                </c:pt>
                <c:pt idx="32">
                  <c:v>20726.8977865989</c:v>
                </c:pt>
                <c:pt idx="33">
                  <c:v>20283.85090093936</c:v>
                </c:pt>
                <c:pt idx="34">
                  <c:v>19821.542086595167</c:v>
                </c:pt>
                <c:pt idx="35">
                  <c:v>19282.842366650075</c:v>
                </c:pt>
                <c:pt idx="36">
                  <c:v>18737.027021139391</c:v>
                </c:pt>
                <c:pt idx="37">
                  <c:v>18199.083905193598</c:v>
                </c:pt>
                <c:pt idx="38">
                  <c:v>17660.206713740878</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sheetData sheetId="1"/>
      <sheetData sheetId="2"/>
      <sheetData sheetId="3">
        <row r="86">
          <cell r="A86" t="str">
            <v>RES</v>
          </cell>
        </row>
      </sheetData>
      <sheetData sheetId="4"/>
      <sheetData sheetId="5"/>
      <sheetData sheetId="6"/>
      <sheetData sheetId="7"/>
      <sheetData sheetId="8"/>
      <sheetData sheetId="9"/>
      <sheetData sheetId="10"/>
      <sheetData sheetId="11">
        <row r="8">
          <cell r="B8">
            <v>1E-3</v>
          </cell>
        </row>
      </sheetData>
      <sheetData sheetId="12"/>
      <sheetData sheetId="13"/>
      <sheetData sheetId="14"/>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42" t="s">
        <v>691</v>
      </c>
      <c r="B4" s="42" t="s">
        <v>694</v>
      </c>
      <c r="C4" s="42" t="s">
        <v>695</v>
      </c>
      <c r="D4" s="42"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1390</v>
      </c>
      <c r="B13" t="s">
        <v>696</v>
      </c>
      <c r="C13" t="s">
        <v>1391</v>
      </c>
      <c r="D13" s="14" t="s">
        <v>1392</v>
      </c>
    </row>
    <row r="17" spans="1:6" ht="15.75" x14ac:dyDescent="0.25">
      <c r="A17" s="20" t="s">
        <v>697</v>
      </c>
      <c r="B17" s="20"/>
      <c r="C17" s="20"/>
      <c r="D17" s="20"/>
    </row>
    <row r="18" spans="1:6" x14ac:dyDescent="0.25">
      <c r="A18" s="42" t="s">
        <v>691</v>
      </c>
      <c r="B18" s="126" t="s">
        <v>700</v>
      </c>
      <c r="C18" s="126"/>
      <c r="D18" s="42" t="s">
        <v>283</v>
      </c>
    </row>
    <row r="19" spans="1:6" ht="51" customHeight="1" x14ac:dyDescent="0.25">
      <c r="A19" s="56" t="s">
        <v>7</v>
      </c>
      <c r="B19" s="125" t="s">
        <v>701</v>
      </c>
      <c r="C19" s="125"/>
      <c r="D19" s="29"/>
    </row>
    <row r="20" spans="1:6" ht="75" x14ac:dyDescent="0.25">
      <c r="A20" s="57" t="s">
        <v>316</v>
      </c>
      <c r="B20" s="125" t="s">
        <v>827</v>
      </c>
      <c r="C20" s="125"/>
      <c r="D20" s="58" t="s">
        <v>828</v>
      </c>
    </row>
    <row r="21" spans="1:6" ht="45" customHeight="1" x14ac:dyDescent="0.25">
      <c r="A21" s="61" t="s">
        <v>826</v>
      </c>
      <c r="B21" s="125" t="s">
        <v>781</v>
      </c>
      <c r="C21" s="125"/>
      <c r="D21" s="58"/>
    </row>
    <row r="22" spans="1:6" ht="99" customHeight="1" x14ac:dyDescent="0.25">
      <c r="A22" s="88" t="s">
        <v>829</v>
      </c>
      <c r="B22" s="127" t="s">
        <v>830</v>
      </c>
      <c r="C22" s="128"/>
      <c r="D22" s="58"/>
    </row>
    <row r="23" spans="1:6" x14ac:dyDescent="0.25">
      <c r="A23" s="59" t="s">
        <v>8</v>
      </c>
      <c r="B23" s="125" t="s">
        <v>728</v>
      </c>
      <c r="C23" s="125"/>
      <c r="D23" s="29"/>
    </row>
    <row r="24" spans="1:6" ht="60" customHeight="1" x14ac:dyDescent="0.25">
      <c r="A24" s="90" t="s">
        <v>876</v>
      </c>
      <c r="B24" s="127" t="s">
        <v>878</v>
      </c>
      <c r="C24" s="128"/>
      <c r="D24" s="89"/>
    </row>
    <row r="25" spans="1:6" ht="75" hidden="1" x14ac:dyDescent="0.25">
      <c r="A25" s="60" t="s">
        <v>783</v>
      </c>
      <c r="B25" s="125" t="s">
        <v>782</v>
      </c>
      <c r="C25" s="125"/>
      <c r="D25" s="82" t="s">
        <v>729</v>
      </c>
    </row>
    <row r="26" spans="1:6" ht="90" x14ac:dyDescent="0.25">
      <c r="A26" s="62" t="s">
        <v>142</v>
      </c>
      <c r="B26" s="125" t="s">
        <v>831</v>
      </c>
      <c r="C26" s="125"/>
      <c r="D26" s="58" t="s">
        <v>801</v>
      </c>
    </row>
    <row r="27" spans="1:6" ht="63" customHeight="1" x14ac:dyDescent="0.25">
      <c r="A27" s="62" t="s">
        <v>279</v>
      </c>
      <c r="B27" s="125" t="s">
        <v>730</v>
      </c>
      <c r="C27" s="125"/>
      <c r="D27" s="58" t="s">
        <v>731</v>
      </c>
    </row>
    <row r="28" spans="1:6" ht="46.5" customHeight="1" x14ac:dyDescent="0.25">
      <c r="A28" s="62" t="s">
        <v>699</v>
      </c>
      <c r="B28" s="125" t="s">
        <v>732</v>
      </c>
      <c r="C28" s="125"/>
      <c r="D28" s="29"/>
    </row>
    <row r="29" spans="1:6" x14ac:dyDescent="0.25">
      <c r="A29" s="62" t="s">
        <v>784</v>
      </c>
      <c r="B29" s="125" t="s">
        <v>733</v>
      </c>
      <c r="C29" s="125"/>
      <c r="D29" s="29"/>
    </row>
    <row r="30" spans="1:6" x14ac:dyDescent="0.25">
      <c r="A30" s="63" t="s">
        <v>785</v>
      </c>
      <c r="B30" s="125" t="s">
        <v>734</v>
      </c>
      <c r="C30" s="125"/>
      <c r="D30" s="29"/>
    </row>
    <row r="31" spans="1:6" ht="63.75" customHeight="1" x14ac:dyDescent="0.25">
      <c r="A31" s="121" t="s">
        <v>1393</v>
      </c>
      <c r="B31" s="125" t="s">
        <v>1399</v>
      </c>
      <c r="C31" s="125"/>
      <c r="D31" s="107"/>
      <c r="F31" t="s">
        <v>1404</v>
      </c>
    </row>
    <row r="32" spans="1:6" x14ac:dyDescent="0.25">
      <c r="A32" s="122" t="s">
        <v>1394</v>
      </c>
      <c r="B32" s="134" t="s">
        <v>1400</v>
      </c>
      <c r="C32" s="135"/>
      <c r="D32" s="107"/>
    </row>
    <row r="33" spans="1:4" x14ac:dyDescent="0.25">
      <c r="A33" s="122" t="s">
        <v>1401</v>
      </c>
      <c r="B33" s="136"/>
      <c r="C33" s="137"/>
      <c r="D33" s="107"/>
    </row>
    <row r="34" spans="1:4" x14ac:dyDescent="0.25">
      <c r="A34" s="122" t="s">
        <v>1395</v>
      </c>
      <c r="B34" s="136"/>
      <c r="C34" s="137"/>
      <c r="D34" s="107"/>
    </row>
    <row r="35" spans="1:4" x14ac:dyDescent="0.25">
      <c r="A35" s="122" t="s">
        <v>1396</v>
      </c>
      <c r="B35" s="138"/>
      <c r="C35" s="139"/>
      <c r="D35" s="107"/>
    </row>
    <row r="36" spans="1:4" ht="31.5" customHeight="1" x14ac:dyDescent="0.25">
      <c r="A36" s="122" t="s">
        <v>1397</v>
      </c>
      <c r="B36" s="125" t="s">
        <v>1402</v>
      </c>
      <c r="C36" s="125"/>
      <c r="D36" s="107"/>
    </row>
    <row r="37" spans="1:4" ht="47.25" customHeight="1" x14ac:dyDescent="0.25">
      <c r="A37" s="121" t="s">
        <v>1398</v>
      </c>
      <c r="B37" s="125" t="s">
        <v>1403</v>
      </c>
      <c r="C37" s="125"/>
      <c r="D37" s="107"/>
    </row>
    <row r="40" spans="1:4" ht="15.75" x14ac:dyDescent="0.25">
      <c r="A40" s="20" t="s">
        <v>702</v>
      </c>
      <c r="B40" s="132" t="s">
        <v>283</v>
      </c>
      <c r="C40" s="132"/>
    </row>
    <row r="41" spans="1:4" ht="50.25" customHeight="1" x14ac:dyDescent="0.25">
      <c r="A41" s="64" t="s">
        <v>324</v>
      </c>
      <c r="B41" s="133" t="s">
        <v>707</v>
      </c>
      <c r="C41" s="133"/>
    </row>
    <row r="42" spans="1:4" x14ac:dyDescent="0.25">
      <c r="A42" s="65" t="s">
        <v>703</v>
      </c>
      <c r="B42" s="131"/>
      <c r="C42" s="131"/>
    </row>
    <row r="43" spans="1:4" x14ac:dyDescent="0.25">
      <c r="A43" s="66" t="s">
        <v>704</v>
      </c>
      <c r="B43" s="131" t="s">
        <v>706</v>
      </c>
      <c r="C43" s="131"/>
    </row>
    <row r="44" spans="1:4" x14ac:dyDescent="0.25">
      <c r="A44" s="67" t="s">
        <v>708</v>
      </c>
      <c r="B44" s="129"/>
      <c r="C44" s="130"/>
    </row>
    <row r="45" spans="1:4" x14ac:dyDescent="0.25">
      <c r="A45" s="68" t="s">
        <v>714</v>
      </c>
      <c r="B45" s="129"/>
      <c r="C45" s="130"/>
    </row>
    <row r="46" spans="1:4" x14ac:dyDescent="0.25">
      <c r="A46" s="69" t="s">
        <v>715</v>
      </c>
      <c r="B46" s="129"/>
      <c r="C46" s="130"/>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RowHeight="15" x14ac:dyDescent="0.25"/>
  <cols>
    <col min="3" max="3" width="14.7109375" customWidth="1"/>
  </cols>
  <sheetData>
    <row r="6" spans="1:6" x14ac:dyDescent="0.25">
      <c r="D6" t="s">
        <v>886</v>
      </c>
      <c r="E6" t="s">
        <v>887</v>
      </c>
      <c r="F6" t="s">
        <v>888</v>
      </c>
    </row>
    <row r="7" spans="1:6" x14ac:dyDescent="0.25">
      <c r="A7" t="s">
        <v>889</v>
      </c>
      <c r="B7" t="s">
        <v>1451</v>
      </c>
      <c r="C7" t="str">
        <f>"DriversCGE!"&amp;ADDRESS(ROW(DriversCGE!A7),COLUMN(DriversCGE!A7),4)</f>
        <v>DriversCGE!A7</v>
      </c>
      <c r="D7">
        <v>1</v>
      </c>
      <c r="E7">
        <v>1</v>
      </c>
    </row>
    <row r="8" spans="1:6" x14ac:dyDescent="0.25">
      <c r="A8" t="s">
        <v>889</v>
      </c>
      <c r="B8" t="s">
        <v>907</v>
      </c>
      <c r="C8" t="str">
        <f>"DriversCGE!"&amp;ADDRESS(ROW(DriversCGE!A34),COLUMN(DriversCGE!A34),4)</f>
        <v>DriversCGE!A34</v>
      </c>
      <c r="E8">
        <v>1</v>
      </c>
    </row>
    <row r="9" spans="1:6" x14ac:dyDescent="0.25">
      <c r="A9" t="s">
        <v>889</v>
      </c>
      <c r="B9" t="s">
        <v>1406</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908</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RowHeight="15" x14ac:dyDescent="0.25"/>
  <sheetData>
    <row r="7" spans="1:40" x14ac:dyDescent="0.25">
      <c r="B7" s="124" t="s">
        <v>1411</v>
      </c>
      <c r="C7" s="124" t="s">
        <v>1412</v>
      </c>
      <c r="D7" s="124" t="s">
        <v>1413</v>
      </c>
      <c r="E7" s="124" t="s">
        <v>1414</v>
      </c>
      <c r="F7" s="124" t="s">
        <v>1415</v>
      </c>
      <c r="G7" s="124" t="s">
        <v>1416</v>
      </c>
      <c r="H7" s="124" t="s">
        <v>1417</v>
      </c>
      <c r="I7" s="124" t="s">
        <v>1418</v>
      </c>
      <c r="J7" s="124" t="s">
        <v>1419</v>
      </c>
      <c r="K7" s="124" t="s">
        <v>1420</v>
      </c>
      <c r="L7" s="124" t="s">
        <v>1421</v>
      </c>
      <c r="M7" s="124" t="s">
        <v>1422</v>
      </c>
      <c r="N7" s="124" t="s">
        <v>1423</v>
      </c>
      <c r="O7" s="124" t="s">
        <v>1424</v>
      </c>
      <c r="P7" s="124" t="s">
        <v>1425</v>
      </c>
      <c r="Q7" s="124" t="s">
        <v>1426</v>
      </c>
      <c r="R7" s="124" t="s">
        <v>1427</v>
      </c>
      <c r="S7" s="124" t="s">
        <v>1428</v>
      </c>
      <c r="T7" s="124" t="s">
        <v>1429</v>
      </c>
      <c r="U7" s="124" t="s">
        <v>1430</v>
      </c>
      <c r="V7" s="124" t="s">
        <v>1431</v>
      </c>
      <c r="W7" s="124" t="s">
        <v>1432</v>
      </c>
      <c r="X7" s="124" t="s">
        <v>1433</v>
      </c>
      <c r="Y7" s="124" t="s">
        <v>1434</v>
      </c>
      <c r="Z7" s="124" t="s">
        <v>1435</v>
      </c>
      <c r="AA7" s="124" t="s">
        <v>1436</v>
      </c>
      <c r="AB7" s="124" t="s">
        <v>1437</v>
      </c>
      <c r="AC7" s="124" t="s">
        <v>1438</v>
      </c>
      <c r="AD7" s="124" t="s">
        <v>1439</v>
      </c>
      <c r="AE7" s="124" t="s">
        <v>1440</v>
      </c>
      <c r="AF7" s="124" t="s">
        <v>1441</v>
      </c>
      <c r="AG7" s="124" t="s">
        <v>1442</v>
      </c>
      <c r="AH7" s="124" t="s">
        <v>1443</v>
      </c>
      <c r="AI7" s="124" t="s">
        <v>1444</v>
      </c>
      <c r="AJ7" s="124" t="s">
        <v>1445</v>
      </c>
      <c r="AK7" s="124" t="s">
        <v>1446</v>
      </c>
      <c r="AL7" s="124" t="s">
        <v>1447</v>
      </c>
      <c r="AM7" s="124" t="s">
        <v>1448</v>
      </c>
      <c r="AN7" s="124" t="s">
        <v>1449</v>
      </c>
    </row>
    <row r="8" spans="1:40" x14ac:dyDescent="0.25">
      <c r="A8" s="124" t="s">
        <v>891</v>
      </c>
      <c r="B8">
        <v>1835.4048617827443</v>
      </c>
      <c r="C8">
        <v>1885.3471648903101</v>
      </c>
      <c r="D8">
        <v>1936.9054346385724</v>
      </c>
      <c r="E8">
        <v>1958.4126396902814</v>
      </c>
      <c r="F8">
        <v>1980.3744437556988</v>
      </c>
      <c r="G8">
        <v>2022.6113439957664</v>
      </c>
      <c r="H8">
        <v>2064.617860178706</v>
      </c>
      <c r="I8">
        <v>2080.7482549915239</v>
      </c>
      <c r="J8">
        <v>1949.9851671256288</v>
      </c>
      <c r="K8">
        <v>2023.6107466547085</v>
      </c>
      <c r="L8">
        <v>2084.0512888664221</v>
      </c>
      <c r="M8">
        <v>2141.3174162086157</v>
      </c>
      <c r="N8">
        <v>2205.2019589438187</v>
      </c>
      <c r="O8">
        <v>2293.2785881563968</v>
      </c>
      <c r="P8">
        <v>2389.1775181180574</v>
      </c>
      <c r="Q8">
        <v>2493.3220257646126</v>
      </c>
      <c r="R8">
        <v>2590.92242934452</v>
      </c>
      <c r="S8">
        <v>2700.2476242438856</v>
      </c>
      <c r="T8">
        <v>2823.7112884222242</v>
      </c>
      <c r="U8">
        <v>2947.1728405876584</v>
      </c>
      <c r="V8">
        <v>3078.800408496958</v>
      </c>
      <c r="W8">
        <v>3214.0310057271413</v>
      </c>
      <c r="X8">
        <v>3362.8168555057646</v>
      </c>
      <c r="Y8">
        <v>3501.0485944498041</v>
      </c>
      <c r="Z8">
        <v>3645.8306184954786</v>
      </c>
      <c r="AA8">
        <v>3792.8774784864931</v>
      </c>
      <c r="AB8">
        <v>3939.7747426650362</v>
      </c>
      <c r="AC8">
        <v>4087.3981725898116</v>
      </c>
      <c r="AD8">
        <v>4240.6112550491644</v>
      </c>
      <c r="AE8">
        <v>4398.8274430509255</v>
      </c>
      <c r="AF8">
        <v>4551.8428241685597</v>
      </c>
      <c r="AG8">
        <v>4708.0130040831546</v>
      </c>
      <c r="AH8">
        <v>4867.7053015807105</v>
      </c>
      <c r="AI8">
        <v>5037.8911767500877</v>
      </c>
      <c r="AJ8">
        <v>5205.8427520677751</v>
      </c>
      <c r="AK8">
        <v>5314.9217646097322</v>
      </c>
      <c r="AL8">
        <v>5419.3885579542139</v>
      </c>
      <c r="AM8">
        <v>5531.9477532885749</v>
      </c>
      <c r="AN8">
        <v>5640.3895560234487</v>
      </c>
    </row>
    <row r="9" spans="1:40" x14ac:dyDescent="0.25">
      <c r="A9" s="124" t="s">
        <v>1450</v>
      </c>
      <c r="B9">
        <v>69.835481141298274</v>
      </c>
      <c r="C9">
        <v>72.82036824049996</v>
      </c>
      <c r="D9">
        <v>75.943422689759316</v>
      </c>
      <c r="E9">
        <v>74.565183458246722</v>
      </c>
      <c r="F9">
        <v>73.743837090678255</v>
      </c>
      <c r="G9">
        <v>76.785076425702158</v>
      </c>
      <c r="H9">
        <v>75.879318255025112</v>
      </c>
      <c r="I9">
        <v>74.208767847223044</v>
      </c>
      <c r="J9">
        <v>73.17193137416568</v>
      </c>
      <c r="K9">
        <v>76.095673066262748</v>
      </c>
      <c r="L9">
        <v>78.142554165528026</v>
      </c>
      <c r="M9">
        <v>79.965445428947035</v>
      </c>
      <c r="N9">
        <v>82.062688087873369</v>
      </c>
      <c r="O9">
        <v>85.259650528478872</v>
      </c>
      <c r="P9">
        <v>88.252991741132448</v>
      </c>
      <c r="Q9">
        <v>91.395995152518736</v>
      </c>
      <c r="R9">
        <v>95.812856710407942</v>
      </c>
      <c r="S9">
        <v>99.443599452482815</v>
      </c>
      <c r="T9">
        <v>101.98650843609637</v>
      </c>
      <c r="U9">
        <v>104.13106185373742</v>
      </c>
      <c r="V9">
        <v>106.38751028330837</v>
      </c>
      <c r="W9">
        <v>108.77146280529365</v>
      </c>
      <c r="X9">
        <v>111.461713356358</v>
      </c>
      <c r="Y9">
        <v>113.46321215681127</v>
      </c>
      <c r="Z9">
        <v>115.69448672818638</v>
      </c>
      <c r="AA9">
        <v>118.07677760050166</v>
      </c>
      <c r="AB9">
        <v>120.78899702300424</v>
      </c>
      <c r="AC9">
        <v>123.55409075096358</v>
      </c>
      <c r="AD9">
        <v>126.52469201228043</v>
      </c>
      <c r="AE9">
        <v>129.53316070886802</v>
      </c>
      <c r="AF9">
        <v>132.30050528825615</v>
      </c>
      <c r="AG9">
        <v>135.17251571250824</v>
      </c>
      <c r="AH9">
        <v>138.21801054958186</v>
      </c>
      <c r="AI9">
        <v>141.57794679352799</v>
      </c>
      <c r="AJ9">
        <v>144.70300355240454</v>
      </c>
      <c r="AK9">
        <v>145.76583289590053</v>
      </c>
      <c r="AL9">
        <v>146.90928916614791</v>
      </c>
      <c r="AM9">
        <v>148.51592755921462</v>
      </c>
      <c r="AN9">
        <v>149.94646269482479</v>
      </c>
    </row>
    <row r="10" spans="1:40" x14ac:dyDescent="0.25">
      <c r="A10" s="124" t="s">
        <v>897</v>
      </c>
      <c r="B10">
        <v>153.71559201439914</v>
      </c>
      <c r="C10">
        <v>157.54862916110972</v>
      </c>
      <c r="D10">
        <v>159.35652609698468</v>
      </c>
      <c r="E10">
        <v>163.8396222484935</v>
      </c>
      <c r="F10">
        <v>162.18057519788184</v>
      </c>
      <c r="G10">
        <v>167.89340892204675</v>
      </c>
      <c r="H10">
        <v>168.5270291732059</v>
      </c>
      <c r="I10">
        <v>167.14390607311006</v>
      </c>
      <c r="J10">
        <v>159.04658893875356</v>
      </c>
      <c r="K10">
        <v>163.5343445921751</v>
      </c>
      <c r="L10">
        <v>166.67277311626029</v>
      </c>
      <c r="M10">
        <v>170.01742721352255</v>
      </c>
      <c r="N10">
        <v>173.81502438782863</v>
      </c>
      <c r="O10">
        <v>178.30816865470112</v>
      </c>
      <c r="P10">
        <v>183.04427499252037</v>
      </c>
      <c r="Q10">
        <v>188.15163109783774</v>
      </c>
      <c r="R10">
        <v>195.04903503655603</v>
      </c>
      <c r="S10">
        <v>201.1446549307241</v>
      </c>
      <c r="T10">
        <v>204.65252031944254</v>
      </c>
      <c r="U10">
        <v>207.33323177868388</v>
      </c>
      <c r="V10">
        <v>209.98273115229512</v>
      </c>
      <c r="W10">
        <v>213.10564439417846</v>
      </c>
      <c r="X10">
        <v>216.57137351186529</v>
      </c>
      <c r="Y10">
        <v>219.66800842941271</v>
      </c>
      <c r="Z10">
        <v>223.10767828916042</v>
      </c>
      <c r="AA10">
        <v>227.55587833460808</v>
      </c>
      <c r="AB10">
        <v>232.7435482132957</v>
      </c>
      <c r="AC10">
        <v>238.31726243162504</v>
      </c>
      <c r="AD10">
        <v>244.33696334027627</v>
      </c>
      <c r="AE10">
        <v>250.11031696422847</v>
      </c>
      <c r="AF10">
        <v>255.67014182116796</v>
      </c>
      <c r="AG10">
        <v>261.53518891145058</v>
      </c>
      <c r="AH10">
        <v>267.79594486822015</v>
      </c>
      <c r="AI10">
        <v>274.73205809523063</v>
      </c>
      <c r="AJ10">
        <v>282.02216522863228</v>
      </c>
      <c r="AK10">
        <v>286.63512293737762</v>
      </c>
      <c r="AL10">
        <v>291.72155009178238</v>
      </c>
      <c r="AM10">
        <v>298.10288289219147</v>
      </c>
      <c r="AN10">
        <v>305.38591245204594</v>
      </c>
    </row>
    <row r="11" spans="1:40" x14ac:dyDescent="0.25">
      <c r="A11" s="124" t="s">
        <v>894</v>
      </c>
      <c r="B11">
        <v>93.188591602040816</v>
      </c>
      <c r="C11">
        <v>96.192651247816627</v>
      </c>
      <c r="D11">
        <v>99.036855731074354</v>
      </c>
      <c r="E11">
        <v>99.720541940021263</v>
      </c>
      <c r="F11">
        <v>101.82890503600238</v>
      </c>
      <c r="G11">
        <v>103.62152738413272</v>
      </c>
      <c r="H11">
        <v>105.59480606015454</v>
      </c>
      <c r="I11">
        <v>104.65954241669846</v>
      </c>
      <c r="J11">
        <v>102.04231815517682</v>
      </c>
      <c r="K11">
        <v>106.25106921129273</v>
      </c>
      <c r="L11">
        <v>109.24885511204157</v>
      </c>
      <c r="M11">
        <v>112.22416801968134</v>
      </c>
      <c r="N11">
        <v>115.57266925855146</v>
      </c>
      <c r="O11">
        <v>120.0974809780528</v>
      </c>
      <c r="P11">
        <v>124.56817755821757</v>
      </c>
      <c r="Q11">
        <v>129.21302138243865</v>
      </c>
      <c r="R11">
        <v>135.41696907739143</v>
      </c>
      <c r="S11">
        <v>140.4462488339978</v>
      </c>
      <c r="T11">
        <v>144.00664561379597</v>
      </c>
      <c r="U11">
        <v>147.59053525013593</v>
      </c>
      <c r="V11">
        <v>151.49045275341874</v>
      </c>
      <c r="W11">
        <v>155.62358924849332</v>
      </c>
      <c r="X11">
        <v>160.22218567700227</v>
      </c>
      <c r="Y11">
        <v>163.96785611481494</v>
      </c>
      <c r="Z11">
        <v>168.09921478808349</v>
      </c>
      <c r="AA11">
        <v>172.74401792105857</v>
      </c>
      <c r="AB11">
        <v>177.68529063356058</v>
      </c>
      <c r="AC11">
        <v>182.50896070348347</v>
      </c>
      <c r="AD11">
        <v>187.3641131853858</v>
      </c>
      <c r="AE11">
        <v>191.936578191721</v>
      </c>
      <c r="AF11">
        <v>196.15021699948721</v>
      </c>
      <c r="AG11">
        <v>200.84683852493879</v>
      </c>
      <c r="AH11">
        <v>205.66640404291996</v>
      </c>
      <c r="AI11">
        <v>210.90431299686031</v>
      </c>
      <c r="AJ11">
        <v>215.81740396568631</v>
      </c>
      <c r="AK11">
        <v>218.03059229116383</v>
      </c>
      <c r="AL11">
        <v>220.38138597829976</v>
      </c>
      <c r="AM11">
        <v>223.30987701972913</v>
      </c>
      <c r="AN11">
        <v>226.1511165743218</v>
      </c>
    </row>
    <row r="12" spans="1:40" x14ac:dyDescent="0.25">
      <c r="A12" s="124" t="s">
        <v>900</v>
      </c>
      <c r="B12">
        <v>236.00021743217667</v>
      </c>
      <c r="C12">
        <v>242.47330132376698</v>
      </c>
      <c r="D12">
        <v>247.76779991144747</v>
      </c>
      <c r="E12">
        <v>249.82618502326287</v>
      </c>
      <c r="F12">
        <v>251.93029484203009</v>
      </c>
      <c r="G12">
        <v>255.67222637676321</v>
      </c>
      <c r="H12">
        <v>259.25338434507881</v>
      </c>
      <c r="I12">
        <v>257.1232214769272</v>
      </c>
      <c r="J12">
        <v>237.23061489948711</v>
      </c>
      <c r="K12">
        <v>246.71482611454189</v>
      </c>
      <c r="L12">
        <v>254.13302990408232</v>
      </c>
      <c r="M12">
        <v>261.63771000180242</v>
      </c>
      <c r="N12">
        <v>269.99476436884106</v>
      </c>
      <c r="O12">
        <v>281.42484854630652</v>
      </c>
      <c r="P12">
        <v>293.46748031572974</v>
      </c>
      <c r="Q12">
        <v>306.34506319828199</v>
      </c>
      <c r="R12">
        <v>319.31006560845861</v>
      </c>
      <c r="S12">
        <v>331.66272063549673</v>
      </c>
      <c r="T12">
        <v>342.88982820011677</v>
      </c>
      <c r="U12">
        <v>355.48023692276365</v>
      </c>
      <c r="V12">
        <v>368.60067732980713</v>
      </c>
      <c r="W12">
        <v>381.99248963355802</v>
      </c>
      <c r="X12">
        <v>396.91480225434384</v>
      </c>
      <c r="Y12">
        <v>410.79728139727547</v>
      </c>
      <c r="Z12">
        <v>424.93235482965139</v>
      </c>
      <c r="AA12">
        <v>438.16737442115874</v>
      </c>
      <c r="AB12">
        <v>452.93262442953704</v>
      </c>
      <c r="AC12">
        <v>467.60170644596127</v>
      </c>
      <c r="AD12">
        <v>482.66737217297788</v>
      </c>
      <c r="AE12">
        <v>498.29907052816498</v>
      </c>
      <c r="AF12">
        <v>512.88040327045246</v>
      </c>
      <c r="AG12">
        <v>527.58380658185183</v>
      </c>
      <c r="AH12">
        <v>542.6632595940863</v>
      </c>
      <c r="AI12">
        <v>559.00762440560288</v>
      </c>
      <c r="AJ12">
        <v>574.10796743862113</v>
      </c>
      <c r="AK12">
        <v>580.24552432692565</v>
      </c>
      <c r="AL12">
        <v>586.05581566054559</v>
      </c>
      <c r="AM12">
        <v>593.27035804923912</v>
      </c>
      <c r="AN12">
        <v>600.08938042698537</v>
      </c>
    </row>
    <row r="13" spans="1:40" x14ac:dyDescent="0.25">
      <c r="A13" s="124" t="s">
        <v>902</v>
      </c>
      <c r="B13">
        <v>17.779014877163206</v>
      </c>
      <c r="C13">
        <v>18.146954773949133</v>
      </c>
      <c r="D13">
        <v>18.558888564685617</v>
      </c>
      <c r="E13">
        <v>18.665666857136799</v>
      </c>
      <c r="F13">
        <v>18.987042767078563</v>
      </c>
      <c r="G13">
        <v>19.209617523061496</v>
      </c>
      <c r="H13">
        <v>19.620367651184392</v>
      </c>
      <c r="I13">
        <v>19.50174879899577</v>
      </c>
      <c r="J13">
        <v>18.42332873813875</v>
      </c>
      <c r="K13">
        <v>19.137586068109552</v>
      </c>
      <c r="L13">
        <v>19.67183872069047</v>
      </c>
      <c r="M13">
        <v>20.211754317316331</v>
      </c>
      <c r="N13">
        <v>20.815083526183209</v>
      </c>
      <c r="O13">
        <v>21.641321439904978</v>
      </c>
      <c r="P13">
        <v>22.508257378539852</v>
      </c>
      <c r="Q13">
        <v>23.429005557934307</v>
      </c>
      <c r="R13">
        <v>24.355345059511606</v>
      </c>
      <c r="S13">
        <v>25.203964987254651</v>
      </c>
      <c r="T13">
        <v>25.957552022654919</v>
      </c>
      <c r="U13">
        <v>26.822841239108588</v>
      </c>
      <c r="V13">
        <v>27.745451878825858</v>
      </c>
      <c r="W13">
        <v>28.731741957539327</v>
      </c>
      <c r="X13">
        <v>29.848773806991716</v>
      </c>
      <c r="Y13">
        <v>30.857390398092157</v>
      </c>
      <c r="Z13">
        <v>31.928144047128068</v>
      </c>
      <c r="AA13">
        <v>33.027166178636001</v>
      </c>
      <c r="AB13">
        <v>34.10267804509261</v>
      </c>
      <c r="AC13">
        <v>35.155071395030312</v>
      </c>
      <c r="AD13">
        <v>36.230411807463476</v>
      </c>
      <c r="AE13">
        <v>37.333789461976686</v>
      </c>
      <c r="AF13">
        <v>38.382532709322199</v>
      </c>
      <c r="AG13">
        <v>39.487645727455977</v>
      </c>
      <c r="AH13">
        <v>40.627562626003197</v>
      </c>
      <c r="AI13">
        <v>41.864242541875178</v>
      </c>
      <c r="AJ13">
        <v>43.08382439426709</v>
      </c>
      <c r="AK13">
        <v>43.742169202991803</v>
      </c>
      <c r="AL13">
        <v>44.396316894191841</v>
      </c>
      <c r="AM13">
        <v>45.155835198888163</v>
      </c>
      <c r="AN13">
        <v>45.919475047804085</v>
      </c>
    </row>
    <row r="14" spans="1:40" x14ac:dyDescent="0.25">
      <c r="A14" s="124" t="s">
        <v>892</v>
      </c>
      <c r="B14">
        <v>51.336897062592399</v>
      </c>
      <c r="C14">
        <v>51.744251334180348</v>
      </c>
      <c r="D14">
        <v>51.804982517127058</v>
      </c>
      <c r="E14">
        <v>51.958418521246898</v>
      </c>
      <c r="F14">
        <v>52.144755164907011</v>
      </c>
      <c r="G14">
        <v>52.384083493104498</v>
      </c>
      <c r="H14">
        <v>52.877255132522976</v>
      </c>
      <c r="I14">
        <v>52.858042378561748</v>
      </c>
      <c r="J14">
        <v>51.814119119440889</v>
      </c>
      <c r="K14">
        <v>51.799538419982781</v>
      </c>
      <c r="L14">
        <v>52.317754160720455</v>
      </c>
      <c r="M14">
        <v>53.010463958761136</v>
      </c>
      <c r="N14">
        <v>53.700230842211916</v>
      </c>
      <c r="O14">
        <v>54.586667411456176</v>
      </c>
      <c r="P14">
        <v>55.560328369954327</v>
      </c>
      <c r="Q14">
        <v>56.602355055029598</v>
      </c>
      <c r="R14">
        <v>57.732080656939033</v>
      </c>
      <c r="S14">
        <v>58.526795302636259</v>
      </c>
      <c r="T14">
        <v>59.368802505862234</v>
      </c>
      <c r="U14">
        <v>60.502814834435846</v>
      </c>
      <c r="V14">
        <v>61.79338502398442</v>
      </c>
      <c r="W14">
        <v>62.389160333459763</v>
      </c>
      <c r="X14">
        <v>63.383716713523569</v>
      </c>
      <c r="Y14">
        <v>64.353693238750523</v>
      </c>
      <c r="Z14">
        <v>65.356526525994724</v>
      </c>
      <c r="AA14">
        <v>64.953389142537802</v>
      </c>
      <c r="AB14">
        <v>61.268062951710007</v>
      </c>
      <c r="AC14">
        <v>57.625632889443651</v>
      </c>
      <c r="AD14">
        <v>54.472186060367243</v>
      </c>
      <c r="AE14">
        <v>53.70329320163907</v>
      </c>
      <c r="AF14">
        <v>53.414457758397191</v>
      </c>
      <c r="AG14">
        <v>53.289201891726776</v>
      </c>
      <c r="AH14">
        <v>53.272516010169248</v>
      </c>
      <c r="AI14">
        <v>53.406633742496894</v>
      </c>
      <c r="AJ14">
        <v>54.248026275973487</v>
      </c>
      <c r="AK14">
        <v>54.784002995222821</v>
      </c>
      <c r="AL14">
        <v>55.123102972204258</v>
      </c>
      <c r="AM14">
        <v>55.50815103267967</v>
      </c>
      <c r="AN14">
        <v>55.936209358530235</v>
      </c>
    </row>
    <row r="15" spans="1:40" x14ac:dyDescent="0.25">
      <c r="A15" s="124" t="s">
        <v>899</v>
      </c>
      <c r="B15">
        <v>11.340179245796577</v>
      </c>
      <c r="C15">
        <v>11.628754298129426</v>
      </c>
      <c r="D15">
        <v>11.8609543792883</v>
      </c>
      <c r="E15">
        <v>11.969731266576204</v>
      </c>
      <c r="F15">
        <v>12.078852611755952</v>
      </c>
      <c r="G15">
        <v>12.293418979724896</v>
      </c>
      <c r="H15">
        <v>12.464398018921475</v>
      </c>
      <c r="I15">
        <v>12.386981352582474</v>
      </c>
      <c r="J15">
        <v>11.506890676350359</v>
      </c>
      <c r="K15">
        <v>11.962434867402052</v>
      </c>
      <c r="L15">
        <v>12.325708175519297</v>
      </c>
      <c r="M15">
        <v>12.67798819350449</v>
      </c>
      <c r="N15">
        <v>13.072710644132615</v>
      </c>
      <c r="O15">
        <v>13.607351502612188</v>
      </c>
      <c r="P15">
        <v>14.176067736140649</v>
      </c>
      <c r="Q15">
        <v>14.792823000580956</v>
      </c>
      <c r="R15">
        <v>15.26455414201839</v>
      </c>
      <c r="S15">
        <v>15.777350270074669</v>
      </c>
      <c r="T15">
        <v>16.38534046250474</v>
      </c>
      <c r="U15">
        <v>17.02343570107211</v>
      </c>
      <c r="V15">
        <v>17.692380186802392</v>
      </c>
      <c r="W15">
        <v>18.371880052304288</v>
      </c>
      <c r="X15">
        <v>19.129454464741819</v>
      </c>
      <c r="Y15">
        <v>19.838437400058645</v>
      </c>
      <c r="Z15">
        <v>20.570704931126389</v>
      </c>
      <c r="AA15">
        <v>21.258854454421122</v>
      </c>
      <c r="AB15">
        <v>21.976034592104806</v>
      </c>
      <c r="AC15">
        <v>22.691101749470786</v>
      </c>
      <c r="AD15">
        <v>23.427297032756073</v>
      </c>
      <c r="AE15">
        <v>24.20328535169169</v>
      </c>
      <c r="AF15">
        <v>24.931782627226003</v>
      </c>
      <c r="AG15">
        <v>25.676186918792393</v>
      </c>
      <c r="AH15">
        <v>26.444386048064516</v>
      </c>
      <c r="AI15">
        <v>27.266473077296656</v>
      </c>
      <c r="AJ15">
        <v>27.988591094561414</v>
      </c>
      <c r="AK15">
        <v>28.286207270430268</v>
      </c>
      <c r="AL15">
        <v>28.559960030914084</v>
      </c>
      <c r="AM15">
        <v>28.88845617743463</v>
      </c>
      <c r="AN15">
        <v>29.168872268955482</v>
      </c>
    </row>
    <row r="16" spans="1:40" x14ac:dyDescent="0.25">
      <c r="A16" s="124" t="s">
        <v>896</v>
      </c>
      <c r="B16">
        <v>13.382645051102443</v>
      </c>
      <c r="C16">
        <v>13.544476874638059</v>
      </c>
      <c r="D16">
        <v>13.678595575395018</v>
      </c>
      <c r="E16">
        <v>13.767219755115939</v>
      </c>
      <c r="F16">
        <v>13.777957290468102</v>
      </c>
      <c r="G16">
        <v>13.936311300465137</v>
      </c>
      <c r="H16">
        <v>14.0279083679994</v>
      </c>
      <c r="I16">
        <v>13.902396698171845</v>
      </c>
      <c r="J16">
        <v>13.112053634114689</v>
      </c>
      <c r="K16">
        <v>13.429790895596527</v>
      </c>
      <c r="L16">
        <v>13.641913252074332</v>
      </c>
      <c r="M16">
        <v>13.897166058700702</v>
      </c>
      <c r="N16">
        <v>14.181123508261708</v>
      </c>
      <c r="O16">
        <v>14.582858249038566</v>
      </c>
      <c r="P16">
        <v>15.000206867232873</v>
      </c>
      <c r="Q16">
        <v>15.440236479896633</v>
      </c>
      <c r="R16">
        <v>15.985267766521986</v>
      </c>
      <c r="S16">
        <v>16.440508023591153</v>
      </c>
      <c r="T16">
        <v>21.30818732280261</v>
      </c>
      <c r="U16">
        <v>24.540855584840013</v>
      </c>
      <c r="V16">
        <v>27.745188780569844</v>
      </c>
      <c r="W16">
        <v>30.994106864081814</v>
      </c>
      <c r="X16">
        <v>34.281399604370449</v>
      </c>
      <c r="Y16">
        <v>37.604576026746848</v>
      </c>
      <c r="Z16">
        <v>40.853143837775335</v>
      </c>
      <c r="AA16">
        <v>43.950089944257336</v>
      </c>
      <c r="AB16">
        <v>47.356975034946991</v>
      </c>
      <c r="AC16">
        <v>50.752091469411589</v>
      </c>
      <c r="AD16">
        <v>54.141817454532948</v>
      </c>
      <c r="AE16">
        <v>57.472401248657036</v>
      </c>
      <c r="AF16">
        <v>60.747635932117568</v>
      </c>
      <c r="AG16">
        <v>64.01927453951599</v>
      </c>
      <c r="AH16">
        <v>67.304205739369337</v>
      </c>
      <c r="AI16">
        <v>70.636925719354736</v>
      </c>
      <c r="AJ16">
        <v>73.905327065577737</v>
      </c>
      <c r="AK16">
        <v>76.823701679070439</v>
      </c>
      <c r="AL16">
        <v>79.739255120553111</v>
      </c>
      <c r="AM16">
        <v>82.71658842040631</v>
      </c>
      <c r="AN16">
        <v>85.737719661802913</v>
      </c>
    </row>
    <row r="17" spans="1:40" x14ac:dyDescent="0.25">
      <c r="A17" s="124" t="s">
        <v>898</v>
      </c>
      <c r="B17">
        <v>10.204674181190256</v>
      </c>
      <c r="C17">
        <v>9.9112307998418689</v>
      </c>
      <c r="D17">
        <v>9.9369392642273429</v>
      </c>
      <c r="E17">
        <v>10.20667668495226</v>
      </c>
      <c r="F17">
        <v>10.337936158333523</v>
      </c>
      <c r="G17">
        <v>10.455684136023002</v>
      </c>
      <c r="H17">
        <v>10.658069272829138</v>
      </c>
      <c r="I17">
        <v>10.314676668013353</v>
      </c>
      <c r="J17">
        <v>9.0182126701853971</v>
      </c>
      <c r="K17">
        <v>9.4525463594435148</v>
      </c>
      <c r="L17">
        <v>9.6200796862009614</v>
      </c>
      <c r="M17">
        <v>9.9981478301471718</v>
      </c>
      <c r="N17">
        <v>10.467607760783357</v>
      </c>
      <c r="O17">
        <v>11.183979097536298</v>
      </c>
      <c r="P17">
        <v>11.962341128559244</v>
      </c>
      <c r="Q17">
        <v>12.807838188256587</v>
      </c>
      <c r="R17">
        <v>14.668648697826017</v>
      </c>
      <c r="S17">
        <v>16.336526301981756</v>
      </c>
      <c r="T17">
        <v>15.213831970140472</v>
      </c>
      <c r="U17">
        <v>13.896335103449887</v>
      </c>
      <c r="V17">
        <v>12.388961515148829</v>
      </c>
      <c r="W17">
        <v>11.06096436359261</v>
      </c>
      <c r="X17">
        <v>9.900495984740644</v>
      </c>
      <c r="Y17">
        <v>8.9518763616684609</v>
      </c>
      <c r="Z17">
        <v>8.0802399469054258</v>
      </c>
      <c r="AA17">
        <v>7.2020422970069129</v>
      </c>
      <c r="AB17">
        <v>6.9072742729385688</v>
      </c>
      <c r="AC17">
        <v>6.6471968367752714</v>
      </c>
      <c r="AD17">
        <v>6.4170067592266324</v>
      </c>
      <c r="AE17">
        <v>6.1263485511249671</v>
      </c>
      <c r="AF17">
        <v>5.8475968258139357</v>
      </c>
      <c r="AG17">
        <v>5.6136495590722566</v>
      </c>
      <c r="AH17">
        <v>5.4237196269555765</v>
      </c>
      <c r="AI17">
        <v>5.2888874754191448</v>
      </c>
      <c r="AJ17">
        <v>5.1451619724251003</v>
      </c>
      <c r="AK17">
        <v>4.87412588053565</v>
      </c>
      <c r="AL17">
        <v>4.6284336934813792</v>
      </c>
      <c r="AM17">
        <v>4.4314180650869268</v>
      </c>
      <c r="AN17">
        <v>4.2815986420719767</v>
      </c>
    </row>
    <row r="18" spans="1:40" x14ac:dyDescent="0.25">
      <c r="A18" s="124" t="s">
        <v>895</v>
      </c>
      <c r="B18">
        <v>9.680581379688736E-5</v>
      </c>
      <c r="C18">
        <v>1.3146726160867092E-4</v>
      </c>
      <c r="D18">
        <v>1.3734303812847347E-4</v>
      </c>
      <c r="E18">
        <v>1.3383389549674883E-4</v>
      </c>
      <c r="F18">
        <v>1.2795846135968668E-4</v>
      </c>
      <c r="G18">
        <v>1.3022612699541776E-4</v>
      </c>
      <c r="H18">
        <v>1.3151700860051903E-4</v>
      </c>
      <c r="I18">
        <v>1.2582176185376849E-4</v>
      </c>
      <c r="J18">
        <v>1.1979163354071298E-4</v>
      </c>
      <c r="K18">
        <v>1.2898859844418713E-4</v>
      </c>
      <c r="L18">
        <v>1.2609251203792694E-4</v>
      </c>
      <c r="M18">
        <v>1.3135281614617739E-4</v>
      </c>
      <c r="N18">
        <v>1.3422497978373446E-4</v>
      </c>
      <c r="O18">
        <v>1.4154807896604388E-4</v>
      </c>
      <c r="P18">
        <v>1.4648701520551756E-4</v>
      </c>
      <c r="Q18">
        <v>1.4799931193794783E-4</v>
      </c>
      <c r="R18">
        <v>1.6948981930158712E-4</v>
      </c>
      <c r="S18">
        <v>1.6834856696439123E-4</v>
      </c>
      <c r="T18">
        <v>1.0337152203933764</v>
      </c>
      <c r="U18">
        <v>1.9415665042716617</v>
      </c>
      <c r="V18">
        <v>2.3837180898632364</v>
      </c>
      <c r="W18">
        <v>3.350643350124674</v>
      </c>
      <c r="X18">
        <v>4.3175686103861093</v>
      </c>
      <c r="Y18">
        <v>5.3615628931778367</v>
      </c>
      <c r="Z18">
        <v>6.4374446766496005</v>
      </c>
      <c r="AA18">
        <v>9.578786050722826</v>
      </c>
      <c r="AB18">
        <v>10.925275330109969</v>
      </c>
      <c r="AC18">
        <v>12.271764609497117</v>
      </c>
      <c r="AD18">
        <v>13.618253888884258</v>
      </c>
      <c r="AE18">
        <v>15.41314180292018</v>
      </c>
      <c r="AF18">
        <v>17.208029716956098</v>
      </c>
      <c r="AG18">
        <v>19.002917630992023</v>
      </c>
      <c r="AH18">
        <v>20.797805545027948</v>
      </c>
      <c r="AI18">
        <v>22.592693459063852</v>
      </c>
      <c r="AJ18">
        <v>25.200253220220819</v>
      </c>
      <c r="AK18">
        <v>27.807812981377779</v>
      </c>
      <c r="AL18">
        <v>30.415372742534768</v>
      </c>
      <c r="AM18">
        <v>33.022932503691706</v>
      </c>
      <c r="AN18">
        <v>35.630492264848677</v>
      </c>
    </row>
    <row r="19" spans="1:40" x14ac:dyDescent="0.25">
      <c r="A19" s="124" t="s">
        <v>893</v>
      </c>
      <c r="B19">
        <v>79.219359287989846</v>
      </c>
      <c r="C19">
        <v>77.142455819753422</v>
      </c>
      <c r="D19">
        <v>72.70900832286911</v>
      </c>
      <c r="E19">
        <v>68.665624798541671</v>
      </c>
      <c r="F19">
        <v>67.238499501057404</v>
      </c>
      <c r="G19">
        <v>67.525376598024124</v>
      </c>
      <c r="H19">
        <v>67.336904899044114</v>
      </c>
      <c r="I19">
        <v>66.447828192558248</v>
      </c>
      <c r="J19">
        <v>66.435027301209246</v>
      </c>
      <c r="K19">
        <v>69.297157926864287</v>
      </c>
      <c r="L19">
        <v>69.31738809563997</v>
      </c>
      <c r="M19">
        <v>70.151812531206915</v>
      </c>
      <c r="N19">
        <v>71.192017085909114</v>
      </c>
      <c r="O19">
        <v>73.133763747182925</v>
      </c>
      <c r="P19">
        <v>74.344968972565027</v>
      </c>
      <c r="Q19">
        <v>75.379344664740103</v>
      </c>
      <c r="R19">
        <v>75.798162823142277</v>
      </c>
      <c r="S19">
        <v>76.328924264506909</v>
      </c>
      <c r="T19">
        <v>78.35974461900993</v>
      </c>
      <c r="U19">
        <v>80.268130294602344</v>
      </c>
      <c r="V19">
        <v>80.579273405754677</v>
      </c>
      <c r="W19">
        <v>80.902252636934605</v>
      </c>
      <c r="X19">
        <v>81.970400289039688</v>
      </c>
      <c r="Y19">
        <v>81.969713653332491</v>
      </c>
      <c r="Z19">
        <v>83.131829201719555</v>
      </c>
      <c r="AA19">
        <v>86.742057843370986</v>
      </c>
      <c r="AB19">
        <v>87.096956401653046</v>
      </c>
      <c r="AC19">
        <v>87.663633061083445</v>
      </c>
      <c r="AD19">
        <v>88.32845804603599</v>
      </c>
      <c r="AE19">
        <v>91.109846512553418</v>
      </c>
      <c r="AF19">
        <v>93.828703445327292</v>
      </c>
      <c r="AG19">
        <v>96.609385043702432</v>
      </c>
      <c r="AH19">
        <v>99.410959409574332</v>
      </c>
      <c r="AI19">
        <v>102.24368751375052</v>
      </c>
      <c r="AJ19">
        <v>116.89573039335536</v>
      </c>
      <c r="AK19">
        <v>130.70765599322402</v>
      </c>
      <c r="AL19">
        <v>144.20711171740771</v>
      </c>
      <c r="AM19">
        <v>157.61510033277534</v>
      </c>
      <c r="AN19">
        <v>170.66381089205524</v>
      </c>
    </row>
    <row r="20" spans="1:40" x14ac:dyDescent="0.25">
      <c r="A20" s="124" t="s">
        <v>905</v>
      </c>
      <c r="B20">
        <v>21.165773109434767</v>
      </c>
      <c r="C20">
        <v>22.377218850724489</v>
      </c>
      <c r="D20">
        <v>23.979108521588998</v>
      </c>
      <c r="E20">
        <v>24.839407164729533</v>
      </c>
      <c r="F20">
        <v>25.671736013882423</v>
      </c>
      <c r="G20">
        <v>27.751528383953314</v>
      </c>
      <c r="H20">
        <v>29.846951787673298</v>
      </c>
      <c r="I20">
        <v>30.939972143887545</v>
      </c>
      <c r="J20">
        <v>30.363297375497609</v>
      </c>
      <c r="K20">
        <v>32.022385900775753</v>
      </c>
      <c r="L20">
        <v>33.491991834314412</v>
      </c>
      <c r="M20">
        <v>35.080771189768811</v>
      </c>
      <c r="N20">
        <v>37.007345425293892</v>
      </c>
      <c r="O20">
        <v>39.741517277823156</v>
      </c>
      <c r="P20">
        <v>42.800056412307207</v>
      </c>
      <c r="Q20">
        <v>46.361478444226059</v>
      </c>
      <c r="R20">
        <v>51.512365290241448</v>
      </c>
      <c r="S20">
        <v>57.252407751352116</v>
      </c>
      <c r="T20">
        <v>62.634760373562081</v>
      </c>
      <c r="U20">
        <v>68.058452245916087</v>
      </c>
      <c r="V20">
        <v>73.548840657535877</v>
      </c>
      <c r="W20">
        <v>79.216281346383127</v>
      </c>
      <c r="X20">
        <v>85.413829754362695</v>
      </c>
      <c r="Y20">
        <v>90.839209945058641</v>
      </c>
      <c r="Z20">
        <v>96.297027369336448</v>
      </c>
      <c r="AA20">
        <v>102.00119579625911</v>
      </c>
      <c r="AB20">
        <v>108.22320834625664</v>
      </c>
      <c r="AC20">
        <v>114.86810524699962</v>
      </c>
      <c r="AD20">
        <v>122.02546964840698</v>
      </c>
      <c r="AE20">
        <v>128.71569494232025</v>
      </c>
      <c r="AF20">
        <v>134.58677467342116</v>
      </c>
      <c r="AG20">
        <v>140.2966294423629</v>
      </c>
      <c r="AH20">
        <v>145.85729688418724</v>
      </c>
      <c r="AI20">
        <v>151.55493677983753</v>
      </c>
      <c r="AJ20">
        <v>156.62606124633172</v>
      </c>
      <c r="AK20">
        <v>158.42223329221505</v>
      </c>
      <c r="AL20">
        <v>159.90570412682055</v>
      </c>
      <c r="AM20">
        <v>161.61159063963242</v>
      </c>
      <c r="AN20">
        <v>163.30515774852717</v>
      </c>
    </row>
    <row r="21" spans="1:40" x14ac:dyDescent="0.25">
      <c r="A21" s="124" t="s">
        <v>904</v>
      </c>
      <c r="B21">
        <v>135.97944444872783</v>
      </c>
      <c r="C21">
        <v>139.51894144068359</v>
      </c>
      <c r="D21">
        <v>142.71812369853023</v>
      </c>
      <c r="E21">
        <v>143.54169317623405</v>
      </c>
      <c r="F21">
        <v>144.49952440861802</v>
      </c>
      <c r="G21">
        <v>147.437767189591</v>
      </c>
      <c r="H21">
        <v>149.83944227598749</v>
      </c>
      <c r="I21">
        <v>149.51144269333093</v>
      </c>
      <c r="J21">
        <v>139.77159169835207</v>
      </c>
      <c r="K21">
        <v>144.67235644638512</v>
      </c>
      <c r="L21">
        <v>148.77117123392705</v>
      </c>
      <c r="M21">
        <v>152.26331750309689</v>
      </c>
      <c r="N21">
        <v>156.26981753198308</v>
      </c>
      <c r="O21">
        <v>161.86226613923975</v>
      </c>
      <c r="P21">
        <v>167.843538121531</v>
      </c>
      <c r="Q21">
        <v>174.25692401639603</v>
      </c>
      <c r="R21">
        <v>178.19399395125251</v>
      </c>
      <c r="S21">
        <v>183.9112241358373</v>
      </c>
      <c r="T21">
        <v>193.40597549515951</v>
      </c>
      <c r="U21">
        <v>202.55539033490322</v>
      </c>
      <c r="V21">
        <v>211.95647410067974</v>
      </c>
      <c r="W21">
        <v>221.62136870555935</v>
      </c>
      <c r="X21">
        <v>232.33761849436604</v>
      </c>
      <c r="Y21">
        <v>242.30319623539523</v>
      </c>
      <c r="Z21">
        <v>252.73463790526324</v>
      </c>
      <c r="AA21">
        <v>263.73825732569196</v>
      </c>
      <c r="AB21">
        <v>273.24119398888269</v>
      </c>
      <c r="AC21">
        <v>282.67014995916514</v>
      </c>
      <c r="AD21">
        <v>292.52017749837512</v>
      </c>
      <c r="AE21">
        <v>303.62555606789732</v>
      </c>
      <c r="AF21">
        <v>314.51470896773162</v>
      </c>
      <c r="AG21">
        <v>325.71106139027461</v>
      </c>
      <c r="AH21">
        <v>337.19888754391229</v>
      </c>
      <c r="AI21">
        <v>349.40773069809802</v>
      </c>
      <c r="AJ21">
        <v>361.72443712077632</v>
      </c>
      <c r="AK21">
        <v>369.8144026833213</v>
      </c>
      <c r="AL21">
        <v>377.91836920826802</v>
      </c>
      <c r="AM21">
        <v>386.87855713295841</v>
      </c>
      <c r="AN21">
        <v>395.79535796007991</v>
      </c>
    </row>
    <row r="22" spans="1:40" x14ac:dyDescent="0.25">
      <c r="A22" s="124" t="s">
        <v>903</v>
      </c>
      <c r="B22">
        <v>11.277058566427211</v>
      </c>
      <c r="C22">
        <v>11.596737182328916</v>
      </c>
      <c r="D22">
        <v>12.003044399873467</v>
      </c>
      <c r="E22">
        <v>12.200293270167318</v>
      </c>
      <c r="F22">
        <v>12.326795861614693</v>
      </c>
      <c r="G22">
        <v>12.618752602691071</v>
      </c>
      <c r="H22">
        <v>12.953700844811744</v>
      </c>
      <c r="I22">
        <v>13.013426894760871</v>
      </c>
      <c r="J22">
        <v>12.334889701594262</v>
      </c>
      <c r="K22">
        <v>12.83913824832692</v>
      </c>
      <c r="L22">
        <v>13.209848513922893</v>
      </c>
      <c r="M22">
        <v>13.492234800961279</v>
      </c>
      <c r="N22">
        <v>13.826872467759186</v>
      </c>
      <c r="O22">
        <v>14.282217417424212</v>
      </c>
      <c r="P22">
        <v>14.781289927408364</v>
      </c>
      <c r="Q22">
        <v>15.292633835718439</v>
      </c>
      <c r="R22">
        <v>15.587306786199283</v>
      </c>
      <c r="S22">
        <v>16.11372131701161</v>
      </c>
      <c r="T22">
        <v>16.896805977911505</v>
      </c>
      <c r="U22">
        <v>17.460111420779487</v>
      </c>
      <c r="V22">
        <v>18.130339853150488</v>
      </c>
      <c r="W22">
        <v>18.770326693288052</v>
      </c>
      <c r="X22">
        <v>19.498946282976494</v>
      </c>
      <c r="Y22">
        <v>20.155361230551282</v>
      </c>
      <c r="Z22">
        <v>20.787477715181996</v>
      </c>
      <c r="AA22">
        <v>21.441445052817432</v>
      </c>
      <c r="AB22">
        <v>21.903201339135208</v>
      </c>
      <c r="AC22">
        <v>22.442556592566852</v>
      </c>
      <c r="AD22">
        <v>22.951002350469395</v>
      </c>
      <c r="AE22">
        <v>23.579549510899103</v>
      </c>
      <c r="AF22">
        <v>24.144768444504287</v>
      </c>
      <c r="AG22">
        <v>24.745616682809775</v>
      </c>
      <c r="AH22">
        <v>25.379950088009963</v>
      </c>
      <c r="AI22">
        <v>26.057437724789271</v>
      </c>
      <c r="AJ22">
        <v>26.76402068946685</v>
      </c>
      <c r="AK22">
        <v>27.221222587414577</v>
      </c>
      <c r="AL22">
        <v>27.574929867099854</v>
      </c>
      <c r="AM22">
        <v>27.988227072191592</v>
      </c>
      <c r="AN22">
        <v>28.41499972349515</v>
      </c>
    </row>
    <row r="23" spans="1:40" x14ac:dyDescent="0.25">
      <c r="A23" s="124" t="s">
        <v>906</v>
      </c>
      <c r="B23">
        <v>1.1353937121984286</v>
      </c>
      <c r="C23">
        <v>1.1447434916042833</v>
      </c>
      <c r="D23">
        <v>1.1210329256976288</v>
      </c>
      <c r="E23">
        <v>1.0977045735687718</v>
      </c>
      <c r="F23">
        <v>1.0978691229676261</v>
      </c>
      <c r="G23">
        <v>1.1012783610885275</v>
      </c>
      <c r="H23">
        <v>1.0758439098331503</v>
      </c>
      <c r="I23">
        <v>1.0524648437805564</v>
      </c>
      <c r="J23">
        <v>0.94721474113639625</v>
      </c>
      <c r="K23">
        <v>0.95911113353526778</v>
      </c>
      <c r="L23">
        <v>0.98435485674236278</v>
      </c>
      <c r="M23">
        <v>1.0106567001726852</v>
      </c>
      <c r="N23">
        <v>1.036131370086032</v>
      </c>
      <c r="O23">
        <v>1.0715394958030597</v>
      </c>
      <c r="P23">
        <v>1.108691605907357</v>
      </c>
      <c r="Q23">
        <v>1.1551524318577804</v>
      </c>
      <c r="R23">
        <v>1.1721339649905069</v>
      </c>
      <c r="S23">
        <v>1.1930519381407689</v>
      </c>
      <c r="T23">
        <v>1.2684084460054221</v>
      </c>
      <c r="U23">
        <v>1.387174912159131</v>
      </c>
      <c r="V23">
        <v>1.4851486856585201</v>
      </c>
      <c r="W23">
        <v>1.5950230494281412</v>
      </c>
      <c r="X23">
        <v>1.7106923899405684</v>
      </c>
      <c r="Y23">
        <v>1.8270182436324092</v>
      </c>
      <c r="Z23">
        <v>1.9622714912192609</v>
      </c>
      <c r="AA23">
        <v>2.1049687937845212</v>
      </c>
      <c r="AB23">
        <v>2.2481759710660145</v>
      </c>
      <c r="AC23">
        <v>2.3706001765655667</v>
      </c>
      <c r="AD23">
        <v>2.5164121151481313</v>
      </c>
      <c r="AE23">
        <v>2.6685704406287063</v>
      </c>
      <c r="AF23">
        <v>2.833377998497673</v>
      </c>
      <c r="AG23">
        <v>2.9961841795843194</v>
      </c>
      <c r="AH23">
        <v>3.1577017570015316</v>
      </c>
      <c r="AI23">
        <v>3.3273253124211011</v>
      </c>
      <c r="AJ23">
        <v>3.4991663348170898</v>
      </c>
      <c r="AK23">
        <v>3.6251366934006568</v>
      </c>
      <c r="AL23">
        <v>3.7792518716015668</v>
      </c>
      <c r="AM23">
        <v>3.9379912653994897</v>
      </c>
      <c r="AN23">
        <v>4.0881071337129784</v>
      </c>
    </row>
    <row r="24" spans="1:40" x14ac:dyDescent="0.25">
      <c r="A24" s="124" t="s">
        <v>901</v>
      </c>
      <c r="B24">
        <v>27.516308224731596</v>
      </c>
      <c r="C24">
        <v>26.898389797406129</v>
      </c>
      <c r="D24">
        <v>26.280471370080662</v>
      </c>
      <c r="E24">
        <v>25.662552942755205</v>
      </c>
      <c r="F24">
        <v>25.642288979843755</v>
      </c>
      <c r="G24">
        <v>25.622025016932298</v>
      </c>
      <c r="H24">
        <v>25.624302228411068</v>
      </c>
      <c r="I24">
        <v>25.604038252812916</v>
      </c>
      <c r="J24">
        <v>16.08704503661782</v>
      </c>
      <c r="K24">
        <v>19.057004883289988</v>
      </c>
      <c r="L24">
        <v>21.779226932831296</v>
      </c>
      <c r="M24">
        <v>21.75896296991985</v>
      </c>
      <c r="N24">
        <v>21.738699007008393</v>
      </c>
      <c r="O24">
        <v>21.160515523673386</v>
      </c>
      <c r="P24">
        <v>21.140251560761943</v>
      </c>
      <c r="Q24">
        <v>21.119987597850489</v>
      </c>
      <c r="R24">
        <v>9.4663083214966317</v>
      </c>
      <c r="S24">
        <v>6.1680011971170101</v>
      </c>
      <c r="T24">
        <v>6.1258438232268677</v>
      </c>
      <c r="U24">
        <v>6.1258438232268659</v>
      </c>
      <c r="V24">
        <v>6.152083536895625</v>
      </c>
      <c r="W24">
        <v>6.1520835368956268</v>
      </c>
      <c r="X24">
        <v>6.152083536895625</v>
      </c>
      <c r="Y24">
        <v>6.1520835368956277</v>
      </c>
      <c r="Z24">
        <v>6.1520834861488174</v>
      </c>
      <c r="AA24">
        <v>5.8968354041462758</v>
      </c>
      <c r="AB24">
        <v>4.9993998720735755</v>
      </c>
      <c r="AC24">
        <v>4.1019643400008787</v>
      </c>
      <c r="AD24">
        <v>3.2045288079281806</v>
      </c>
      <c r="AE24">
        <v>2.8215163183833889</v>
      </c>
      <c r="AF24">
        <v>2.4385038288385981</v>
      </c>
      <c r="AG24">
        <v>2.0554913392938055</v>
      </c>
      <c r="AH24">
        <v>1.672478849749014</v>
      </c>
      <c r="AI24">
        <v>1.2894663602042209</v>
      </c>
      <c r="AJ24">
        <v>1.193008016500736</v>
      </c>
      <c r="AK24">
        <v>1.0965496727972508</v>
      </c>
      <c r="AL24">
        <v>1.0000913290937659</v>
      </c>
      <c r="AM24">
        <v>0.90363298539028103</v>
      </c>
      <c r="AN24">
        <v>0.80717464168679587</v>
      </c>
    </row>
    <row r="25" spans="1:40" x14ac:dyDescent="0.25">
      <c r="A25" s="124" t="s">
        <v>890</v>
      </c>
      <c r="B25">
        <v>66.420365481469943</v>
      </c>
      <c r="C25">
        <v>67.592634376498907</v>
      </c>
      <c r="D25">
        <v>64.540291385447631</v>
      </c>
      <c r="E25">
        <v>61.487948394396355</v>
      </c>
      <c r="F25">
        <v>61.244907434340611</v>
      </c>
      <c r="G25">
        <v>61.50653872343171</v>
      </c>
      <c r="H25">
        <v>61.00130064774882</v>
      </c>
      <c r="I25">
        <v>60.468535382926973</v>
      </c>
      <c r="J25">
        <v>58.511404369943875</v>
      </c>
      <c r="K25">
        <v>57.520360590006717</v>
      </c>
      <c r="L25">
        <v>56.171333568137349</v>
      </c>
      <c r="M25">
        <v>54.781266212669131</v>
      </c>
      <c r="N25">
        <v>53.716722763105921</v>
      </c>
      <c r="O25">
        <v>52.8448162085487</v>
      </c>
      <c r="P25">
        <v>51.782675133599987</v>
      </c>
      <c r="Q25">
        <v>50.358591827595205</v>
      </c>
      <c r="R25">
        <v>49.069964676544124</v>
      </c>
      <c r="S25">
        <v>47.478077140790518</v>
      </c>
      <c r="T25">
        <v>45.933063416045165</v>
      </c>
      <c r="U25">
        <v>45.014126670298715</v>
      </c>
      <c r="V25">
        <v>45.1851405408988</v>
      </c>
      <c r="W25">
        <v>45.274980117519164</v>
      </c>
      <c r="X25">
        <v>45.490121671718477</v>
      </c>
      <c r="Y25">
        <v>44.033027195500544</v>
      </c>
      <c r="Z25">
        <v>43.87799083249994</v>
      </c>
      <c r="AA25">
        <v>42.416243831334761</v>
      </c>
      <c r="AB25">
        <v>41.307052596622725</v>
      </c>
      <c r="AC25">
        <v>40.197861361910697</v>
      </c>
      <c r="AD25">
        <v>39.088670127198661</v>
      </c>
      <c r="AE25">
        <v>37.541409950889836</v>
      </c>
      <c r="AF25">
        <v>35.994149774581039</v>
      </c>
      <c r="AG25">
        <v>34.446889598272236</v>
      </c>
      <c r="AH25">
        <v>32.899629421963439</v>
      </c>
      <c r="AI25">
        <v>31.352369245654625</v>
      </c>
      <c r="AJ25">
        <v>27.560123771936251</v>
      </c>
      <c r="AK25">
        <v>23.767878298217877</v>
      </c>
      <c r="AL25">
        <v>19.97563282449952</v>
      </c>
      <c r="AM25">
        <v>16.183387350781157</v>
      </c>
      <c r="AN25">
        <v>12.391141877062786</v>
      </c>
    </row>
    <row r="26" spans="1:40" x14ac:dyDescent="0.25">
      <c r="A26" s="124" t="s">
        <v>1453</v>
      </c>
      <c r="B26">
        <v>52.867124384756856</v>
      </c>
      <c r="C26">
        <v>53.943578253599014</v>
      </c>
      <c r="D26">
        <v>54.099369626776813</v>
      </c>
      <c r="E26">
        <v>55.209842712896666</v>
      </c>
      <c r="F26">
        <v>54.344982720011323</v>
      </c>
      <c r="G26">
        <v>56.262705394684104</v>
      </c>
      <c r="H26">
        <v>56.212266979026644</v>
      </c>
      <c r="I26">
        <v>55.052433969254864</v>
      </c>
      <c r="J26">
        <v>51.067557274781556</v>
      </c>
      <c r="K26">
        <v>52.91396612397228</v>
      </c>
      <c r="L26">
        <v>53.962055424931009</v>
      </c>
      <c r="M26">
        <v>55.332652059920854</v>
      </c>
      <c r="N26">
        <v>56.934566807663543</v>
      </c>
      <c r="O26">
        <v>59.157828151527944</v>
      </c>
      <c r="P26">
        <v>61.521849728438646</v>
      </c>
      <c r="Q26">
        <v>64.024624292919739</v>
      </c>
      <c r="R26">
        <v>68.417928441718274</v>
      </c>
      <c r="S26">
        <v>72.233845379985723</v>
      </c>
      <c r="T26">
        <v>79.072352621636938</v>
      </c>
      <c r="U26">
        <v>85.181391402471021</v>
      </c>
      <c r="V26">
        <v>91.333643485345533</v>
      </c>
      <c r="W26">
        <v>97.819402659468139</v>
      </c>
      <c r="X26">
        <v>104.75042249632197</v>
      </c>
      <c r="Y26">
        <v>111.62974892490172</v>
      </c>
      <c r="Z26">
        <v>118.59654910198932</v>
      </c>
      <c r="AA26">
        <v>125.65483358484151</v>
      </c>
      <c r="AB26">
        <v>133.77960750423469</v>
      </c>
      <c r="AC26">
        <v>142.21567071438278</v>
      </c>
      <c r="AD26">
        <v>150.83242368760148</v>
      </c>
      <c r="AE26">
        <v>158.95345920965201</v>
      </c>
      <c r="AF26">
        <v>166.53728176375043</v>
      </c>
      <c r="AG26">
        <v>174.11047446282228</v>
      </c>
      <c r="AH26">
        <v>181.74179886733168</v>
      </c>
      <c r="AI26">
        <v>189.61403228157999</v>
      </c>
      <c r="AJ26">
        <v>197.11616527682258</v>
      </c>
      <c r="AK26">
        <v>202.14971347850974</v>
      </c>
      <c r="AL26">
        <v>207.35153806485616</v>
      </c>
      <c r="AM26">
        <v>213.15359846197657</v>
      </c>
      <c r="AN26">
        <v>219.30148239275786</v>
      </c>
    </row>
    <row r="27" spans="1:40" x14ac:dyDescent="0.25">
      <c r="A27" s="124" t="s">
        <v>1452</v>
      </c>
      <c r="B27">
        <v>2.8013623116984481</v>
      </c>
      <c r="C27">
        <v>2.8939036256557409</v>
      </c>
      <c r="D27">
        <v>2.9637533131693887</v>
      </c>
      <c r="E27">
        <v>3.0056475644894238</v>
      </c>
      <c r="F27">
        <v>3.0528362630307933</v>
      </c>
      <c r="G27">
        <v>3.1039979289595765</v>
      </c>
      <c r="H27">
        <v>3.1605509056012133</v>
      </c>
      <c r="I27">
        <v>3.1425586985482319</v>
      </c>
      <c r="J27">
        <v>2.9699551299659253</v>
      </c>
      <c r="K27">
        <v>3.0719021575780907</v>
      </c>
      <c r="L27">
        <v>3.1563663381132789</v>
      </c>
      <c r="M27">
        <v>3.2475395408363985</v>
      </c>
      <c r="N27">
        <v>3.3469596981067227</v>
      </c>
      <c r="O27">
        <v>3.4808564795728327</v>
      </c>
      <c r="P27">
        <v>3.6220674742841461</v>
      </c>
      <c r="Q27">
        <v>3.7715185069377477</v>
      </c>
      <c r="R27">
        <v>3.9311578323541472</v>
      </c>
      <c r="S27">
        <v>4.0726630058637046</v>
      </c>
      <c r="T27">
        <v>4.2025143769981446</v>
      </c>
      <c r="U27">
        <v>4.3439319946534312</v>
      </c>
      <c r="V27">
        <v>4.4977213771147513</v>
      </c>
      <c r="W27">
        <v>4.6491076104480973</v>
      </c>
      <c r="X27">
        <v>4.8176560297010669</v>
      </c>
      <c r="Y27">
        <v>4.9726484896985808</v>
      </c>
      <c r="Z27">
        <v>5.1418654329553277</v>
      </c>
      <c r="AA27">
        <v>5.3106448322588724</v>
      </c>
      <c r="AB27">
        <v>5.4757112673611994</v>
      </c>
      <c r="AC27">
        <v>5.637241565498563</v>
      </c>
      <c r="AD27">
        <v>5.7989696913460094</v>
      </c>
      <c r="AE27">
        <v>5.9787251768860283</v>
      </c>
      <c r="AF27">
        <v>6.153727695264867</v>
      </c>
      <c r="AG27">
        <v>6.3263995813376432</v>
      </c>
      <c r="AH27">
        <v>6.5060934780125228</v>
      </c>
      <c r="AI27">
        <v>6.6957789780485131</v>
      </c>
      <c r="AJ27">
        <v>6.798404895619071</v>
      </c>
      <c r="AK27">
        <v>6.8191003096401062</v>
      </c>
      <c r="AL27">
        <v>6.8359718141899259</v>
      </c>
      <c r="AM27">
        <v>6.8671414543857869</v>
      </c>
      <c r="AN27">
        <v>6.893591508530279</v>
      </c>
    </row>
    <row r="28" spans="1:40" x14ac:dyDescent="0.25">
      <c r="A28" s="124" t="s">
        <v>1454</v>
      </c>
      <c r="B28">
        <v>1.4857925030137937</v>
      </c>
      <c r="C28">
        <v>1.6263325032627214</v>
      </c>
      <c r="D28">
        <v>1.6386146869961917</v>
      </c>
      <c r="E28">
        <v>1.6395818173451797</v>
      </c>
      <c r="F28">
        <v>1.6443014045964568</v>
      </c>
      <c r="G28">
        <v>1.6570864696344931</v>
      </c>
      <c r="H28">
        <v>1.6707183116339344</v>
      </c>
      <c r="I28">
        <v>1.6638386944191941</v>
      </c>
      <c r="J28">
        <v>1.6101202686761009</v>
      </c>
      <c r="K28">
        <v>1.6324568392851504</v>
      </c>
      <c r="L28">
        <v>1.6555692194023326</v>
      </c>
      <c r="M28">
        <v>1.6782875736928486</v>
      </c>
      <c r="N28">
        <v>1.7023927740636342</v>
      </c>
      <c r="O28">
        <v>1.7343272938051462</v>
      </c>
      <c r="P28">
        <v>1.768303289724783</v>
      </c>
      <c r="Q28">
        <v>1.8046322612709358</v>
      </c>
      <c r="R28">
        <v>1.8321731815097182</v>
      </c>
      <c r="S28">
        <v>1.8618488996657345</v>
      </c>
      <c r="T28">
        <v>1.8772504457414168</v>
      </c>
      <c r="U28">
        <v>2.8689921997297909</v>
      </c>
      <c r="V28">
        <v>3.8029905678114351</v>
      </c>
      <c r="W28">
        <v>4.4044572303351393</v>
      </c>
      <c r="X28">
        <v>5.1537709678597601</v>
      </c>
      <c r="Y28">
        <v>5.9461548861775748</v>
      </c>
      <c r="Z28">
        <v>6.7617431070870397</v>
      </c>
      <c r="AA28">
        <v>7.529136641623996</v>
      </c>
      <c r="AB28">
        <v>8.2992058266268298</v>
      </c>
      <c r="AC28">
        <v>9.0761657564454108</v>
      </c>
      <c r="AD28">
        <v>9.8642316641989645</v>
      </c>
      <c r="AE28">
        <v>10.690855807547788</v>
      </c>
      <c r="AF28">
        <v>11.523290081123116</v>
      </c>
      <c r="AG28">
        <v>12.358969560138512</v>
      </c>
      <c r="AH28">
        <v>13.197098041548239</v>
      </c>
      <c r="AI28">
        <v>14.038770709577534</v>
      </c>
      <c r="AJ28">
        <v>14.890088975390547</v>
      </c>
      <c r="AK28">
        <v>15.729653570722617</v>
      </c>
      <c r="AL28">
        <v>16.567466060315905</v>
      </c>
      <c r="AM28">
        <v>17.407949505966325</v>
      </c>
      <c r="AN28">
        <v>18.249419930689019</v>
      </c>
    </row>
    <row r="34" spans="1:39" x14ac:dyDescent="0.25">
      <c r="A34" s="124" t="s">
        <v>1411</v>
      </c>
      <c r="B34" s="124" t="s">
        <v>1412</v>
      </c>
      <c r="C34" s="124" t="s">
        <v>1413</v>
      </c>
      <c r="D34" s="124" t="s">
        <v>1414</v>
      </c>
      <c r="E34" s="124" t="s">
        <v>1415</v>
      </c>
      <c r="F34" s="124" t="s">
        <v>1416</v>
      </c>
      <c r="G34" s="124" t="s">
        <v>1417</v>
      </c>
      <c r="H34" s="124" t="s">
        <v>1418</v>
      </c>
      <c r="I34" s="124" t="s">
        <v>1419</v>
      </c>
      <c r="J34" s="124" t="s">
        <v>1420</v>
      </c>
      <c r="K34" s="124" t="s">
        <v>1421</v>
      </c>
      <c r="L34" s="124" t="s">
        <v>1422</v>
      </c>
      <c r="M34" s="124" t="s">
        <v>1423</v>
      </c>
      <c r="N34" s="124" t="s">
        <v>1424</v>
      </c>
      <c r="O34" s="124" t="s">
        <v>1425</v>
      </c>
      <c r="P34" s="124" t="s">
        <v>1426</v>
      </c>
      <c r="Q34" s="124" t="s">
        <v>1427</v>
      </c>
      <c r="R34" s="124" t="s">
        <v>1428</v>
      </c>
      <c r="S34" s="124" t="s">
        <v>1429</v>
      </c>
      <c r="T34" s="124" t="s">
        <v>1430</v>
      </c>
      <c r="U34" s="124" t="s">
        <v>1431</v>
      </c>
      <c r="V34" s="124" t="s">
        <v>1432</v>
      </c>
      <c r="W34" s="124" t="s">
        <v>1433</v>
      </c>
      <c r="X34" s="124" t="s">
        <v>1434</v>
      </c>
      <c r="Y34" s="124" t="s">
        <v>1435</v>
      </c>
      <c r="Z34" s="124" t="s">
        <v>1436</v>
      </c>
      <c r="AA34" s="124" t="s">
        <v>1437</v>
      </c>
      <c r="AB34" s="124" t="s">
        <v>1438</v>
      </c>
      <c r="AC34" s="124" t="s">
        <v>1439</v>
      </c>
      <c r="AD34" s="124" t="s">
        <v>1440</v>
      </c>
      <c r="AE34" s="124" t="s">
        <v>1441</v>
      </c>
      <c r="AF34" s="124" t="s">
        <v>1442</v>
      </c>
      <c r="AG34" s="124" t="s">
        <v>1443</v>
      </c>
      <c r="AH34" s="124" t="s">
        <v>1444</v>
      </c>
      <c r="AI34" s="124" t="s">
        <v>1445</v>
      </c>
      <c r="AJ34" s="124" t="s">
        <v>1446</v>
      </c>
      <c r="AK34" s="124" t="s">
        <v>1447</v>
      </c>
      <c r="AL34" s="124" t="s">
        <v>1448</v>
      </c>
      <c r="AM34" s="124" t="s">
        <v>1449</v>
      </c>
    </row>
    <row r="35" spans="1:39" x14ac:dyDescent="0.25">
      <c r="A35">
        <v>52325.432882070083</v>
      </c>
      <c r="B35">
        <v>53104.386458423352</v>
      </c>
      <c r="C35">
        <v>53912.365691429273</v>
      </c>
      <c r="D35">
        <v>54750.491457321114</v>
      </c>
      <c r="E35">
        <v>55619.940469824825</v>
      </c>
      <c r="F35">
        <v>56521.948041648095</v>
      </c>
      <c r="G35">
        <v>57436.000617299665</v>
      </c>
      <c r="H35">
        <v>58364.834921819442</v>
      </c>
      <c r="I35">
        <v>59308.69</v>
      </c>
      <c r="J35">
        <v>59991.580449204266</v>
      </c>
      <c r="K35">
        <v>60682.333816399376</v>
      </c>
      <c r="L35">
        <v>61381.040636574369</v>
      </c>
      <c r="M35">
        <v>62087.792487153696</v>
      </c>
      <c r="N35">
        <v>62802.68200000003</v>
      </c>
      <c r="O35">
        <v>63421.065342005153</v>
      </c>
      <c r="P35">
        <v>64045.537563425787</v>
      </c>
      <c r="Q35">
        <v>64676.158618096451</v>
      </c>
      <c r="R35">
        <v>65312.989050183925</v>
      </c>
      <c r="S35">
        <v>65956.09</v>
      </c>
      <c r="T35">
        <v>66518.97719068767</v>
      </c>
      <c r="U35">
        <v>67086.668213583107</v>
      </c>
      <c r="V35">
        <v>67659.20406589545</v>
      </c>
      <c r="W35">
        <v>68236.62609471516</v>
      </c>
      <c r="X35">
        <v>68818.976000000024</v>
      </c>
      <c r="Y35">
        <v>69322.810489383541</v>
      </c>
      <c r="Z35">
        <v>69830.333629884059</v>
      </c>
      <c r="AA35">
        <v>70341.572426693427</v>
      </c>
      <c r="AB35">
        <v>70856.554082712813</v>
      </c>
      <c r="AC35">
        <v>71375.305999999997</v>
      </c>
      <c r="AD35">
        <v>71818.612994947311</v>
      </c>
      <c r="AE35">
        <v>72264.673338395412</v>
      </c>
      <c r="AF35">
        <v>72713.504131197798</v>
      </c>
      <c r="AG35">
        <v>73165.122580420139</v>
      </c>
      <c r="AH35">
        <v>73619.545999999973</v>
      </c>
      <c r="AI35">
        <v>73995.362001779518</v>
      </c>
      <c r="AJ35">
        <v>74373.096484110356</v>
      </c>
      <c r="AK35">
        <v>74752.759240528641</v>
      </c>
      <c r="AL35">
        <v>75134.360114565105</v>
      </c>
      <c r="AM35">
        <v>75517.908999999985</v>
      </c>
    </row>
    <row r="86" spans="1:5" x14ac:dyDescent="0.25">
      <c r="A86" s="124" t="s">
        <v>1407</v>
      </c>
      <c r="B86" s="124" t="s">
        <v>891</v>
      </c>
      <c r="C86" s="124" t="s">
        <v>1408</v>
      </c>
      <c r="D86" s="124" t="s">
        <v>1409</v>
      </c>
      <c r="E86" s="124" t="s">
        <v>1410</v>
      </c>
    </row>
    <row r="87" spans="1:5" x14ac:dyDescent="0.25">
      <c r="A87">
        <v>-1</v>
      </c>
      <c r="B87">
        <v>-1</v>
      </c>
      <c r="C87">
        <v>-1</v>
      </c>
      <c r="D87">
        <v>1</v>
      </c>
      <c r="E87">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92">
        <f>'Net zero emission summary'!AE5</f>
        <v>981.62818548821156</v>
      </c>
      <c r="E7" s="92">
        <f>'Net zero emission summary'!AF5</f>
        <v>979.83777729347503</v>
      </c>
      <c r="F7" s="92">
        <f>'Net zero emission summary'!AG5</f>
        <v>974.46098202974156</v>
      </c>
      <c r="G7" s="92">
        <f>'Net zero emission summary'!AH5</f>
        <v>954.90432082690393</v>
      </c>
      <c r="H7" s="92">
        <f>'Net zero emission summary'!AI5</f>
        <v>936.24689617777653</v>
      </c>
      <c r="I7" s="92">
        <f>'Net zero emission summary'!AJ5</f>
        <v>932.21276662375578</v>
      </c>
      <c r="J7" s="92">
        <f>'Net zero emission summary'!AK5</f>
        <v>923.86491351141194</v>
      </c>
      <c r="K7" s="92">
        <f>'Net zero emission summary'!AL5</f>
        <v>901.13782630003345</v>
      </c>
      <c r="L7" s="92">
        <f>'Net zero emission summary'!AM5</f>
        <v>816.88427258204479</v>
      </c>
      <c r="M7" s="92">
        <f>'Net zero emission summary'!AN5</f>
        <v>785.4706192754029</v>
      </c>
      <c r="N7" s="92">
        <f>'Net zero emission summary'!AO5</f>
        <v>743.11233174737617</v>
      </c>
      <c r="O7" s="92">
        <f>'Net zero emission summary'!AP5</f>
        <v>696.26577188765361</v>
      </c>
      <c r="P7" s="92">
        <f>'Net zero emission summary'!AQ5</f>
        <v>648.7590199235849</v>
      </c>
      <c r="Q7" s="92">
        <f>'Net zero emission summary'!AR5</f>
        <v>604.77237055979015</v>
      </c>
      <c r="R7" s="92">
        <f>'Net zero emission summary'!AS5</f>
        <v>557.81901429979484</v>
      </c>
      <c r="S7" s="92">
        <f>'Net zero emission summary'!AT5</f>
        <v>507.68049941652254</v>
      </c>
      <c r="T7" s="92">
        <f>'Net zero emission summary'!AU5</f>
        <v>450.99873522247435</v>
      </c>
      <c r="U7" s="92">
        <f>'Net zero emission summary'!AV5</f>
        <v>392.02657491092441</v>
      </c>
      <c r="V7" s="92">
        <f>'Net zero emission summary'!AW5</f>
        <v>330.29238680304223</v>
      </c>
      <c r="W7" s="92">
        <f>'Net zero emission summary'!AX5</f>
        <v>306.24857732268993</v>
      </c>
      <c r="X7" s="92">
        <f>'Net zero emission summary'!AY5</f>
        <v>281.19685801105118</v>
      </c>
      <c r="Y7" s="92">
        <f>'Net zero emission summary'!AZ5</f>
        <v>254.86779631736766</v>
      </c>
      <c r="Z7" s="92">
        <f>'Net zero emission summary'!BA5</f>
        <v>228.01119204463066</v>
      </c>
      <c r="AA7" s="92">
        <f>'Net zero emission summary'!BB5</f>
        <v>198.67387242891681</v>
      </c>
      <c r="AB7" s="92">
        <f>'Net zero emission summary'!BC5</f>
        <v>168.43127982258676</v>
      </c>
      <c r="AC7" s="92">
        <f>'Net zero emission summary'!BD5</f>
        <v>137.03091385806212</v>
      </c>
      <c r="AD7" s="92">
        <f>'Net zero emission summary'!BE5</f>
        <v>104.2942787483002</v>
      </c>
      <c r="AE7" s="92">
        <f>'Net zero emission summary'!BF5</f>
        <v>70.565630770183063</v>
      </c>
      <c r="AF7" s="92">
        <f>'Net zero emission summary'!BG5</f>
        <v>35.98810219679595</v>
      </c>
      <c r="AG7" s="92">
        <f>'Net zero emission summary'!BH5</f>
        <v>15.866519910058841</v>
      </c>
      <c r="AH7" s="92">
        <f>'Net zero emission summary'!BI5</f>
        <v>-5.0464085043511773</v>
      </c>
      <c r="AI7" s="92">
        <f>'Net zero emission summary'!BJ5</f>
        <v>-26.647742396211896</v>
      </c>
      <c r="AJ7" s="92">
        <f>'Net zero emission summary'!BK5</f>
        <v>-48.926595069805259</v>
      </c>
      <c r="AK7" s="92">
        <f>'Net zero emission summary'!BL5</f>
        <v>-71.967573653152058</v>
      </c>
      <c r="AL7" s="92">
        <f>'Net zero emission summary'!BM5</f>
        <v>-95.763946182180931</v>
      </c>
      <c r="AM7" s="92">
        <f>'Net zero emission summary'!BN5</f>
        <v>-118.79161490294948</v>
      </c>
      <c r="AN7" s="92">
        <f>'Net zero emission summary'!BO5</f>
        <v>-141.80028227392563</v>
      </c>
      <c r="AO7" s="92">
        <f>'Net zero emission summary'!BP5</f>
        <v>-165.1175923959932</v>
      </c>
      <c r="AP7" s="92">
        <f>'Net zero emission summary'!BQ5</f>
        <v>-188.40130696696977</v>
      </c>
    </row>
    <row r="8" spans="1:42" x14ac:dyDescent="0.25">
      <c r="A8" t="str">
        <f>'Emissions summary'!C6</f>
        <v>3A1c Sheep</v>
      </c>
      <c r="B8" t="str">
        <f t="shared" ref="B8:B36" si="1">"A"&amp;LEFT(A8,4)</f>
        <v>A3A1c</v>
      </c>
      <c r="C8" t="str">
        <f>'Emissions summary'!D6</f>
        <v>CH4</v>
      </c>
      <c r="D8" s="92">
        <f>'Net zero emission summary'!AE6</f>
        <v>146.93843620249652</v>
      </c>
      <c r="E8" s="92">
        <f>'Net zero emission summary'!AF6</f>
        <v>147.01773607540545</v>
      </c>
      <c r="F8" s="92">
        <f>'Net zero emission summary'!AG6</f>
        <v>147.20003972212783</v>
      </c>
      <c r="G8" s="92">
        <f>'Net zero emission summary'!AH6</f>
        <v>147.47068646984667</v>
      </c>
      <c r="H8" s="92">
        <f>'Net zero emission summary'!AI6</f>
        <v>147.83598581945662</v>
      </c>
      <c r="I8" s="92">
        <f>'Net zero emission summary'!AJ6</f>
        <v>148.30327928759814</v>
      </c>
      <c r="J8" s="92">
        <f>'Net zero emission summary'!AK6</f>
        <v>148.81818807714274</v>
      </c>
      <c r="K8" s="92">
        <f>'Net zero emission summary'!AL6</f>
        <v>149.37271484338407</v>
      </c>
      <c r="L8" s="92">
        <f>'Net zero emission summary'!AM6</f>
        <v>149.92210736806928</v>
      </c>
      <c r="M8" s="92">
        <f>'Net zero emission summary'!AN6</f>
        <v>149.95622527601634</v>
      </c>
      <c r="N8" s="92">
        <f>'Net zero emission summary'!AO6</f>
        <v>149.7623491285097</v>
      </c>
      <c r="O8" s="92">
        <f>'Net zero emission summary'!AP6</f>
        <v>149.34778889614608</v>
      </c>
      <c r="P8" s="92">
        <f>'Net zero emission summary'!AQ6</f>
        <v>148.71854818975899</v>
      </c>
      <c r="Q8" s="92">
        <f>'Net zero emission summary'!AR6</f>
        <v>147.88259699433343</v>
      </c>
      <c r="R8" s="92">
        <f>'Net zero emission summary'!AS6</f>
        <v>146.67322682634938</v>
      </c>
      <c r="S8" s="92">
        <f>'Net zero emission summary'!AT6</f>
        <v>145.25573519567936</v>
      </c>
      <c r="T8" s="92">
        <f>'Net zero emission summary'!AU6</f>
        <v>143.62665148022643</v>
      </c>
      <c r="U8" s="92">
        <f>'Net zero emission summary'!AV6</f>
        <v>141.79535097115436</v>
      </c>
      <c r="V8" s="92">
        <f>'Net zero emission summary'!AW6</f>
        <v>139.76451884451279</v>
      </c>
      <c r="W8" s="92">
        <f>'Net zero emission summary'!AX6</f>
        <v>139.93868251778142</v>
      </c>
      <c r="X8" s="92">
        <f>'Net zero emission summary'!AY6</f>
        <v>140.1325538849797</v>
      </c>
      <c r="Y8" s="92">
        <f>'Net zero emission summary'!AZ6</f>
        <v>140.34462122179536</v>
      </c>
      <c r="Z8" s="92">
        <f>'Net zero emission summary'!BA6</f>
        <v>140.57748640513066</v>
      </c>
      <c r="AA8" s="92">
        <f>'Net zero emission summary'!BB6</f>
        <v>140.82185541667033</v>
      </c>
      <c r="AB8" s="92">
        <f>'Net zero emission summary'!BC6</f>
        <v>140.96747172876206</v>
      </c>
      <c r="AC8" s="92">
        <f>'Net zero emission summary'!BD6</f>
        <v>141.12787205361411</v>
      </c>
      <c r="AD8" s="92">
        <f>'Net zero emission summary'!BE6</f>
        <v>141.30017003050278</v>
      </c>
      <c r="AE8" s="92">
        <f>'Net zero emission summary'!BF6</f>
        <v>141.48546331464075</v>
      </c>
      <c r="AF8" s="92">
        <f>'Net zero emission summary'!BG6</f>
        <v>141.68475057200101</v>
      </c>
      <c r="AG8" s="92">
        <f>'Net zero emission summary'!BH6</f>
        <v>141.78992314514923</v>
      </c>
      <c r="AH8" s="92">
        <f>'Net zero emission summary'!BI6</f>
        <v>141.90387955116816</v>
      </c>
      <c r="AI8" s="92">
        <f>'Net zero emission summary'!BJ6</f>
        <v>142.02914715934372</v>
      </c>
      <c r="AJ8" s="92">
        <f>'Net zero emission summary'!BK6</f>
        <v>142.16544523534787</v>
      </c>
      <c r="AK8" s="92">
        <f>'Net zero emission summary'!BL6</f>
        <v>142.3145504629932</v>
      </c>
      <c r="AL8" s="92">
        <f>'Net zero emission summary'!BM6</f>
        <v>142.3652703445297</v>
      </c>
      <c r="AM8" s="92">
        <f>'Net zero emission summary'!BN6</f>
        <v>142.40530997612021</v>
      </c>
      <c r="AN8" s="92">
        <f>'Net zero emission summary'!BO6</f>
        <v>142.4525964282214</v>
      </c>
      <c r="AO8" s="92">
        <f>'Net zero emission summary'!BP6</f>
        <v>142.51091736343014</v>
      </c>
      <c r="AP8" s="92">
        <f>'Net zero emission summary'!BQ6</f>
        <v>142.57618652903773</v>
      </c>
    </row>
    <row r="9" spans="1:42" x14ac:dyDescent="0.25">
      <c r="A9" t="str">
        <f>'Emissions summary'!C7</f>
        <v>3A1d Goats</v>
      </c>
      <c r="B9" t="str">
        <f t="shared" si="1"/>
        <v>A3A1d</v>
      </c>
      <c r="C9" t="str">
        <f>'Emissions summary'!D7</f>
        <v>CH4</v>
      </c>
      <c r="D9" s="92">
        <f>'Net zero emission summary'!AE7</f>
        <v>37.495912738890013</v>
      </c>
      <c r="E9" s="92">
        <f>'Net zero emission summary'!AF7</f>
        <v>37.5933708506183</v>
      </c>
      <c r="F9" s="92">
        <f>'Net zero emission summary'!AG7</f>
        <v>37.724795014728237</v>
      </c>
      <c r="G9" s="92">
        <f>'Net zero emission summary'!AH7</f>
        <v>37.884866310005393</v>
      </c>
      <c r="H9" s="92">
        <f>'Net zero emission summary'!AI7</f>
        <v>38.076593108095572</v>
      </c>
      <c r="I9" s="92">
        <f>'Net zero emission summary'!AJ7</f>
        <v>38.30325844540512</v>
      </c>
      <c r="J9" s="92">
        <f>'Net zero emission summary'!AK7</f>
        <v>38.543478969155011</v>
      </c>
      <c r="K9" s="92">
        <f>'Net zero emission summary'!AL7</f>
        <v>38.794443906767704</v>
      </c>
      <c r="L9" s="92">
        <f>'Net zero emission summary'!AM7</f>
        <v>39.038773345836645</v>
      </c>
      <c r="M9" s="92">
        <f>'Net zero emission summary'!AN7</f>
        <v>39.150837227931419</v>
      </c>
      <c r="N9" s="92">
        <f>'Net zero emission summary'!AO7</f>
        <v>39.271686590456198</v>
      </c>
      <c r="O9" s="92">
        <f>'Net zero emission summary'!AP7</f>
        <v>39.40266766115144</v>
      </c>
      <c r="P9" s="92">
        <f>'Net zero emission summary'!AQ7</f>
        <v>39.544750063946836</v>
      </c>
      <c r="Q9" s="92">
        <f>'Net zero emission summary'!AR7</f>
        <v>39.699845207639484</v>
      </c>
      <c r="R9" s="92">
        <f>'Net zero emission summary'!AS7</f>
        <v>39.799669757767603</v>
      </c>
      <c r="S9" s="92">
        <f>'Net zero emission summary'!AT7</f>
        <v>39.908606836494045</v>
      </c>
      <c r="T9" s="92">
        <f>'Net zero emission summary'!AU7</f>
        <v>40.023946645449342</v>
      </c>
      <c r="U9" s="92">
        <f>'Net zero emission summary'!AV7</f>
        <v>40.148311453957248</v>
      </c>
      <c r="V9" s="92">
        <f>'Net zero emission summary'!AW7</f>
        <v>40.281743187448782</v>
      </c>
      <c r="W9" s="92">
        <f>'Net zero emission summary'!AX7</f>
        <v>40.210653849811024</v>
      </c>
      <c r="X9" s="92">
        <f>'Net zero emission summary'!AY7</f>
        <v>40.145664358762751</v>
      </c>
      <c r="Y9" s="92">
        <f>'Net zero emission summary'!AZ7</f>
        <v>40.086111465564294</v>
      </c>
      <c r="Z9" s="92">
        <f>'Net zero emission summary'!BA7</f>
        <v>40.033037830007331</v>
      </c>
      <c r="AA9" s="92">
        <f>'Net zero emission summary'!BB7</f>
        <v>39.982572363403506</v>
      </c>
      <c r="AB9" s="92">
        <f>'Net zero emission summary'!BC7</f>
        <v>39.889718520695965</v>
      </c>
      <c r="AC9" s="92">
        <f>'Net zero emission summary'!BD7</f>
        <v>39.801318791770875</v>
      </c>
      <c r="AD9" s="92">
        <f>'Net zero emission summary'!BE7</f>
        <v>39.716173692335801</v>
      </c>
      <c r="AE9" s="92">
        <f>'Net zero emission summary'!BF7</f>
        <v>39.634704982453712</v>
      </c>
      <c r="AF9" s="92">
        <f>'Net zero emission summary'!BG7</f>
        <v>39.557281421793689</v>
      </c>
      <c r="AG9" s="92">
        <f>'Net zero emission summary'!BH7</f>
        <v>39.603263105326178</v>
      </c>
      <c r="AH9" s="92">
        <f>'Net zero emission summary'!BI7</f>
        <v>39.652036588289313</v>
      </c>
      <c r="AI9" s="92">
        <f>'Net zero emission summary'!BJ7</f>
        <v>39.704625568562108</v>
      </c>
      <c r="AJ9" s="92">
        <f>'Net zero emission summary'!BK7</f>
        <v>39.760932209007677</v>
      </c>
      <c r="AK9" s="92">
        <f>'Net zero emission summary'!BL7</f>
        <v>39.821672299461774</v>
      </c>
      <c r="AL9" s="92">
        <f>'Net zero emission summary'!BM7</f>
        <v>39.842888834308084</v>
      </c>
      <c r="AM9" s="92">
        <f>'Net zero emission summary'!BN7</f>
        <v>39.859404611413154</v>
      </c>
      <c r="AN9" s="92">
        <f>'Net zero emission summary'!BO7</f>
        <v>39.878329330287301</v>
      </c>
      <c r="AO9" s="92">
        <f>'Net zero emission summary'!BP7</f>
        <v>39.901164337140926</v>
      </c>
      <c r="AP9" s="92">
        <f>'Net zero emission summary'!BQ7</f>
        <v>39.926305799352704</v>
      </c>
    </row>
    <row r="10" spans="1:42" x14ac:dyDescent="0.25">
      <c r="A10" t="str">
        <f>'Emissions summary'!C8</f>
        <v>3A1f Horses</v>
      </c>
      <c r="B10" t="str">
        <f t="shared" si="1"/>
        <v>A3A1f</v>
      </c>
      <c r="C10" t="str">
        <f>'Emissions summary'!D8</f>
        <v>CH4</v>
      </c>
      <c r="D10" s="92">
        <f>'Net zero emission summary'!AE8</f>
        <v>5.5625078668475236</v>
      </c>
      <c r="E10" s="92">
        <f>'Net zero emission summary'!AF8</f>
        <v>5.5999708339814545</v>
      </c>
      <c r="F10" s="92">
        <f>'Net zero emission summary'!AG8</f>
        <v>5.6226370840776179</v>
      </c>
      <c r="G10" s="92">
        <f>'Net zero emission summary'!AH8</f>
        <v>5.5928142970106265</v>
      </c>
      <c r="H10" s="92">
        <f>'Net zero emission summary'!AI8</f>
        <v>5.5623376589201499</v>
      </c>
      <c r="I10" s="92">
        <f>'Net zero emission summary'!AJ8</f>
        <v>5.5812216853376206</v>
      </c>
      <c r="J10" s="92">
        <f>'Net zero emission summary'!AK8</f>
        <v>5.5836612172513842</v>
      </c>
      <c r="K10" s="92">
        <f>'Net zero emission summary'!AL8</f>
        <v>5.5315877353552168</v>
      </c>
      <c r="L10" s="92">
        <f>'Net zero emission summary'!AM8</f>
        <v>5.2455147526194601</v>
      </c>
      <c r="M10" s="92">
        <f>'Net zero emission summary'!AN8</f>
        <v>5.332808287437901</v>
      </c>
      <c r="N10" s="92">
        <f>'Net zero emission summary'!AO8</f>
        <v>5.3901753132609427</v>
      </c>
      <c r="O10" s="92">
        <f>'Net zero emission summary'!AP8</f>
        <v>5.440230309739654</v>
      </c>
      <c r="P10" s="92">
        <f>'Net zero emission summary'!AQ8</f>
        <v>5.5003068027462358</v>
      </c>
      <c r="Q10" s="92">
        <f>'Net zero emission summary'!AR8</f>
        <v>5.5968430891840955</v>
      </c>
      <c r="R10" s="92">
        <f>'Net zero emission summary'!AS8</f>
        <v>5.7072120457799942</v>
      </c>
      <c r="S10" s="92">
        <f>'Net zero emission summary'!AT8</f>
        <v>5.8264820494807026</v>
      </c>
      <c r="T10" s="92">
        <f>'Net zero emission summary'!AU8</f>
        <v>5.9301104930204529</v>
      </c>
      <c r="U10" s="92">
        <f>'Net zero emission summary'!AV8</f>
        <v>6.0502396904604057</v>
      </c>
      <c r="V10" s="92">
        <f>'Net zero emission summary'!AW8</f>
        <v>6.1907930019013007</v>
      </c>
      <c r="W10" s="92">
        <f>'Net zero emission summary'!AX8</f>
        <v>6.3320471664105931</v>
      </c>
      <c r="X10" s="92">
        <f>'Net zero emission summary'!AY8</f>
        <v>6.4794646415598249</v>
      </c>
      <c r="Y10" s="92">
        <f>'Net zero emission summary'!AZ8</f>
        <v>6.6296689370175557</v>
      </c>
      <c r="Z10" s="92">
        <f>'Net zero emission summary'!BA8</f>
        <v>6.7972348352901832</v>
      </c>
      <c r="AA10" s="92">
        <f>'Net zero emission summary'!BB8</f>
        <v>6.9438088425470355</v>
      </c>
      <c r="AB10" s="92">
        <f>'Net zero emission summary'!BC8</f>
        <v>7.1048815884414847</v>
      </c>
      <c r="AC10" s="92">
        <f>'Net zero emission summary'!BD8</f>
        <v>7.268627225560472</v>
      </c>
      <c r="AD10" s="92">
        <f>'Net zero emission summary'!BE8</f>
        <v>7.42471904610154</v>
      </c>
      <c r="AE10" s="92">
        <f>'Net zero emission summary'!BF8</f>
        <v>7.5801220888649867</v>
      </c>
      <c r="AF10" s="92">
        <f>'Net zero emission summary'!BG8</f>
        <v>7.7411228012577773</v>
      </c>
      <c r="AG10" s="92">
        <f>'Net zero emission summary'!BH8</f>
        <v>7.9163247577118536</v>
      </c>
      <c r="AH10" s="92">
        <f>'Net zero emission summary'!BI8</f>
        <v>8.0810947340099517</v>
      </c>
      <c r="AI10" s="92">
        <f>'Net zero emission summary'!BJ8</f>
        <v>8.2480372843312519</v>
      </c>
      <c r="AJ10" s="92">
        <f>'Net zero emission summary'!BK8</f>
        <v>8.4174605770969908</v>
      </c>
      <c r="AK10" s="92">
        <f>'Net zero emission summary'!BL8</f>
        <v>8.5983802423376101</v>
      </c>
      <c r="AL10" s="92">
        <f>'Net zero emission summary'!BM8</f>
        <v>8.7907471853609671</v>
      </c>
      <c r="AM10" s="92">
        <f>'Net zero emission summary'!BN8</f>
        <v>8.8991507547228217</v>
      </c>
      <c r="AN10" s="92">
        <f>'Net zero emission summary'!BO8</f>
        <v>9.0016825973480952</v>
      </c>
      <c r="AO10" s="92">
        <f>'Net zero emission summary'!BP8</f>
        <v>9.1156705075973274</v>
      </c>
      <c r="AP10" s="92">
        <f>'Net zero emission summary'!BQ8</f>
        <v>9.2247946500114306</v>
      </c>
    </row>
    <row r="11" spans="1:42" x14ac:dyDescent="0.25">
      <c r="A11" t="str">
        <f>'Emissions summary'!C9</f>
        <v>3A1g Mules &amp; asses</v>
      </c>
      <c r="B11" t="str">
        <f t="shared" si="1"/>
        <v>A3A1g</v>
      </c>
      <c r="C11" t="str">
        <f>'Emissions summary'!D9</f>
        <v>CH4</v>
      </c>
      <c r="D11" s="92">
        <f>'Net zero emission summary'!AE9</f>
        <v>1.67</v>
      </c>
      <c r="E11" s="92">
        <f>'Net zero emission summary'!AF9</f>
        <v>1.67</v>
      </c>
      <c r="F11" s="92">
        <f>'Net zero emission summary'!AG9</f>
        <v>1.67</v>
      </c>
      <c r="G11" s="92">
        <f>'Net zero emission summary'!AH9</f>
        <v>1.67</v>
      </c>
      <c r="H11" s="92">
        <f>'Net zero emission summary'!AI9</f>
        <v>1.67</v>
      </c>
      <c r="I11" s="92">
        <f>'Net zero emission summary'!AJ9</f>
        <v>1.67</v>
      </c>
      <c r="J11" s="92">
        <f>'Net zero emission summary'!AK9</f>
        <v>1.67</v>
      </c>
      <c r="K11" s="92">
        <f>'Net zero emission summary'!AL9</f>
        <v>1.67</v>
      </c>
      <c r="L11" s="92">
        <f>'Net zero emission summary'!AM9</f>
        <v>1.67</v>
      </c>
      <c r="M11" s="92">
        <f>'Net zero emission summary'!AN9</f>
        <v>1.67</v>
      </c>
      <c r="N11" s="92">
        <f>'Net zero emission summary'!AO9</f>
        <v>1.67</v>
      </c>
      <c r="O11" s="92">
        <f>'Net zero emission summary'!AP9</f>
        <v>1.67</v>
      </c>
      <c r="P11" s="92">
        <f>'Net zero emission summary'!AQ9</f>
        <v>1.67</v>
      </c>
      <c r="Q11" s="92">
        <f>'Net zero emission summary'!AR9</f>
        <v>1.67</v>
      </c>
      <c r="R11" s="92">
        <f>'Net zero emission summary'!AS9</f>
        <v>1.67</v>
      </c>
      <c r="S11" s="92">
        <f>'Net zero emission summary'!AT9</f>
        <v>1.67</v>
      </c>
      <c r="T11" s="92">
        <f>'Net zero emission summary'!AU9</f>
        <v>1.67</v>
      </c>
      <c r="U11" s="92">
        <f>'Net zero emission summary'!AV9</f>
        <v>1.67</v>
      </c>
      <c r="V11" s="92">
        <f>'Net zero emission summary'!AW9</f>
        <v>1.67</v>
      </c>
      <c r="W11" s="92">
        <f>'Net zero emission summary'!AX9</f>
        <v>1.67</v>
      </c>
      <c r="X11" s="92">
        <f>'Net zero emission summary'!AY9</f>
        <v>1.67</v>
      </c>
      <c r="Y11" s="92">
        <f>'Net zero emission summary'!AZ9</f>
        <v>1.67</v>
      </c>
      <c r="Z11" s="92">
        <f>'Net zero emission summary'!BA9</f>
        <v>1.67</v>
      </c>
      <c r="AA11" s="92">
        <f>'Net zero emission summary'!BB9</f>
        <v>1.67</v>
      </c>
      <c r="AB11" s="92">
        <f>'Net zero emission summary'!BC9</f>
        <v>1.67</v>
      </c>
      <c r="AC11" s="92">
        <f>'Net zero emission summary'!BD9</f>
        <v>1.67</v>
      </c>
      <c r="AD11" s="92">
        <f>'Net zero emission summary'!BE9</f>
        <v>1.67</v>
      </c>
      <c r="AE11" s="92">
        <f>'Net zero emission summary'!BF9</f>
        <v>1.67</v>
      </c>
      <c r="AF11" s="92">
        <f>'Net zero emission summary'!BG9</f>
        <v>1.67</v>
      </c>
      <c r="AG11" s="92">
        <f>'Net zero emission summary'!BH9</f>
        <v>1.67</v>
      </c>
      <c r="AH11" s="92">
        <f>'Net zero emission summary'!BI9</f>
        <v>1.67</v>
      </c>
      <c r="AI11" s="92">
        <f>'Net zero emission summary'!BJ9</f>
        <v>1.67</v>
      </c>
      <c r="AJ11" s="92">
        <f>'Net zero emission summary'!BK9</f>
        <v>1.67</v>
      </c>
      <c r="AK11" s="92">
        <f>'Net zero emission summary'!BL9</f>
        <v>1.67</v>
      </c>
      <c r="AL11" s="92">
        <f>'Net zero emission summary'!BM9</f>
        <v>1.67</v>
      </c>
      <c r="AM11" s="92">
        <f>'Net zero emission summary'!BN9</f>
        <v>1.67</v>
      </c>
      <c r="AN11" s="92">
        <f>'Net zero emission summary'!BO9</f>
        <v>1.67</v>
      </c>
      <c r="AO11" s="92">
        <f>'Net zero emission summary'!BP9</f>
        <v>1.67</v>
      </c>
      <c r="AP11" s="92">
        <f>'Net zero emission summary'!BQ9</f>
        <v>1.67</v>
      </c>
    </row>
    <row r="12" spans="1:42" x14ac:dyDescent="0.25">
      <c r="A12" t="str">
        <f>'Emissions summary'!C10</f>
        <v>3A1h Swine</v>
      </c>
      <c r="B12" t="str">
        <f t="shared" si="1"/>
        <v>A3A1h</v>
      </c>
      <c r="C12" t="str">
        <f>'Emissions summary'!D10</f>
        <v>CH4</v>
      </c>
      <c r="D12" s="92">
        <f>'Net zero emission summary'!AE10</f>
        <v>2.1034078301642354</v>
      </c>
      <c r="E12" s="92">
        <f>'Net zero emission summary'!AF10</f>
        <v>2.0996903008322314</v>
      </c>
      <c r="F12" s="92">
        <f>'Net zero emission summary'!AG10</f>
        <v>2.0879099396346876</v>
      </c>
      <c r="G12" s="92">
        <f>'Net zero emission summary'!AH10</f>
        <v>2.0418375370987127</v>
      </c>
      <c r="H12" s="92">
        <f>'Net zero emission summary'!AI10</f>
        <v>1.9982686329516464</v>
      </c>
      <c r="I12" s="92">
        <f>'Net zero emission summary'!AJ10</f>
        <v>1.9912365190478556</v>
      </c>
      <c r="J12" s="92">
        <f>'Net zero emission summary'!AK10</f>
        <v>1.9741659576667152</v>
      </c>
      <c r="K12" s="92">
        <f>'Net zero emission summary'!AL10</f>
        <v>1.9215897957575108</v>
      </c>
      <c r="L12" s="92">
        <f>'Net zero emission summary'!AM10</f>
        <v>1.7139691892884696</v>
      </c>
      <c r="M12" s="92">
        <f>'Net zero emission summary'!AN10</f>
        <v>1.7508377162373532</v>
      </c>
      <c r="N12" s="92">
        <f>'Net zero emission summary'!AO10</f>
        <v>1.7678150061681126</v>
      </c>
      <c r="O12" s="92">
        <f>'Net zero emission summary'!AP10</f>
        <v>1.7801797097190535</v>
      </c>
      <c r="P12" s="92">
        <f>'Net zero emission summary'!AQ10</f>
        <v>1.7991628614018123</v>
      </c>
      <c r="Q12" s="92">
        <f>'Net zero emission summary'!AR10</f>
        <v>1.8413187100774886</v>
      </c>
      <c r="R12" s="92">
        <f>'Net zero emission summary'!AS10</f>
        <v>1.8887627691491791</v>
      </c>
      <c r="S12" s="92">
        <f>'Net zero emission summary'!AT10</f>
        <v>1.9409707996213066</v>
      </c>
      <c r="T12" s="92">
        <f>'Net zero emission summary'!AU10</f>
        <v>1.9827184406422294</v>
      </c>
      <c r="U12" s="92">
        <f>'Net zero emission summary'!AV10</f>
        <v>2.0338517929203306</v>
      </c>
      <c r="V12" s="92">
        <f>'Net zero emission summary'!AW10</f>
        <v>2.0964272569013862</v>
      </c>
      <c r="W12" s="92">
        <f>'Net zero emission summary'!AX10</f>
        <v>2.1556579096911186</v>
      </c>
      <c r="X12" s="92">
        <f>'Net zero emission summary'!AY10</f>
        <v>2.2173039484069195</v>
      </c>
      <c r="Y12" s="92">
        <f>'Net zero emission summary'!AZ10</f>
        <v>2.2793114501750309</v>
      </c>
      <c r="Z12" s="92">
        <f>'Net zero emission summary'!BA10</f>
        <v>2.3500295981975339</v>
      </c>
      <c r="AA12" s="92">
        <f>'Net zero emission summary'!BB10</f>
        <v>2.4073629624369386</v>
      </c>
      <c r="AB12" s="92">
        <f>'Net zero emission summary'!BC10</f>
        <v>2.4687975997672549</v>
      </c>
      <c r="AC12" s="92">
        <f>'Net zero emission summary'!BD10</f>
        <v>2.5302438441180537</v>
      </c>
      <c r="AD12" s="92">
        <f>'Net zero emission summary'!BE10</f>
        <v>2.5860121292928318</v>
      </c>
      <c r="AE12" s="92">
        <f>'Net zero emission summary'!BF10</f>
        <v>2.6400507240991913</v>
      </c>
      <c r="AF12" s="92">
        <f>'Net zero emission summary'!BG10</f>
        <v>2.6957636633067761</v>
      </c>
      <c r="AG12" s="92">
        <f>'Net zero emission summary'!BH10</f>
        <v>2.7546636409415282</v>
      </c>
      <c r="AH12" s="92">
        <f>'Net zero emission summary'!BI10</f>
        <v>2.806448500894255</v>
      </c>
      <c r="AI12" s="92">
        <f>'Net zero emission summary'!BJ10</f>
        <v>2.8578560469738279</v>
      </c>
      <c r="AJ12" s="92">
        <f>'Net zero emission summary'!BK10</f>
        <v>2.9090229646226455</v>
      </c>
      <c r="AK12" s="92">
        <f>'Net zero emission summary'!BL10</f>
        <v>2.9644668080296408</v>
      </c>
      <c r="AL12" s="92">
        <f>'Net zero emission summary'!BM10</f>
        <v>3.0207149835217604</v>
      </c>
      <c r="AM12" s="92">
        <f>'Net zero emission summary'!BN10</f>
        <v>3.0338666247927866</v>
      </c>
      <c r="AN12" s="92">
        <f>'Net zero emission summary'!BO10</f>
        <v>3.0434001459905327</v>
      </c>
      <c r="AO12" s="92">
        <f>'Net zero emission summary'!BP10</f>
        <v>3.057712096243395</v>
      </c>
      <c r="AP12" s="92">
        <f>'Net zero emission summary'!BQ10</f>
        <v>3.068886888284962</v>
      </c>
    </row>
    <row r="13" spans="1:42" x14ac:dyDescent="0.25">
      <c r="A13" t="str">
        <f>'Emissions summary'!C12</f>
        <v>3A2a Cattle</v>
      </c>
      <c r="B13" t="str">
        <f t="shared" si="1"/>
        <v>A3A2a</v>
      </c>
      <c r="C13" t="str">
        <f>'Emissions summary'!D12</f>
        <v>CH4</v>
      </c>
      <c r="D13" s="92">
        <f>'Net zero emission summary'!AE12</f>
        <v>10.526401080921834</v>
      </c>
      <c r="E13" s="92">
        <f>'Net zero emission summary'!AF12</f>
        <v>10.6099515788184</v>
      </c>
      <c r="F13" s="92">
        <f>'Net zero emission summary'!AG12</f>
        <v>10.68265323749478</v>
      </c>
      <c r="G13" s="92">
        <f>'Net zero emission summary'!AH12</f>
        <v>10.693431635740414</v>
      </c>
      <c r="H13" s="92">
        <f>'Net zero emission summary'!AI12</f>
        <v>10.709949234772711</v>
      </c>
      <c r="I13" s="92">
        <f>'Net zero emission summary'!AJ12</f>
        <v>10.799942262619574</v>
      </c>
      <c r="J13" s="92">
        <f>'Net zero emission summary'!AK12</f>
        <v>10.871556230082248</v>
      </c>
      <c r="K13" s="92">
        <f>'Net zero emission summary'!AL12</f>
        <v>10.871382795785779</v>
      </c>
      <c r="L13" s="92">
        <f>'Net zero emission summary'!AM12</f>
        <v>10.544746842114225</v>
      </c>
      <c r="M13" s="92">
        <f>'Net zero emission summary'!AN12</f>
        <v>9.8004748152374965</v>
      </c>
      <c r="N13" s="92">
        <f>'Net zero emission summary'!AO12</f>
        <v>9.0097612694869316</v>
      </c>
      <c r="O13" s="92">
        <f>'Net zero emission summary'!AP12</f>
        <v>8.2061507808791827</v>
      </c>
      <c r="P13" s="92">
        <f>'Net zero emission summary'!AQ12</f>
        <v>7.4083738307897287</v>
      </c>
      <c r="Q13" s="92">
        <f>'Net zero emission summary'!AR12</f>
        <v>6.6356925575162728</v>
      </c>
      <c r="R13" s="92">
        <f>'Net zero emission summary'!AS12</f>
        <v>5.8509196546617668</v>
      </c>
      <c r="S13" s="92">
        <f>'Net zero emission summary'!AT12</f>
        <v>5.0559317139334468</v>
      </c>
      <c r="T13" s="92">
        <f>'Net zero emission summary'!AU12</f>
        <v>4.2342741572037363</v>
      </c>
      <c r="U13" s="92">
        <f>'Net zero emission summary'!AV12</f>
        <v>3.404846898753545</v>
      </c>
      <c r="V13" s="92">
        <f>'Net zero emission summary'!AW12</f>
        <v>2.5634965093725093</v>
      </c>
      <c r="W13" s="92">
        <f>'Net zero emission summary'!AX12</f>
        <v>2.3724736922191108</v>
      </c>
      <c r="X13" s="92">
        <f>'Net zero emission summary'!AY12</f>
        <v>2.1739178551230509</v>
      </c>
      <c r="Y13" s="92">
        <f>'Net zero emission summary'!AZ12</f>
        <v>1.9662703190336301</v>
      </c>
      <c r="Z13" s="92">
        <f>'Net zero emission summary'!BA12</f>
        <v>1.7521359808595547</v>
      </c>
      <c r="AA13" s="92">
        <f>'Net zero emission summary'!BB12</f>
        <v>1.522872268126513</v>
      </c>
      <c r="AB13" s="92">
        <f>'Net zero emission summary'!BC12</f>
        <v>1.2840967847624893</v>
      </c>
      <c r="AC13" s="92">
        <f>'Net zero emission summary'!BD12</f>
        <v>1.034753761584291</v>
      </c>
      <c r="AD13" s="92">
        <f>'Net zero emission summary'!BE12</f>
        <v>0.77356671537943578</v>
      </c>
      <c r="AE13" s="92">
        <f>'Net zero emission summary'!BF12</f>
        <v>0.50146462764980315</v>
      </c>
      <c r="AF13" s="92">
        <f>'Net zero emission summary'!BG12</f>
        <v>0.21847402782349962</v>
      </c>
      <c r="AG13" s="92">
        <f>'Net zero emission summary'!BH12</f>
        <v>0.17343518639094285</v>
      </c>
      <c r="AH13" s="92">
        <f>'Net zero emission summary'!BI12</f>
        <v>0.12563797594855747</v>
      </c>
      <c r="AI13" s="92">
        <f>'Net zero emission summary'!BJ12</f>
        <v>7.5236850354819862E-2</v>
      </c>
      <c r="AJ13" s="92">
        <f>'Net zero emission summary'!BK12</f>
        <v>2.2141580445380116E-2</v>
      </c>
      <c r="AK13" s="92">
        <f>'Net zero emission summary'!BL12</f>
        <v>-3.3878094911164336E-2</v>
      </c>
      <c r="AL13" s="92">
        <f>'Net zero emission summary'!BM12</f>
        <v>-9.3023355109643435E-2</v>
      </c>
      <c r="AM13" s="92">
        <f>'Net zero emission summary'!BN12</f>
        <v>-0.15278035981689481</v>
      </c>
      <c r="AN13" s="92">
        <f>'Net zero emission summary'!BO12</f>
        <v>-0.2142184472281356</v>
      </c>
      <c r="AO13" s="92">
        <f>'Net zero emission summary'!BP12</f>
        <v>-0.27798738233733233</v>
      </c>
      <c r="AP13" s="92">
        <f>'Net zero emission summary'!BQ12</f>
        <v>-0.34354066705458985</v>
      </c>
    </row>
    <row r="14" spans="1:42" x14ac:dyDescent="0.25">
      <c r="A14" t="str">
        <f>'Emissions summary'!C13</f>
        <v>3A2c Sheep</v>
      </c>
      <c r="B14" t="str">
        <f t="shared" si="1"/>
        <v>A3A2c</v>
      </c>
      <c r="C14" t="str">
        <f>'Emissions summary'!D13</f>
        <v>CH4</v>
      </c>
      <c r="D14" s="92">
        <f>'Net zero emission summary'!AE13</f>
        <v>4.0166488283782435E-2</v>
      </c>
      <c r="E14" s="92">
        <f>'Net zero emission summary'!AF13</f>
        <v>4.0188165371809373E-2</v>
      </c>
      <c r="F14" s="92">
        <f>'Net zero emission summary'!AG13</f>
        <v>4.023799914899804E-2</v>
      </c>
      <c r="G14" s="92">
        <f>'Net zero emission summary'!AH13</f>
        <v>4.031198203395478E-2</v>
      </c>
      <c r="H14" s="92">
        <f>'Net zero emission summary'!AI13</f>
        <v>4.0411838765967087E-2</v>
      </c>
      <c r="I14" s="92">
        <f>'Net zero emission summary'!AJ13</f>
        <v>4.0539576191914159E-2</v>
      </c>
      <c r="J14" s="92">
        <f>'Net zero emission summary'!AK13</f>
        <v>4.0680329546835925E-2</v>
      </c>
      <c r="K14" s="92">
        <f>'Net zero emission summary'!AL13</f>
        <v>4.083191270938287E-2</v>
      </c>
      <c r="L14" s="92">
        <f>'Net zero emission summary'!AM13</f>
        <v>4.098209239671502E-2</v>
      </c>
      <c r="M14" s="92">
        <f>'Net zero emission summary'!AN13</f>
        <v>4.1043552625018159E-2</v>
      </c>
      <c r="N14" s="92">
        <f>'Net zero emission summary'!AO13</f>
        <v>4.1113342622450068E-2</v>
      </c>
      <c r="O14" s="92">
        <f>'Net zero emission summary'!AP13</f>
        <v>4.1192270171244189E-2</v>
      </c>
      <c r="P14" s="92">
        <f>'Net zero emission summary'!AQ13</f>
        <v>4.1280907802886166E-2</v>
      </c>
      <c r="Q14" s="92">
        <f>'Net zero emission summary'!AR13</f>
        <v>4.1380508650808709E-2</v>
      </c>
      <c r="R14" s="92">
        <f>'Net zero emission summary'!AS13</f>
        <v>4.1443133325484036E-2</v>
      </c>
      <c r="S14" s="92">
        <f>'Net zero emission summary'!AT13</f>
        <v>4.15136518972965E-2</v>
      </c>
      <c r="T14" s="92">
        <f>'Net zero emission summary'!AU13</f>
        <v>4.1590101737420122E-2</v>
      </c>
      <c r="U14" s="92">
        <f>'Net zero emission summary'!AV13</f>
        <v>4.1674275202987013E-2</v>
      </c>
      <c r="V14" s="92">
        <f>'Net zero emission summary'!AW13</f>
        <v>4.17661626557006E-2</v>
      </c>
      <c r="W14" s="92">
        <f>'Net zero emission summary'!AX13</f>
        <v>4.1826981163946404E-2</v>
      </c>
      <c r="X14" s="92">
        <f>'Net zero emission summary'!AY13</f>
        <v>4.1893716963360451E-2</v>
      </c>
      <c r="Y14" s="92">
        <f>'Net zero emission summary'!AZ13</f>
        <v>4.1965921742962389E-2</v>
      </c>
      <c r="Z14" s="92">
        <f>'Net zero emission summary'!BA13</f>
        <v>4.2044377124726945E-2</v>
      </c>
      <c r="AA14" s="92">
        <f>'Net zero emission summary'!BB13</f>
        <v>4.2126306776579102E-2</v>
      </c>
      <c r="AB14" s="92">
        <f>'Net zero emission summary'!BC13</f>
        <v>4.2178723152207762E-2</v>
      </c>
      <c r="AC14" s="92">
        <f>'Net zero emission summary'!BD13</f>
        <v>4.2235585985169265E-2</v>
      </c>
      <c r="AD14" s="92">
        <f>'Net zero emission summary'!BE13</f>
        <v>4.2296034090238632E-2</v>
      </c>
      <c r="AE14" s="92">
        <f>'Net zero emission summary'!BF13</f>
        <v>4.2360398362860804E-2</v>
      </c>
      <c r="AF14" s="92">
        <f>'Net zero emission summary'!BG13</f>
        <v>4.2428980333308365E-2</v>
      </c>
      <c r="AG14" s="92">
        <f>'Net zero emission summary'!BH13</f>
        <v>4.2469401587613413E-2</v>
      </c>
      <c r="AH14" s="92">
        <f>'Net zero emission summary'!BI13</f>
        <v>4.2512471357360818E-2</v>
      </c>
      <c r="AI14" s="92">
        <f>'Net zero emission summary'!BJ13</f>
        <v>4.2558948638289275E-2</v>
      </c>
      <c r="AJ14" s="92">
        <f>'Net zero emission summary'!BK13</f>
        <v>4.2608751441212352E-2</v>
      </c>
      <c r="AK14" s="92">
        <f>'Net zero emission summary'!BL13</f>
        <v>4.2662414471477887E-2</v>
      </c>
      <c r="AL14" s="92">
        <f>'Net zero emission summary'!BM13</f>
        <v>4.2686600365663206E-2</v>
      </c>
      <c r="AM14" s="92">
        <f>'Net zero emission summary'!BN13</f>
        <v>4.2707593416590646E-2</v>
      </c>
      <c r="AN14" s="92">
        <f>'Net zero emission summary'!BO13</f>
        <v>4.2730769098322595E-2</v>
      </c>
      <c r="AO14" s="92">
        <f>'Net zero emission summary'!BP13</f>
        <v>4.2757265194529805E-2</v>
      </c>
      <c r="AP14" s="92">
        <f>'Net zero emission summary'!BQ13</f>
        <v>4.2785857554838075E-2</v>
      </c>
    </row>
    <row r="15" spans="1:42" x14ac:dyDescent="0.25">
      <c r="A15" t="str">
        <f>'Emissions summary'!C14</f>
        <v>3A2d Goats</v>
      </c>
      <c r="B15" t="str">
        <f t="shared" si="1"/>
        <v>A3A2d</v>
      </c>
      <c r="C15" t="str">
        <f>'Emissions summary'!D14</f>
        <v>CH4</v>
      </c>
      <c r="D15" s="92">
        <f>'Net zero emission summary'!AE14</f>
        <v>4.2372169597710105E-2</v>
      </c>
      <c r="E15" s="92">
        <f>'Net zero emission summary'!AF14</f>
        <v>4.2482301911799372E-2</v>
      </c>
      <c r="F15" s="92">
        <f>'Net zero emission summary'!AG14</f>
        <v>4.2630817484941505E-2</v>
      </c>
      <c r="G15" s="92">
        <f>'Net zero emission summary'!AH14</f>
        <v>4.2811705682501609E-2</v>
      </c>
      <c r="H15" s="92">
        <f>'Net zero emission summary'!AI14</f>
        <v>4.3028366107910512E-2</v>
      </c>
      <c r="I15" s="92">
        <f>'Net zero emission summary'!AJ14</f>
        <v>4.3284508748877376E-2</v>
      </c>
      <c r="J15" s="92">
        <f>'Net zero emission summary'!AK14</f>
        <v>4.3555969396976868E-2</v>
      </c>
      <c r="K15" s="92">
        <f>'Net zero emission summary'!AL14</f>
        <v>4.3839571745148923E-2</v>
      </c>
      <c r="L15" s="92">
        <f>'Net zero emission summary'!AM14</f>
        <v>4.4115675663515597E-2</v>
      </c>
      <c r="M15" s="92">
        <f>'Net zero emission summary'!AN14</f>
        <v>4.424231319467703E-2</v>
      </c>
      <c r="N15" s="92">
        <f>'Net zero emission summary'!AO14</f>
        <v>4.4378878737709251E-2</v>
      </c>
      <c r="O15" s="92">
        <f>'Net zero emission summary'!AP14</f>
        <v>4.4526893594161385E-2</v>
      </c>
      <c r="P15" s="92">
        <f>'Net zero emission summary'!AQ14</f>
        <v>4.4687453485315935E-2</v>
      </c>
      <c r="Q15" s="92">
        <f>'Net zero emission summary'!AR14</f>
        <v>4.486271839426987E-2</v>
      </c>
      <c r="R15" s="92">
        <f>'Net zero emission summary'!AS14</f>
        <v>4.4975524896607819E-2</v>
      </c>
      <c r="S15" s="92">
        <f>'Net zero emission summary'!AT14</f>
        <v>4.5098628990843895E-2</v>
      </c>
      <c r="T15" s="92">
        <f>'Net zero emission summary'!AU14</f>
        <v>4.522896847558866E-2</v>
      </c>
      <c r="U15" s="92">
        <f>'Net zero emission summary'!AV14</f>
        <v>4.5369506640235549E-2</v>
      </c>
      <c r="V15" s="92">
        <f>'Net zero emission summary'!AW14</f>
        <v>4.5520290862521094E-2</v>
      </c>
      <c r="W15" s="92">
        <f>'Net zero emission summary'!AX14</f>
        <v>4.5619538948445962E-2</v>
      </c>
      <c r="X15" s="92">
        <f>'Net zero emission summary'!AY14</f>
        <v>4.5726522438155545E-2</v>
      </c>
      <c r="Y15" s="92">
        <f>'Net zero emission summary'!AZ14</f>
        <v>4.5840575315392568E-2</v>
      </c>
      <c r="Z15" s="92">
        <f>'Net zero emission summary'!BA14</f>
        <v>4.5962979507244983E-2</v>
      </c>
      <c r="AA15" s="92">
        <f>'Net zero emission summary'!BB14</f>
        <v>4.6089373273864906E-2</v>
      </c>
      <c r="AB15" s="92">
        <f>'Net zero emission summary'!BC14</f>
        <v>4.6167726583670674E-2</v>
      </c>
      <c r="AC15" s="92">
        <f>'Net zero emission summary'!BD14</f>
        <v>4.6251890241949589E-2</v>
      </c>
      <c r="AD15" s="92">
        <f>'Net zero emission summary'!BE14</f>
        <v>4.6340535548289902E-2</v>
      </c>
      <c r="AE15" s="92">
        <f>'Net zero emission summary'!BF14</f>
        <v>4.6434211487869352E-2</v>
      </c>
      <c r="AF15" s="92">
        <f>'Net zero emission summary'!BG14</f>
        <v>4.653341369718321E-2</v>
      </c>
      <c r="AG15" s="92">
        <f>'Net zero emission summary'!BH14</f>
        <v>4.6587504489709997E-2</v>
      </c>
      <c r="AH15" s="92">
        <f>'Net zero emission summary'!BI14</f>
        <v>4.6644879430014302E-2</v>
      </c>
      <c r="AI15" s="92">
        <f>'Net zero emission summary'!BJ14</f>
        <v>4.6706742750419306E-2</v>
      </c>
      <c r="AJ15" s="92">
        <f>'Net zero emission summary'!BK14</f>
        <v>4.6772979359700262E-2</v>
      </c>
      <c r="AK15" s="92">
        <f>'Net zero emission summary'!BL14</f>
        <v>4.6844431280952545E-2</v>
      </c>
      <c r="AL15" s="92">
        <f>'Net zero emission summary'!BM14</f>
        <v>4.6869389462044345E-2</v>
      </c>
      <c r="AM15" s="92">
        <f>'Net zero emission summary'!BN14</f>
        <v>4.6888817882323436E-2</v>
      </c>
      <c r="AN15" s="92">
        <f>'Net zero emission summary'!BO14</f>
        <v>4.6911080073778991E-2</v>
      </c>
      <c r="AO15" s="92">
        <f>'Net zero emission summary'!BP14</f>
        <v>4.693794215283259E-2</v>
      </c>
      <c r="AP15" s="92">
        <f>'Net zero emission summary'!BQ14</f>
        <v>4.6967517442640251E-2</v>
      </c>
    </row>
    <row r="16" spans="1:42" x14ac:dyDescent="0.25">
      <c r="A16" t="str">
        <f>'Emissions summary'!C15</f>
        <v>3A2f Horses</v>
      </c>
      <c r="B16" t="str">
        <f t="shared" si="1"/>
        <v>A3A2f</v>
      </c>
      <c r="C16" t="str">
        <f>'Emissions summary'!D15</f>
        <v>CH4</v>
      </c>
      <c r="D16" s="92">
        <f>'Net zero emission summary'!AE15</f>
        <v>4.1409780786531561E-3</v>
      </c>
      <c r="E16" s="92">
        <f>'Net zero emission summary'!AF15</f>
        <v>4.1688671764084162E-3</v>
      </c>
      <c r="F16" s="92">
        <f>'Net zero emission summary'!AG15</f>
        <v>4.1857409403688933E-3</v>
      </c>
      <c r="G16" s="92">
        <f>'Net zero emission summary'!AH15</f>
        <v>4.1635395322190223E-3</v>
      </c>
      <c r="H16" s="92">
        <f>'Net zero emission summary'!AI15</f>
        <v>4.1408513683072233E-3</v>
      </c>
      <c r="I16" s="92">
        <f>'Net zero emission summary'!AJ15</f>
        <v>4.1549094768624506E-3</v>
      </c>
      <c r="J16" s="92">
        <f>'Net zero emission summary'!AK15</f>
        <v>4.1567255728426969E-3</v>
      </c>
      <c r="K16" s="92">
        <f>'Net zero emission summary'!AL15</f>
        <v>4.1179597585422178E-3</v>
      </c>
      <c r="L16" s="92">
        <f>'Net zero emission summary'!AM15</f>
        <v>3.9049943158389311E-3</v>
      </c>
      <c r="M16" s="92">
        <f>'Net zero emission summary'!AN15</f>
        <v>3.9699795028704365E-3</v>
      </c>
      <c r="N16" s="92">
        <f>'Net zero emission summary'!AO15</f>
        <v>4.0126860665387013E-3</v>
      </c>
      <c r="O16" s="92">
        <f>'Net zero emission summary'!AP15</f>
        <v>4.0499492305839649E-3</v>
      </c>
      <c r="P16" s="92">
        <f>'Net zero emission summary'!AQ15</f>
        <v>4.09467284204442E-3</v>
      </c>
      <c r="Q16" s="92">
        <f>'Net zero emission summary'!AR15</f>
        <v>4.1665387441703824E-3</v>
      </c>
      <c r="R16" s="92">
        <f>'Net zero emission summary'!AS15</f>
        <v>4.248702300747329E-3</v>
      </c>
      <c r="S16" s="92">
        <f>'Net zero emission summary'!AT15</f>
        <v>4.3374921923911899E-3</v>
      </c>
      <c r="T16" s="92">
        <f>'Net zero emission summary'!AU15</f>
        <v>4.414637811470782E-3</v>
      </c>
      <c r="U16" s="92">
        <f>'Net zero emission summary'!AV15</f>
        <v>4.5040673251205239E-3</v>
      </c>
      <c r="V16" s="92">
        <f>'Net zero emission summary'!AW15</f>
        <v>4.6087014569709678E-3</v>
      </c>
      <c r="W16" s="92">
        <f>'Net zero emission summary'!AX15</f>
        <v>4.7138573349945522E-3</v>
      </c>
      <c r="X16" s="92">
        <f>'Net zero emission summary'!AY15</f>
        <v>4.8236014553834257E-3</v>
      </c>
      <c r="Y16" s="92">
        <f>'Net zero emission summary'!AZ15</f>
        <v>4.9354202086686252E-3</v>
      </c>
      <c r="Z16" s="92">
        <f>'Net zero emission summary'!BA15</f>
        <v>5.0601637107160246E-3</v>
      </c>
      <c r="AA16" s="92">
        <f>'Net zero emission summary'!BB15</f>
        <v>5.1692799161183493E-3</v>
      </c>
      <c r="AB16" s="92">
        <f>'Net zero emission summary'!BC15</f>
        <v>5.2891896269508833E-3</v>
      </c>
      <c r="AC16" s="92">
        <f>'Net zero emission summary'!BD15</f>
        <v>5.4110891568061297E-3</v>
      </c>
      <c r="AD16" s="92">
        <f>'Net zero emission summary'!BE15</f>
        <v>5.5272908454311459E-3</v>
      </c>
      <c r="AE16" s="92">
        <f>'Net zero emission summary'!BF15</f>
        <v>5.6429797772661562E-3</v>
      </c>
      <c r="AF16" s="92">
        <f>'Net zero emission summary'!BG15</f>
        <v>5.7628358631585681E-3</v>
      </c>
      <c r="AG16" s="92">
        <f>'Net zero emission summary'!BH15</f>
        <v>5.8932639862966018E-3</v>
      </c>
      <c r="AH16" s="92">
        <f>'Net zero emission summary'!BI15</f>
        <v>6.015926079762964E-3</v>
      </c>
      <c r="AI16" s="92">
        <f>'Net zero emission summary'!BJ15</f>
        <v>6.1402055338910435E-3</v>
      </c>
      <c r="AJ16" s="92">
        <f>'Net zero emission summary'!BK15</f>
        <v>6.266331762949981E-3</v>
      </c>
      <c r="AK16" s="92">
        <f>'Net zero emission summary'!BL15</f>
        <v>6.4010164026291104E-3</v>
      </c>
      <c r="AL16" s="92">
        <f>'Net zero emission summary'!BM15</f>
        <v>6.544222904657609E-3</v>
      </c>
      <c r="AM16" s="92">
        <f>'Net zero emission summary'!BN15</f>
        <v>6.6249233396269902E-3</v>
      </c>
      <c r="AN16" s="92">
        <f>'Net zero emission summary'!BO15</f>
        <v>6.7012526002480271E-3</v>
      </c>
      <c r="AO16" s="92">
        <f>'Net zero emission summary'!BP15</f>
        <v>6.7861102667668991E-3</v>
      </c>
      <c r="AP16" s="92">
        <f>'Net zero emission summary'!BQ15</f>
        <v>6.8673471283418426E-3</v>
      </c>
    </row>
    <row r="17" spans="1:42" x14ac:dyDescent="0.25">
      <c r="A17" t="str">
        <f>'Emissions summary'!C16</f>
        <v>3A2g Mules &amp; asses</v>
      </c>
      <c r="B17" t="str">
        <f t="shared" si="1"/>
        <v>A3A2g</v>
      </c>
      <c r="C17" t="str">
        <f>'Emissions summary'!D16</f>
        <v>CH4</v>
      </c>
      <c r="D17" s="92">
        <f>'Net zero emission summary'!AE16</f>
        <v>7.515E-4</v>
      </c>
      <c r="E17" s="92">
        <f>'Net zero emission summary'!AF16</f>
        <v>7.515E-4</v>
      </c>
      <c r="F17" s="92">
        <f>'Net zero emission summary'!AG16</f>
        <v>7.515E-4</v>
      </c>
      <c r="G17" s="92">
        <f>'Net zero emission summary'!AH16</f>
        <v>7.515E-4</v>
      </c>
      <c r="H17" s="92">
        <f>'Net zero emission summary'!AI16</f>
        <v>7.515E-4</v>
      </c>
      <c r="I17" s="92">
        <f>'Net zero emission summary'!AJ16</f>
        <v>7.515E-4</v>
      </c>
      <c r="J17" s="92">
        <f>'Net zero emission summary'!AK16</f>
        <v>7.515E-4</v>
      </c>
      <c r="K17" s="92">
        <f>'Net zero emission summary'!AL16</f>
        <v>7.515E-4</v>
      </c>
      <c r="L17" s="92">
        <f>'Net zero emission summary'!AM16</f>
        <v>7.515E-4</v>
      </c>
      <c r="M17" s="92">
        <f>'Net zero emission summary'!AN16</f>
        <v>7.515E-4</v>
      </c>
      <c r="N17" s="92">
        <f>'Net zero emission summary'!AO16</f>
        <v>7.515E-4</v>
      </c>
      <c r="O17" s="92">
        <f>'Net zero emission summary'!AP16</f>
        <v>7.515E-4</v>
      </c>
      <c r="P17" s="92">
        <f>'Net zero emission summary'!AQ16</f>
        <v>7.515E-4</v>
      </c>
      <c r="Q17" s="92">
        <f>'Net zero emission summary'!AR16</f>
        <v>7.515E-4</v>
      </c>
      <c r="R17" s="92">
        <f>'Net zero emission summary'!AS16</f>
        <v>7.515E-4</v>
      </c>
      <c r="S17" s="92">
        <f>'Net zero emission summary'!AT16</f>
        <v>7.515E-4</v>
      </c>
      <c r="T17" s="92">
        <f>'Net zero emission summary'!AU16</f>
        <v>7.515E-4</v>
      </c>
      <c r="U17" s="92">
        <f>'Net zero emission summary'!AV16</f>
        <v>7.515E-4</v>
      </c>
      <c r="V17" s="92">
        <f>'Net zero emission summary'!AW16</f>
        <v>7.515E-4</v>
      </c>
      <c r="W17" s="92">
        <f>'Net zero emission summary'!AX16</f>
        <v>7.515E-4</v>
      </c>
      <c r="X17" s="92">
        <f>'Net zero emission summary'!AY16</f>
        <v>7.515E-4</v>
      </c>
      <c r="Y17" s="92">
        <f>'Net zero emission summary'!AZ16</f>
        <v>7.515E-4</v>
      </c>
      <c r="Z17" s="92">
        <f>'Net zero emission summary'!BA16</f>
        <v>7.515E-4</v>
      </c>
      <c r="AA17" s="92">
        <f>'Net zero emission summary'!BB16</f>
        <v>7.515E-4</v>
      </c>
      <c r="AB17" s="92">
        <f>'Net zero emission summary'!BC16</f>
        <v>7.515E-4</v>
      </c>
      <c r="AC17" s="92">
        <f>'Net zero emission summary'!BD16</f>
        <v>7.515E-4</v>
      </c>
      <c r="AD17" s="92">
        <f>'Net zero emission summary'!BE16</f>
        <v>7.515E-4</v>
      </c>
      <c r="AE17" s="92">
        <f>'Net zero emission summary'!BF16</f>
        <v>7.515E-4</v>
      </c>
      <c r="AF17" s="92">
        <f>'Net zero emission summary'!BG16</f>
        <v>7.515E-4</v>
      </c>
      <c r="AG17" s="92">
        <f>'Net zero emission summary'!BH16</f>
        <v>7.515E-4</v>
      </c>
      <c r="AH17" s="92">
        <f>'Net zero emission summary'!BI16</f>
        <v>7.515E-4</v>
      </c>
      <c r="AI17" s="92">
        <f>'Net zero emission summary'!BJ16</f>
        <v>7.515E-4</v>
      </c>
      <c r="AJ17" s="92">
        <f>'Net zero emission summary'!BK16</f>
        <v>7.515E-4</v>
      </c>
      <c r="AK17" s="92">
        <f>'Net zero emission summary'!BL16</f>
        <v>7.515E-4</v>
      </c>
      <c r="AL17" s="92">
        <f>'Net zero emission summary'!BM16</f>
        <v>7.515E-4</v>
      </c>
      <c r="AM17" s="92">
        <f>'Net zero emission summary'!BN16</f>
        <v>7.515E-4</v>
      </c>
      <c r="AN17" s="92">
        <f>'Net zero emission summary'!BO16</f>
        <v>7.515E-4</v>
      </c>
      <c r="AO17" s="92">
        <f>'Net zero emission summary'!BP16</f>
        <v>7.515E-4</v>
      </c>
      <c r="AP17" s="92">
        <f>'Net zero emission summary'!BQ16</f>
        <v>7.515E-4</v>
      </c>
    </row>
    <row r="18" spans="1:42" x14ac:dyDescent="0.25">
      <c r="A18" t="str">
        <f>'Emissions summary'!C17</f>
        <v>3A2h Swine</v>
      </c>
      <c r="B18" t="str">
        <f t="shared" si="1"/>
        <v>A3A2h</v>
      </c>
      <c r="C18" t="str">
        <f>'Emissions summary'!D17</f>
        <v>CH4</v>
      </c>
      <c r="D18" s="92">
        <f>'Net zero emission summary'!AE17</f>
        <v>23.449969450388252</v>
      </c>
      <c r="E18" s="92">
        <f>'Net zero emission summary'!AF17</f>
        <v>23.408524349720537</v>
      </c>
      <c r="F18" s="92">
        <f>'Net zero emission summary'!AG17</f>
        <v>23.27719028019995</v>
      </c>
      <c r="G18" s="92">
        <f>'Net zero emission summary'!AH17</f>
        <v>22.763549313155419</v>
      </c>
      <c r="H18" s="92">
        <f>'Net zero emission summary'!AI17</f>
        <v>22.277818749360836</v>
      </c>
      <c r="I18" s="92">
        <f>'Net zero emission summary'!AJ17</f>
        <v>22.199420802062775</v>
      </c>
      <c r="J18" s="92">
        <f>'Net zero emission summary'!AK17</f>
        <v>22.009108615739184</v>
      </c>
      <c r="K18" s="92">
        <f>'Net zero emission summary'!AL17</f>
        <v>21.422960093845909</v>
      </c>
      <c r="L18" s="92">
        <f>'Net zero emission summary'!AM17</f>
        <v>19.108289201615779</v>
      </c>
      <c r="M18" s="92">
        <f>'Net zero emission summary'!AN17</f>
        <v>17.957191497634476</v>
      </c>
      <c r="N18" s="92">
        <f>'Net zero emission summary'!AO17</f>
        <v>16.554668133898982</v>
      </c>
      <c r="O18" s="92">
        <f>'Net zero emission summary'!AP17</f>
        <v>15.083413542343754</v>
      </c>
      <c r="P18" s="92">
        <f>'Net zero emission summary'!AQ17</f>
        <v>13.640929046857197</v>
      </c>
      <c r="Q18" s="92">
        <f>'Net zero emission summary'!AR17</f>
        <v>12.320305595251231</v>
      </c>
      <c r="R18" s="92">
        <f>'Net zero emission summary'!AS17</f>
        <v>10.95592117560351</v>
      </c>
      <c r="S18" s="92">
        <f>'Net zero emission summary'!AT17</f>
        <v>9.5311255342250707</v>
      </c>
      <c r="T18" s="92">
        <f>'Net zero emission summary'!AU17</f>
        <v>7.9720397180113434</v>
      </c>
      <c r="U18" s="92">
        <f>'Net zero emission summary'!AV17</f>
        <v>6.3687748288266217</v>
      </c>
      <c r="V18" s="92">
        <f>'Net zero emission summary'!AW17</f>
        <v>4.7009542574789984</v>
      </c>
      <c r="W18" s="92">
        <f>'Net zero emission summary'!AX17</f>
        <v>4.3533618744642384</v>
      </c>
      <c r="X18" s="92">
        <f>'Net zero emission summary'!AY17</f>
        <v>3.9838072830593902</v>
      </c>
      <c r="Y18" s="92">
        <f>'Net zero emission summary'!AZ17</f>
        <v>3.5874514315801762</v>
      </c>
      <c r="Z18" s="92">
        <f>'Net zero emission summary'!BA17</f>
        <v>3.1753423622665569</v>
      </c>
      <c r="AA18" s="92">
        <f>'Net zero emission summary'!BB17</f>
        <v>2.7167342966576351</v>
      </c>
      <c r="AB18" s="92">
        <f>'Net zero emission summary'!BC17</f>
        <v>2.2364166673950594</v>
      </c>
      <c r="AC18" s="92">
        <f>'Net zero emission summary'!BD17</f>
        <v>1.7288639783921576</v>
      </c>
      <c r="AD18" s="92">
        <f>'Net zero emission summary'!BE17</f>
        <v>1.1914553046723588</v>
      </c>
      <c r="AE18" s="92">
        <f>'Net zero emission summary'!BF17</f>
        <v>0.62892952523848966</v>
      </c>
      <c r="AF18" s="92">
        <f>'Net zero emission summary'!BG17</f>
        <v>4.2502097781109999E-2</v>
      </c>
      <c r="AG18" s="92">
        <f>'Net zero emission summary'!BH17</f>
        <v>4.0346077223641072E-2</v>
      </c>
      <c r="AH18" s="92">
        <f>'Net zero emission summary'!BI17</f>
        <v>3.796190127401855E-2</v>
      </c>
      <c r="AI18" s="92">
        <f>'Net zero emission summary'!BJ17</f>
        <v>3.5457067406459125E-2</v>
      </c>
      <c r="AJ18" s="92">
        <f>'Net zero emission summary'!BK17</f>
        <v>3.2834385941153454E-2</v>
      </c>
      <c r="AK18" s="92">
        <f>'Net zero emission summary'!BL17</f>
        <v>3.0140596527824956E-2</v>
      </c>
      <c r="AL18" s="92">
        <f>'Net zero emission summary'!BM17</f>
        <v>2.7329913069303741E-2</v>
      </c>
      <c r="AM18" s="92">
        <f>'Net zero emission summary'!BN17</f>
        <v>2.4051600381135574E-2</v>
      </c>
      <c r="AN18" s="92">
        <f>'Net zero emission summary'!BO17</f>
        <v>2.0719201620854125E-2</v>
      </c>
      <c r="AO18" s="92">
        <f>'Net zero emission summary'!BP17</f>
        <v>1.7392631998711272E-2</v>
      </c>
      <c r="AP18" s="92">
        <f>'Net zero emission summary'!BQ17</f>
        <v>1.4019677973939534E-2</v>
      </c>
    </row>
    <row r="19" spans="1:42" x14ac:dyDescent="0.25">
      <c r="A19" t="str">
        <f>'Emissions summary'!C18</f>
        <v>3A2i Poultry</v>
      </c>
      <c r="B19" t="str">
        <f t="shared" si="1"/>
        <v>A3A2i</v>
      </c>
      <c r="C19" t="str">
        <f>'Emissions summary'!D18</f>
        <v>CH4</v>
      </c>
      <c r="D19" s="92">
        <f>'Net zero emission summary'!AE18</f>
        <v>2.8981803037181013</v>
      </c>
      <c r="E19" s="92">
        <f>'Net zero emission summary'!AF18</f>
        <v>2.9542448660846659</v>
      </c>
      <c r="F19" s="92">
        <f>'Net zero emission summary'!AG18</f>
        <v>2.9942221556043527</v>
      </c>
      <c r="G19" s="92">
        <f>'Net zero emission summary'!AH18</f>
        <v>2.9693314402047584</v>
      </c>
      <c r="H19" s="92">
        <f>'Net zero emission summary'!AI18</f>
        <v>2.9455446223564201</v>
      </c>
      <c r="I19" s="92">
        <f>'Net zero emission summary'!AJ18</f>
        <v>2.9877902963718368</v>
      </c>
      <c r="J19" s="92">
        <f>'Net zero emission summary'!AK18</f>
        <v>3.0099263230778535</v>
      </c>
      <c r="K19" s="92">
        <f>'Net zero emission summary'!AL18</f>
        <v>2.9613707107479716</v>
      </c>
      <c r="L19" s="92">
        <f>'Net zero emission summary'!AM18</f>
        <v>2.6020553156408579</v>
      </c>
      <c r="M19" s="92">
        <f>'Net zero emission summary'!AN18</f>
        <v>2.7001904663476792</v>
      </c>
      <c r="N19" s="92">
        <f>'Net zero emission summary'!AO18</f>
        <v>2.7585285769872487</v>
      </c>
      <c r="O19" s="92">
        <f>'Net zero emission summary'!AP18</f>
        <v>2.8071357977321929</v>
      </c>
      <c r="P19" s="92">
        <f>'Net zero emission summary'!AQ18</f>
        <v>2.8689603694503067</v>
      </c>
      <c r="Q19" s="92">
        <f>'Net zero emission summary'!AR18</f>
        <v>2.9789305905941408</v>
      </c>
      <c r="R19" s="92">
        <f>'Net zero emission summary'!AS18</f>
        <v>3.1023238538648075</v>
      </c>
      <c r="S19" s="92">
        <f>'Net zero emission summary'!AT18</f>
        <v>3.2368860277558387</v>
      </c>
      <c r="T19" s="92">
        <f>'Net zero emission summary'!AU18</f>
        <v>3.3502941347155293</v>
      </c>
      <c r="U19" s="92">
        <f>'Net zero emission summary'!AV18</f>
        <v>3.4848541215813338</v>
      </c>
      <c r="V19" s="92">
        <f>'Net zero emission summary'!AW18</f>
        <v>3.6455996906053549</v>
      </c>
      <c r="W19" s="92">
        <f>'Net zero emission summary'!AX18</f>
        <v>3.8281372055600653</v>
      </c>
      <c r="X19" s="92">
        <f>'Net zero emission summary'!AY18</f>
        <v>4.0194064136642282</v>
      </c>
      <c r="Y19" s="92">
        <f>'Net zero emission summary'!AZ18</f>
        <v>4.2150384753934951</v>
      </c>
      <c r="Z19" s="92">
        <f>'Net zero emission summary'!BA18</f>
        <v>4.4342385640142661</v>
      </c>
      <c r="AA19" s="92">
        <f>'Net zero emission summary'!BB18</f>
        <v>4.6266750556462775</v>
      </c>
      <c r="AB19" s="92">
        <f>'Net zero emission summary'!BC18</f>
        <v>4.8334803489713805</v>
      </c>
      <c r="AC19" s="92">
        <f>'Net zero emission summary'!BD18</f>
        <v>5.0442083872788954</v>
      </c>
      <c r="AD19" s="92">
        <f>'Net zero emission summary'!BE18</f>
        <v>5.2453165604561729</v>
      </c>
      <c r="AE19" s="92">
        <f>'Net zero emission summary'!BF18</f>
        <v>5.4459988027904762</v>
      </c>
      <c r="AF19" s="92">
        <f>'Net zero emission summary'!BG18</f>
        <v>5.6545591506943573</v>
      </c>
      <c r="AG19" s="92">
        <f>'Net zero emission summary'!BH18</f>
        <v>5.8878878715687417</v>
      </c>
      <c r="AH19" s="92">
        <f>'Net zero emission summary'!BI18</f>
        <v>6.1082670977126154</v>
      </c>
      <c r="AI19" s="92">
        <f>'Net zero emission summary'!BJ18</f>
        <v>6.3323277677505292</v>
      </c>
      <c r="AJ19" s="92">
        <f>'Net zero emission summary'!BK18</f>
        <v>6.5605206822768487</v>
      </c>
      <c r="AK19" s="92">
        <f>'Net zero emission summary'!BL18</f>
        <v>6.8047929870424255</v>
      </c>
      <c r="AL19" s="92">
        <f>'Net zero emission summary'!BM18</f>
        <v>7.0576196259068036</v>
      </c>
      <c r="AM19" s="92">
        <f>'Net zero emission summary'!BN18</f>
        <v>7.2001058653619383</v>
      </c>
      <c r="AN19" s="92">
        <f>'Net zero emission summary'!BO18</f>
        <v>7.3353591092895405</v>
      </c>
      <c r="AO19" s="92">
        <f>'Net zero emission summary'!BP18</f>
        <v>7.4862585673973951</v>
      </c>
      <c r="AP19" s="92">
        <f>'Net zero emission summary'!BQ18</f>
        <v>7.6312803426508076</v>
      </c>
    </row>
    <row r="20" spans="1:42" x14ac:dyDescent="0.25">
      <c r="A20" t="str">
        <f>'Emissions summary'!C20</f>
        <v>3A2a Cattle</v>
      </c>
      <c r="B20" t="str">
        <f t="shared" si="1"/>
        <v>A3A2a</v>
      </c>
      <c r="C20" t="str">
        <f>'Emissions summary'!D20</f>
        <v>N2O</v>
      </c>
      <c r="D20" s="92">
        <f>'Net zero emission summary'!AE20</f>
        <v>2.6502121652525954</v>
      </c>
      <c r="E20" s="92">
        <f>'Net zero emission summary'!AF20</f>
        <v>2.6822857537768536</v>
      </c>
      <c r="F20" s="92">
        <f>'Net zero emission summary'!AG20</f>
        <v>2.704741159572472</v>
      </c>
      <c r="G20" s="92">
        <f>'Net zero emission summary'!AH20</f>
        <v>2.6864490003867827</v>
      </c>
      <c r="H20" s="92">
        <f>'Net zero emission summary'!AI20</f>
        <v>2.6699327484564312</v>
      </c>
      <c r="I20" s="92">
        <f>'Net zero emission summary'!AJ20</f>
        <v>2.6963708533452717</v>
      </c>
      <c r="J20" s="92">
        <f>'Net zero emission summary'!AK20</f>
        <v>2.7103190564420441</v>
      </c>
      <c r="K20" s="92">
        <f>'Net zero emission summary'!AL20</f>
        <v>2.6800956132407538</v>
      </c>
      <c r="L20" s="92">
        <f>'Net zero emission summary'!AM20</f>
        <v>2.4555165506994827</v>
      </c>
      <c r="M20" s="92">
        <f>'Net zero emission summary'!AN20</f>
        <v>2.53803239472678</v>
      </c>
      <c r="N20" s="92">
        <f>'Net zero emission summary'!AO20</f>
        <v>2.5965678310686928</v>
      </c>
      <c r="O20" s="92">
        <f>'Net zero emission summary'!AP20</f>
        <v>2.6499293605628145</v>
      </c>
      <c r="P20" s="92">
        <f>'Net zero emission summary'!AQ20</f>
        <v>2.7126872995766105</v>
      </c>
      <c r="Q20" s="92">
        <f>'Net zero emission summary'!AR20</f>
        <v>2.807330326526384</v>
      </c>
      <c r="R20" s="92">
        <f>'Net zero emission summary'!AS20</f>
        <v>2.9098433477739025</v>
      </c>
      <c r="S20" s="92">
        <f>'Net zero emission summary'!AT20</f>
        <v>3.0209622517818611</v>
      </c>
      <c r="T20" s="92">
        <f>'Net zero emission summary'!AU20</f>
        <v>3.1198382906169932</v>
      </c>
      <c r="U20" s="92">
        <f>'Net zero emission summary'!AV20</f>
        <v>3.2338967275150319</v>
      </c>
      <c r="V20" s="92">
        <f>'Net zero emission summary'!AW20</f>
        <v>3.3666588330099789</v>
      </c>
      <c r="W20" s="92">
        <f>'Net zero emission summary'!AX20</f>
        <v>3.4897913530425377</v>
      </c>
      <c r="X20" s="92">
        <f>'Net zero emission summary'!AY20</f>
        <v>3.618849369498645</v>
      </c>
      <c r="Y20" s="92">
        <f>'Net zero emission summary'!AZ20</f>
        <v>3.750984147665851</v>
      </c>
      <c r="Z20" s="92">
        <f>'Net zero emission summary'!BA20</f>
        <v>3.898757582914556</v>
      </c>
      <c r="AA20" s="92">
        <f>'Net zero emission summary'!BB20</f>
        <v>4.0292995126129441</v>
      </c>
      <c r="AB20" s="92">
        <f>'Net zero emission summary'!BC20</f>
        <v>4.1678879327632909</v>
      </c>
      <c r="AC20" s="92">
        <f>'Net zero emission summary'!BD20</f>
        <v>4.3093260054253797</v>
      </c>
      <c r="AD20" s="92">
        <f>'Net zero emission summary'!BE20</f>
        <v>4.444797767779332</v>
      </c>
      <c r="AE20" s="92">
        <f>'Net zero emission summary'!BF20</f>
        <v>4.5803260750534491</v>
      </c>
      <c r="AF20" s="92">
        <f>'Net zero emission summary'!BG20</f>
        <v>4.7213480152060612</v>
      </c>
      <c r="AG20" s="92">
        <f>'Net zero emission summary'!BH20</f>
        <v>4.8741214136843736</v>
      </c>
      <c r="AH20" s="92">
        <f>'Net zero emission summary'!BI20</f>
        <v>5.0185943140269682</v>
      </c>
      <c r="AI20" s="92">
        <f>'Net zero emission summary'!BJ20</f>
        <v>5.1656213110116038</v>
      </c>
      <c r="AJ20" s="92">
        <f>'Net zero emission summary'!BK20</f>
        <v>5.3155049959286975</v>
      </c>
      <c r="AK20" s="92">
        <f>'Net zero emission summary'!BL20</f>
        <v>5.4760367988678098</v>
      </c>
      <c r="AL20" s="92">
        <f>'Net zero emission summary'!BM20</f>
        <v>5.6408350738083275</v>
      </c>
      <c r="AM20" s="92">
        <f>'Net zero emission summary'!BN20</f>
        <v>5.7339751950114941</v>
      </c>
      <c r="AN20" s="92">
        <f>'Net zero emission summary'!BO20</f>
        <v>5.8226263059156835</v>
      </c>
      <c r="AO20" s="92">
        <f>'Net zero emission summary'!BP20</f>
        <v>5.9216918343613019</v>
      </c>
      <c r="AP20" s="92">
        <f>'Net zero emission summary'!BQ20</f>
        <v>6.0171633619508231</v>
      </c>
    </row>
    <row r="21" spans="1:42" x14ac:dyDescent="0.25">
      <c r="A21" t="str">
        <f>'Emissions summary'!C21</f>
        <v>3A2c Sheep</v>
      </c>
      <c r="B21" t="str">
        <f t="shared" si="1"/>
        <v>A3A2c</v>
      </c>
      <c r="C21" t="str">
        <f>'Emissions summary'!D21</f>
        <v>N2O</v>
      </c>
      <c r="D21" s="92">
        <f>'Net zero emission summary'!AE21</f>
        <v>0.17982778978079705</v>
      </c>
      <c r="E21" s="92">
        <f>'Net zero emission summary'!AF21</f>
        <v>0.17992483941085752</v>
      </c>
      <c r="F21" s="92">
        <f>'Net zero emission summary'!AG21</f>
        <v>0.18014794823592961</v>
      </c>
      <c r="G21" s="92">
        <f>'Net zero emission summary'!AH21</f>
        <v>0.1804791740724872</v>
      </c>
      <c r="H21" s="92">
        <f>'Net zero emission summary'!AI21</f>
        <v>0.18092623868230917</v>
      </c>
      <c r="I21" s="92">
        <f>'Net zero emission summary'!AJ21</f>
        <v>0.18149812683987124</v>
      </c>
      <c r="J21" s="92">
        <f>'Net zero emission summary'!AK21</f>
        <v>0.1821282880962147</v>
      </c>
      <c r="K21" s="92">
        <f>'Net zero emission summary'!AL21</f>
        <v>0.18280693505425122</v>
      </c>
      <c r="L21" s="92">
        <f>'Net zero emission summary'!AM21</f>
        <v>0.18347929856913225</v>
      </c>
      <c r="M21" s="92">
        <f>'Net zero emission summary'!AN21</f>
        <v>0.18375445971683055</v>
      </c>
      <c r="N21" s="92">
        <f>'Net zero emission summary'!AO21</f>
        <v>0.18406691374314021</v>
      </c>
      <c r="O21" s="92">
        <f>'Net zero emission summary'!AP21</f>
        <v>0.1844202771378235</v>
      </c>
      <c r="P21" s="92">
        <f>'Net zero emission summary'!AQ21</f>
        <v>0.18481711315886093</v>
      </c>
      <c r="Q21" s="92">
        <f>'Net zero emission summary'!AR21</f>
        <v>0.18526303216018508</v>
      </c>
      <c r="R21" s="92">
        <f>'Net zero emission summary'!AS21</f>
        <v>0.18554340660449897</v>
      </c>
      <c r="S21" s="92">
        <f>'Net zero emission summary'!AT21</f>
        <v>0.18585912250223788</v>
      </c>
      <c r="T21" s="92">
        <f>'Net zero emission summary'!AU21</f>
        <v>0.18620139304581629</v>
      </c>
      <c r="U21" s="92">
        <f>'Net zero emission summary'!AV21</f>
        <v>0.18657824272618023</v>
      </c>
      <c r="V21" s="92">
        <f>'Net zero emission summary'!AW21</f>
        <v>0.18698962839209471</v>
      </c>
      <c r="W21" s="92">
        <f>'Net zero emission summary'!AX21</f>
        <v>0.18726191652040552</v>
      </c>
      <c r="X21" s="92">
        <f>'Net zero emission summary'!AY21</f>
        <v>0.18756069671804426</v>
      </c>
      <c r="Y21" s="92">
        <f>'Net zero emission summary'!AZ21</f>
        <v>0.18788396186972217</v>
      </c>
      <c r="Z21" s="92">
        <f>'Net zero emission summary'!BA21</f>
        <v>0.188235211344146</v>
      </c>
      <c r="AA21" s="92">
        <f>'Net zero emission summary'!BB21</f>
        <v>0.18860201533522408</v>
      </c>
      <c r="AB21" s="92">
        <f>'Net zero emission summary'!BC21</f>
        <v>0.18883668660922315</v>
      </c>
      <c r="AC21" s="92">
        <f>'Net zero emission summary'!BD21</f>
        <v>0.1890912649407889</v>
      </c>
      <c r="AD21" s="92">
        <f>'Net zero emission summary'!BE21</f>
        <v>0.18936189475174628</v>
      </c>
      <c r="AE21" s="92">
        <f>'Net zero emission summary'!BF21</f>
        <v>0.18965005748095276</v>
      </c>
      <c r="AF21" s="92">
        <f>'Net zero emission summary'!BG21</f>
        <v>0.18995710309761865</v>
      </c>
      <c r="AG21" s="92">
        <f>'Net zero emission summary'!BH21</f>
        <v>0.19013807149023706</v>
      </c>
      <c r="AH21" s="92">
        <f>'Net zero emission summary'!BI21</f>
        <v>0.19033089744617637</v>
      </c>
      <c r="AI21" s="92">
        <f>'Net zero emission summary'!BJ21</f>
        <v>0.19053897903512018</v>
      </c>
      <c r="AJ21" s="92">
        <f>'Net zero emission summary'!BK21</f>
        <v>0.19076194918653777</v>
      </c>
      <c r="AK21" s="92">
        <f>'Net zero emission summary'!BL21</f>
        <v>0.19100220180850985</v>
      </c>
      <c r="AL21" s="92">
        <f>'Net zero emission summary'!BM21</f>
        <v>0.19111048351500334</v>
      </c>
      <c r="AM21" s="92">
        <f>'Net zero emission summary'!BN21</f>
        <v>0.19120447066972707</v>
      </c>
      <c r="AN21" s="92">
        <f>'Net zero emission summary'!BO21</f>
        <v>0.19130822959415872</v>
      </c>
      <c r="AO21" s="92">
        <f>'Net zero emission summary'!BP21</f>
        <v>0.19142685421439182</v>
      </c>
      <c r="AP21" s="92">
        <f>'Net zero emission summary'!BQ21</f>
        <v>0.19155486393539417</v>
      </c>
    </row>
    <row r="22" spans="1:42" x14ac:dyDescent="0.25">
      <c r="A22" t="str">
        <f>'Emissions summary'!C22</f>
        <v>3A2d Goats</v>
      </c>
      <c r="B22" t="str">
        <f t="shared" si="1"/>
        <v>A3A2d</v>
      </c>
      <c r="C22" t="str">
        <f>'Emissions summary'!D22</f>
        <v>N2O</v>
      </c>
      <c r="D22" s="92">
        <f>'Net zero emission summary'!AE22</f>
        <v>0.12930085831866078</v>
      </c>
      <c r="E22" s="92">
        <f>'Net zero emission summary'!AF22</f>
        <v>0.1296369327485416</v>
      </c>
      <c r="F22" s="92">
        <f>'Net zero emission summary'!AG22</f>
        <v>0.13009013567072575</v>
      </c>
      <c r="G22" s="92">
        <f>'Net zero emission summary'!AH22</f>
        <v>0.13064212532398867</v>
      </c>
      <c r="H22" s="92">
        <f>'Net zero emission summary'!AI22</f>
        <v>0.13130327577332915</v>
      </c>
      <c r="I22" s="92">
        <f>'Net zero emission summary'!AJ22</f>
        <v>0.13208490823736077</v>
      </c>
      <c r="J22" s="92">
        <f>'Net zero emission summary'!AK22</f>
        <v>0.13291328438926076</v>
      </c>
      <c r="K22" s="92">
        <f>'Net zero emission summary'!AL22</f>
        <v>0.13377871156440865</v>
      </c>
      <c r="L22" s="92">
        <f>'Net zero emission summary'!AM22</f>
        <v>0.13462125689472579</v>
      </c>
      <c r="M22" s="92">
        <f>'Net zero emission summary'!AN22</f>
        <v>0.13500769784476424</v>
      </c>
      <c r="N22" s="92">
        <f>'Net zero emission summary'!AO22</f>
        <v>0.13542443463446535</v>
      </c>
      <c r="O22" s="92">
        <f>'Net zero emission summary'!AP22</f>
        <v>0.13587610959387569</v>
      </c>
      <c r="P22" s="92">
        <f>'Net zero emission summary'!AQ22</f>
        <v>0.13636606637293464</v>
      </c>
      <c r="Q22" s="92">
        <f>'Net zero emission summary'!AR22</f>
        <v>0.13690089627133359</v>
      </c>
      <c r="R22" s="92">
        <f>'Net zero emission summary'!AS22</f>
        <v>0.13724513112441536</v>
      </c>
      <c r="S22" s="92">
        <f>'Net zero emission summary'!AT22</f>
        <v>0.13762078960965202</v>
      </c>
      <c r="T22" s="92">
        <f>'Net zero emission summary'!AU22</f>
        <v>0.13801852726175512</v>
      </c>
      <c r="U22" s="92">
        <f>'Net zero emission summary'!AV22</f>
        <v>0.13844738671096199</v>
      </c>
      <c r="V22" s="92">
        <f>'Net zero emission summary'!AW22</f>
        <v>0.13890751253287612</v>
      </c>
      <c r="W22" s="92">
        <f>'Net zero emission summary'!AX22</f>
        <v>0.13921037317981508</v>
      </c>
      <c r="X22" s="92">
        <f>'Net zero emission summary'!AY22</f>
        <v>0.1395368388098904</v>
      </c>
      <c r="Y22" s="92">
        <f>'Net zero emission summary'!AZ22</f>
        <v>0.13988487704018338</v>
      </c>
      <c r="Z22" s="92">
        <f>'Net zero emission summary'!BA22</f>
        <v>0.14025839973724097</v>
      </c>
      <c r="AA22" s="92">
        <f>'Net zero emission summary'!BB22</f>
        <v>0.14064409682722351</v>
      </c>
      <c r="AB22" s="92">
        <f>'Net zero emission summary'!BC22</f>
        <v>0.14088319598844612</v>
      </c>
      <c r="AC22" s="92">
        <f>'Net zero emission summary'!BD22</f>
        <v>0.14114002572735312</v>
      </c>
      <c r="AD22" s="92">
        <f>'Net zero emission summary'!BE22</f>
        <v>0.14141053144619037</v>
      </c>
      <c r="AE22" s="92">
        <f>'Net zero emission summary'!BF22</f>
        <v>0.14169638840150861</v>
      </c>
      <c r="AF22" s="92">
        <f>'Net zero emission summary'!BG22</f>
        <v>0.14199910905360574</v>
      </c>
      <c r="AG22" s="92">
        <f>'Net zero emission summary'!BH22</f>
        <v>0.14216416989347427</v>
      </c>
      <c r="AH22" s="92">
        <f>'Net zero emission summary'!BI22</f>
        <v>0.14233925247946794</v>
      </c>
      <c r="AI22" s="92">
        <f>'Net zero emission summary'!BJ22</f>
        <v>0.14252803158855659</v>
      </c>
      <c r="AJ22" s="92">
        <f>'Net zero emission summary'!BK22</f>
        <v>0.14273015601393907</v>
      </c>
      <c r="AK22" s="92">
        <f>'Net zero emission summary'!BL22</f>
        <v>0.14294819523246746</v>
      </c>
      <c r="AL22" s="92">
        <f>'Net zero emission summary'!BM22</f>
        <v>0.14302435640778324</v>
      </c>
      <c r="AM22" s="92">
        <f>'Net zero emission summary'!BN22</f>
        <v>0.14308364323311487</v>
      </c>
      <c r="AN22" s="92">
        <f>'Net zero emission summary'!BO22</f>
        <v>0.14315157745717252</v>
      </c>
      <c r="AO22" s="92">
        <f>'Net zero emission summary'!BP22</f>
        <v>0.14323354847519756</v>
      </c>
      <c r="AP22" s="92">
        <f>'Net zero emission summary'!BQ22</f>
        <v>0.14332379899560899</v>
      </c>
    </row>
    <row r="23" spans="1:42" x14ac:dyDescent="0.25">
      <c r="A23" t="str">
        <f>'Emissions summary'!C25</f>
        <v>3A2h Swine</v>
      </c>
      <c r="B23" t="str">
        <f t="shared" si="1"/>
        <v>A3A2h</v>
      </c>
      <c r="C23" t="str">
        <f>'Emissions summary'!D25</f>
        <v>N2O</v>
      </c>
      <c r="D23" s="92">
        <f>'Net zero emission summary'!AE25</f>
        <v>0.13613786187116422</v>
      </c>
      <c r="E23" s="92">
        <f>'Net zero emission summary'!AF25</f>
        <v>0.13589725399310812</v>
      </c>
      <c r="F23" s="92">
        <f>'Net zero emission summary'!AG25</f>
        <v>0.1351347992934038</v>
      </c>
      <c r="G23" s="92">
        <f>'Net zero emission summary'!AH25</f>
        <v>0.1321528771561141</v>
      </c>
      <c r="H23" s="92">
        <f>'Net zero emission summary'!AI25</f>
        <v>0.12933298775112495</v>
      </c>
      <c r="I23" s="92">
        <f>'Net zero emission summary'!AJ25</f>
        <v>0.12887785159656295</v>
      </c>
      <c r="J23" s="92">
        <f>'Net zero emission summary'!AK25</f>
        <v>0.12777300179328563</v>
      </c>
      <c r="K23" s="92">
        <f>'Net zero emission summary'!AL25</f>
        <v>0.12437013993974183</v>
      </c>
      <c r="L23" s="92">
        <f>'Net zero emission summary'!AM25</f>
        <v>0.11093241044204248</v>
      </c>
      <c r="M23" s="92">
        <f>'Net zero emission summary'!AN25</f>
        <v>0.1133186345290606</v>
      </c>
      <c r="N23" s="92">
        <f>'Net zero emission summary'!AO25</f>
        <v>0.1144174475687363</v>
      </c>
      <c r="O23" s="92">
        <f>'Net zero emission summary'!AP25</f>
        <v>0.11521772237990521</v>
      </c>
      <c r="P23" s="92">
        <f>'Net zero emission summary'!AQ25</f>
        <v>0.11644635985315499</v>
      </c>
      <c r="Q23" s="92">
        <f>'Net zero emission summary'!AR25</f>
        <v>0.11917479274275908</v>
      </c>
      <c r="R23" s="92">
        <f>'Net zero emission summary'!AS25</f>
        <v>0.12224549195186343</v>
      </c>
      <c r="S23" s="92">
        <f>'Net zero emission summary'!AT25</f>
        <v>0.12562452740996813</v>
      </c>
      <c r="T23" s="92">
        <f>'Net zero emission summary'!AU25</f>
        <v>0.12832654007020891</v>
      </c>
      <c r="U23" s="92">
        <f>'Net zero emission summary'!AV25</f>
        <v>0.13163601964407842</v>
      </c>
      <c r="V23" s="92">
        <f>'Net zero emission summary'!AW25</f>
        <v>0.13568606155692597</v>
      </c>
      <c r="W23" s="92">
        <f>'Net zero emission summary'!AX25</f>
        <v>0.13951961885018657</v>
      </c>
      <c r="X23" s="92">
        <f>'Net zero emission summary'!AY25</f>
        <v>0.14350950601483636</v>
      </c>
      <c r="Y23" s="92">
        <f>'Net zero emission summary'!AZ25</f>
        <v>0.14752278798023816</v>
      </c>
      <c r="Z23" s="92">
        <f>'Net zero emission summary'!BA25</f>
        <v>0.15209984494903359</v>
      </c>
      <c r="AA23" s="92">
        <f>'Net zero emission summary'!BB25</f>
        <v>0.15581060494027307</v>
      </c>
      <c r="AB23" s="92">
        <f>'Net zero emission summary'!BC25</f>
        <v>0.15978680967386794</v>
      </c>
      <c r="AC23" s="92">
        <f>'Net zero emission summary'!BD25</f>
        <v>0.16376376564311418</v>
      </c>
      <c r="AD23" s="92">
        <f>'Net zero emission summary'!BE25</f>
        <v>0.16737322976844402</v>
      </c>
      <c r="AE23" s="92">
        <f>'Net zero emission summary'!BF25</f>
        <v>0.17087074396895241</v>
      </c>
      <c r="AF23" s="92">
        <f>'Net zero emission summary'!BG25</f>
        <v>0.17447662596364219</v>
      </c>
      <c r="AG23" s="92">
        <f>'Net zero emission summary'!BH25</f>
        <v>0.17828878112654678</v>
      </c>
      <c r="AH23" s="92">
        <f>'Net zero emission summary'!BI25</f>
        <v>0.18164042792093543</v>
      </c>
      <c r="AI23" s="92">
        <f>'Net zero emission summary'!BJ25</f>
        <v>0.18496765400945384</v>
      </c>
      <c r="AJ23" s="92">
        <f>'Net zero emission summary'!BK25</f>
        <v>0.18827930601880483</v>
      </c>
      <c r="AK23" s="92">
        <f>'Net zero emission summary'!BL25</f>
        <v>0.19186777145432554</v>
      </c>
      <c r="AL23" s="92">
        <f>'Net zero emission summary'!BM25</f>
        <v>0.19550829529180372</v>
      </c>
      <c r="AM23" s="92">
        <f>'Net zero emission summary'!BN25</f>
        <v>0.19635950269773711</v>
      </c>
      <c r="AN23" s="92">
        <f>'Net zero emission summary'!BO25</f>
        <v>0.19697653624365832</v>
      </c>
      <c r="AO23" s="92">
        <f>'Net zero emission summary'!BP25</f>
        <v>0.19790284177446871</v>
      </c>
      <c r="AP23" s="92">
        <f>'Net zero emission summary'!BQ25</f>
        <v>0.19862610251048823</v>
      </c>
    </row>
    <row r="24" spans="1:42" x14ac:dyDescent="0.25">
      <c r="A24" t="str">
        <f>'Emissions summary'!C26</f>
        <v>3A2i Poultry</v>
      </c>
      <c r="B24" t="str">
        <f t="shared" si="1"/>
        <v>A3A2i</v>
      </c>
      <c r="C24" t="str">
        <f>'Emissions summary'!D26</f>
        <v>N2O</v>
      </c>
      <c r="D24" s="92">
        <f>'Net zero emission summary'!AE26</f>
        <v>2.1269488247280468</v>
      </c>
      <c r="E24" s="92">
        <f>'Net zero emission summary'!AF26</f>
        <v>2.16776634187277</v>
      </c>
      <c r="F24" s="92">
        <f>'Net zero emission summary'!AG26</f>
        <v>2.196421319397095</v>
      </c>
      <c r="G24" s="92">
        <f>'Net zero emission summary'!AH26</f>
        <v>2.1761571145028649</v>
      </c>
      <c r="H24" s="92">
        <f>'Net zero emission summary'!AI26</f>
        <v>2.1567126308699645</v>
      </c>
      <c r="I24" s="92">
        <f>'Net zero emission summary'!AJ26</f>
        <v>2.1869946929291686</v>
      </c>
      <c r="J24" s="92">
        <f>'Net zero emission summary'!AK26</f>
        <v>2.2021179506354787</v>
      </c>
      <c r="K24" s="92">
        <f>'Net zero emission summary'!AL26</f>
        <v>2.1640007819393885</v>
      </c>
      <c r="L24" s="92">
        <f>'Net zero emission summary'!AM26</f>
        <v>1.8919449293637745</v>
      </c>
      <c r="M24" s="92">
        <f>'Net zero emission summary'!AN26</f>
        <v>1.9844135084752292</v>
      </c>
      <c r="N24" s="92">
        <f>'Net zero emission summary'!AO26</f>
        <v>2.0478272807159228</v>
      </c>
      <c r="O24" s="92">
        <f>'Net zero emission summary'!AP26</f>
        <v>2.1047570565754765</v>
      </c>
      <c r="P24" s="92">
        <f>'Net zero emission summary'!AQ26</f>
        <v>2.1726909545521687</v>
      </c>
      <c r="Q24" s="92">
        <f>'Net zero emission summary'!AR26</f>
        <v>2.2786144243218991</v>
      </c>
      <c r="R24" s="92">
        <f>'Net zero emission summary'!AS26</f>
        <v>2.3962377972073736</v>
      </c>
      <c r="S24" s="92">
        <f>'Net zero emission summary'!AT26</f>
        <v>2.5239480884721472</v>
      </c>
      <c r="T24" s="92">
        <f>'Net zero emission summary'!AU26</f>
        <v>2.6367408378526829</v>
      </c>
      <c r="U24" s="92">
        <f>'Net zero emission summary'!AV26</f>
        <v>2.7675175513866068</v>
      </c>
      <c r="V24" s="92">
        <f>'Net zero emission summary'!AW26</f>
        <v>2.9205029222120009</v>
      </c>
      <c r="W24" s="92">
        <f>'Net zero emission summary'!AX26</f>
        <v>3.0718018541756376</v>
      </c>
      <c r="X24" s="92">
        <f>'Net zero emission summary'!AY26</f>
        <v>3.2304796029361253</v>
      </c>
      <c r="Y24" s="92">
        <f>'Net zero emission summary'!AZ26</f>
        <v>3.3931255917794094</v>
      </c>
      <c r="Z24" s="92">
        <f>'Net zero emission summary'!BA26</f>
        <v>3.5749303719195717</v>
      </c>
      <c r="AA24" s="92">
        <f>'Net zero emission summary'!BB26</f>
        <v>3.736171242995515</v>
      </c>
      <c r="AB24" s="92">
        <f>'Net zero emission summary'!BC26</f>
        <v>3.9092409497061547</v>
      </c>
      <c r="AC24" s="92">
        <f>'Net zero emission summary'!BD26</f>
        <v>4.0860042755588966</v>
      </c>
      <c r="AD24" s="92">
        <f>'Net zero emission summary'!BE26</f>
        <v>4.2557268208132184</v>
      </c>
      <c r="AE24" s="92">
        <f>'Net zero emission summary'!BF26</f>
        <v>4.4256967401659475</v>
      </c>
      <c r="AF24" s="92">
        <f>'Net zero emission summary'!BG26</f>
        <v>4.6025347148170255</v>
      </c>
      <c r="AG24" s="92">
        <f>'Net zero emission summary'!BH26</f>
        <v>4.7902359658837517</v>
      </c>
      <c r="AH24" s="92">
        <f>'Net zero emission summary'!BI26</f>
        <v>4.9677107867803496</v>
      </c>
      <c r="AI24" s="92">
        <f>'Net zero emission summary'!BJ26</f>
        <v>5.1482072504026499</v>
      </c>
      <c r="AJ24" s="92">
        <f>'Net zero emission summary'!BK26</f>
        <v>5.3320864717305163</v>
      </c>
      <c r="AK24" s="92">
        <f>'Net zero emission summary'!BL26</f>
        <v>5.5288787094084322</v>
      </c>
      <c r="AL24" s="92">
        <f>'Net zero emission summary'!BM26</f>
        <v>5.7324698122204794</v>
      </c>
      <c r="AM24" s="92">
        <f>'Net zero emission summary'!BN26</f>
        <v>5.8481118237064553</v>
      </c>
      <c r="AN24" s="92">
        <f>'Net zero emission summary'!BO26</f>
        <v>5.9580321856205094</v>
      </c>
      <c r="AO24" s="92">
        <f>'Net zero emission summary'!BP26</f>
        <v>6.0804919547587382</v>
      </c>
      <c r="AP24" s="92">
        <f>'Net zero emission summary'!BQ26</f>
        <v>6.1983124151604292</v>
      </c>
    </row>
    <row r="25" spans="1:42" x14ac:dyDescent="0.25">
      <c r="A25" t="str">
        <f>'Emissions summary'!C28</f>
        <v>3C1a Biomass burning in forest land</v>
      </c>
      <c r="B25" t="str">
        <f t="shared" si="1"/>
        <v>A3C1a</v>
      </c>
      <c r="C25" t="str">
        <f>'Emissions summary'!D28</f>
        <v>CH4</v>
      </c>
      <c r="D25" s="92">
        <f>'Net zero emission summary'!AE28</f>
        <v>11.204575160010251</v>
      </c>
      <c r="E25" s="92">
        <f>'Net zero emission summary'!AF28</f>
        <v>13.05690518017699</v>
      </c>
      <c r="F25" s="92">
        <f>'Net zero emission summary'!AG28</f>
        <v>12.302133920343731</v>
      </c>
      <c r="G25" s="92">
        <f>'Net zero emission summary'!AH28</f>
        <v>11.592685700510469</v>
      </c>
      <c r="H25" s="92">
        <f>'Net zero emission summary'!AI28</f>
        <v>11.954566760677208</v>
      </c>
      <c r="I25" s="92">
        <f>'Net zero emission summary'!AJ28</f>
        <v>12.263228780843946</v>
      </c>
      <c r="J25" s="92">
        <f>'Net zero emission summary'!AK28</f>
        <v>12.268210641010684</v>
      </c>
      <c r="K25" s="92">
        <f>'Net zero emission summary'!AL28</f>
        <v>12.23948849988569</v>
      </c>
      <c r="L25" s="92">
        <f>'Net zero emission summary'!AM28</f>
        <v>12.210766358760694</v>
      </c>
      <c r="M25" s="92">
        <f>'Net zero emission summary'!AN28</f>
        <v>12.182044217635699</v>
      </c>
      <c r="N25" s="92">
        <f>'Net zero emission summary'!AO28</f>
        <v>12.153322076510703</v>
      </c>
      <c r="O25" s="92">
        <f>'Net zero emission summary'!AP28</f>
        <v>12.124599935385708</v>
      </c>
      <c r="P25" s="92">
        <f>'Net zero emission summary'!AQ28</f>
        <v>12.095877794260716</v>
      </c>
      <c r="Q25" s="92">
        <f>'Net zero emission summary'!AR28</f>
        <v>12.067155653135719</v>
      </c>
      <c r="R25" s="92">
        <f>'Net zero emission summary'!AS28</f>
        <v>12.038433512010723</v>
      </c>
      <c r="S25" s="92">
        <f>'Net zero emission summary'!AT28</f>
        <v>12.009711370885729</v>
      </c>
      <c r="T25" s="92">
        <f>'Net zero emission summary'!AU28</f>
        <v>11.980989229760732</v>
      </c>
      <c r="U25" s="92">
        <f>'Net zero emission summary'!AV28</f>
        <v>11.952267088635738</v>
      </c>
      <c r="V25" s="92">
        <f>'Net zero emission summary'!AW28</f>
        <v>11.923544947510743</v>
      </c>
      <c r="W25" s="92">
        <f>'Net zero emission summary'!AX28</f>
        <v>11.881226167028043</v>
      </c>
      <c r="X25" s="92">
        <f>'Net zero emission summary'!AY28</f>
        <v>11.838907386545339</v>
      </c>
      <c r="Y25" s="92">
        <f>'Net zero emission summary'!AZ28</f>
        <v>11.796588606062636</v>
      </c>
      <c r="Z25" s="92">
        <f>'Net zero emission summary'!BA28</f>
        <v>11.754269825579936</v>
      </c>
      <c r="AA25" s="92">
        <f>'Net zero emission summary'!BB28</f>
        <v>11.711951045097234</v>
      </c>
      <c r="AB25" s="92">
        <f>'Net zero emission summary'!BC28</f>
        <v>11.669632264614533</v>
      </c>
      <c r="AC25" s="92">
        <f>'Net zero emission summary'!BD28</f>
        <v>11.627313484131829</v>
      </c>
      <c r="AD25" s="92">
        <f>'Net zero emission summary'!BE28</f>
        <v>11.584994703649127</v>
      </c>
      <c r="AE25" s="92">
        <f>'Net zero emission summary'!BF28</f>
        <v>11.52907928380872</v>
      </c>
      <c r="AF25" s="92">
        <f>'Net zero emission summary'!BG28</f>
        <v>11.473163863968312</v>
      </c>
      <c r="AG25" s="92">
        <f>'Net zero emission summary'!BH28</f>
        <v>11.4172484441279</v>
      </c>
      <c r="AH25" s="92">
        <f>'Net zero emission summary'!BI28</f>
        <v>11.361333024287493</v>
      </c>
      <c r="AI25" s="92">
        <f>'Net zero emission summary'!BJ28</f>
        <v>11.305417604447085</v>
      </c>
      <c r="AJ25" s="92">
        <f>'Net zero emission summary'!BK28</f>
        <v>11.249502184606676</v>
      </c>
      <c r="AK25" s="92">
        <f>'Net zero emission summary'!BL28</f>
        <v>11.193586764766268</v>
      </c>
      <c r="AL25" s="92">
        <f>'Net zero emission summary'!BM28</f>
        <v>11.13767134492586</v>
      </c>
      <c r="AM25" s="92">
        <f>'Net zero emission summary'!BN28</f>
        <v>11.081755925085453</v>
      </c>
      <c r="AN25" s="92">
        <f>'Net zero emission summary'!BO28</f>
        <v>11.025840505245043</v>
      </c>
      <c r="AO25" s="92">
        <f>'Net zero emission summary'!BP28</f>
        <v>10.969925085404636</v>
      </c>
      <c r="AP25" s="92">
        <f>'Net zero emission summary'!BQ28</f>
        <v>10.914009665564226</v>
      </c>
    </row>
    <row r="26" spans="1:42" x14ac:dyDescent="0.25">
      <c r="A26" t="str">
        <f>'Emissions summary'!C29</f>
        <v>3C1b Biomass burning in Croplands</v>
      </c>
      <c r="B26" t="str">
        <f t="shared" si="1"/>
        <v>A3C1b</v>
      </c>
      <c r="C26" t="str">
        <f>'Emissions summary'!D29</f>
        <v>CH4</v>
      </c>
      <c r="D26" s="92">
        <f>'Net zero emission summary'!AE29</f>
        <v>8.929388994926228</v>
      </c>
      <c r="E26" s="92">
        <f>'Net zero emission summary'!AF29</f>
        <v>8.9289309923184508</v>
      </c>
      <c r="F26" s="92">
        <f>'Net zero emission summary'!AG29</f>
        <v>8.9284729897106754</v>
      </c>
      <c r="G26" s="92">
        <f>'Net zero emission summary'!AH29</f>
        <v>8.9280149871028947</v>
      </c>
      <c r="H26" s="92">
        <f>'Net zero emission summary'!AI29</f>
        <v>8.9275569844951157</v>
      </c>
      <c r="I26" s="92">
        <f>'Net zero emission summary'!AJ29</f>
        <v>8.9270989818873403</v>
      </c>
      <c r="J26" s="92">
        <f>'Net zero emission summary'!AK29</f>
        <v>8.9266409792795596</v>
      </c>
      <c r="K26" s="92">
        <f>'Net zero emission summary'!AL29</f>
        <v>8.926182976671786</v>
      </c>
      <c r="L26" s="92">
        <f>'Net zero emission summary'!AM29</f>
        <v>8.925724974064007</v>
      </c>
      <c r="M26" s="92">
        <f>'Net zero emission summary'!AN29</f>
        <v>8.925266971456228</v>
      </c>
      <c r="N26" s="92">
        <f>'Net zero emission summary'!AO29</f>
        <v>8.9248089688484491</v>
      </c>
      <c r="O26" s="92">
        <f>'Net zero emission summary'!AP29</f>
        <v>8.9243509662406719</v>
      </c>
      <c r="P26" s="92">
        <f>'Net zero emission summary'!AQ29</f>
        <v>8.9238929636328947</v>
      </c>
      <c r="Q26" s="92">
        <f>'Net zero emission summary'!AR29</f>
        <v>8.9234349610251176</v>
      </c>
      <c r="R26" s="92">
        <f>'Net zero emission summary'!AS29</f>
        <v>8.9229769584173386</v>
      </c>
      <c r="S26" s="92">
        <f>'Net zero emission summary'!AT29</f>
        <v>8.9225189558095614</v>
      </c>
      <c r="T26" s="92">
        <f>'Net zero emission summary'!AU29</f>
        <v>8.9220609532017825</v>
      </c>
      <c r="U26" s="92">
        <f>'Net zero emission summary'!AV29</f>
        <v>8.9216029505940071</v>
      </c>
      <c r="V26" s="92">
        <f>'Net zero emission summary'!AW29</f>
        <v>8.9211449479862281</v>
      </c>
      <c r="W26" s="92">
        <f>'Net zero emission summary'!AX29</f>
        <v>8.9206869453784492</v>
      </c>
      <c r="X26" s="92">
        <f>'Net zero emission summary'!AY29</f>
        <v>8.920228942770672</v>
      </c>
      <c r="Y26" s="92">
        <f>'Net zero emission summary'!AZ29</f>
        <v>8.9197709401628948</v>
      </c>
      <c r="Z26" s="92">
        <f>'Net zero emission summary'!BA29</f>
        <v>8.9193129375551177</v>
      </c>
      <c r="AA26" s="92">
        <f>'Net zero emission summary'!BB29</f>
        <v>8.9188549349473387</v>
      </c>
      <c r="AB26" s="92">
        <f>'Net zero emission summary'!BC29</f>
        <v>8.9183969323395598</v>
      </c>
      <c r="AC26" s="92">
        <f>'Net zero emission summary'!BD29</f>
        <v>8.9179389297317826</v>
      </c>
      <c r="AD26" s="92">
        <f>'Net zero emission summary'!BE29</f>
        <v>8.9174809271240072</v>
      </c>
      <c r="AE26" s="92">
        <f>'Net zero emission summary'!BF29</f>
        <v>8.9170229245162282</v>
      </c>
      <c r="AF26" s="92">
        <f>'Net zero emission summary'!BG29</f>
        <v>8.9165649219084475</v>
      </c>
      <c r="AG26" s="92">
        <f>'Net zero emission summary'!BH29</f>
        <v>8.9161069193006721</v>
      </c>
      <c r="AH26" s="92">
        <f>'Net zero emission summary'!BI29</f>
        <v>8.9156489166928932</v>
      </c>
      <c r="AI26" s="92">
        <f>'Net zero emission summary'!BJ29</f>
        <v>8.915190914085116</v>
      </c>
      <c r="AJ26" s="92">
        <f>'Net zero emission summary'!BK29</f>
        <v>8.9147329114773388</v>
      </c>
      <c r="AK26" s="92">
        <f>'Net zero emission summary'!BL29</f>
        <v>8.9142749088695599</v>
      </c>
      <c r="AL26" s="92">
        <f>'Net zero emission summary'!BM29</f>
        <v>8.9138169062617827</v>
      </c>
      <c r="AM26" s="92">
        <f>'Net zero emission summary'!BN29</f>
        <v>8.9133589036540037</v>
      </c>
      <c r="AN26" s="92">
        <f>'Net zero emission summary'!BO29</f>
        <v>8.9129009010462266</v>
      </c>
      <c r="AO26" s="92">
        <f>'Net zero emission summary'!BP29</f>
        <v>8.9124428984384494</v>
      </c>
      <c r="AP26" s="92">
        <f>'Net zero emission summary'!BQ29</f>
        <v>8.9119848958306704</v>
      </c>
    </row>
    <row r="27" spans="1:42" x14ac:dyDescent="0.25">
      <c r="A27" t="str">
        <f>'Emissions summary'!C30</f>
        <v>3C1c Biomass burning in Grasslands</v>
      </c>
      <c r="B27" t="str">
        <f t="shared" si="1"/>
        <v>A3C1c</v>
      </c>
      <c r="C27" t="str">
        <f>'Emissions summary'!D30</f>
        <v>CH4</v>
      </c>
      <c r="D27" s="92">
        <f>'Net zero emission summary'!AE30</f>
        <v>22.211168240472922</v>
      </c>
      <c r="E27" s="92">
        <f>'Net zero emission summary'!AF30</f>
        <v>22.3255420719256</v>
      </c>
      <c r="F27" s="92">
        <f>'Net zero emission summary'!AG30</f>
        <v>22.439915903378274</v>
      </c>
      <c r="G27" s="92">
        <f>'Net zero emission summary'!AH30</f>
        <v>22.554289734830945</v>
      </c>
      <c r="H27" s="92">
        <f>'Net zero emission summary'!AI30</f>
        <v>22.668663566283627</v>
      </c>
      <c r="I27" s="92">
        <f>'Net zero emission summary'!AJ30</f>
        <v>22.783037397736297</v>
      </c>
      <c r="J27" s="92">
        <f>'Net zero emission summary'!AK30</f>
        <v>22.897411229188972</v>
      </c>
      <c r="K27" s="92">
        <f>'Net zero emission summary'!AL30</f>
        <v>23.095209192169019</v>
      </c>
      <c r="L27" s="92">
        <f>'Net zero emission summary'!AM30</f>
        <v>23.293007155149056</v>
      </c>
      <c r="M27" s="92">
        <f>'Net zero emission summary'!AN30</f>
        <v>23.490805118129099</v>
      </c>
      <c r="N27" s="92">
        <f>'Net zero emission summary'!AO30</f>
        <v>23.688603081109136</v>
      </c>
      <c r="O27" s="92">
        <f>'Net zero emission summary'!AP30</f>
        <v>23.886401044089183</v>
      </c>
      <c r="P27" s="92">
        <f>'Net zero emission summary'!AQ30</f>
        <v>24.08419900706922</v>
      </c>
      <c r="Q27" s="92">
        <f>'Net zero emission summary'!AR30</f>
        <v>24.281996970049263</v>
      </c>
      <c r="R27" s="92">
        <f>'Net zero emission summary'!AS30</f>
        <v>24.479794933029304</v>
      </c>
      <c r="S27" s="92">
        <f>'Net zero emission summary'!AT30</f>
        <v>24.677592896009344</v>
      </c>
      <c r="T27" s="92">
        <f>'Net zero emission summary'!AU30</f>
        <v>24.875390858989384</v>
      </c>
      <c r="U27" s="92">
        <f>'Net zero emission summary'!AV30</f>
        <v>25.073188821969428</v>
      </c>
      <c r="V27" s="92">
        <f>'Net zero emission summary'!AW30</f>
        <v>25.270986784949468</v>
      </c>
      <c r="W27" s="92">
        <f>'Net zero emission summary'!AX30</f>
        <v>25.472302246869535</v>
      </c>
      <c r="X27" s="92">
        <f>'Net zero emission summary'!AY30</f>
        <v>25.6736177087896</v>
      </c>
      <c r="Y27" s="92">
        <f>'Net zero emission summary'!AZ30</f>
        <v>25.874933170709671</v>
      </c>
      <c r="Z27" s="92">
        <f>'Net zero emission summary'!BA30</f>
        <v>26.076248632629738</v>
      </c>
      <c r="AA27" s="92">
        <f>'Net zero emission summary'!BB30</f>
        <v>26.277564094549799</v>
      </c>
      <c r="AB27" s="92">
        <f>'Net zero emission summary'!BC30</f>
        <v>26.47887955646987</v>
      </c>
      <c r="AC27" s="92">
        <f>'Net zero emission summary'!BD30</f>
        <v>26.680195018389934</v>
      </c>
      <c r="AD27" s="92">
        <f>'Net zero emission summary'!BE30</f>
        <v>26.881510480309998</v>
      </c>
      <c r="AE27" s="92">
        <f>'Net zero emission summary'!BF30</f>
        <v>27.082825942230066</v>
      </c>
      <c r="AF27" s="92">
        <f>'Net zero emission summary'!BG30</f>
        <v>27.28414140415013</v>
      </c>
      <c r="AG27" s="92">
        <f>'Net zero emission summary'!BH30</f>
        <v>27.485456866070198</v>
      </c>
      <c r="AH27" s="92">
        <f>'Net zero emission summary'!BI30</f>
        <v>27.686772327990262</v>
      </c>
      <c r="AI27" s="92">
        <f>'Net zero emission summary'!BJ30</f>
        <v>27.88808778991033</v>
      </c>
      <c r="AJ27" s="92">
        <f>'Net zero emission summary'!BK30</f>
        <v>28.089403251830397</v>
      </c>
      <c r="AK27" s="92">
        <f>'Net zero emission summary'!BL30</f>
        <v>28.290718713750465</v>
      </c>
      <c r="AL27" s="92">
        <f>'Net zero emission summary'!BM30</f>
        <v>28.492034175670533</v>
      </c>
      <c r="AM27" s="92">
        <f>'Net zero emission summary'!BN30</f>
        <v>28.6933496375906</v>
      </c>
      <c r="AN27" s="92">
        <f>'Net zero emission summary'!BO30</f>
        <v>28.894665099510664</v>
      </c>
      <c r="AO27" s="92">
        <f>'Net zero emission summary'!BP30</f>
        <v>29.095980561430732</v>
      </c>
      <c r="AP27" s="92">
        <f>'Net zero emission summary'!BQ30</f>
        <v>29.2972960233508</v>
      </c>
    </row>
    <row r="28" spans="1:42" x14ac:dyDescent="0.25">
      <c r="A28" t="str">
        <f>'Emissions summary'!C31</f>
        <v>3C1d Biomass burning in Wetlands</v>
      </c>
      <c r="B28" t="str">
        <f t="shared" si="1"/>
        <v>A3C1d</v>
      </c>
      <c r="C28" t="str">
        <f>'Emissions summary'!D31</f>
        <v>CH4</v>
      </c>
      <c r="D28" s="92">
        <f>'Net zero emission summary'!AE31</f>
        <v>0.86319492850198365</v>
      </c>
      <c r="E28" s="92">
        <f>'Net zero emission summary'!AF31</f>
        <v>0.86319492850198365</v>
      </c>
      <c r="F28" s="92">
        <f>'Net zero emission summary'!AG31</f>
        <v>0.86319492850198365</v>
      </c>
      <c r="G28" s="92">
        <f>'Net zero emission summary'!AH31</f>
        <v>0.86319492850198365</v>
      </c>
      <c r="H28" s="92">
        <f>'Net zero emission summary'!AI31</f>
        <v>0.86319492850198365</v>
      </c>
      <c r="I28" s="92">
        <f>'Net zero emission summary'!AJ31</f>
        <v>0.86319492850198365</v>
      </c>
      <c r="J28" s="92">
        <f>'Net zero emission summary'!AK31</f>
        <v>0.86319492850198365</v>
      </c>
      <c r="K28" s="92">
        <f>'Net zero emission summary'!AL31</f>
        <v>0.86319492850198365</v>
      </c>
      <c r="L28" s="92">
        <f>'Net zero emission summary'!AM31</f>
        <v>0.86319492850198365</v>
      </c>
      <c r="M28" s="92">
        <f>'Net zero emission summary'!AN31</f>
        <v>0.86319492850198365</v>
      </c>
      <c r="N28" s="92">
        <f>'Net zero emission summary'!AO31</f>
        <v>0.86319492850198365</v>
      </c>
      <c r="O28" s="92">
        <f>'Net zero emission summary'!AP31</f>
        <v>0.86319492850198365</v>
      </c>
      <c r="P28" s="92">
        <f>'Net zero emission summary'!AQ31</f>
        <v>0.86319492850198365</v>
      </c>
      <c r="Q28" s="92">
        <f>'Net zero emission summary'!AR31</f>
        <v>0.86319492850198365</v>
      </c>
      <c r="R28" s="92">
        <f>'Net zero emission summary'!AS31</f>
        <v>0.86319492850198365</v>
      </c>
      <c r="S28" s="92">
        <f>'Net zero emission summary'!AT31</f>
        <v>0.86319492850198365</v>
      </c>
      <c r="T28" s="92">
        <f>'Net zero emission summary'!AU31</f>
        <v>0.86319492850198365</v>
      </c>
      <c r="U28" s="92">
        <f>'Net zero emission summary'!AV31</f>
        <v>0.86319492850198365</v>
      </c>
      <c r="V28" s="92">
        <f>'Net zero emission summary'!AW31</f>
        <v>0.86319492850198365</v>
      </c>
      <c r="W28" s="92">
        <f>'Net zero emission summary'!AX31</f>
        <v>0.86319492850198365</v>
      </c>
      <c r="X28" s="92">
        <f>'Net zero emission summary'!AY31</f>
        <v>0.86319492850198365</v>
      </c>
      <c r="Y28" s="92">
        <f>'Net zero emission summary'!AZ31</f>
        <v>0.86319492850198365</v>
      </c>
      <c r="Z28" s="92">
        <f>'Net zero emission summary'!BA31</f>
        <v>0.86319492850198365</v>
      </c>
      <c r="AA28" s="92">
        <f>'Net zero emission summary'!BB31</f>
        <v>0.86319492850198365</v>
      </c>
      <c r="AB28" s="92">
        <f>'Net zero emission summary'!BC31</f>
        <v>0.86319492850198365</v>
      </c>
      <c r="AC28" s="92">
        <f>'Net zero emission summary'!BD31</f>
        <v>0.86319492850198365</v>
      </c>
      <c r="AD28" s="92">
        <f>'Net zero emission summary'!BE31</f>
        <v>0.86319492850198365</v>
      </c>
      <c r="AE28" s="92">
        <f>'Net zero emission summary'!BF31</f>
        <v>0.86319492850198365</v>
      </c>
      <c r="AF28" s="92">
        <f>'Net zero emission summary'!BG31</f>
        <v>0.86319492850198365</v>
      </c>
      <c r="AG28" s="92">
        <f>'Net zero emission summary'!BH31</f>
        <v>0.86319492850198365</v>
      </c>
      <c r="AH28" s="92">
        <f>'Net zero emission summary'!BI31</f>
        <v>0.86319492850198365</v>
      </c>
      <c r="AI28" s="92">
        <f>'Net zero emission summary'!BJ31</f>
        <v>0.86319492850198365</v>
      </c>
      <c r="AJ28" s="92">
        <f>'Net zero emission summary'!BK31</f>
        <v>0.86319492850198365</v>
      </c>
      <c r="AK28" s="92">
        <f>'Net zero emission summary'!BL31</f>
        <v>0.86319492850198365</v>
      </c>
      <c r="AL28" s="92">
        <f>'Net zero emission summary'!BM31</f>
        <v>0.86319492850198365</v>
      </c>
      <c r="AM28" s="92">
        <f>'Net zero emission summary'!BN31</f>
        <v>0.86319492850198365</v>
      </c>
      <c r="AN28" s="92">
        <f>'Net zero emission summary'!BO31</f>
        <v>0.86319492850198365</v>
      </c>
      <c r="AO28" s="92">
        <f>'Net zero emission summary'!BP31</f>
        <v>0.86319492850198365</v>
      </c>
      <c r="AP28" s="92">
        <f>'Net zero emission summary'!BQ31</f>
        <v>0.86319492850198365</v>
      </c>
    </row>
    <row r="29" spans="1:42" x14ac:dyDescent="0.25">
      <c r="A29" t="str">
        <f>'Emissions summary'!C32</f>
        <v>3C1e Biomass burning in Settlements</v>
      </c>
      <c r="B29" t="str">
        <f t="shared" si="1"/>
        <v>A3C1e</v>
      </c>
      <c r="C29" t="str">
        <f>'Emissions summary'!D32</f>
        <v>CH4</v>
      </c>
      <c r="D29" s="92">
        <f>'Net zero emission summary'!AE32</f>
        <v>0.42972240374246135</v>
      </c>
      <c r="E29" s="92">
        <f>'Net zero emission summary'!AF32</f>
        <v>0.43063058922924524</v>
      </c>
      <c r="F29" s="92">
        <f>'Net zero emission summary'!AG32</f>
        <v>0.43153877471602919</v>
      </c>
      <c r="G29" s="92">
        <f>'Net zero emission summary'!AH32</f>
        <v>0.43244696020281326</v>
      </c>
      <c r="H29" s="92">
        <f>'Net zero emission summary'!AI32</f>
        <v>0.43335514568959721</v>
      </c>
      <c r="I29" s="92">
        <f>'Net zero emission summary'!AJ32</f>
        <v>0.43426333117638116</v>
      </c>
      <c r="J29" s="92">
        <f>'Net zero emission summary'!AK32</f>
        <v>0.43517151666316517</v>
      </c>
      <c r="K29" s="92">
        <f>'Net zero emission summary'!AL32</f>
        <v>0.43607970214994918</v>
      </c>
      <c r="L29" s="92">
        <f>'Net zero emission summary'!AM32</f>
        <v>0.43698788763673319</v>
      </c>
      <c r="M29" s="92">
        <f>'Net zero emission summary'!AN32</f>
        <v>0.43789607312351719</v>
      </c>
      <c r="N29" s="92">
        <f>'Net zero emission summary'!AO32</f>
        <v>0.4388042586103012</v>
      </c>
      <c r="O29" s="92">
        <f>'Net zero emission summary'!AP32</f>
        <v>0.43971244409708521</v>
      </c>
      <c r="P29" s="92">
        <f>'Net zero emission summary'!AQ32</f>
        <v>0.44062062958386911</v>
      </c>
      <c r="Q29" s="92">
        <f>'Net zero emission summary'!AR32</f>
        <v>0.44152881507065311</v>
      </c>
      <c r="R29" s="92">
        <f>'Net zero emission summary'!AS32</f>
        <v>0.44243700055743712</v>
      </c>
      <c r="S29" s="92">
        <f>'Net zero emission summary'!AT32</f>
        <v>0.44334518604422107</v>
      </c>
      <c r="T29" s="92">
        <f>'Net zero emission summary'!AU32</f>
        <v>0.44425337153100508</v>
      </c>
      <c r="U29" s="92">
        <f>'Net zero emission summary'!AV32</f>
        <v>0.44516155701778909</v>
      </c>
      <c r="V29" s="92">
        <f>'Net zero emission summary'!AW32</f>
        <v>0.44606974250457304</v>
      </c>
      <c r="W29" s="92">
        <f>'Net zero emission summary'!AX32</f>
        <v>0.44697792799135705</v>
      </c>
      <c r="X29" s="92">
        <f>'Net zero emission summary'!AY32</f>
        <v>0.44788611347814106</v>
      </c>
      <c r="Y29" s="92">
        <f>'Net zero emission summary'!AZ32</f>
        <v>0.44879429896492501</v>
      </c>
      <c r="Z29" s="92">
        <f>'Net zero emission summary'!BA32</f>
        <v>0.44970248445170896</v>
      </c>
      <c r="AA29" s="92">
        <f>'Net zero emission summary'!BB32</f>
        <v>0.45061066993849297</v>
      </c>
      <c r="AB29" s="92">
        <f>'Net zero emission summary'!BC32</f>
        <v>0.45151885542527692</v>
      </c>
      <c r="AC29" s="92">
        <f>'Net zero emission summary'!BD32</f>
        <v>0.45242704091206093</v>
      </c>
      <c r="AD29" s="92">
        <f>'Net zero emission summary'!BE32</f>
        <v>0.45333522639884494</v>
      </c>
      <c r="AE29" s="92">
        <f>'Net zero emission summary'!BF32</f>
        <v>0.454243411885629</v>
      </c>
      <c r="AF29" s="92">
        <f>'Net zero emission summary'!BG32</f>
        <v>0.45515159737241295</v>
      </c>
      <c r="AG29" s="92">
        <f>'Net zero emission summary'!BH32</f>
        <v>0.4560597828591969</v>
      </c>
      <c r="AH29" s="92">
        <f>'Net zero emission summary'!BI32</f>
        <v>0.45696796834598097</v>
      </c>
      <c r="AI29" s="92">
        <f>'Net zero emission summary'!BJ32</f>
        <v>0.45787615383276492</v>
      </c>
      <c r="AJ29" s="92">
        <f>'Net zero emission summary'!BK32</f>
        <v>0.45878433931954882</v>
      </c>
      <c r="AK29" s="92">
        <f>'Net zero emission summary'!BL32</f>
        <v>0.45969252480633288</v>
      </c>
      <c r="AL29" s="92">
        <f>'Net zero emission summary'!BM32</f>
        <v>0.46060071029311683</v>
      </c>
      <c r="AM29" s="92">
        <f>'Net zero emission summary'!BN32</f>
        <v>0.46150889577990084</v>
      </c>
      <c r="AN29" s="92">
        <f>'Net zero emission summary'!BO32</f>
        <v>0.46241708126668479</v>
      </c>
      <c r="AO29" s="92">
        <f>'Net zero emission summary'!BP32</f>
        <v>0.4633252667534688</v>
      </c>
      <c r="AP29" s="92">
        <f>'Net zero emission summary'!BQ32</f>
        <v>0.46423345224025281</v>
      </c>
    </row>
    <row r="30" spans="1:42" x14ac:dyDescent="0.25">
      <c r="A30" t="str">
        <f>'Emissions summary'!C33</f>
        <v>3C1f Biomass burning in Other lands</v>
      </c>
      <c r="B30" t="str">
        <f t="shared" si="1"/>
        <v>A3C1f</v>
      </c>
      <c r="C30" t="str">
        <f>'Emissions summary'!D33</f>
        <v>CH4</v>
      </c>
      <c r="D30" s="92">
        <f>'Net zero emission summary'!AE33</f>
        <v>0</v>
      </c>
      <c r="E30" s="92">
        <f>'Net zero emission summary'!AF33</f>
        <v>0</v>
      </c>
      <c r="F30" s="92">
        <f>'Net zero emission summary'!AG33</f>
        <v>0</v>
      </c>
      <c r="G30" s="92">
        <f>'Net zero emission summary'!AH33</f>
        <v>0</v>
      </c>
      <c r="H30" s="92">
        <f>'Net zero emission summary'!AI33</f>
        <v>0</v>
      </c>
      <c r="I30" s="92">
        <f>'Net zero emission summary'!AJ33</f>
        <v>0</v>
      </c>
      <c r="J30" s="92">
        <f>'Net zero emission summary'!AK33</f>
        <v>0</v>
      </c>
      <c r="K30" s="92">
        <f>'Net zero emission summary'!AL33</f>
        <v>0</v>
      </c>
      <c r="L30" s="92">
        <f>'Net zero emission summary'!AM33</f>
        <v>0</v>
      </c>
      <c r="M30" s="92">
        <f>'Net zero emission summary'!AN33</f>
        <v>0</v>
      </c>
      <c r="N30" s="92">
        <f>'Net zero emission summary'!AO33</f>
        <v>0</v>
      </c>
      <c r="O30" s="92">
        <f>'Net zero emission summary'!AP33</f>
        <v>0</v>
      </c>
      <c r="P30" s="92">
        <f>'Net zero emission summary'!AQ33</f>
        <v>0</v>
      </c>
      <c r="Q30" s="92">
        <f>'Net zero emission summary'!AR33</f>
        <v>0</v>
      </c>
      <c r="R30" s="92">
        <f>'Net zero emission summary'!AS33</f>
        <v>0</v>
      </c>
      <c r="S30" s="92">
        <f>'Net zero emission summary'!AT33</f>
        <v>0</v>
      </c>
      <c r="T30" s="92">
        <f>'Net zero emission summary'!AU33</f>
        <v>0</v>
      </c>
      <c r="U30" s="92">
        <f>'Net zero emission summary'!AV33</f>
        <v>0</v>
      </c>
      <c r="V30" s="92">
        <f>'Net zero emission summary'!AW33</f>
        <v>0</v>
      </c>
      <c r="W30" s="92">
        <f>'Net zero emission summary'!AX33</f>
        <v>0</v>
      </c>
      <c r="X30" s="92">
        <f>'Net zero emission summary'!AY33</f>
        <v>0</v>
      </c>
      <c r="Y30" s="92">
        <f>'Net zero emission summary'!AZ33</f>
        <v>0</v>
      </c>
      <c r="Z30" s="92">
        <f>'Net zero emission summary'!BA33</f>
        <v>0</v>
      </c>
      <c r="AA30" s="92">
        <f>'Net zero emission summary'!BB33</f>
        <v>0</v>
      </c>
      <c r="AB30" s="92">
        <f>'Net zero emission summary'!BC33</f>
        <v>0</v>
      </c>
      <c r="AC30" s="92">
        <f>'Net zero emission summary'!BD33</f>
        <v>0</v>
      </c>
      <c r="AD30" s="92">
        <f>'Net zero emission summary'!BE33</f>
        <v>0</v>
      </c>
      <c r="AE30" s="92">
        <f>'Net zero emission summary'!BF33</f>
        <v>0</v>
      </c>
      <c r="AF30" s="92">
        <f>'Net zero emission summary'!BG33</f>
        <v>0</v>
      </c>
      <c r="AG30" s="92">
        <f>'Net zero emission summary'!BH33</f>
        <v>0</v>
      </c>
      <c r="AH30" s="92">
        <f>'Net zero emission summary'!BI33</f>
        <v>0</v>
      </c>
      <c r="AI30" s="92">
        <f>'Net zero emission summary'!BJ33</f>
        <v>0</v>
      </c>
      <c r="AJ30" s="92">
        <f>'Net zero emission summary'!BK33</f>
        <v>0</v>
      </c>
      <c r="AK30" s="92">
        <f>'Net zero emission summary'!BL33</f>
        <v>0</v>
      </c>
      <c r="AL30" s="92">
        <f>'Net zero emission summary'!BM33</f>
        <v>0</v>
      </c>
      <c r="AM30" s="92">
        <f>'Net zero emission summary'!BN33</f>
        <v>0</v>
      </c>
      <c r="AN30" s="92">
        <f>'Net zero emission summary'!BO33</f>
        <v>0</v>
      </c>
      <c r="AO30" s="92">
        <f>'Net zero emission summary'!BP33</f>
        <v>0</v>
      </c>
      <c r="AP30" s="92">
        <f>'Net zero emission summary'!BQ33</f>
        <v>0</v>
      </c>
    </row>
    <row r="31" spans="1:42" x14ac:dyDescent="0.25">
      <c r="A31" t="str">
        <f>'Emissions summary'!C35</f>
        <v>3C1a Biomass burning in forest land</v>
      </c>
      <c r="B31" t="str">
        <f t="shared" si="1"/>
        <v>A3C1a</v>
      </c>
      <c r="C31" t="str">
        <f>'Emissions summary'!D35</f>
        <v>N2O</v>
      </c>
      <c r="D31" s="92">
        <f>'Net zero emission summary'!AE35</f>
        <v>0.81337835040550022</v>
      </c>
      <c r="E31" s="92">
        <f>'Net zero emission summary'!AF35</f>
        <v>0.91618667449117541</v>
      </c>
      <c r="F31" s="92">
        <f>'Net zero emission summary'!AG35</f>
        <v>0.87477237457685053</v>
      </c>
      <c r="G31" s="92">
        <f>'Net zero emission summary'!AH35</f>
        <v>0.83586530666252568</v>
      </c>
      <c r="H31" s="92">
        <f>'Net zero emission summary'!AI35</f>
        <v>0.85622326274820093</v>
      </c>
      <c r="I31" s="92">
        <f>'Net zero emission summary'!AJ35</f>
        <v>0.87363718683387614</v>
      </c>
      <c r="J31" s="92">
        <f>'Net zero emission summary'!AK35</f>
        <v>0.87425178291955141</v>
      </c>
      <c r="K31" s="92">
        <f>'Net zero emission summary'!AL35</f>
        <v>0.87129977937663372</v>
      </c>
      <c r="L31" s="92">
        <f>'Net zero emission summary'!AM35</f>
        <v>0.86834777583371592</v>
      </c>
      <c r="M31" s="92">
        <f>'Net zero emission summary'!AN35</f>
        <v>0.86539577229079812</v>
      </c>
      <c r="N31" s="92">
        <f>'Net zero emission summary'!AO35</f>
        <v>0.86244376874788042</v>
      </c>
      <c r="O31" s="92">
        <f>'Net zero emission summary'!AP35</f>
        <v>0.85949176520496295</v>
      </c>
      <c r="P31" s="92">
        <f>'Net zero emission summary'!AQ35</f>
        <v>0.85653976166204526</v>
      </c>
      <c r="Q31" s="92">
        <f>'Net zero emission summary'!AR35</f>
        <v>0.85358775811912746</v>
      </c>
      <c r="R31" s="92">
        <f>'Net zero emission summary'!AS35</f>
        <v>0.85063575457620977</v>
      </c>
      <c r="S31" s="92">
        <f>'Net zero emission summary'!AT35</f>
        <v>0.84768375103329197</v>
      </c>
      <c r="T31" s="92">
        <f>'Net zero emission summary'!AU35</f>
        <v>0.84473174749037416</v>
      </c>
      <c r="U31" s="92">
        <f>'Net zero emission summary'!AV35</f>
        <v>0.84177974394745669</v>
      </c>
      <c r="V31" s="92">
        <f>'Net zero emission summary'!AW35</f>
        <v>0.838827740404539</v>
      </c>
      <c r="W31" s="92">
        <f>'Net zero emission summary'!AX35</f>
        <v>0.83512358234396089</v>
      </c>
      <c r="X31" s="92">
        <f>'Net zero emission summary'!AY35</f>
        <v>0.83141942428338278</v>
      </c>
      <c r="Y31" s="92">
        <f>'Net zero emission summary'!AZ35</f>
        <v>0.82771526622280467</v>
      </c>
      <c r="Z31" s="92">
        <f>'Net zero emission summary'!BA35</f>
        <v>0.82401110816222667</v>
      </c>
      <c r="AA31" s="92">
        <f>'Net zero emission summary'!BB35</f>
        <v>0.82030695010164856</v>
      </c>
      <c r="AB31" s="92">
        <f>'Net zero emission summary'!BC35</f>
        <v>0.81660279204107056</v>
      </c>
      <c r="AC31" s="92">
        <f>'Net zero emission summary'!BD35</f>
        <v>0.81289863398049245</v>
      </c>
      <c r="AD31" s="92">
        <f>'Net zero emission summary'!BE35</f>
        <v>0.80919447591991434</v>
      </c>
      <c r="AE31" s="92">
        <f>'Net zero emission summary'!BF35</f>
        <v>0.80473816334167581</v>
      </c>
      <c r="AF31" s="92">
        <f>'Net zero emission summary'!BG35</f>
        <v>0.80028185076343727</v>
      </c>
      <c r="AG31" s="92">
        <f>'Net zero emission summary'!BH35</f>
        <v>0.79582553818519886</v>
      </c>
      <c r="AH31" s="92">
        <f>'Net zero emission summary'!BI35</f>
        <v>0.79136922560696055</v>
      </c>
      <c r="AI31" s="92">
        <f>'Net zero emission summary'!BJ35</f>
        <v>0.78691291302872202</v>
      </c>
      <c r="AJ31" s="92">
        <f>'Net zero emission summary'!BK35</f>
        <v>0.7824566004504836</v>
      </c>
      <c r="AK31" s="92">
        <f>'Net zero emission summary'!BL35</f>
        <v>0.77800028787224518</v>
      </c>
      <c r="AL31" s="92">
        <f>'Net zero emission summary'!BM35</f>
        <v>0.77354397529400676</v>
      </c>
      <c r="AM31" s="92">
        <f>'Net zero emission summary'!BN35</f>
        <v>0.76908766271576834</v>
      </c>
      <c r="AN31" s="92">
        <f>'Net zero emission summary'!BO35</f>
        <v>0.76463135013752992</v>
      </c>
      <c r="AO31" s="92">
        <f>'Net zero emission summary'!BP35</f>
        <v>0.76017503755929161</v>
      </c>
      <c r="AP31" s="92">
        <f>'Net zero emission summary'!BQ35</f>
        <v>0.75571872498105297</v>
      </c>
    </row>
    <row r="32" spans="1:42" x14ac:dyDescent="0.25">
      <c r="A32" t="str">
        <f>'Emissions summary'!C36</f>
        <v>3C1b Biomass burning in Croplands</v>
      </c>
      <c r="B32" t="str">
        <f t="shared" si="1"/>
        <v>A3C1b</v>
      </c>
      <c r="C32" t="str">
        <f>'Emissions summary'!D36</f>
        <v>N2O</v>
      </c>
      <c r="D32" s="92">
        <f>'Net zero emission summary'!AE36</f>
        <v>0.23150267764623561</v>
      </c>
      <c r="E32" s="92">
        <f>'Net zero emission summary'!AF36</f>
        <v>0.23149080350455245</v>
      </c>
      <c r="F32" s="92">
        <f>'Net zero emission summary'!AG36</f>
        <v>0.23147892936286932</v>
      </c>
      <c r="G32" s="92">
        <f>'Net zero emission summary'!AH36</f>
        <v>0.23146705522118621</v>
      </c>
      <c r="H32" s="92">
        <f>'Net zero emission summary'!AI36</f>
        <v>0.23145518107950305</v>
      </c>
      <c r="I32" s="92">
        <f>'Net zero emission summary'!AJ36</f>
        <v>0.23144330693781995</v>
      </c>
      <c r="J32" s="92">
        <f>'Net zero emission summary'!AK36</f>
        <v>0.23143143279613676</v>
      </c>
      <c r="K32" s="92">
        <f>'Net zero emission summary'!AL36</f>
        <v>0.23141955865445368</v>
      </c>
      <c r="L32" s="92">
        <f>'Net zero emission summary'!AM36</f>
        <v>0.23140768451277055</v>
      </c>
      <c r="M32" s="92">
        <f>'Net zero emission summary'!AN36</f>
        <v>0.23139581037108745</v>
      </c>
      <c r="N32" s="92">
        <f>'Net zero emission summary'!AO36</f>
        <v>0.23138393622940429</v>
      </c>
      <c r="O32" s="92">
        <f>'Net zero emission summary'!AP36</f>
        <v>0.23137206208772113</v>
      </c>
      <c r="P32" s="92">
        <f>'Net zero emission summary'!AQ36</f>
        <v>0.23136018794603802</v>
      </c>
      <c r="Q32" s="92">
        <f>'Net zero emission summary'!AR36</f>
        <v>0.23134831380435489</v>
      </c>
      <c r="R32" s="92">
        <f>'Net zero emission summary'!AS36</f>
        <v>0.23133643966267178</v>
      </c>
      <c r="S32" s="92">
        <f>'Net zero emission summary'!AT36</f>
        <v>0.23132456552098865</v>
      </c>
      <c r="T32" s="92">
        <f>'Net zero emission summary'!AU36</f>
        <v>0.23131269137930549</v>
      </c>
      <c r="U32" s="92">
        <f>'Net zero emission summary'!AV36</f>
        <v>0.23130081723762241</v>
      </c>
      <c r="V32" s="92">
        <f>'Net zero emission summary'!AW36</f>
        <v>0.23128894309593925</v>
      </c>
      <c r="W32" s="92">
        <f>'Net zero emission summary'!AX36</f>
        <v>0.23127706895425609</v>
      </c>
      <c r="X32" s="92">
        <f>'Net zero emission summary'!AY36</f>
        <v>0.23126519481257302</v>
      </c>
      <c r="Y32" s="92">
        <f>'Net zero emission summary'!AZ36</f>
        <v>0.23125332067088986</v>
      </c>
      <c r="Z32" s="92">
        <f>'Net zero emission summary'!BA36</f>
        <v>0.23124144652920675</v>
      </c>
      <c r="AA32" s="92">
        <f>'Net zero emission summary'!BB36</f>
        <v>0.23122957238752362</v>
      </c>
      <c r="AB32" s="92">
        <f>'Net zero emission summary'!BC36</f>
        <v>0.23121769824584049</v>
      </c>
      <c r="AC32" s="92">
        <f>'Net zero emission summary'!BD36</f>
        <v>0.2312058241041573</v>
      </c>
      <c r="AD32" s="92">
        <f>'Net zero emission summary'!BE36</f>
        <v>0.23119394996247425</v>
      </c>
      <c r="AE32" s="92">
        <f>'Net zero emission summary'!BF36</f>
        <v>0.23118207582079112</v>
      </c>
      <c r="AF32" s="92">
        <f>'Net zero emission summary'!BG36</f>
        <v>0.23117020167910793</v>
      </c>
      <c r="AG32" s="92">
        <f>'Net zero emission summary'!BH36</f>
        <v>0.23115832753742488</v>
      </c>
      <c r="AH32" s="92">
        <f>'Net zero emission summary'!BI36</f>
        <v>0.23114645339574169</v>
      </c>
      <c r="AI32" s="92">
        <f>'Net zero emission summary'!BJ36</f>
        <v>0.23113457925405859</v>
      </c>
      <c r="AJ32" s="92">
        <f>'Net zero emission summary'!BK36</f>
        <v>0.23112270511237543</v>
      </c>
      <c r="AK32" s="92">
        <f>'Net zero emission summary'!BL36</f>
        <v>0.23111083097069229</v>
      </c>
      <c r="AL32" s="92">
        <f>'Net zero emission summary'!BM36</f>
        <v>0.23109895682900922</v>
      </c>
      <c r="AM32" s="92">
        <f>'Net zero emission summary'!BN36</f>
        <v>0.23108708268732603</v>
      </c>
      <c r="AN32" s="92">
        <f>'Net zero emission summary'!BO36</f>
        <v>0.23107520854564292</v>
      </c>
      <c r="AO32" s="92">
        <f>'Net zero emission summary'!BP36</f>
        <v>0.23106333440395979</v>
      </c>
      <c r="AP32" s="92">
        <f>'Net zero emission summary'!BQ36</f>
        <v>0.23105146026227666</v>
      </c>
    </row>
    <row r="33" spans="1:42" x14ac:dyDescent="0.25">
      <c r="A33" t="str">
        <f>'Emissions summary'!C37</f>
        <v>3C1c Biomass burning in Grasslands</v>
      </c>
      <c r="B33" t="str">
        <f t="shared" si="1"/>
        <v>A3C1c</v>
      </c>
      <c r="C33" t="str">
        <f>'Emissions summary'!D37</f>
        <v>N2O</v>
      </c>
      <c r="D33" s="92">
        <f>'Net zero emission summary'!AE37</f>
        <v>1.9270838146967177</v>
      </c>
      <c r="E33" s="92">
        <f>'Net zero emission summary'!AF37</f>
        <v>1.9378298037617634</v>
      </c>
      <c r="F33" s="92">
        <f>'Net zero emission summary'!AG37</f>
        <v>1.9485757928268084</v>
      </c>
      <c r="G33" s="92">
        <f>'Net zero emission summary'!AH37</f>
        <v>1.9593217818918536</v>
      </c>
      <c r="H33" s="92">
        <f>'Net zero emission summary'!AI37</f>
        <v>1.9700677709568992</v>
      </c>
      <c r="I33" s="92">
        <f>'Net zero emission summary'!AJ37</f>
        <v>1.9808137600219442</v>
      </c>
      <c r="J33" s="92">
        <f>'Net zero emission summary'!AK37</f>
        <v>1.9915597490869896</v>
      </c>
      <c r="K33" s="92">
        <f>'Net zero emission summary'!AL37</f>
        <v>2.0099227240740993</v>
      </c>
      <c r="L33" s="92">
        <f>'Net zero emission summary'!AM37</f>
        <v>2.0282856990612084</v>
      </c>
      <c r="M33" s="92">
        <f>'Net zero emission summary'!AN37</f>
        <v>2.0466486740483179</v>
      </c>
      <c r="N33" s="92">
        <f>'Net zero emission summary'!AO37</f>
        <v>2.065011649035426</v>
      </c>
      <c r="O33" s="92">
        <f>'Net zero emission summary'!AP37</f>
        <v>2.0833746240225359</v>
      </c>
      <c r="P33" s="92">
        <f>'Net zero emission summary'!AQ37</f>
        <v>2.101737599009645</v>
      </c>
      <c r="Q33" s="92">
        <f>'Net zero emission summary'!AR37</f>
        <v>2.120100573996754</v>
      </c>
      <c r="R33" s="92">
        <f>'Net zero emission summary'!AS37</f>
        <v>2.138463548983863</v>
      </c>
      <c r="S33" s="92">
        <f>'Net zero emission summary'!AT37</f>
        <v>2.1568265239709721</v>
      </c>
      <c r="T33" s="92">
        <f>'Net zero emission summary'!AU37</f>
        <v>2.1751894989580816</v>
      </c>
      <c r="U33" s="92">
        <f>'Net zero emission summary'!AV37</f>
        <v>2.1935524739451906</v>
      </c>
      <c r="V33" s="92">
        <f>'Net zero emission summary'!AW37</f>
        <v>2.2119154489322996</v>
      </c>
      <c r="W33" s="92">
        <f>'Net zero emission summary'!AX37</f>
        <v>2.230599586866107</v>
      </c>
      <c r="X33" s="92">
        <f>'Net zero emission summary'!AY37</f>
        <v>2.2492837247999136</v>
      </c>
      <c r="Y33" s="92">
        <f>'Net zero emission summary'!AZ37</f>
        <v>2.267967862733721</v>
      </c>
      <c r="Z33" s="92">
        <f>'Net zero emission summary'!BA37</f>
        <v>2.2866520006675284</v>
      </c>
      <c r="AA33" s="92">
        <f>'Net zero emission summary'!BB37</f>
        <v>2.3053361386013353</v>
      </c>
      <c r="AB33" s="92">
        <f>'Net zero emission summary'!BC37</f>
        <v>2.3240202765351423</v>
      </c>
      <c r="AC33" s="92">
        <f>'Net zero emission summary'!BD37</f>
        <v>2.3427044144689493</v>
      </c>
      <c r="AD33" s="92">
        <f>'Net zero emission summary'!BE37</f>
        <v>2.3613885524027567</v>
      </c>
      <c r="AE33" s="92">
        <f>'Net zero emission summary'!BF37</f>
        <v>2.3800726903365637</v>
      </c>
      <c r="AF33" s="92">
        <f>'Net zero emission summary'!BG37</f>
        <v>2.3987568282703706</v>
      </c>
      <c r="AG33" s="92">
        <f>'Net zero emission summary'!BH37</f>
        <v>2.4174409662041776</v>
      </c>
      <c r="AH33" s="92">
        <f>'Net zero emission summary'!BI37</f>
        <v>2.436125104137985</v>
      </c>
      <c r="AI33" s="92">
        <f>'Net zero emission summary'!BJ37</f>
        <v>2.454809242071792</v>
      </c>
      <c r="AJ33" s="92">
        <f>'Net zero emission summary'!BK37</f>
        <v>2.4734933800055994</v>
      </c>
      <c r="AK33" s="92">
        <f>'Net zero emission summary'!BL37</f>
        <v>2.4921775179394063</v>
      </c>
      <c r="AL33" s="92">
        <f>'Net zero emission summary'!BM37</f>
        <v>2.5108616558732133</v>
      </c>
      <c r="AM33" s="92">
        <f>'Net zero emission summary'!BN37</f>
        <v>2.5295457938070207</v>
      </c>
      <c r="AN33" s="92">
        <f>'Net zero emission summary'!BO37</f>
        <v>2.5482299317408281</v>
      </c>
      <c r="AO33" s="92">
        <f>'Net zero emission summary'!BP37</f>
        <v>2.5669140696746346</v>
      </c>
      <c r="AP33" s="92">
        <f>'Net zero emission summary'!BQ37</f>
        <v>2.5855982076084416</v>
      </c>
    </row>
    <row r="34" spans="1:42" x14ac:dyDescent="0.25">
      <c r="A34" t="str">
        <f>'Emissions summary'!C38</f>
        <v>3C1d Biomass burning in Wetlands</v>
      </c>
      <c r="B34" t="str">
        <f t="shared" si="1"/>
        <v>A3C1d</v>
      </c>
      <c r="C34" t="str">
        <f>'Emissions summary'!D38</f>
        <v>N2O</v>
      </c>
      <c r="D34" s="92">
        <f>'Net zero emission summary'!AE38</f>
        <v>7.8813449993659371E-2</v>
      </c>
      <c r="E34" s="92">
        <f>'Net zero emission summary'!AF38</f>
        <v>7.8813449993659371E-2</v>
      </c>
      <c r="F34" s="92">
        <f>'Net zero emission summary'!AG38</f>
        <v>7.8813449993659371E-2</v>
      </c>
      <c r="G34" s="92">
        <f>'Net zero emission summary'!AH38</f>
        <v>7.8813449993659371E-2</v>
      </c>
      <c r="H34" s="92">
        <f>'Net zero emission summary'!AI38</f>
        <v>7.8813449993659371E-2</v>
      </c>
      <c r="I34" s="92">
        <f>'Net zero emission summary'!AJ38</f>
        <v>7.8813449993659371E-2</v>
      </c>
      <c r="J34" s="92">
        <f>'Net zero emission summary'!AK38</f>
        <v>7.8813449993659371E-2</v>
      </c>
      <c r="K34" s="92">
        <f>'Net zero emission summary'!AL38</f>
        <v>7.8813449993659371E-2</v>
      </c>
      <c r="L34" s="92">
        <f>'Net zero emission summary'!AM38</f>
        <v>7.8813449993659371E-2</v>
      </c>
      <c r="M34" s="92">
        <f>'Net zero emission summary'!AN38</f>
        <v>7.8813449993659371E-2</v>
      </c>
      <c r="N34" s="92">
        <f>'Net zero emission summary'!AO38</f>
        <v>7.8813449993659371E-2</v>
      </c>
      <c r="O34" s="92">
        <f>'Net zero emission summary'!AP38</f>
        <v>7.8813449993659371E-2</v>
      </c>
      <c r="P34" s="92">
        <f>'Net zero emission summary'!AQ38</f>
        <v>7.8813449993659371E-2</v>
      </c>
      <c r="Q34" s="92">
        <f>'Net zero emission summary'!AR38</f>
        <v>7.8813449993659371E-2</v>
      </c>
      <c r="R34" s="92">
        <f>'Net zero emission summary'!AS38</f>
        <v>7.8813449993659371E-2</v>
      </c>
      <c r="S34" s="92">
        <f>'Net zero emission summary'!AT38</f>
        <v>7.8813449993659371E-2</v>
      </c>
      <c r="T34" s="92">
        <f>'Net zero emission summary'!AU38</f>
        <v>7.8813449993659371E-2</v>
      </c>
      <c r="U34" s="92">
        <f>'Net zero emission summary'!AV38</f>
        <v>7.8813449993659371E-2</v>
      </c>
      <c r="V34" s="92">
        <f>'Net zero emission summary'!AW38</f>
        <v>7.8813449993659371E-2</v>
      </c>
      <c r="W34" s="92">
        <f>'Net zero emission summary'!AX38</f>
        <v>7.8813449993659371E-2</v>
      </c>
      <c r="X34" s="92">
        <f>'Net zero emission summary'!AY38</f>
        <v>7.8813449993659371E-2</v>
      </c>
      <c r="Y34" s="92">
        <f>'Net zero emission summary'!AZ38</f>
        <v>7.8813449993659371E-2</v>
      </c>
      <c r="Z34" s="92">
        <f>'Net zero emission summary'!BA38</f>
        <v>7.8813449993659371E-2</v>
      </c>
      <c r="AA34" s="92">
        <f>'Net zero emission summary'!BB38</f>
        <v>7.8813449993659371E-2</v>
      </c>
      <c r="AB34" s="92">
        <f>'Net zero emission summary'!BC38</f>
        <v>7.8813449993659371E-2</v>
      </c>
      <c r="AC34" s="92">
        <f>'Net zero emission summary'!BD38</f>
        <v>7.8813449993659371E-2</v>
      </c>
      <c r="AD34" s="92">
        <f>'Net zero emission summary'!BE38</f>
        <v>7.8813449993659371E-2</v>
      </c>
      <c r="AE34" s="92">
        <f>'Net zero emission summary'!BF38</f>
        <v>7.8813449993659371E-2</v>
      </c>
      <c r="AF34" s="92">
        <f>'Net zero emission summary'!BG38</f>
        <v>7.8813449993659371E-2</v>
      </c>
      <c r="AG34" s="92">
        <f>'Net zero emission summary'!BH38</f>
        <v>7.8813449993659371E-2</v>
      </c>
      <c r="AH34" s="92">
        <f>'Net zero emission summary'!BI38</f>
        <v>7.8813449993659371E-2</v>
      </c>
      <c r="AI34" s="92">
        <f>'Net zero emission summary'!BJ38</f>
        <v>7.8813449993659371E-2</v>
      </c>
      <c r="AJ34" s="92">
        <f>'Net zero emission summary'!BK38</f>
        <v>7.8813449993659371E-2</v>
      </c>
      <c r="AK34" s="92">
        <f>'Net zero emission summary'!BL38</f>
        <v>7.8813449993659371E-2</v>
      </c>
      <c r="AL34" s="92">
        <f>'Net zero emission summary'!BM38</f>
        <v>7.8813449993659371E-2</v>
      </c>
      <c r="AM34" s="92">
        <f>'Net zero emission summary'!BN38</f>
        <v>7.8813449993659371E-2</v>
      </c>
      <c r="AN34" s="92">
        <f>'Net zero emission summary'!BO38</f>
        <v>7.8813449993659371E-2</v>
      </c>
      <c r="AO34" s="92">
        <f>'Net zero emission summary'!BP38</f>
        <v>7.8813449993659371E-2</v>
      </c>
      <c r="AP34" s="92">
        <f>'Net zero emission summary'!BQ38</f>
        <v>7.8813449993659371E-2</v>
      </c>
    </row>
    <row r="35" spans="1:42" x14ac:dyDescent="0.25">
      <c r="A35" t="str">
        <f>'Emissions summary'!C39</f>
        <v>3C1e Biomass burning in Settlements</v>
      </c>
      <c r="B35" t="str">
        <f t="shared" si="1"/>
        <v>A3C1e</v>
      </c>
      <c r="C35" t="str">
        <f>'Emissions summary'!D39</f>
        <v>N2O</v>
      </c>
      <c r="D35" s="92">
        <f>'Net zero emission summary'!AE39</f>
        <v>3.9235523819963862E-2</v>
      </c>
      <c r="E35" s="92">
        <f>'Net zero emission summary'!AF39</f>
        <v>3.9318445103539788E-2</v>
      </c>
      <c r="F35" s="92">
        <f>'Net zero emission summary'!AG39</f>
        <v>3.9401366387115715E-2</v>
      </c>
      <c r="G35" s="92">
        <f>'Net zero emission summary'!AH39</f>
        <v>3.9484287670691648E-2</v>
      </c>
      <c r="H35" s="92">
        <f>'Net zero emission summary'!AI39</f>
        <v>3.9567208954267574E-2</v>
      </c>
      <c r="I35" s="92">
        <f>'Net zero emission summary'!AJ39</f>
        <v>3.9650130237843507E-2</v>
      </c>
      <c r="J35" s="92">
        <f>'Net zero emission summary'!AK39</f>
        <v>3.9733051521419427E-2</v>
      </c>
      <c r="K35" s="92">
        <f>'Net zero emission summary'!AL39</f>
        <v>3.981597280499536E-2</v>
      </c>
      <c r="L35" s="92">
        <f>'Net zero emission summary'!AM39</f>
        <v>3.9898894088571286E-2</v>
      </c>
      <c r="M35" s="92">
        <f>'Net zero emission summary'!AN39</f>
        <v>3.9981815372147227E-2</v>
      </c>
      <c r="N35" s="92">
        <f>'Net zero emission summary'!AO39</f>
        <v>4.0064736655723153E-2</v>
      </c>
      <c r="O35" s="92">
        <f>'Net zero emission summary'!AP39</f>
        <v>4.0147657939299079E-2</v>
      </c>
      <c r="P35" s="92">
        <f>'Net zero emission summary'!AQ39</f>
        <v>4.0230579222875013E-2</v>
      </c>
      <c r="Q35" s="92">
        <f>'Net zero emission summary'!AR39</f>
        <v>4.0313500506450946E-2</v>
      </c>
      <c r="R35" s="92">
        <f>'Net zero emission summary'!AS39</f>
        <v>4.0396421790026865E-2</v>
      </c>
      <c r="S35" s="92">
        <f>'Net zero emission summary'!AT39</f>
        <v>4.0479343073602798E-2</v>
      </c>
      <c r="T35" s="92">
        <f>'Net zero emission summary'!AU39</f>
        <v>4.0562264357178725E-2</v>
      </c>
      <c r="U35" s="92">
        <f>'Net zero emission summary'!AV39</f>
        <v>4.0645185640754658E-2</v>
      </c>
      <c r="V35" s="92">
        <f>'Net zero emission summary'!AW39</f>
        <v>4.0728106924330584E-2</v>
      </c>
      <c r="W35" s="92">
        <f>'Net zero emission summary'!AX39</f>
        <v>4.0811028207906511E-2</v>
      </c>
      <c r="X35" s="92">
        <f>'Net zero emission summary'!AY39</f>
        <v>4.0893949491482444E-2</v>
      </c>
      <c r="Y35" s="92">
        <f>'Net zero emission summary'!AZ39</f>
        <v>4.097687077505837E-2</v>
      </c>
      <c r="Z35" s="92">
        <f>'Net zero emission summary'!BA39</f>
        <v>4.1059792058634303E-2</v>
      </c>
      <c r="AA35" s="92">
        <f>'Net zero emission summary'!BB39</f>
        <v>4.114271334221023E-2</v>
      </c>
      <c r="AB35" s="92">
        <f>'Net zero emission summary'!BC39</f>
        <v>4.1225634625786156E-2</v>
      </c>
      <c r="AC35" s="92">
        <f>'Net zero emission summary'!BD39</f>
        <v>4.1308555909362089E-2</v>
      </c>
      <c r="AD35" s="92">
        <f>'Net zero emission summary'!BE39</f>
        <v>4.1391477192938023E-2</v>
      </c>
      <c r="AE35" s="92">
        <f>'Net zero emission summary'!BF39</f>
        <v>4.1474398476513949E-2</v>
      </c>
      <c r="AF35" s="92">
        <f>'Net zero emission summary'!BG39</f>
        <v>4.1557319760089875E-2</v>
      </c>
      <c r="AG35" s="92">
        <f>'Net zero emission summary'!BH39</f>
        <v>4.1640241043665809E-2</v>
      </c>
      <c r="AH35" s="92">
        <f>'Net zero emission summary'!BI39</f>
        <v>4.1723162327241742E-2</v>
      </c>
      <c r="AI35" s="92">
        <f>'Net zero emission summary'!BJ39</f>
        <v>4.1806083610817661E-2</v>
      </c>
      <c r="AJ35" s="92">
        <f>'Net zero emission summary'!BK39</f>
        <v>4.1889004894393594E-2</v>
      </c>
      <c r="AK35" s="92">
        <f>'Net zero emission summary'!BL39</f>
        <v>4.1971926177969528E-2</v>
      </c>
      <c r="AL35" s="92">
        <f>'Net zero emission summary'!BM39</f>
        <v>4.2054847461545454E-2</v>
      </c>
      <c r="AM35" s="92">
        <f>'Net zero emission summary'!BN39</f>
        <v>4.2137768745121387E-2</v>
      </c>
      <c r="AN35" s="92">
        <f>'Net zero emission summary'!BO39</f>
        <v>4.2220690028697307E-2</v>
      </c>
      <c r="AO35" s="92">
        <f>'Net zero emission summary'!BP39</f>
        <v>4.230361131227324E-2</v>
      </c>
      <c r="AP35" s="92">
        <f>'Net zero emission summary'!BQ39</f>
        <v>4.2386532595849173E-2</v>
      </c>
    </row>
    <row r="36" spans="1:42" x14ac:dyDescent="0.25">
      <c r="A36" t="str">
        <f>'Emissions summary'!C40</f>
        <v>3C1f Biomass burning in Other lands</v>
      </c>
      <c r="B36" t="str">
        <f t="shared" si="1"/>
        <v>A3C1f</v>
      </c>
      <c r="C36" t="str">
        <f>'Emissions summary'!D40</f>
        <v>N2O</v>
      </c>
      <c r="D36" s="92">
        <f>'Net zero emission summary'!AE40</f>
        <v>0</v>
      </c>
      <c r="E36" s="92">
        <f>'Net zero emission summary'!AF40</f>
        <v>0</v>
      </c>
      <c r="F36" s="92">
        <f>'Net zero emission summary'!AG40</f>
        <v>0</v>
      </c>
      <c r="G36" s="92">
        <f>'Net zero emission summary'!AH40</f>
        <v>0</v>
      </c>
      <c r="H36" s="92">
        <f>'Net zero emission summary'!AI40</f>
        <v>0</v>
      </c>
      <c r="I36" s="92">
        <f>'Net zero emission summary'!AJ40</f>
        <v>0</v>
      </c>
      <c r="J36" s="92">
        <f>'Net zero emission summary'!AK40</f>
        <v>0</v>
      </c>
      <c r="K36" s="92">
        <f>'Net zero emission summary'!AL40</f>
        <v>0</v>
      </c>
      <c r="L36" s="92">
        <f>'Net zero emission summary'!AM40</f>
        <v>0</v>
      </c>
      <c r="M36" s="92">
        <f>'Net zero emission summary'!AN40</f>
        <v>0</v>
      </c>
      <c r="N36" s="92">
        <f>'Net zero emission summary'!AO40</f>
        <v>0</v>
      </c>
      <c r="O36" s="92">
        <f>'Net zero emission summary'!AP40</f>
        <v>0</v>
      </c>
      <c r="P36" s="92">
        <f>'Net zero emission summary'!AQ40</f>
        <v>0</v>
      </c>
      <c r="Q36" s="92">
        <f>'Net zero emission summary'!AR40</f>
        <v>0</v>
      </c>
      <c r="R36" s="92">
        <f>'Net zero emission summary'!AS40</f>
        <v>0</v>
      </c>
      <c r="S36" s="92">
        <f>'Net zero emission summary'!AT40</f>
        <v>0</v>
      </c>
      <c r="T36" s="92">
        <f>'Net zero emission summary'!AU40</f>
        <v>0</v>
      </c>
      <c r="U36" s="92">
        <f>'Net zero emission summary'!AV40</f>
        <v>0</v>
      </c>
      <c r="V36" s="92">
        <f>'Net zero emission summary'!AW40</f>
        <v>0</v>
      </c>
      <c r="W36" s="92">
        <f>'Net zero emission summary'!AX40</f>
        <v>0</v>
      </c>
      <c r="X36" s="92">
        <f>'Net zero emission summary'!AY40</f>
        <v>0</v>
      </c>
      <c r="Y36" s="92">
        <f>'Net zero emission summary'!AZ40</f>
        <v>0</v>
      </c>
      <c r="Z36" s="92">
        <f>'Net zero emission summary'!BA40</f>
        <v>0</v>
      </c>
      <c r="AA36" s="92">
        <f>'Net zero emission summary'!BB40</f>
        <v>0</v>
      </c>
      <c r="AB36" s="92">
        <f>'Net zero emission summary'!BC40</f>
        <v>0</v>
      </c>
      <c r="AC36" s="92">
        <f>'Net zero emission summary'!BD40</f>
        <v>0</v>
      </c>
      <c r="AD36" s="92">
        <f>'Net zero emission summary'!BE40</f>
        <v>0</v>
      </c>
      <c r="AE36" s="92">
        <f>'Net zero emission summary'!BF40</f>
        <v>0</v>
      </c>
      <c r="AF36" s="92">
        <f>'Net zero emission summary'!BG40</f>
        <v>0</v>
      </c>
      <c r="AG36" s="92">
        <f>'Net zero emission summary'!BH40</f>
        <v>0</v>
      </c>
      <c r="AH36" s="92">
        <f>'Net zero emission summary'!BI40</f>
        <v>0</v>
      </c>
      <c r="AI36" s="92">
        <f>'Net zero emission summary'!BJ40</f>
        <v>0</v>
      </c>
      <c r="AJ36" s="92">
        <f>'Net zero emission summary'!BK40</f>
        <v>0</v>
      </c>
      <c r="AK36" s="92">
        <f>'Net zero emission summary'!BL40</f>
        <v>0</v>
      </c>
      <c r="AL36" s="92">
        <f>'Net zero emission summary'!BM40</f>
        <v>0</v>
      </c>
      <c r="AM36" s="92">
        <f>'Net zero emission summary'!BN40</f>
        <v>0</v>
      </c>
      <c r="AN36" s="92">
        <f>'Net zero emission summary'!BO40</f>
        <v>0</v>
      </c>
      <c r="AO36" s="92">
        <f>'Net zero emission summary'!BP40</f>
        <v>0</v>
      </c>
      <c r="AP36" s="92">
        <f>'Net zero emission summary'!BQ40</f>
        <v>0</v>
      </c>
    </row>
    <row r="37" spans="1:42" x14ac:dyDescent="0.25">
      <c r="A37" t="str">
        <f>'Emissions summary'!B41</f>
        <v>3C2 Liming (CO2)</v>
      </c>
      <c r="B37" t="str">
        <f>"A"&amp;LEFT(A37,3)</f>
        <v>A3C2</v>
      </c>
      <c r="C37" t="str">
        <f>'Emissions summary'!D41</f>
        <v>CO2</v>
      </c>
      <c r="D37" s="92">
        <f>'Net zero emission summary'!AE41</f>
        <v>886.46691832724639</v>
      </c>
      <c r="E37" s="92">
        <f>'Net zero emission summary'!AF41</f>
        <v>888.5196405131752</v>
      </c>
      <c r="F37" s="92">
        <f>'Net zero emission summary'!AG41</f>
        <v>891.96064822562096</v>
      </c>
      <c r="G37" s="92">
        <f>'Net zero emission summary'!AH41</f>
        <v>894.88916078976843</v>
      </c>
      <c r="H37" s="92">
        <f>'Net zero emission summary'!AI41</f>
        <v>895.84739945695708</v>
      </c>
      <c r="I37" s="92">
        <f>'Net zero emission summary'!AJ41</f>
        <v>896.81728908321736</v>
      </c>
      <c r="J37" s="92">
        <f>'Net zero emission summary'!AK41</f>
        <v>899.77409431497051</v>
      </c>
      <c r="K37" s="92">
        <f>'Net zero emission summary'!AL41</f>
        <v>902.09125086952031</v>
      </c>
      <c r="L37" s="92">
        <f>'Net zero emission summary'!AM41</f>
        <v>902.24725498392274</v>
      </c>
      <c r="M37" s="92">
        <f>'Net zero emission summary'!AN41</f>
        <v>892.60902179925608</v>
      </c>
      <c r="N37" s="92">
        <f>'Net zero emission summary'!AO41</f>
        <v>897.88077216623924</v>
      </c>
      <c r="O37" s="92">
        <f>'Net zero emission summary'!AP41</f>
        <v>901.86785433623902</v>
      </c>
      <c r="P37" s="92">
        <f>'Net zero emission summary'!AQ41</f>
        <v>905.54375743786386</v>
      </c>
      <c r="Q37" s="92">
        <f>'Net zero emission summary'!AR41</f>
        <v>909.62789125994425</v>
      </c>
      <c r="R37" s="92">
        <f>'Net zero emission summary'!AS41</f>
        <v>915.17819871340487</v>
      </c>
      <c r="S37" s="92">
        <f>'Net zero emission summary'!AT41</f>
        <v>920.99002879575733</v>
      </c>
      <c r="T37" s="92">
        <f>'Net zero emission summary'!AU41</f>
        <v>927.07478216005029</v>
      </c>
      <c r="U37" s="92">
        <f>'Net zero emission summary'!AV41</f>
        <v>932.48269891354084</v>
      </c>
      <c r="V37" s="92">
        <f>'Net zero emission summary'!AW41</f>
        <v>938.44873038731919</v>
      </c>
      <c r="W37" s="92">
        <f>'Net zero emission summary'!AX41</f>
        <v>945.07999666505555</v>
      </c>
      <c r="X37" s="92">
        <f>'Net zero emission summary'!AY41</f>
        <v>951.43174054913004</v>
      </c>
      <c r="Y37" s="92">
        <f>'Net zero emission summary'!AZ41</f>
        <v>957.88938710584625</v>
      </c>
      <c r="Z37" s="92">
        <f>'Net zero emission summary'!BA41</f>
        <v>964.3285468230124</v>
      </c>
      <c r="AA37" s="92">
        <f>'Net zero emission summary'!BB41</f>
        <v>971.2274721173485</v>
      </c>
      <c r="AB37" s="92">
        <f>'Net zero emission summary'!BC41</f>
        <v>977.31823571713028</v>
      </c>
      <c r="AC37" s="92">
        <f>'Net zero emission summary'!BD41</f>
        <v>983.57793052447698</v>
      </c>
      <c r="AD37" s="92">
        <f>'Net zero emission summary'!BE41</f>
        <v>989.80396855314598</v>
      </c>
      <c r="AE37" s="92">
        <f>'Net zero emission summary'!BF41</f>
        <v>995.6874985828008</v>
      </c>
      <c r="AF37" s="92">
        <f>'Net zero emission summary'!BG41</f>
        <v>1001.4527108587529</v>
      </c>
      <c r="AG37" s="92">
        <f>'Net zero emission summary'!BH41</f>
        <v>1007.2848843182181</v>
      </c>
      <c r="AH37" s="92">
        <f>'Net zero emission summary'!BI41</f>
        <v>1013.2376412307941</v>
      </c>
      <c r="AI37" s="92">
        <f>'Net zero emission summary'!BJ41</f>
        <v>1018.7943384588782</v>
      </c>
      <c r="AJ37" s="92">
        <f>'Net zero emission summary'!BK41</f>
        <v>1024.3150671694632</v>
      </c>
      <c r="AK37" s="92">
        <f>'Net zero emission summary'!BL41</f>
        <v>1029.8081254914655</v>
      </c>
      <c r="AL37" s="92">
        <f>'Net zero emission summary'!BM41</f>
        <v>1035.5032855203945</v>
      </c>
      <c r="AM37" s="92">
        <f>'Net zero emission summary'!BN41</f>
        <v>1041.199437822145</v>
      </c>
      <c r="AN37" s="92">
        <f>'Net zero emission summary'!BO41</f>
        <v>1044.7334229183193</v>
      </c>
      <c r="AO37" s="92">
        <f>'Net zero emission summary'!BP41</f>
        <v>1048.092878940131</v>
      </c>
      <c r="AP37" s="92">
        <f>'Net zero emission summary'!BQ41</f>
        <v>1051.6990964077904</v>
      </c>
    </row>
    <row r="38" spans="1:42" x14ac:dyDescent="0.25">
      <c r="A38" t="str">
        <f>'Emissions summary'!B42</f>
        <v>3C3 Urea application (CO2)</v>
      </c>
      <c r="B38" t="str">
        <f>"A"&amp;LEFT(A38,3)</f>
        <v>A3C3</v>
      </c>
      <c r="C38" t="str">
        <f>'Emissions summary'!D42</f>
        <v>CO2</v>
      </c>
      <c r="D38" s="92">
        <f>'Net zero emission summary'!AE42</f>
        <v>470.0955092083982</v>
      </c>
      <c r="E38" s="92">
        <f>'Net zero emission summary'!AF42</f>
        <v>470.04378916185391</v>
      </c>
      <c r="F38" s="92">
        <f>'Net zero emission summary'!AG42</f>
        <v>469.95709010424787</v>
      </c>
      <c r="G38" s="92">
        <f>'Net zero emission summary'!AH42</f>
        <v>469.88330378909933</v>
      </c>
      <c r="H38" s="92">
        <f>'Net zero emission summary'!AI42</f>
        <v>469.85916016712889</v>
      </c>
      <c r="I38" s="92">
        <f>'Net zero emission summary'!AJ42</f>
        <v>469.83472298953274</v>
      </c>
      <c r="J38" s="92">
        <f>'Net zero emission summary'!AK42</f>
        <v>469.76022381704024</v>
      </c>
      <c r="K38" s="92">
        <f>'Net zero emission summary'!AL42</f>
        <v>469.7018411261563</v>
      </c>
      <c r="L38" s="92">
        <f>'Net zero emission summary'!AM42</f>
        <v>469.69791047245496</v>
      </c>
      <c r="M38" s="92">
        <f>'Net zero emission summary'!AN42</f>
        <v>469.94075379160097</v>
      </c>
      <c r="N38" s="92">
        <f>'Net zero emission summary'!AO42</f>
        <v>469.80792764677761</v>
      </c>
      <c r="O38" s="92">
        <f>'Net zero emission summary'!AP42</f>
        <v>469.70746978802691</v>
      </c>
      <c r="P38" s="92">
        <f>'Net zero emission summary'!AQ42</f>
        <v>469.61485234529096</v>
      </c>
      <c r="Q38" s="92">
        <f>'Net zero emission summary'!AR42</f>
        <v>469.51194918926763</v>
      </c>
      <c r="R38" s="92">
        <f>'Net zero emission summary'!AS42</f>
        <v>469.37210456645607</v>
      </c>
      <c r="S38" s="92">
        <f>'Net zero emission summary'!AT42</f>
        <v>469.22567066301434</v>
      </c>
      <c r="T38" s="92">
        <f>'Net zero emission summary'!AU42</f>
        <v>469.07236022998597</v>
      </c>
      <c r="U38" s="92">
        <f>'Net zero emission summary'!AV42</f>
        <v>468.93610325955154</v>
      </c>
      <c r="V38" s="92">
        <f>'Net zero emission summary'!AW42</f>
        <v>468.78578412351658</v>
      </c>
      <c r="W38" s="92">
        <f>'Net zero emission summary'!AX42</f>
        <v>468.61870384208186</v>
      </c>
      <c r="X38" s="92">
        <f>'Net zero emission summary'!AY42</f>
        <v>468.45866636035458</v>
      </c>
      <c r="Y38" s="92">
        <f>'Net zero emission summary'!AZ42</f>
        <v>468.29596057251365</v>
      </c>
      <c r="Z38" s="92">
        <f>'Net zero emission summary'!BA42</f>
        <v>468.1337205760052</v>
      </c>
      <c r="AA38" s="92">
        <f>'Net zero emission summary'!BB42</f>
        <v>467.95989640253708</v>
      </c>
      <c r="AB38" s="92">
        <f>'Net zero emission summary'!BC42</f>
        <v>467.8064345366156</v>
      </c>
      <c r="AC38" s="92">
        <f>'Net zero emission summary'!BD42</f>
        <v>467.64871630810501</v>
      </c>
      <c r="AD38" s="92">
        <f>'Net zero emission summary'!BE42</f>
        <v>467.49184609018818</v>
      </c>
      <c r="AE38" s="92">
        <f>'Net zero emission summary'!BF42</f>
        <v>467.34360564680793</v>
      </c>
      <c r="AF38" s="92">
        <f>'Net zero emission summary'!BG42</f>
        <v>467.19834631785739</v>
      </c>
      <c r="AG38" s="92">
        <f>'Net zero emission summary'!BH42</f>
        <v>467.05139984607189</v>
      </c>
      <c r="AH38" s="92">
        <f>'Net zero emission summary'!BI42</f>
        <v>466.90141517367164</v>
      </c>
      <c r="AI38" s="92">
        <f>'Net zero emission summary'!BJ42</f>
        <v>466.76140955516212</v>
      </c>
      <c r="AJ38" s="92">
        <f>'Net zero emission summary'!BK42</f>
        <v>466.62231019343295</v>
      </c>
      <c r="AK38" s="92">
        <f>'Net zero emission summary'!BL42</f>
        <v>466.48390801020918</v>
      </c>
      <c r="AL38" s="92">
        <f>'Net zero emission summary'!BM42</f>
        <v>466.34041370601517</v>
      </c>
      <c r="AM38" s="92">
        <f>'Net zero emission summary'!BN42</f>
        <v>466.19689440068032</v>
      </c>
      <c r="AN38" s="92">
        <f>'Net zero emission summary'!BO42</f>
        <v>466.10785270038889</v>
      </c>
      <c r="AO38" s="92">
        <f>'Net zero emission summary'!BP42</f>
        <v>466.02320840560674</v>
      </c>
      <c r="AP38" s="92">
        <f>'Net zero emission summary'!BQ42</f>
        <v>465.93234675050559</v>
      </c>
    </row>
    <row r="39" spans="1:42" x14ac:dyDescent="0.25">
      <c r="A39" t="str">
        <f>'Emissions summary'!B44</f>
        <v>3C4 Direct N2O from managed soils (N2O)</v>
      </c>
      <c r="B39" t="str">
        <f>"A"&amp;LEFT(A39,3)</f>
        <v>A3C4</v>
      </c>
      <c r="C39" t="str">
        <f>'Emissions summary'!D44</f>
        <v>N2O</v>
      </c>
      <c r="D39" s="92">
        <f>'Net zero emission summary'!AE43</f>
        <v>55.475978434343034</v>
      </c>
      <c r="E39" s="92">
        <f>'Net zero emission summary'!AF43</f>
        <v>55.400630533704764</v>
      </c>
      <c r="F39" s="92">
        <f>'Net zero emission summary'!AG43</f>
        <v>55.206286686019403</v>
      </c>
      <c r="G39" s="92">
        <f>'Net zero emission summary'!AH43</f>
        <v>54.512472007317285</v>
      </c>
      <c r="H39" s="92">
        <f>'Net zero emission summary'!AI43</f>
        <v>53.850474162498799</v>
      </c>
      <c r="I39" s="92">
        <f>'Net zero emission summary'!AJ43</f>
        <v>53.710876909124423</v>
      </c>
      <c r="J39" s="92">
        <f>'Net zero emission summary'!AK43</f>
        <v>53.425859247101819</v>
      </c>
      <c r="K39" s="92">
        <f>'Net zero emission summary'!AL43</f>
        <v>52.633388831569128</v>
      </c>
      <c r="L39" s="92">
        <f>'Net zero emission summary'!AM43</f>
        <v>49.666104047683412</v>
      </c>
      <c r="M39" s="92">
        <f>'Net zero emission summary'!AN43</f>
        <v>48.416183553184723</v>
      </c>
      <c r="N39" s="92">
        <f>'Net zero emission summary'!AO43</f>
        <v>46.920013033101242</v>
      </c>
      <c r="O39" s="92">
        <f>'Net zero emission summary'!AP43</f>
        <v>45.362255470229265</v>
      </c>
      <c r="P39" s="92">
        <f>'Net zero emission summary'!AQ43</f>
        <v>43.877560182923951</v>
      </c>
      <c r="Q39" s="92">
        <f>'Net zero emission summary'!AR43</f>
        <v>42.61638168772275</v>
      </c>
      <c r="R39" s="92">
        <f>'Net zero emission summary'!AS43</f>
        <v>41.346903072535966</v>
      </c>
      <c r="S39" s="92">
        <f>'Net zero emission summary'!AT43</f>
        <v>40.069712641710346</v>
      </c>
      <c r="T39" s="92">
        <f>'Net zero emission summary'!AU43</f>
        <v>38.660432952195762</v>
      </c>
      <c r="U39" s="92">
        <f>'Net zero emission summary'!AV43</f>
        <v>37.277257162131825</v>
      </c>
      <c r="V39" s="92">
        <f>'Net zero emission summary'!AW43</f>
        <v>35.91647304593026</v>
      </c>
      <c r="W39" s="92">
        <f>'Net zero emission summary'!AX43</f>
        <v>35.279820456012423</v>
      </c>
      <c r="X39" s="92">
        <f>'Net zero emission summary'!AY43</f>
        <v>34.624889019711752</v>
      </c>
      <c r="Y39" s="92">
        <f>'Net zero emission summary'!AZ43</f>
        <v>33.941162835659071</v>
      </c>
      <c r="Z39" s="92">
        <f>'Net zero emission summary'!BA43</f>
        <v>33.267260095370716</v>
      </c>
      <c r="AA39" s="92">
        <f>'Net zero emission summary'!BB43</f>
        <v>32.503921023977092</v>
      </c>
      <c r="AB39" s="92">
        <f>'Net zero emission summary'!BC43</f>
        <v>31.720245042325921</v>
      </c>
      <c r="AC39" s="92">
        <f>'Net zero emission summary'!BD43</f>
        <v>30.912408141661061</v>
      </c>
      <c r="AD39" s="92">
        <f>'Net zero emission summary'!BE43</f>
        <v>30.063571558216523</v>
      </c>
      <c r="AE39" s="92">
        <f>'Net zero emission summary'!BF43</f>
        <v>29.191210102823952</v>
      </c>
      <c r="AF39" s="92">
        <f>'Net zero emission summary'!BG43</f>
        <v>28.30744729347682</v>
      </c>
      <c r="AG39" s="92">
        <f>'Net zero emission summary'!BH43</f>
        <v>27.976326299601723</v>
      </c>
      <c r="AH39" s="92">
        <f>'Net zero emission summary'!BI43</f>
        <v>27.619163010655306</v>
      </c>
      <c r="AI39" s="92">
        <f>'Net zero emission summary'!BJ43</f>
        <v>27.251871773145453</v>
      </c>
      <c r="AJ39" s="92">
        <f>'Net zero emission summary'!BK43</f>
        <v>26.876461601426623</v>
      </c>
      <c r="AK39" s="92">
        <f>'Net zero emission summary'!BL43</f>
        <v>26.50094661933209</v>
      </c>
      <c r="AL39" s="92">
        <f>'Net zero emission summary'!BM43</f>
        <v>26.110867079394822</v>
      </c>
      <c r="AM39" s="92">
        <f>'Net zero emission summary'!BN43</f>
        <v>25.658139942174998</v>
      </c>
      <c r="AN39" s="92">
        <f>'Net zero emission summary'!BO43</f>
        <v>25.202338818545691</v>
      </c>
      <c r="AO39" s="92">
        <f>'Net zero emission summary'!BP43</f>
        <v>24.759040002817581</v>
      </c>
      <c r="AP39" s="92">
        <f>'Net zero emission summary'!BQ43</f>
        <v>24.320921040994719</v>
      </c>
    </row>
    <row r="40" spans="1:42" x14ac:dyDescent="0.25">
      <c r="A40" t="str">
        <f>'Emissions summary'!B49</f>
        <v>3C5 Indirect N2O from managed soils (N2O)</v>
      </c>
      <c r="B40" t="str">
        <f t="shared" ref="B40:B41" si="2">"A"&amp;LEFT(A40,3)</f>
        <v>A3C5</v>
      </c>
      <c r="C40" t="str">
        <f>'Emissions summary'!D49</f>
        <v>N2O</v>
      </c>
      <c r="D40" s="92">
        <f>'Net zero emission summary'!AE49</f>
        <v>6.633800481872985</v>
      </c>
      <c r="E40" s="92">
        <f>'Net zero emission summary'!AF49</f>
        <v>6.6300248267811659</v>
      </c>
      <c r="F40" s="92">
        <f>'Net zero emission summary'!AG49</f>
        <v>6.6118046559748906</v>
      </c>
      <c r="G40" s="92">
        <f>'Net zero emission summary'!AH49</f>
        <v>6.5324355505546023</v>
      </c>
      <c r="H40" s="92">
        <f>'Net zero emission summary'!AI49</f>
        <v>6.4578264666276128</v>
      </c>
      <c r="I40" s="92">
        <f>'Net zero emission summary'!AJ49</f>
        <v>6.4483932144501388</v>
      </c>
      <c r="J40" s="92">
        <f>'Net zero emission summary'!AK49</f>
        <v>6.4207001632068428</v>
      </c>
      <c r="K40" s="92">
        <f>'Net zero emission summary'!AL49</f>
        <v>6.3302110217987337</v>
      </c>
      <c r="L40" s="92">
        <f>'Net zero emission summary'!AM49</f>
        <v>5.9687705788870877</v>
      </c>
      <c r="M40" s="92">
        <f>'Net zero emission summary'!AN49</f>
        <v>5.8483797975126972</v>
      </c>
      <c r="N40" s="92">
        <f>'Net zero emission summary'!AO49</f>
        <v>5.6930292625289898</v>
      </c>
      <c r="O40" s="92">
        <f>'Net zero emission summary'!AP49</f>
        <v>5.5296644730091291</v>
      </c>
      <c r="P40" s="92">
        <f>'Net zero emission summary'!AQ49</f>
        <v>5.3753577546581139</v>
      </c>
      <c r="Q40" s="92">
        <f>'Net zero emission summary'!AR49</f>
        <v>5.2504115456250098</v>
      </c>
      <c r="R40" s="92">
        <f>'Net zero emission summary'!AS49</f>
        <v>5.1240063601924533</v>
      </c>
      <c r="S40" s="92">
        <f>'Net zero emission summary'!AT49</f>
        <v>4.9974092509610273</v>
      </c>
      <c r="T40" s="92">
        <f>'Net zero emission summary'!AU49</f>
        <v>4.8532177805081389</v>
      </c>
      <c r="U40" s="92">
        <f>'Net zero emission summary'!AV49</f>
        <v>4.7137555492252075</v>
      </c>
      <c r="V40" s="92">
        <f>'Net zero emission summary'!AW49</f>
        <v>4.5788444347659514</v>
      </c>
      <c r="W40" s="92">
        <f>'Net zero emission summary'!AX49</f>
        <v>4.5172958560384329</v>
      </c>
      <c r="X40" s="92">
        <f>'Net zero emission summary'!AY49</f>
        <v>4.4537643231361859</v>
      </c>
      <c r="Y40" s="92">
        <f>'Net zero emission summary'!AZ49</f>
        <v>4.3864547476065203</v>
      </c>
      <c r="Z40" s="92">
        <f>'Net zero emission summary'!BA49</f>
        <v>4.3215761241548964</v>
      </c>
      <c r="AA40" s="92">
        <f>'Net zero emission summary'!BB49</f>
        <v>4.2428029689799889</v>
      </c>
      <c r="AB40" s="92">
        <f>'Net zero emission summary'!BC49</f>
        <v>4.1613585420083732</v>
      </c>
      <c r="AC40" s="92">
        <f>'Net zero emission summary'!BD49</f>
        <v>4.0763691387847985</v>
      </c>
      <c r="AD40" s="92">
        <f>'Net zero emission summary'!BE49</f>
        <v>3.9847025216391705</v>
      </c>
      <c r="AE40" s="92">
        <f>'Net zero emission summary'!BF49</f>
        <v>3.8892386846205342</v>
      </c>
      <c r="AF40" s="92">
        <f>'Net zero emission summary'!BG49</f>
        <v>3.7919782380560156</v>
      </c>
      <c r="AG40" s="92">
        <f>'Net zero emission summary'!BH49</f>
        <v>3.7685370735147359</v>
      </c>
      <c r="AH40" s="92">
        <f>'Net zero emission summary'!BI49</f>
        <v>3.7405577111161921</v>
      </c>
      <c r="AI40" s="92">
        <f>'Net zero emission summary'!BJ49</f>
        <v>3.7113508546438996</v>
      </c>
      <c r="AJ40" s="92">
        <f>'Net zero emission summary'!BK49</f>
        <v>3.6810701910374979</v>
      </c>
      <c r="AK40" s="92">
        <f>'Net zero emission summary'!BL49</f>
        <v>3.6515729804947452</v>
      </c>
      <c r="AL40" s="92">
        <f>'Net zero emission summary'!BM49</f>
        <v>3.6197388593315312</v>
      </c>
      <c r="AM40" s="92">
        <f>'Net zero emission summary'!BN49</f>
        <v>3.5713117916520636</v>
      </c>
      <c r="AN40" s="92">
        <f>'Net zero emission summary'!BO49</f>
        <v>3.5220074982780938</v>
      </c>
      <c r="AO40" s="92">
        <f>'Net zero emission summary'!BP49</f>
        <v>3.4749473435722291</v>
      </c>
      <c r="AP40" s="92">
        <f>'Net zero emission summary'!BQ49</f>
        <v>3.4274753656080952</v>
      </c>
    </row>
    <row r="41" spans="1:42" x14ac:dyDescent="0.25">
      <c r="A41" t="str">
        <f>'Emissions summary'!B52</f>
        <v>3C6 Indirect N2O from manure management (N2O)</v>
      </c>
      <c r="B41" t="str">
        <f t="shared" si="2"/>
        <v>A3C6</v>
      </c>
      <c r="C41" t="str">
        <f>'Emissions summary'!D52</f>
        <v>N2O</v>
      </c>
      <c r="D41" s="92">
        <f>'Net zero emission summary'!AE52</f>
        <v>1.5016874000809757</v>
      </c>
      <c r="E41" s="92">
        <f>'Net zero emission summary'!AF52</f>
        <v>1.5212038114888795</v>
      </c>
      <c r="F41" s="92">
        <f>'Net zero emission summary'!AG52</f>
        <v>1.5357851396347018</v>
      </c>
      <c r="G41" s="92">
        <f>'Net zero emission summary'!AH52</f>
        <v>1.5289173386940065</v>
      </c>
      <c r="H41" s="92">
        <f>'Net zero emission summary'!AI52</f>
        <v>1.5228935421905561</v>
      </c>
      <c r="I41" s="92">
        <f>'Net zero emission summary'!AJ52</f>
        <v>1.5396358297633466</v>
      </c>
      <c r="J41" s="92">
        <f>'Net zero emission summary'!AK52</f>
        <v>1.5498332699408952</v>
      </c>
      <c r="K41" s="92">
        <f>'Net zero emission summary'!AL52</f>
        <v>1.5364061921220382</v>
      </c>
      <c r="L41" s="92">
        <f>'Net zero emission summary'!AM52</f>
        <v>1.4182480953137817</v>
      </c>
      <c r="M41" s="92">
        <f>'Net zero emission summary'!AN52</f>
        <v>1.4614411738727207</v>
      </c>
      <c r="N41" s="92">
        <f>'Net zero emission summary'!AO52</f>
        <v>1.4917725939728019</v>
      </c>
      <c r="O41" s="92">
        <f>'Net zero emission summary'!AP52</f>
        <v>1.5193610475976624</v>
      </c>
      <c r="P41" s="92">
        <f>'Net zero emission summary'!AQ52</f>
        <v>1.5520488277805384</v>
      </c>
      <c r="Q41" s="92">
        <f>'Net zero emission summary'!AR52</f>
        <v>1.6019474802638336</v>
      </c>
      <c r="R41" s="92">
        <f>'Net zero emission summary'!AS52</f>
        <v>1.6563850438050247</v>
      </c>
      <c r="S41" s="92">
        <f>'Net zero emission summary'!AT52</f>
        <v>1.715495440025345</v>
      </c>
      <c r="T41" s="92">
        <f>'Net zero emission summary'!AU52</f>
        <v>1.7680447072973338</v>
      </c>
      <c r="U41" s="92">
        <f>'Net zero emission summary'!AV52</f>
        <v>1.828807692985035</v>
      </c>
      <c r="V41" s="92">
        <f>'Net zero emission summary'!AW52</f>
        <v>1.8996839899937705</v>
      </c>
      <c r="W41" s="92">
        <f>'Net zero emission summary'!AX52</f>
        <v>1.969415479953599</v>
      </c>
      <c r="X41" s="92">
        <f>'Net zero emission summary'!AY52</f>
        <v>2.0426246144872331</v>
      </c>
      <c r="Y41" s="92">
        <f>'Net zero emission summary'!AZ52</f>
        <v>2.1177803673432494</v>
      </c>
      <c r="Z41" s="92">
        <f>'Net zero emission summary'!BA52</f>
        <v>2.201719505068382</v>
      </c>
      <c r="AA41" s="92">
        <f>'Net zero emission summary'!BB52</f>
        <v>2.2765727587920277</v>
      </c>
      <c r="AB41" s="92">
        <f>'Net zero emission summary'!BC52</f>
        <v>2.3562599455267015</v>
      </c>
      <c r="AC41" s="92">
        <f>'Net zero emission summary'!BD52</f>
        <v>2.4377754783905576</v>
      </c>
      <c r="AD41" s="92">
        <f>'Net zero emission summary'!BE52</f>
        <v>2.5162850496478253</v>
      </c>
      <c r="AE41" s="92">
        <f>'Net zero emission summary'!BF52</f>
        <v>2.5950714752876509</v>
      </c>
      <c r="AF41" s="92">
        <f>'Net zero emission summary'!BG52</f>
        <v>2.6771222319681609</v>
      </c>
      <c r="AG41" s="92">
        <f>'Net zero emission summary'!BH52</f>
        <v>2.7634477625689708</v>
      </c>
      <c r="AH41" s="92">
        <f>'Net zero emission summary'!BI52</f>
        <v>2.8453062997632568</v>
      </c>
      <c r="AI41" s="92">
        <f>'Net zero emission summary'!BJ52</f>
        <v>2.9286754125483871</v>
      </c>
      <c r="AJ41" s="92">
        <f>'Net zero emission summary'!BK52</f>
        <v>3.0137206224850965</v>
      </c>
      <c r="AK41" s="92">
        <f>'Net zero emission summary'!BL52</f>
        <v>3.104752102586124</v>
      </c>
      <c r="AL41" s="92">
        <f>'Net zero emission summary'!BM52</f>
        <v>3.1983995858211811</v>
      </c>
      <c r="AM41" s="92">
        <f>'Net zero emission summary'!BN52</f>
        <v>3.252418302668262</v>
      </c>
      <c r="AN41" s="92">
        <f>'Net zero emission summary'!BO52</f>
        <v>3.303969063488347</v>
      </c>
      <c r="AO41" s="92">
        <f>'Net zero emission summary'!BP52</f>
        <v>3.361316874797839</v>
      </c>
      <c r="AP41" s="92">
        <f>'Net zero emission summary'!BQ52</f>
        <v>3.4166875925762676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41" t="s">
        <v>11</v>
      </c>
      <c r="B3" s="142"/>
      <c r="C3" s="142"/>
      <c r="D3" s="143"/>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40" t="s">
        <v>36</v>
      </c>
      <c r="C40" s="3" t="s">
        <v>37</v>
      </c>
      <c r="D40" s="3"/>
      <c r="F40" t="s">
        <v>137</v>
      </c>
    </row>
    <row r="41" spans="1:6" x14ac:dyDescent="0.25">
      <c r="A41" s="6"/>
      <c r="B41" s="140"/>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0"/>
  <sheetViews>
    <sheetView workbookViewId="0">
      <selection activeCell="AE10" sqref="AE10"/>
    </sheetView>
  </sheetViews>
  <sheetFormatPr defaultRowHeight="15" outlineLevelCol="1" x14ac:dyDescent="0.25"/>
  <cols>
    <col min="1" max="1" width="19.140625" customWidth="1"/>
    <col min="2" max="2" width="12.85546875" customWidth="1"/>
    <col min="3" max="3" width="28.5703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2">
        <f>DriversCGE!A35*1000</f>
        <v>52325432.882070079</v>
      </c>
      <c r="AA4" s="22">
        <f>DriversCGE!B35*1000</f>
        <v>53104386.458423354</v>
      </c>
      <c r="AB4" s="22">
        <f>DriversCGE!C35*1000</f>
        <v>53912365.691429272</v>
      </c>
      <c r="AC4" s="22">
        <f>DriversCGE!D35*1000</f>
        <v>54750491.457321115</v>
      </c>
      <c r="AD4" s="22">
        <f>DriversCGE!E35*1000</f>
        <v>55619940.469824828</v>
      </c>
      <c r="AE4" s="22">
        <f>DriversCGE!F35*1000</f>
        <v>56521948.041648097</v>
      </c>
      <c r="AF4" s="22">
        <f>DriversCGE!G35*1000</f>
        <v>57436000.617299668</v>
      </c>
      <c r="AG4" s="22">
        <f>DriversCGE!H35*1000</f>
        <v>58364834.921819441</v>
      </c>
      <c r="AH4" s="22">
        <f>DriversCGE!I35*1000</f>
        <v>59308690</v>
      </c>
      <c r="AI4" s="22">
        <f>DriversCGE!J35*1000</f>
        <v>59991580.449204266</v>
      </c>
      <c r="AJ4" s="22">
        <f>DriversCGE!K35*1000</f>
        <v>60682333.816399373</v>
      </c>
      <c r="AK4" s="22">
        <f>DriversCGE!L35*1000</f>
        <v>61381040.636574373</v>
      </c>
      <c r="AL4" s="22">
        <f>DriversCGE!M35*1000</f>
        <v>62087792.487153694</v>
      </c>
      <c r="AM4" s="22">
        <f>DriversCGE!N35*1000</f>
        <v>62802682.00000003</v>
      </c>
      <c r="AN4" s="22">
        <f>DriversCGE!O35*1000</f>
        <v>63421065.342005156</v>
      </c>
      <c r="AO4" s="22">
        <f>DriversCGE!P35*1000</f>
        <v>64045537.563425787</v>
      </c>
      <c r="AP4" s="22">
        <f>DriversCGE!Q35*1000</f>
        <v>64676158.618096448</v>
      </c>
      <c r="AQ4" s="22">
        <f>DriversCGE!R35*1000</f>
        <v>65312989.050183922</v>
      </c>
      <c r="AR4" s="22">
        <f>DriversCGE!S35*1000</f>
        <v>65956090</v>
      </c>
      <c r="AS4" s="22">
        <f>DriversCGE!T35*1000</f>
        <v>66518977.190687671</v>
      </c>
      <c r="AT4" s="22">
        <f>DriversCGE!U35*1000</f>
        <v>67086668.213583104</v>
      </c>
      <c r="AU4" s="22">
        <f>DriversCGE!V35*1000</f>
        <v>67659204.065895453</v>
      </c>
      <c r="AV4" s="22">
        <f>DriversCGE!W35*1000</f>
        <v>68236626.094715163</v>
      </c>
      <c r="AW4" s="22">
        <f>DriversCGE!X35*1000</f>
        <v>68818976.00000003</v>
      </c>
      <c r="AX4" s="22">
        <f>DriversCGE!Y35*1000</f>
        <v>69322810.489383534</v>
      </c>
      <c r="AY4" s="22">
        <f>DriversCGE!Z35*1000</f>
        <v>69830333.629884064</v>
      </c>
      <c r="AZ4" s="22">
        <f>DriversCGE!AA35*1000</f>
        <v>70341572.426693425</v>
      </c>
      <c r="BA4" s="22">
        <f>DriversCGE!AB35*1000</f>
        <v>70856554.082712814</v>
      </c>
      <c r="BB4" s="22">
        <f>DriversCGE!AC35*1000</f>
        <v>71375306</v>
      </c>
      <c r="BC4" s="22">
        <f>DriversCGE!AD35*1000</f>
        <v>71818612.994947314</v>
      </c>
      <c r="BD4" s="22">
        <f>DriversCGE!AE35*1000</f>
        <v>72264673.338395417</v>
      </c>
      <c r="BE4" s="22">
        <f>DriversCGE!AF35*1000</f>
        <v>72713504.131197795</v>
      </c>
      <c r="BF4" s="22">
        <f>DriversCGE!AG35*1000</f>
        <v>73165122.580420136</v>
      </c>
      <c r="BG4" s="22">
        <f>DriversCGE!AH35*1000</f>
        <v>73619545.99999997</v>
      </c>
      <c r="BH4" s="22">
        <f>DriversCGE!AI35*1000</f>
        <v>73995362.001779512</v>
      </c>
      <c r="BI4" s="22">
        <f>DriversCGE!AJ35*1000</f>
        <v>74373096.484110355</v>
      </c>
      <c r="BJ4" s="22">
        <f>DriversCGE!AK35*1000</f>
        <v>74752759.240528643</v>
      </c>
      <c r="BK4" s="22">
        <f>DriversCGE!AL35*1000</f>
        <v>75134360.114565104</v>
      </c>
      <c r="BL4" s="22">
        <f>DriversCGE!AM35*1000</f>
        <v>75517908.999999985</v>
      </c>
    </row>
    <row r="5" spans="1:68" x14ac:dyDescent="0.25">
      <c r="A5" t="s">
        <v>809</v>
      </c>
      <c r="B5" t="s">
        <v>747</v>
      </c>
      <c r="C5" t="s">
        <v>810</v>
      </c>
      <c r="D5" s="21">
        <f t="shared" ref="D5:Y5" si="0">E5/(1+E7)</f>
        <v>1431.1215365701971</v>
      </c>
      <c r="E5" s="21">
        <f t="shared" si="0"/>
        <v>1474.0551826673031</v>
      </c>
      <c r="F5" s="21">
        <f t="shared" si="0"/>
        <v>1518.2768381473222</v>
      </c>
      <c r="G5" s="21">
        <f t="shared" si="0"/>
        <v>1563.8251432917418</v>
      </c>
      <c r="H5" s="21">
        <f t="shared" si="0"/>
        <v>1610.7398975904941</v>
      </c>
      <c r="I5" s="21">
        <f t="shared" si="0"/>
        <v>1659.0620945182091</v>
      </c>
      <c r="J5" s="21">
        <f t="shared" si="0"/>
        <v>1728.7427024879739</v>
      </c>
      <c r="K5" s="21">
        <f t="shared" si="0"/>
        <v>1773.6900127526612</v>
      </c>
      <c r="L5" s="21">
        <f t="shared" si="0"/>
        <v>1786.1058428419296</v>
      </c>
      <c r="M5" s="21">
        <f t="shared" si="0"/>
        <v>1834.3307005986617</v>
      </c>
      <c r="N5" s="21">
        <f t="shared" si="0"/>
        <v>1915.0412514250029</v>
      </c>
      <c r="O5" s="21">
        <f t="shared" si="0"/>
        <v>1970.5774477163277</v>
      </c>
      <c r="P5" s="21">
        <f t="shared" si="0"/>
        <v>2045.4676727882083</v>
      </c>
      <c r="Q5" s="21">
        <f t="shared" si="0"/>
        <v>2106.4526700005131</v>
      </c>
      <c r="R5" s="21">
        <f t="shared" si="0"/>
        <v>2201.1941161087889</v>
      </c>
      <c r="S5" s="21">
        <f t="shared" si="0"/>
        <v>2318.1309997206922</v>
      </c>
      <c r="T5" s="21">
        <f t="shared" si="0"/>
        <v>2446.2349419788338</v>
      </c>
      <c r="U5" s="21">
        <f t="shared" si="0"/>
        <v>2582.8740153485996</v>
      </c>
      <c r="V5" s="21">
        <f t="shared" si="0"/>
        <v>2680.0392791968457</v>
      </c>
      <c r="W5" s="21">
        <f t="shared" si="0"/>
        <v>2644.066118379767</v>
      </c>
      <c r="X5" s="21">
        <f t="shared" si="0"/>
        <v>2725.4955689702342</v>
      </c>
      <c r="Y5" s="21">
        <f t="shared" si="0"/>
        <v>2819.0205688425872</v>
      </c>
      <c r="Z5" s="22">
        <f>SUM(DriversCGE!B8:B26)</f>
        <v>2887.769078412055</v>
      </c>
      <c r="AA5" s="22">
        <f>SUM(DriversCGE!C8:C26)</f>
        <v>2959.5726136241037</v>
      </c>
      <c r="AB5" s="22">
        <f>SUM(DriversCGE!D8:D26)</f>
        <v>3022.3009869624648</v>
      </c>
      <c r="AC5" s="22">
        <f>SUM(DriversCGE!E8:E26)</f>
        <v>3045.6370863125194</v>
      </c>
      <c r="AD5" s="22">
        <f>SUM(DriversCGE!F8:F26)</f>
        <v>3069.4513319156313</v>
      </c>
      <c r="AE5" s="22">
        <f>SUM(DriversCGE!G8:G26)</f>
        <v>3134.6888010333128</v>
      </c>
      <c r="AF5" s="22">
        <f>SUM(DriversCGE!H8:H26)</f>
        <v>3187.4112415451723</v>
      </c>
      <c r="AG5" s="22">
        <f>SUM(DriversCGE!I8:I26)</f>
        <v>3194.9378068968817</v>
      </c>
      <c r="AH5" s="22">
        <f>SUM(DriversCGE!J8:J26)</f>
        <v>3000.8693726222082</v>
      </c>
      <c r="AI5" s="22">
        <f>SUM(DriversCGE!K8:K26)</f>
        <v>3111.2701664912706</v>
      </c>
      <c r="AJ5" s="22">
        <f>SUM(DriversCGE!L8:L26)</f>
        <v>3197.5132917124974</v>
      </c>
      <c r="AK5" s="22">
        <f>SUM(DriversCGE!M8:M26)</f>
        <v>3278.8294925515311</v>
      </c>
      <c r="AL5" s="22">
        <f>SUM(DriversCGE!N8:N26)</f>
        <v>3370.6061680122743</v>
      </c>
      <c r="AM5" s="22">
        <f>SUM(DriversCGE!O8:O26)</f>
        <v>3497.2255200737864</v>
      </c>
      <c r="AN5" s="22">
        <f>SUM(DriversCGE!P8:P26)</f>
        <v>3633.0411121556194</v>
      </c>
      <c r="AO5" s="22">
        <f>SUM(DriversCGE!Q8:Q26)</f>
        <v>3779.4488799880037</v>
      </c>
      <c r="AP5" s="22">
        <f>SUM(DriversCGE!R8:R26)</f>
        <v>3913.7355858455567</v>
      </c>
      <c r="AQ5" s="22">
        <f>SUM(DriversCGE!S8:S26)</f>
        <v>4065.9094144554351</v>
      </c>
      <c r="AR5" s="22">
        <f>SUM(DriversCGE!T8:T26)</f>
        <v>4240.2111752685914</v>
      </c>
      <c r="AS5" s="22">
        <f>SUM(DriversCGE!U8:U26)</f>
        <v>4412.4863764645143</v>
      </c>
      <c r="AT5" s="22">
        <f>SUM(DriversCGE!V8:V26)</f>
        <v>4593.3818097569019</v>
      </c>
      <c r="AU5" s="22">
        <f>SUM(DriversCGE!W8:W26)</f>
        <v>4779.7744074752436</v>
      </c>
      <c r="AV5" s="22">
        <f>SUM(DriversCGE!X8:X26)</f>
        <v>4986.1724544057088</v>
      </c>
      <c r="AW5" s="22">
        <f>SUM(DriversCGE!Y8:Y26)</f>
        <v>5174.8218478318813</v>
      </c>
      <c r="AX5" s="22">
        <f>SUM(DriversCGE!Z8:Z26)</f>
        <v>5374.4304241994987</v>
      </c>
      <c r="AY5" s="22">
        <f>SUM(DriversCGE!AA8:AA26)</f>
        <v>5579.3876924636497</v>
      </c>
      <c r="AZ5" s="22">
        <f>SUM(DriversCGE!AB8:AB26)</f>
        <v>5779.2602992112616</v>
      </c>
      <c r="BA5" s="22">
        <f>SUM(DriversCGE!AC8:AC26)</f>
        <v>5981.0535933241463</v>
      </c>
      <c r="BB5" s="22">
        <f>SUM(DriversCGE!AD8:AD26)</f>
        <v>6191.2785110444793</v>
      </c>
      <c r="BC5" s="22">
        <f>SUM(DriversCGE!AE8:AE26)</f>
        <v>6411.9744320151422</v>
      </c>
      <c r="BD5" s="22">
        <f>SUM(DriversCGE!AF8:AF26)</f>
        <v>6624.2543960144085</v>
      </c>
      <c r="BE5" s="22">
        <f>SUM(DriversCGE!AG8:AG26)</f>
        <v>6841.2119622205801</v>
      </c>
      <c r="BF5" s="22">
        <f>SUM(DriversCGE!AH8:AH26)</f>
        <v>7063.2378190528361</v>
      </c>
      <c r="BG5" s="22">
        <f>SUM(DriversCGE!AI8:AI26)</f>
        <v>7300.0159609731509</v>
      </c>
      <c r="BH5" s="22">
        <f>SUM(DriversCGE!AJ8:AJ26)</f>
        <v>7543.4431891261529</v>
      </c>
      <c r="BI5" s="22">
        <f>SUM(DriversCGE!AK8:AK26)</f>
        <v>7698.72164976983</v>
      </c>
      <c r="BJ5" s="22">
        <f>SUM(DriversCGE!AL8:AL26)</f>
        <v>7849.0316693145151</v>
      </c>
      <c r="BK5" s="22">
        <f>SUM(DriversCGE!AM8:AM26)</f>
        <v>8013.1422654482431</v>
      </c>
      <c r="BL5" s="22">
        <f>SUM(DriversCGE!AN8:AN26)</f>
        <v>8173.4040277850172</v>
      </c>
    </row>
    <row r="6" spans="1:68" x14ac:dyDescent="0.25">
      <c r="Z6" s="91">
        <v>2893.5650000000001</v>
      </c>
      <c r="AA6" s="91">
        <v>2965.2651000000001</v>
      </c>
      <c r="AB6" s="91">
        <v>3020.9666999999999</v>
      </c>
      <c r="AC6" s="91">
        <v>3059.4472000000001</v>
      </c>
      <c r="AD6" s="91">
        <v>3083.9180999999999</v>
      </c>
      <c r="AE6" s="91">
        <v>3120.5392000000002</v>
      </c>
      <c r="AF6" s="91">
        <v>3152.2314999999999</v>
      </c>
      <c r="AG6" s="91">
        <v>3179.2959999999998</v>
      </c>
      <c r="AH6" s="91">
        <v>2948.9344000000001</v>
      </c>
      <c r="AI6" s="91">
        <v>3014.3775000000001</v>
      </c>
      <c r="AJ6" s="91">
        <v>3077.2037999999998</v>
      </c>
      <c r="AK6" s="91">
        <v>3140.6174999999998</v>
      </c>
      <c r="AL6" s="91">
        <v>3201.7784999999999</v>
      </c>
      <c r="AM6" s="91">
        <v>3265.5524</v>
      </c>
      <c r="AN6" s="91">
        <v>3341.2748999999999</v>
      </c>
      <c r="AO6" s="91">
        <v>3416.3045999999999</v>
      </c>
      <c r="AP6" s="91">
        <v>3494.8710999999998</v>
      </c>
      <c r="AQ6" s="91">
        <v>3576.0637999999999</v>
      </c>
      <c r="AR6" s="91">
        <v>3660.1224000000002</v>
      </c>
      <c r="AS6" s="91">
        <v>3761.0109000000002</v>
      </c>
      <c r="AT6" s="91">
        <v>3857.1878000000002</v>
      </c>
      <c r="AU6" s="91">
        <v>3963.9917</v>
      </c>
      <c r="AV6" s="91">
        <v>4078.2248</v>
      </c>
      <c r="AW6" s="91">
        <v>4200.2892000000002</v>
      </c>
      <c r="AX6" s="91">
        <v>4325.9525000000003</v>
      </c>
      <c r="AY6" s="91">
        <v>4457.0024000000003</v>
      </c>
      <c r="AZ6" s="91">
        <v>4590.0533999999998</v>
      </c>
      <c r="BA6" s="91">
        <v>4728.5418</v>
      </c>
      <c r="BB6" s="91">
        <v>4875.5102999999999</v>
      </c>
      <c r="BC6" s="91">
        <v>5028.5456999999997</v>
      </c>
      <c r="BD6" s="91">
        <v>5188.0910000000003</v>
      </c>
      <c r="BE6" s="91">
        <v>5353.7750999999998</v>
      </c>
      <c r="BF6" s="91">
        <v>5526.5140000000001</v>
      </c>
      <c r="BG6" s="91">
        <v>5709.9394000000002</v>
      </c>
      <c r="BH6" s="91">
        <v>5902.4267</v>
      </c>
      <c r="BI6" s="91">
        <v>6104.1282000000001</v>
      </c>
      <c r="BJ6" s="91">
        <v>6308.1403</v>
      </c>
      <c r="BK6" s="91">
        <v>6522.2016999999996</v>
      </c>
      <c r="BL6" s="91">
        <v>6747.1509999999998</v>
      </c>
    </row>
    <row r="7" spans="1:68" x14ac:dyDescent="0.25">
      <c r="C7" t="s">
        <v>805</v>
      </c>
      <c r="D7" s="84">
        <v>3.0000000000000027E-2</v>
      </c>
      <c r="E7" s="84">
        <v>3.0000000000000027E-2</v>
      </c>
      <c r="F7" s="84">
        <v>3.0000000000000027E-2</v>
      </c>
      <c r="G7" s="84">
        <v>3.0000000000000027E-2</v>
      </c>
      <c r="H7" s="84">
        <v>3.0000000000000027E-2</v>
      </c>
      <c r="I7" s="84">
        <v>3.0000000000000027E-2</v>
      </c>
      <c r="J7" s="84">
        <v>4.2000000000000037E-2</v>
      </c>
      <c r="K7" s="84">
        <v>2.6000000000000023E-2</v>
      </c>
      <c r="L7" s="84">
        <v>6.9999999999998952E-3</v>
      </c>
      <c r="M7" s="84">
        <v>2.6999999999999913E-2</v>
      </c>
      <c r="N7" s="84">
        <v>4.4000000000000039E-2</v>
      </c>
      <c r="O7" s="84">
        <v>2.8999999999999915E-2</v>
      </c>
      <c r="P7" s="84">
        <v>3.8004202858745728E-2</v>
      </c>
      <c r="Q7" s="84">
        <v>2.9814696181032829E-2</v>
      </c>
      <c r="R7" s="84">
        <v>4.4976774203169034E-2</v>
      </c>
      <c r="S7" s="84">
        <v>5.3124294107518955E-2</v>
      </c>
      <c r="T7" s="84">
        <v>5.5261735541941581E-2</v>
      </c>
      <c r="U7" s="84">
        <v>5.5856888896875345E-2</v>
      </c>
      <c r="V7" s="84">
        <v>3.7619048885406903E-2</v>
      </c>
      <c r="W7" s="84">
        <v>-1.3422624472824496E-2</v>
      </c>
      <c r="X7" s="84">
        <v>3.0797055347604463E-2</v>
      </c>
      <c r="Y7" s="84">
        <v>3.4314860364160982E-2</v>
      </c>
      <c r="Z7" s="84">
        <v>2.4387374228239223E-2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1">AA9+(AA9*0.2)</f>
        <v>3558.3239999999996</v>
      </c>
      <c r="AB10">
        <f t="shared" si="1"/>
        <v>3625.152</v>
      </c>
      <c r="AC10">
        <f t="shared" si="1"/>
        <v>3671.34</v>
      </c>
      <c r="AD10">
        <f t="shared" si="1"/>
        <v>3700.7040000000002</v>
      </c>
      <c r="AE10">
        <f t="shared" si="1"/>
        <v>3744.6479999999992</v>
      </c>
      <c r="AF10">
        <f t="shared" si="1"/>
        <v>3782.6879999999996</v>
      </c>
      <c r="AG10">
        <f t="shared" si="1"/>
        <v>3815.1480000000001</v>
      </c>
      <c r="AH10">
        <f t="shared" si="1"/>
        <v>3538.7039999999997</v>
      </c>
      <c r="AI10">
        <f t="shared" si="1"/>
        <v>3617.2560000000008</v>
      </c>
      <c r="AJ10">
        <f t="shared" si="1"/>
        <v>3692.6400000000003</v>
      </c>
      <c r="AK10">
        <f t="shared" si="1"/>
        <v>3768.732</v>
      </c>
      <c r="AL10">
        <f t="shared" si="1"/>
        <v>3842.1239999999989</v>
      </c>
      <c r="AM10">
        <f t="shared" si="1"/>
        <v>3918.648000000001</v>
      </c>
      <c r="AN10">
        <f t="shared" si="1"/>
        <v>4009.536000000001</v>
      </c>
      <c r="AO10">
        <f t="shared" si="1"/>
        <v>4099.5360000000001</v>
      </c>
      <c r="AP10">
        <f t="shared" si="1"/>
        <v>4193.8559999999998</v>
      </c>
      <c r="AQ10">
        <f t="shared" si="1"/>
        <v>4291.2960000000003</v>
      </c>
      <c r="AR10">
        <f t="shared" si="1"/>
        <v>4392.1439999999993</v>
      </c>
      <c r="AS10">
        <f t="shared" si="1"/>
        <v>4513.2359999999999</v>
      </c>
      <c r="AT10">
        <f t="shared" si="1"/>
        <v>4628.6400000000003</v>
      </c>
      <c r="AU10">
        <f t="shared" si="1"/>
        <v>4756.8119999999999</v>
      </c>
      <c r="AV10">
        <f t="shared" si="1"/>
        <v>4893.8639999999996</v>
      </c>
      <c r="AW10">
        <f t="shared" si="1"/>
        <v>5040.347999999999</v>
      </c>
      <c r="AX10">
        <f t="shared" si="1"/>
        <v>5191.1640000000007</v>
      </c>
      <c r="AY10">
        <f t="shared" si="1"/>
        <v>5348.4000000000024</v>
      </c>
      <c r="AZ10">
        <f t="shared" si="1"/>
        <v>5508.0360000000001</v>
      </c>
      <c r="BA10">
        <f t="shared" si="1"/>
        <v>5674.2360000000008</v>
      </c>
      <c r="BB10">
        <f t="shared" si="1"/>
        <v>5850.6120000000001</v>
      </c>
      <c r="BC10">
        <f t="shared" si="1"/>
        <v>6034.2479999999996</v>
      </c>
      <c r="BD10">
        <f t="shared" si="1"/>
        <v>6225.7199999999993</v>
      </c>
      <c r="BE10">
        <f t="shared" si="1"/>
        <v>6424.5479999999998</v>
      </c>
      <c r="BF10">
        <f t="shared" si="1"/>
        <v>6631.8</v>
      </c>
      <c r="BG10">
        <f t="shared" si="1"/>
        <v>6851.9160000000011</v>
      </c>
      <c r="BH10">
        <f t="shared" si="1"/>
        <v>7082.9160000000002</v>
      </c>
      <c r="BI10">
        <f t="shared" si="1"/>
        <v>7324.9439999999995</v>
      </c>
      <c r="BJ10">
        <f t="shared" si="1"/>
        <v>7569.7560000000003</v>
      </c>
      <c r="BK10">
        <f t="shared" si="1"/>
        <v>7826.6400000000012</v>
      </c>
      <c r="BL10">
        <f t="shared" si="1"/>
        <v>8096.5560000000014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s="23" t="str">
        <f>'IPCC Categories'!A5</f>
        <v>3A Livestock</v>
      </c>
      <c r="B18" s="23"/>
      <c r="C18" s="23" t="str">
        <f>'IPCC Categories'!$D$5</f>
        <v>3A1ai Dairy cattle</v>
      </c>
      <c r="D18" t="str">
        <f>'IPCC Categories'!$F$39</f>
        <v>TMR</v>
      </c>
      <c r="E18" t="s">
        <v>330</v>
      </c>
      <c r="F18" t="s">
        <v>327</v>
      </c>
      <c r="G18" t="s">
        <v>331</v>
      </c>
      <c r="H18" s="54">
        <v>0.35</v>
      </c>
    </row>
    <row r="19" spans="1:10" x14ac:dyDescent="0.25">
      <c r="A19" s="23" t="str">
        <f>A18</f>
        <v>3A Livestock</v>
      </c>
      <c r="B19" s="23"/>
      <c r="C19" s="23" t="str">
        <f>C18</f>
        <v>3A1ai Dairy cattle</v>
      </c>
      <c r="E19" t="s">
        <v>841</v>
      </c>
      <c r="F19" t="s">
        <v>327</v>
      </c>
      <c r="H19" s="54">
        <v>0.28999999999999998</v>
      </c>
    </row>
    <row r="20" spans="1:10" x14ac:dyDescent="0.25">
      <c r="A20" s="23" t="str">
        <f>A19</f>
        <v>3A Livestock</v>
      </c>
      <c r="B20" s="23"/>
      <c r="C20" s="23" t="str">
        <f>'IPCC Categories'!D13</f>
        <v>3A2aii Other cattle</v>
      </c>
      <c r="E20" t="s">
        <v>844</v>
      </c>
      <c r="F20" t="s">
        <v>327</v>
      </c>
      <c r="H20" s="54">
        <v>0.53</v>
      </c>
    </row>
    <row r="21" spans="1:10" s="23" customFormat="1" x14ac:dyDescent="0.25">
      <c r="A21" s="23" t="str">
        <f>A20</f>
        <v>3A Livestock</v>
      </c>
      <c r="C21" s="23" t="str">
        <f>C20</f>
        <v>3A2aii Other cattle</v>
      </c>
      <c r="E21" s="23" t="s">
        <v>909</v>
      </c>
      <c r="F21" s="23" t="s">
        <v>910</v>
      </c>
      <c r="H21" s="54">
        <v>460</v>
      </c>
    </row>
    <row r="22" spans="1:10" x14ac:dyDescent="0.25">
      <c r="A22" t="str">
        <f>A18</f>
        <v>3A Livestock</v>
      </c>
      <c r="C22" t="str">
        <f>'IPCC Categories'!C7</f>
        <v>3A1c Sheep</v>
      </c>
      <c r="E22" t="s">
        <v>833</v>
      </c>
      <c r="F22" t="s">
        <v>327</v>
      </c>
      <c r="H22" s="54">
        <v>0.87</v>
      </c>
    </row>
    <row r="23" spans="1:10" x14ac:dyDescent="0.25">
      <c r="A23" t="str">
        <f t="shared" ref="A23:A27" si="0">A22</f>
        <v>3A Livestock</v>
      </c>
      <c r="C23" t="str">
        <f>'IPCC Categories'!C8</f>
        <v>3A1d Goats</v>
      </c>
      <c r="E23" t="s">
        <v>834</v>
      </c>
      <c r="F23" t="s">
        <v>327</v>
      </c>
      <c r="H23" s="54">
        <v>0.34</v>
      </c>
    </row>
    <row r="24" spans="1:10" x14ac:dyDescent="0.25">
      <c r="A24" t="str">
        <f t="shared" si="0"/>
        <v>3A Livestock</v>
      </c>
      <c r="C24" t="str">
        <f>'IPCC Categories'!C11</f>
        <v>3A1h Swine</v>
      </c>
      <c r="E24" t="s">
        <v>835</v>
      </c>
      <c r="F24" t="s">
        <v>327</v>
      </c>
      <c r="H24" s="54">
        <v>0.88</v>
      </c>
    </row>
    <row r="25" spans="1:10" x14ac:dyDescent="0.25">
      <c r="A25" t="str">
        <f t="shared" si="0"/>
        <v>3A Livestock</v>
      </c>
      <c r="C25" t="str">
        <f>'IPCC Categories'!C19</f>
        <v>3A2i Poultry</v>
      </c>
      <c r="E25" t="s">
        <v>837</v>
      </c>
      <c r="F25" t="s">
        <v>327</v>
      </c>
      <c r="H25" s="54">
        <v>0.96</v>
      </c>
    </row>
    <row r="26" spans="1:10" x14ac:dyDescent="0.25">
      <c r="A26" t="str">
        <f t="shared" si="0"/>
        <v>3A Livestock</v>
      </c>
      <c r="C26" t="str">
        <f>C25</f>
        <v>3A2i Poultry</v>
      </c>
      <c r="E26" t="s">
        <v>839</v>
      </c>
      <c r="F26" t="s">
        <v>327</v>
      </c>
      <c r="H26" s="54">
        <v>0.96</v>
      </c>
    </row>
    <row r="27" spans="1:10" x14ac:dyDescent="0.25">
      <c r="A27" t="str">
        <f t="shared" si="0"/>
        <v>3A Livestock</v>
      </c>
      <c r="C27" t="str">
        <f>C23</f>
        <v>3A1d Goats</v>
      </c>
      <c r="E27" t="s">
        <v>342</v>
      </c>
      <c r="F27" t="s">
        <v>327</v>
      </c>
      <c r="G27" t="s">
        <v>343</v>
      </c>
      <c r="H27" s="54">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54">
        <v>1.5</v>
      </c>
    </row>
    <row r="30" spans="1:10" x14ac:dyDescent="0.25">
      <c r="A30" t="str">
        <f>A29</f>
        <v>3C Aggregated and non-CO2 emissions on land</v>
      </c>
      <c r="B30" t="str">
        <f>B29</f>
        <v>3C4 Direct N2O from managed soils (N2O)</v>
      </c>
      <c r="C30" t="str">
        <f>C29</f>
        <v>3C4 Direct N2O from managed soils (N2O)</v>
      </c>
      <c r="E30" t="s">
        <v>853</v>
      </c>
      <c r="H30" s="54">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54">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54">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54">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54">
        <v>1.6</v>
      </c>
    </row>
    <row r="35" spans="1:8" x14ac:dyDescent="0.25">
      <c r="A35" t="str">
        <f>A68</f>
        <v>3C Aggregated and non-CO2 emissions on land</v>
      </c>
      <c r="B35" t="str">
        <f>B68</f>
        <v>3C4 Direct N2O from managed soils (N2O)</v>
      </c>
      <c r="C35" t="str">
        <f>C34</f>
        <v>3C4 Direct N2O from managed soils (N2O)</v>
      </c>
      <c r="E35" t="s">
        <v>864</v>
      </c>
      <c r="F35" t="s">
        <v>327</v>
      </c>
      <c r="H35" s="54">
        <v>0.6</v>
      </c>
    </row>
    <row r="36" spans="1:8" x14ac:dyDescent="0.25">
      <c r="A36" t="str">
        <f>A35</f>
        <v>3C Aggregated and non-CO2 emissions on land</v>
      </c>
      <c r="B36" t="str">
        <f>B35</f>
        <v>3C4 Direct N2O from managed soils (N2O)</v>
      </c>
      <c r="C36" t="str">
        <f>C35</f>
        <v>3C4 Direct N2O from managed soils (N2O)</v>
      </c>
      <c r="E36" t="s">
        <v>865</v>
      </c>
      <c r="F36" t="s">
        <v>327</v>
      </c>
      <c r="H36" s="54">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54">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54">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54">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54">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54">
        <v>0.6</v>
      </c>
    </row>
    <row r="42" spans="1:8" x14ac:dyDescent="0.25">
      <c r="A42" t="str">
        <f>A41</f>
        <v>3C Aggregated and non-CO2 emissions on land</v>
      </c>
      <c r="B42" t="str">
        <f t="shared" ref="B42:C53" si="7">B41</f>
        <v>3C4 Direct N2O from managed soils (N2O)</v>
      </c>
      <c r="C42" t="str">
        <f t="shared" si="7"/>
        <v>Crop residues</v>
      </c>
      <c r="E42" t="s">
        <v>911</v>
      </c>
      <c r="F42" t="s">
        <v>377</v>
      </c>
      <c r="H42" s="54">
        <v>0.48</v>
      </c>
    </row>
    <row r="43" spans="1:8" x14ac:dyDescent="0.25">
      <c r="A43" t="str">
        <f t="shared" ref="A43:A53" si="8">A42</f>
        <v>3C Aggregated and non-CO2 emissions on land</v>
      </c>
      <c r="B43" t="str">
        <f t="shared" si="7"/>
        <v>3C4 Direct N2O from managed soils (N2O)</v>
      </c>
      <c r="C43" t="str">
        <f t="shared" si="7"/>
        <v>Crop residues</v>
      </c>
      <c r="E43" t="s">
        <v>912</v>
      </c>
      <c r="F43" t="s">
        <v>377</v>
      </c>
      <c r="H43" s="54">
        <v>0.12</v>
      </c>
    </row>
    <row r="44" spans="1:8" x14ac:dyDescent="0.25">
      <c r="A44" t="str">
        <f t="shared" si="8"/>
        <v>3C Aggregated and non-CO2 emissions on land</v>
      </c>
      <c r="B44" t="str">
        <f t="shared" si="7"/>
        <v>3C4 Direct N2O from managed soils (N2O)</v>
      </c>
      <c r="C44" t="str">
        <f t="shared" si="7"/>
        <v>Crop residues</v>
      </c>
      <c r="E44" t="s">
        <v>913</v>
      </c>
      <c r="F44" t="s">
        <v>377</v>
      </c>
      <c r="H44" s="54">
        <v>0.48</v>
      </c>
    </row>
    <row r="45" spans="1:8" x14ac:dyDescent="0.25">
      <c r="A45" t="str">
        <f t="shared" si="8"/>
        <v>3C Aggregated and non-CO2 emissions on land</v>
      </c>
      <c r="B45" t="str">
        <f t="shared" si="7"/>
        <v>3C4 Direct N2O from managed soils (N2O)</v>
      </c>
      <c r="C45" t="str">
        <f t="shared" si="7"/>
        <v>Crop residues</v>
      </c>
      <c r="E45" t="s">
        <v>914</v>
      </c>
      <c r="F45" t="s">
        <v>365</v>
      </c>
      <c r="H45" s="54">
        <v>4.2</v>
      </c>
    </row>
    <row r="46" spans="1:8" x14ac:dyDescent="0.25">
      <c r="A46" t="str">
        <f t="shared" si="8"/>
        <v>3C Aggregated and non-CO2 emissions on land</v>
      </c>
      <c r="B46" t="str">
        <f t="shared" si="7"/>
        <v>3C4 Direct N2O from managed soils (N2O)</v>
      </c>
      <c r="C46" t="str">
        <f t="shared" si="7"/>
        <v>Crop residues</v>
      </c>
      <c r="E46" t="s">
        <v>915</v>
      </c>
      <c r="F46" t="s">
        <v>365</v>
      </c>
      <c r="H46" s="54">
        <v>2.8</v>
      </c>
    </row>
    <row r="47" spans="1:8" x14ac:dyDescent="0.25">
      <c r="A47" t="str">
        <f t="shared" si="8"/>
        <v>3C Aggregated and non-CO2 emissions on land</v>
      </c>
      <c r="B47" t="str">
        <f t="shared" si="7"/>
        <v>3C4 Direct N2O from managed soils (N2O)</v>
      </c>
      <c r="C47" t="str">
        <f t="shared" si="7"/>
        <v>Crop residues</v>
      </c>
      <c r="E47" t="s">
        <v>916</v>
      </c>
      <c r="F47" t="s">
        <v>365</v>
      </c>
      <c r="H47" s="54">
        <v>3.7</v>
      </c>
    </row>
    <row r="48" spans="1:8" x14ac:dyDescent="0.25">
      <c r="A48" t="str">
        <f t="shared" si="8"/>
        <v>3C Aggregated and non-CO2 emissions on land</v>
      </c>
      <c r="B48" t="str">
        <f t="shared" si="7"/>
        <v>3C4 Direct N2O from managed soils (N2O)</v>
      </c>
      <c r="C48" t="str">
        <f t="shared" si="7"/>
        <v>Crop residues</v>
      </c>
      <c r="E48" t="s">
        <v>917</v>
      </c>
      <c r="H48" s="54">
        <v>1.5</v>
      </c>
    </row>
    <row r="49" spans="1:8" x14ac:dyDescent="0.25">
      <c r="A49" t="str">
        <f t="shared" si="8"/>
        <v>3C Aggregated and non-CO2 emissions on land</v>
      </c>
      <c r="B49" t="str">
        <f t="shared" si="7"/>
        <v>3C4 Direct N2O from managed soils (N2O)</v>
      </c>
      <c r="C49" t="str">
        <f t="shared" si="7"/>
        <v>Crop residues</v>
      </c>
      <c r="E49" t="s">
        <v>918</v>
      </c>
      <c r="H49" s="54">
        <v>1.4</v>
      </c>
    </row>
    <row r="50" spans="1:8" x14ac:dyDescent="0.25">
      <c r="A50" t="str">
        <f t="shared" si="8"/>
        <v>3C Aggregated and non-CO2 emissions on land</v>
      </c>
      <c r="B50" t="str">
        <f t="shared" si="7"/>
        <v>3C4 Direct N2O from managed soils (N2O)</v>
      </c>
      <c r="C50" t="str">
        <f t="shared" si="7"/>
        <v>Crop residues</v>
      </c>
      <c r="E50" t="s">
        <v>919</v>
      </c>
      <c r="H50" s="54">
        <v>1.3</v>
      </c>
    </row>
    <row r="51" spans="1:8" x14ac:dyDescent="0.25">
      <c r="A51" t="str">
        <f t="shared" si="8"/>
        <v>3C Aggregated and non-CO2 emissions on land</v>
      </c>
      <c r="B51" t="str">
        <f t="shared" si="7"/>
        <v>3C4 Direct N2O from managed soils (N2O)</v>
      </c>
      <c r="C51" t="str">
        <f t="shared" si="7"/>
        <v>Crop residues</v>
      </c>
      <c r="E51" t="s">
        <v>920</v>
      </c>
      <c r="H51" s="54">
        <v>0.45</v>
      </c>
    </row>
    <row r="52" spans="1:8" x14ac:dyDescent="0.25">
      <c r="A52" t="str">
        <f t="shared" si="8"/>
        <v>3C Aggregated and non-CO2 emissions on land</v>
      </c>
      <c r="B52" t="str">
        <f t="shared" si="7"/>
        <v>3C4 Direct N2O from managed soils (N2O)</v>
      </c>
      <c r="C52" t="str">
        <f t="shared" si="7"/>
        <v>Crop residues</v>
      </c>
      <c r="E52" t="s">
        <v>921</v>
      </c>
      <c r="H52" s="54">
        <v>0</v>
      </c>
    </row>
    <row r="53" spans="1:8" x14ac:dyDescent="0.25">
      <c r="A53" t="str">
        <f t="shared" si="8"/>
        <v>3C Aggregated and non-CO2 emissions on land</v>
      </c>
      <c r="B53" t="str">
        <f t="shared" si="7"/>
        <v>3C4 Direct N2O from managed soils (N2O)</v>
      </c>
      <c r="C53" t="str">
        <f t="shared" si="7"/>
        <v>Crop residues</v>
      </c>
      <c r="E53" t="s">
        <v>922</v>
      </c>
      <c r="H53" s="54">
        <v>0.6</v>
      </c>
    </row>
    <row r="54" spans="1:8" x14ac:dyDescent="0.25">
      <c r="A54" t="str">
        <f>A47</f>
        <v>3C Aggregated and non-CO2 emissions on land</v>
      </c>
      <c r="B54" t="str">
        <f>B47</f>
        <v>3C4 Direct N2O from managed soils (N2O)</v>
      </c>
      <c r="C54" t="str">
        <f>C47</f>
        <v>Crop residues</v>
      </c>
      <c r="E54" t="s">
        <v>923</v>
      </c>
      <c r="F54" t="s">
        <v>327</v>
      </c>
      <c r="H54" s="54">
        <v>0.87</v>
      </c>
    </row>
    <row r="55" spans="1:8" x14ac:dyDescent="0.25">
      <c r="A55" t="str">
        <f t="shared" ref="A55:C58" si="9">A54</f>
        <v>3C Aggregated and non-CO2 emissions on land</v>
      </c>
      <c r="B55" t="str">
        <f t="shared" si="9"/>
        <v>3C4 Direct N2O from managed soils (N2O)</v>
      </c>
      <c r="C55" t="str">
        <f t="shared" si="9"/>
        <v>Crop residues</v>
      </c>
      <c r="E55" t="s">
        <v>924</v>
      </c>
      <c r="F55" t="s">
        <v>327</v>
      </c>
      <c r="H55" s="54">
        <v>0.89</v>
      </c>
    </row>
    <row r="56" spans="1:8" x14ac:dyDescent="0.25">
      <c r="A56" t="str">
        <f t="shared" si="9"/>
        <v>3C Aggregated and non-CO2 emissions on land</v>
      </c>
      <c r="B56" t="str">
        <f t="shared" si="9"/>
        <v>3C4 Direct N2O from managed soils (N2O)</v>
      </c>
      <c r="C56" t="str">
        <f t="shared" si="9"/>
        <v>Crop residues</v>
      </c>
      <c r="E56" t="s">
        <v>925</v>
      </c>
      <c r="F56" t="s">
        <v>327</v>
      </c>
      <c r="H56" s="54">
        <v>0.89</v>
      </c>
    </row>
    <row r="57" spans="1:8" x14ac:dyDescent="0.25">
      <c r="A57" t="str">
        <f>A56</f>
        <v>3C Aggregated and non-CO2 emissions on land</v>
      </c>
      <c r="B57" t="str">
        <f>B56</f>
        <v>3C4 Direct N2O from managed soils (N2O)</v>
      </c>
      <c r="C57" t="str">
        <f>C56</f>
        <v>Crop residues</v>
      </c>
      <c r="E57" t="s">
        <v>926</v>
      </c>
      <c r="F57" t="s">
        <v>327</v>
      </c>
      <c r="H57" s="54">
        <v>0.5</v>
      </c>
    </row>
    <row r="58" spans="1:8" x14ac:dyDescent="0.25">
      <c r="A58" t="str">
        <f t="shared" si="9"/>
        <v>3C Aggregated and non-CO2 emissions on land</v>
      </c>
      <c r="B58" t="str">
        <f t="shared" si="9"/>
        <v>3C4 Direct N2O from managed soils (N2O)</v>
      </c>
      <c r="C58" t="str">
        <f t="shared" si="9"/>
        <v>Crop residues</v>
      </c>
      <c r="E58" t="s">
        <v>927</v>
      </c>
      <c r="F58" t="s">
        <v>284</v>
      </c>
      <c r="H58" s="54">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54">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54">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54">
        <v>0.63</v>
      </c>
    </row>
    <row r="62" spans="1:8" x14ac:dyDescent="0.25">
      <c r="A62" t="str">
        <f>A41</f>
        <v>3C Aggregated and non-CO2 emissions on land</v>
      </c>
      <c r="B62" t="str">
        <f>B41</f>
        <v>3C4 Direct N2O from managed soils (N2O)</v>
      </c>
      <c r="C62" t="str">
        <f>C61</f>
        <v>3C2 Liming (CO2)</v>
      </c>
      <c r="E62" t="s">
        <v>882</v>
      </c>
      <c r="F62" t="s">
        <v>327</v>
      </c>
      <c r="H62" s="54">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7">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7">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7">
        <v>10</v>
      </c>
    </row>
    <row r="135" spans="1:10" x14ac:dyDescent="0.25">
      <c r="A135" t="str">
        <f t="shared" si="25"/>
        <v>3C Aggregated and non-CO2 emissions on land</v>
      </c>
      <c r="B135" t="str">
        <f t="shared" si="26"/>
        <v>3C4 Direct N2O from managed soils (N2O)</v>
      </c>
      <c r="C135" t="str">
        <f t="shared" si="27"/>
        <v>FSOM</v>
      </c>
      <c r="E135" t="s">
        <v>725</v>
      </c>
      <c r="F135" t="s">
        <v>327</v>
      </c>
      <c r="H135" s="48">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6">
        <v>2012</v>
      </c>
      <c r="H5" s="86">
        <v>2020</v>
      </c>
      <c r="I5" s="86">
        <v>2030</v>
      </c>
      <c r="J5" s="86">
        <v>2040</v>
      </c>
      <c r="K5" s="86">
        <v>2050</v>
      </c>
    </row>
    <row r="6" spans="1:12" x14ac:dyDescent="0.25">
      <c r="A6" t="str">
        <f>'IPCC Categories'!A5</f>
        <v>3A Livestock</v>
      </c>
      <c r="C6" t="str">
        <f>'IPCC Categories'!D6</f>
        <v>3A1aii Other cattle</v>
      </c>
      <c r="E6" t="s">
        <v>848</v>
      </c>
      <c r="F6" t="s">
        <v>327</v>
      </c>
      <c r="G6" s="48">
        <v>0.7</v>
      </c>
      <c r="H6" s="48">
        <v>0.74</v>
      </c>
      <c r="I6" s="48">
        <v>0.76</v>
      </c>
      <c r="J6" s="48">
        <v>0.8</v>
      </c>
      <c r="K6" s="48">
        <v>0.83</v>
      </c>
    </row>
    <row r="7" spans="1:12" x14ac:dyDescent="0.25">
      <c r="A7" t="str">
        <f>A6</f>
        <v>3A Livestock</v>
      </c>
      <c r="C7" t="str">
        <f>C6</f>
        <v>3A1aii Other cattle</v>
      </c>
      <c r="E7" t="s">
        <v>928</v>
      </c>
      <c r="F7" t="s">
        <v>327</v>
      </c>
      <c r="G7" s="48">
        <v>0.57999999999999996</v>
      </c>
      <c r="H7" s="48">
        <v>0.57999999999999996</v>
      </c>
      <c r="I7" s="48">
        <v>0.57999999999999996</v>
      </c>
      <c r="J7" s="48">
        <v>0.57999999999999996</v>
      </c>
      <c r="K7" s="48">
        <v>0.57999999999999996</v>
      </c>
    </row>
    <row r="8" spans="1:12" x14ac:dyDescent="0.25">
      <c r="A8" t="str">
        <f>A7</f>
        <v>3A Livestock</v>
      </c>
      <c r="C8" t="str">
        <f>C7</f>
        <v>3A1aii Other cattle</v>
      </c>
      <c r="E8" t="s">
        <v>850</v>
      </c>
      <c r="F8" t="s">
        <v>851</v>
      </c>
      <c r="G8" s="48">
        <v>120</v>
      </c>
      <c r="H8" s="48">
        <v>120</v>
      </c>
      <c r="I8" s="48">
        <v>120</v>
      </c>
      <c r="J8" s="48">
        <v>120</v>
      </c>
      <c r="K8" s="48">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38.888634300416797</v>
      </c>
      <c r="D4" s="22">
        <f>(Drivers!E5*1000000)/Drivers!E4</f>
        <v>39.079963325259669</v>
      </c>
      <c r="E4" s="22">
        <f>(Drivers!F5*1000000)/Drivers!F4</f>
        <v>39.259748848773555</v>
      </c>
      <c r="F4" s="22">
        <f>(Drivers!G5*1000000)/Drivers!G4</f>
        <v>39.456905876727333</v>
      </c>
      <c r="G4" s="22">
        <f>(Drivers!H5*1000000)/Drivers!H4</f>
        <v>39.708548338086537</v>
      </c>
      <c r="H4" s="22">
        <f>(Drivers!I5*1000000)/Drivers!I4</f>
        <v>40.039380829432609</v>
      </c>
      <c r="I4" s="22">
        <f>(Drivers!J5*1000000)/Drivers!J4</f>
        <v>40.925694285299514</v>
      </c>
      <c r="J4" s="22">
        <f>(Drivers!K5*1000000)/Drivers!K4</f>
        <v>41.260636741320013</v>
      </c>
      <c r="K4" s="22">
        <f>(Drivers!L5*1000000)/Drivers!L4</f>
        <v>40.888585957822002</v>
      </c>
      <c r="L4" s="22">
        <f>(Drivers!M5*1000000)/Drivers!M4</f>
        <v>41.371018903319886</v>
      </c>
      <c r="M4" s="22">
        <f>(Drivers!N5*1000000)/Drivers!N4</f>
        <v>42.587032708560614</v>
      </c>
      <c r="N4" s="22">
        <f>(Drivers!O5*1000000)/Drivers!O4</f>
        <v>43.241658061091897</v>
      </c>
      <c r="O4" s="22">
        <f>(Drivers!P5*1000000)/Drivers!P4</f>
        <v>44.321282935143849</v>
      </c>
      <c r="P4" s="22">
        <f>(Drivers!Q5*1000000)/Drivers!Q4</f>
        <v>45.087519699622248</v>
      </c>
      <c r="Q4" s="22">
        <f>(Drivers!R5*1000000)/Drivers!R4</f>
        <v>46.545129592940249</v>
      </c>
      <c r="R4" s="22">
        <f>(Drivers!S5*1000000)/Drivers!S4</f>
        <v>48.414826700289169</v>
      </c>
      <c r="S4" s="22">
        <f>(Drivers!T5*1000000)/Drivers!T4</f>
        <v>50.448798407481377</v>
      </c>
      <c r="T4" s="22">
        <f>(Drivers!U5*1000000)/Drivers!U4</f>
        <v>52.583198043553097</v>
      </c>
      <c r="U4" s="22">
        <f>(Drivers!V5*1000000)/Drivers!V4</f>
        <v>53.838243463793447</v>
      </c>
      <c r="V4" s="22">
        <f>(Drivers!W5*1000000)/Drivers!W4</f>
        <v>52.381590470556326</v>
      </c>
      <c r="W4" s="22">
        <f>(Drivers!X5*1000000)/Drivers!X4</f>
        <v>53.214703803416278</v>
      </c>
      <c r="X4" s="22">
        <f>(Drivers!Y5*1000000)/Drivers!Y4</f>
        <v>54.207584899968928</v>
      </c>
      <c r="Y4" s="22">
        <f>(Drivers!Z5*1000000)/Drivers!Z4</f>
        <v>55.188632360107675</v>
      </c>
      <c r="Z4" s="22">
        <f>(Drivers!AA5*1000000)/Drivers!AA4</f>
        <v>55.731226947537017</v>
      </c>
      <c r="AA4" s="22">
        <f>(Drivers!AB5*1000000)/Drivers!AB4</f>
        <v>56.059513401077403</v>
      </c>
      <c r="AB4" s="22">
        <f>(Drivers!AC5*1000000)/Drivers!AC4</f>
        <v>55.627575301066337</v>
      </c>
      <c r="AC4" s="22">
        <f>(Drivers!AD5*1000000)/Drivers!AD4</f>
        <v>55.186167154941195</v>
      </c>
      <c r="AD4" s="22">
        <f>(Drivers!AE5*1000000)/Drivers!AE4</f>
        <v>55.459673801821602</v>
      </c>
      <c r="AE4" s="22">
        <f>(Drivers!AF5*1000000)/Drivers!AF4</f>
        <v>55.495006742950814</v>
      </c>
      <c r="AF4" s="22">
        <f>(Drivers!AG5*1000000)/Drivers!AG4</f>
        <v>54.74080088081373</v>
      </c>
      <c r="AG4" s="22">
        <f>(Drivers!AH5*1000000)/Drivers!AH4</f>
        <v>50.597465103717653</v>
      </c>
      <c r="AH4" s="22">
        <f>(Drivers!AI5*1000000)/Drivers!AI4</f>
        <v>51.861780323084297</v>
      </c>
      <c r="AI4" s="22">
        <f>(Drivers!AJ5*1000000)/Drivers!AJ4</f>
        <v>52.692655186712194</v>
      </c>
      <c r="AJ4" s="22">
        <f>(Drivers!AK5*1000000)/Drivers!AK4</f>
        <v>53.417626331310757</v>
      </c>
      <c r="AK4" s="22">
        <f>(Drivers!AL5*1000000)/Drivers!AL4</f>
        <v>54.287743741407319</v>
      </c>
      <c r="AL4" s="22">
        <f>(Drivers!AM5*1000000)/Drivers!AM4</f>
        <v>55.68592628056529</v>
      </c>
      <c r="AM4" s="22">
        <f>(Drivers!AN5*1000000)/Drivers!AN4</f>
        <v>57.284454188273898</v>
      </c>
      <c r="AN4" s="22">
        <f>(Drivers!AO5*1000000)/Drivers!AO4</f>
        <v>59.011900341145974</v>
      </c>
      <c r="AO4" s="22">
        <f>(Drivers!AP5*1000000)/Drivers!AP4</f>
        <v>60.512802081453394</v>
      </c>
      <c r="AP4" s="22">
        <f>(Drivers!AQ5*1000000)/Drivers!AQ4</f>
        <v>62.252692360035013</v>
      </c>
      <c r="AQ4" s="22">
        <f>(Drivers!AR5*1000000)/Drivers!AR4</f>
        <v>64.288395131800442</v>
      </c>
      <c r="AR4" s="22">
        <f>(Drivers!AS5*1000000)/Drivers!AS4</f>
        <v>66.334248703424748</v>
      </c>
      <c r="AS4" s="22">
        <f>(Drivers!AT5*1000000)/Drivers!AT4</f>
        <v>68.469368535831904</v>
      </c>
      <c r="AT4" s="22">
        <f>(Drivers!AU5*1000000)/Drivers!AU4</f>
        <v>70.644851258079669</v>
      </c>
      <c r="AU4" s="22">
        <f>(Drivers!AV5*1000000)/Drivers!AV4</f>
        <v>73.071790617031709</v>
      </c>
      <c r="AV4" s="22">
        <f>(Drivers!AW5*1000000)/Drivers!AW4</f>
        <v>75.194694088907681</v>
      </c>
      <c r="AW4" s="22">
        <f>(Drivers!AX5*1000000)/Drivers!AX4</f>
        <v>77.527589926876502</v>
      </c>
      <c r="AX4" s="22">
        <f>(Drivers!AY5*1000000)/Drivers!AY4</f>
        <v>79.899198563701788</v>
      </c>
      <c r="AY4" s="22">
        <f>(Drivers!AZ5*1000000)/Drivers!AZ4</f>
        <v>82.159953208810151</v>
      </c>
      <c r="AZ4" s="22">
        <f>(Drivers!BA5*1000000)/Drivers!BA4</f>
        <v>84.410731946437835</v>
      </c>
      <c r="BA4" s="22">
        <f>(Drivers!BB5*1000000)/Drivers!BB4</f>
        <v>86.742584487756588</v>
      </c>
      <c r="BB4" s="22">
        <f>(Drivers!BC5*1000000)/Drivers!BC4</f>
        <v>89.280120634831064</v>
      </c>
      <c r="BC4" s="22">
        <f>(Drivers!BD5*1000000)/Drivers!BD4</f>
        <v>91.666565280034717</v>
      </c>
      <c r="BD4" s="22">
        <f>(Drivers!BE5*1000000)/Drivers!BE4</f>
        <v>94.084476383876435</v>
      </c>
      <c r="BE4" s="22">
        <f>(Drivers!BF5*1000000)/Drivers!BF4</f>
        <v>96.538317301241605</v>
      </c>
      <c r="BF4" s="22">
        <f>(Drivers!BG5*1000000)/Drivers!BG4</f>
        <v>99.158665838188597</v>
      </c>
      <c r="BG4" s="22">
        <f>(Drivers!BH5*1000000)/Drivers!BH4</f>
        <v>101.94481093213302</v>
      </c>
      <c r="BH4" s="22">
        <f>(Drivers!BI5*1000000)/Drivers!BI4</f>
        <v>103.51487316942148</v>
      </c>
      <c r="BI4" s="22">
        <f>(Drivers!BJ5*1000000)/Drivers!BJ4</f>
        <v>104.99989229907933</v>
      </c>
      <c r="BJ4" s="22">
        <f>(Drivers!BK5*1000000)/Drivers!BK4</f>
        <v>106.65083529333023</v>
      </c>
      <c r="BK4" s="22">
        <f>(Drivers!BL5*1000000)/Drivers!BL4</f>
        <v>108.23133394470732</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28">
        <f>((Data!$AJ$5*'Intermediate calculations'!Y4)+Data!$AK$5)*Drivers!Z4</f>
        <v>922747.3207158983</v>
      </c>
      <c r="Z5" s="28">
        <f>((Data!$AJ$5*'Intermediate calculations'!Z4)+Data!$AK$5)*Drivers!AA4</f>
        <v>946929.78710430325</v>
      </c>
      <c r="AA5" s="28">
        <f>((Data!$AJ$5*'Intermediate calculations'!AA4)+Data!$AK$5)*Drivers!AB4</f>
        <v>967753.43855981517</v>
      </c>
      <c r="AB5" s="28">
        <f>((Data!$AJ$5*'Intermediate calculations'!AB4)+Data!$AK$5)*Drivers!AC4</f>
        <v>974224.96445503132</v>
      </c>
      <c r="AC5" s="28">
        <f>((Data!$AJ$5*'Intermediate calculations'!AC4)+Data!$AK$5)*Drivers!AD4</f>
        <v>980795.51892939687</v>
      </c>
      <c r="AD5" s="28">
        <f>((Data!$AJ$5*'Intermediate calculations'!AD4)+Data!$AK$5)*Drivers!AE4</f>
        <v>1002305.7050279677</v>
      </c>
      <c r="AE5" s="28">
        <f>((Data!$AJ$5*'Intermediate calculations'!AE4)+Data!$AK$5)*Drivers!AF4</f>
        <v>1019250.3297235784</v>
      </c>
      <c r="AF5" s="28">
        <f>((Data!$AJ$5*'Intermediate calculations'!AF4)+Data!$AK$5)*Drivers!AG4</f>
        <v>1019775.3408088246</v>
      </c>
      <c r="AG5" s="28">
        <f>((Data!$AJ$5*'Intermediate calculations'!AG4)+Data!$AK$5)*Drivers!AH4</f>
        <v>947181.8859397734</v>
      </c>
      <c r="AH5" s="28">
        <f>((Data!$AJ$5*'Intermediate calculations'!AH4)+Data!$AK$5)*Drivers!AI4</f>
        <v>985584.64532327151</v>
      </c>
      <c r="AI5" s="28">
        <f>((Data!$AJ$5*'Intermediate calculations'!AI4)+Data!$AK$5)*Drivers!AJ4</f>
        <v>1015211.0395739236</v>
      </c>
      <c r="AJ5" s="28">
        <f>((Data!$AJ$5*'Intermediate calculations'!AJ4)+Data!$AK$5)*Drivers!AK4</f>
        <v>1043032.4416813775</v>
      </c>
      <c r="AK5" s="28">
        <f>((Data!$AJ$5*'Intermediate calculations'!AK4)+Data!$AK$5)*Drivers!AL4</f>
        <v>1074626.9209741959</v>
      </c>
      <c r="AL5" s="28">
        <f>((Data!$AJ$5*'Intermediate calculations'!AL4)+Data!$AK$5)*Drivers!AM4</f>
        <v>1118833.3675513295</v>
      </c>
      <c r="AM5" s="28">
        <f>((Data!$AJ$5*'Intermediate calculations'!AM4)+Data!$AK$5)*Drivers!AN4</f>
        <v>1166602.6116866812</v>
      </c>
      <c r="AN5" s="28">
        <f>((Data!$AJ$5*'Intermediate calculations'!AN4)+Data!$AK$5)*Drivers!AO4</f>
        <v>1218197.3184217894</v>
      </c>
      <c r="AO5" s="28">
        <f>((Data!$AJ$5*'Intermediate calculations'!AO4)+Data!$AK$5)*Drivers!AP4</f>
        <v>1265383.2736535862</v>
      </c>
      <c r="AP5" s="28">
        <f>((Data!$AJ$5*'Intermediate calculations'!AP4)+Data!$AK$5)*Drivers!AQ4</f>
        <v>1319038.9919445605</v>
      </c>
      <c r="AQ5" s="28">
        <f>((Data!$AJ$5*'Intermediate calculations'!AQ4)+Data!$AK$5)*Drivers!AR4</f>
        <v>1380701.7193591695</v>
      </c>
      <c r="AR5" s="28">
        <f>((Data!$AJ$5*'Intermediate calculations'!AR4)+Data!$AK$5)*Drivers!AS4</f>
        <v>1441820.0692568056</v>
      </c>
      <c r="AS5" s="28">
        <f>((Data!$AJ$5*'Intermediate calculations'!AS4)+Data!$AK$5)*Drivers!AT4</f>
        <v>1506052.0553686889</v>
      </c>
      <c r="AT5" s="28">
        <f>((Data!$AJ$5*'Intermediate calculations'!AT4)+Data!$AK$5)*Drivers!AU4</f>
        <v>1572265.3964643383</v>
      </c>
      <c r="AU5" s="28">
        <f>((Data!$AJ$5*'Intermediate calculations'!AU4)+Data!$AK$5)*Drivers!AV4</f>
        <v>1645719.5818833055</v>
      </c>
      <c r="AV5" s="28">
        <f>((Data!$AJ$5*'Intermediate calculations'!AV4)+Data!$AK$5)*Drivers!AW4</f>
        <v>1712727.7808050958</v>
      </c>
      <c r="AW5" s="28">
        <f>((Data!$AJ$5*'Intermediate calculations'!AW4)+Data!$AK$5)*Drivers!AX4</f>
        <v>1783895.2039062299</v>
      </c>
      <c r="AX5" s="28">
        <f>((Data!$AJ$5*'Intermediate calculations'!AX4)+Data!$AK$5)*Drivers!AY4</f>
        <v>1856992.9001663611</v>
      </c>
      <c r="AY5" s="28">
        <f>((Data!$AJ$5*'Intermediate calculations'!AY4)+Data!$AK$5)*Drivers!AZ4</f>
        <v>1928238.4745767138</v>
      </c>
      <c r="AZ5" s="28">
        <f>((Data!$AJ$5*'Intermediate calculations'!AZ4)+Data!$AK$5)*Drivers!BA4</f>
        <v>2000171.4629382463</v>
      </c>
      <c r="BA5" s="28">
        <f>((Data!$AJ$5*'Intermediate calculations'!BA4)+Data!$AK$5)*Drivers!BB4</f>
        <v>2075152.1646088851</v>
      </c>
      <c r="BB5" s="28">
        <f>((Data!$AJ$5*'Intermediate calculations'!BB4)+Data!$AK$5)*Drivers!BC4</f>
        <v>2154107.8297170475</v>
      </c>
      <c r="BC5" s="28">
        <f>((Data!$AJ$5*'Intermediate calculations'!BC4)+Data!$AK$5)*Drivers!BD4</f>
        <v>2230005.9845912396</v>
      </c>
      <c r="BD5" s="28">
        <f>((Data!$AJ$5*'Intermediate calculations'!BD4)+Data!$AK$5)*Drivers!BE4</f>
        <v>2307593.3054713914</v>
      </c>
      <c r="BE5" s="28">
        <f>((Data!$AJ$5*'Intermediate calculations'!BE4)+Data!$AK$5)*Drivers!BF4</f>
        <v>2387011.3850872861</v>
      </c>
      <c r="BF5" s="28">
        <f>((Data!$AJ$5*'Intermediate calculations'!BF4)+Data!$AK$5)*Drivers!BG4</f>
        <v>2471770.8534250585</v>
      </c>
      <c r="BG5" s="28">
        <f>((Data!$AJ$5*'Intermediate calculations'!BG4)+Data!$AK$5)*Drivers!BH4</f>
        <v>2559127.2548659681</v>
      </c>
      <c r="BH5" s="28">
        <f>((Data!$AJ$5*'Intermediate calculations'!BH4)+Data!$AK$5)*Drivers!BI4</f>
        <v>2614523.1462431042</v>
      </c>
      <c r="BI5" s="28">
        <f>((Data!$AJ$5*'Intermediate calculations'!BI4)+Data!$AK$5)*Drivers!BJ4</f>
        <v>2668113.2886878005</v>
      </c>
      <c r="BJ5" s="28">
        <f>((Data!$AJ$5*'Intermediate calculations'!BJ4)+Data!$AK$5)*Drivers!BK4</f>
        <v>2726701.8600998553</v>
      </c>
      <c r="BK5" s="28">
        <f>((Data!$AJ$5*'Intermediate calculations'!BK4)+Data!$AK$5)*Drivers!BL4</f>
        <v>2783890.5191920996</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0.24148429169187438</v>
      </c>
      <c r="AP6" s="22"/>
      <c r="AQ6" s="22">
        <f>(AQ8-AD8)/AD8</f>
        <v>0.42659897533528746</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17.634776625652883</v>
      </c>
      <c r="Z7" s="51">
        <f>Z5*ttokg/Drivers!AA4</f>
        <v>17.831479662149498</v>
      </c>
      <c r="AA7" s="51">
        <f>AA5*ttokg/Drivers!AB4</f>
        <v>17.950491063568073</v>
      </c>
      <c r="AB7" s="51">
        <f>AB5*ttokg/Drivers!AC4</f>
        <v>17.793903552709754</v>
      </c>
      <c r="AC7" s="51">
        <f>AC5*ttokg/Drivers!AD4</f>
        <v>17.633882931994549</v>
      </c>
      <c r="AD7" s="51">
        <f>AD5*ttokg/Drivers!AE4</f>
        <v>17.733035391657424</v>
      </c>
      <c r="AE7" s="51">
        <f>AE5*ttokg/Drivers!AF4</f>
        <v>17.745844396703717</v>
      </c>
      <c r="AF7" s="51">
        <f>AF5*ttokg/Drivers!AG4</f>
        <v>17.472427398703839</v>
      </c>
      <c r="AG7" s="51">
        <f>AG5*ttokg/Drivers!AH4</f>
        <v>15.97037273862858</v>
      </c>
      <c r="AH7" s="51">
        <f>AH5*ttokg/Drivers!AI4</f>
        <v>16.428716128887125</v>
      </c>
      <c r="AI7" s="51">
        <f>AI5*ttokg/Drivers!AJ4</f>
        <v>16.729927405981925</v>
      </c>
      <c r="AJ7" s="51">
        <f>AJ5*ttokg/Drivers!AK4</f>
        <v>16.992746145458447</v>
      </c>
      <c r="AK7" s="51">
        <f>AK5*ttokg/Drivers!AL4</f>
        <v>17.308183749592033</v>
      </c>
      <c r="AL7" s="51">
        <f>AL5*ttokg/Drivers!AM4</f>
        <v>17.815057126880809</v>
      </c>
      <c r="AM7" s="51">
        <f>AM5*ttokg/Drivers!AN4</f>
        <v>18.394560315183082</v>
      </c>
      <c r="AN7" s="51">
        <f>AN5*ttokg/Drivers!AO4</f>
        <v>19.020799336962082</v>
      </c>
      <c r="AO7" s="51">
        <f>AO5*ttokg/Drivers!AP4</f>
        <v>19.564910790782971</v>
      </c>
      <c r="AP7" s="51">
        <f>AP5*ttokg/Drivers!AQ4</f>
        <v>20.195661094779524</v>
      </c>
      <c r="AQ7" s="51">
        <f>AQ5*ttokg/Drivers!AR4</f>
        <v>20.933650241534473</v>
      </c>
      <c r="AR7" s="51">
        <f>AR5*ttokg/Drivers!AS4</f>
        <v>21.675319287059835</v>
      </c>
      <c r="AS7" s="51">
        <f>AS5*ttokg/Drivers!AT4</f>
        <v>22.44934940834872</v>
      </c>
      <c r="AT7" s="51">
        <f>AT5*ttokg/Drivers!AU4</f>
        <v>23.238012006955611</v>
      </c>
      <c r="AU7" s="51">
        <f>AU5*ttokg/Drivers!AV4</f>
        <v>24.117833428619125</v>
      </c>
      <c r="AV7" s="51">
        <f>AV5*ttokg/Drivers!AW4</f>
        <v>24.887434837814141</v>
      </c>
      <c r="AW7" s="51">
        <f>AW5*ttokg/Drivers!AX4</f>
        <v>25.733163316848287</v>
      </c>
      <c r="AX7" s="51">
        <f>AX5*ttokg/Drivers!AY4</f>
        <v>26.592926077209182</v>
      </c>
      <c r="AY7" s="51">
        <f>AY5*ttokg/Drivers!AZ4</f>
        <v>27.412501712074043</v>
      </c>
      <c r="AZ7" s="51">
        <f>AZ5*ttokg/Drivers!BA4</f>
        <v>28.228460850684197</v>
      </c>
      <c r="BA7" s="51">
        <f>BA5*ttokg/Drivers!BB4</f>
        <v>29.073811110650581</v>
      </c>
      <c r="BB7" s="51">
        <f>BB5*ttokg/Drivers!BC4</f>
        <v>29.993726415582497</v>
      </c>
      <c r="BC7" s="51">
        <f>BC5*ttokg/Drivers!BD4</f>
        <v>30.858867570724911</v>
      </c>
      <c r="BD7" s="51">
        <f>BD5*ttokg/Drivers!BE4</f>
        <v>31.735416041946962</v>
      </c>
      <c r="BE7" s="51">
        <f>BE5*ttokg/Drivers!BF4</f>
        <v>32.624989898207026</v>
      </c>
      <c r="BF7" s="51">
        <f>BF5*ttokg/Drivers!BG4</f>
        <v>33.574926602033912</v>
      </c>
      <c r="BG7" s="51">
        <f>BG5*ttokg/Drivers!BH4</f>
        <v>34.584968376861568</v>
      </c>
      <c r="BH7" s="51">
        <f>BH5*ttokg/Drivers!BI4</f>
        <v>35.154152103935751</v>
      </c>
      <c r="BI7" s="51">
        <f>BI5*ttokg/Drivers!BJ4</f>
        <v>35.692505745543528</v>
      </c>
      <c r="BJ7" s="51">
        <f>BJ5*ttokg/Drivers!BK4</f>
        <v>36.291010610088009</v>
      </c>
      <c r="BK7" s="51">
        <f>BK5*ttokg/Drivers!BL4</f>
        <v>36.86397777766993</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922563.26417698385</v>
      </c>
      <c r="Z8" s="22">
        <f>((Data!$AJ$14*'Intermediate calculations'!Z5)+Data!$AK$14)</f>
        <v>950193.34704133216</v>
      </c>
      <c r="AA8" s="22">
        <f>((Data!$AJ$14*'Intermediate calculations'!AA5)+Data!$AK$14)</f>
        <v>973985.75952784228</v>
      </c>
      <c r="AB8" s="22">
        <f>((Data!$AJ$14*'Intermediate calculations'!AB5)+Data!$AK$14)</f>
        <v>981379.91006119433</v>
      </c>
      <c r="AC8" s="22">
        <f>((Data!$AJ$14*'Intermediate calculations'!AC5)+Data!$AK$14)</f>
        <v>988887.2073598057</v>
      </c>
      <c r="AD8" s="22">
        <f>((Data!$AJ$14*'Intermediate calculations'!AD5)+Data!$AK$14)</f>
        <v>1013464.0315259311</v>
      </c>
      <c r="AE8" s="22">
        <f>((Data!$AJ$14*'Intermediate calculations'!AE5)+Data!$AK$14)</f>
        <v>1032824.3968801235</v>
      </c>
      <c r="AF8" s="22">
        <f>((Data!$AJ$14*'Intermediate calculations'!AF5)+Data!$AK$14)</f>
        <v>1033424.2571076564</v>
      </c>
      <c r="AG8" s="22">
        <f>((Data!$AJ$14*'Intermediate calculations'!AG5)+Data!$AK$14)</f>
        <v>950481.38679716876</v>
      </c>
      <c r="AH8" s="22">
        <f>((Data!$AJ$14*'Intermediate calculations'!AH5)+Data!$AK$14)</f>
        <v>994359.10410454986</v>
      </c>
      <c r="AI8" s="22">
        <f>((Data!$AJ$14*'Intermediate calculations'!AI5)+Data!$AK$14)</f>
        <v>1028209.2381218912</v>
      </c>
      <c r="AJ8" s="22">
        <f>((Data!$AJ$14*'Intermediate calculations'!AJ5)+Data!$AK$14)</f>
        <v>1059997.0480700063</v>
      </c>
      <c r="AK8" s="22">
        <f>((Data!$AJ$14*'Intermediate calculations'!AK5)+Data!$AK$14)</f>
        <v>1096095.8506857343</v>
      </c>
      <c r="AL8" s="22">
        <f>((Data!$AJ$14*'Intermediate calculations'!AL5)+Data!$AK$14)</f>
        <v>1146604.6682085916</v>
      </c>
      <c r="AM8" s="22">
        <f>((Data!$AJ$14*'Intermediate calculations'!AM5)+Data!$AK$14)</f>
        <v>1201184.2198816126</v>
      </c>
      <c r="AN8" s="22">
        <f>((Data!$AJ$14*'Intermediate calculations'!AN5)+Data!$AK$14)</f>
        <v>1260134.6180567266</v>
      </c>
      <c r="AO8" s="22">
        <f>((Data!$AJ$14*'Intermediate calculations'!AO5)+Data!$AK$14)</f>
        <v>1314047.723202738</v>
      </c>
      <c r="AP8" s="22">
        <f>((Data!$AJ$14*'Intermediate calculations'!AP5)+Data!$AK$14)</f>
        <v>1375352.9647241975</v>
      </c>
      <c r="AQ8" s="22">
        <f>((Data!$AJ$14*'Intermediate calculations'!AQ5)+Data!$AK$14)</f>
        <v>1445806.7489140627</v>
      </c>
      <c r="AR8" s="22">
        <f>((Data!$AJ$14*'Intermediate calculations'!AR5)+Data!$AK$14)</f>
        <v>1515638.5454347688</v>
      </c>
      <c r="AS8" s="22">
        <f>((Data!$AJ$14*'Intermediate calculations'!AS5)+Data!$AK$14)</f>
        <v>1589027.8792731049</v>
      </c>
      <c r="AT8" s="22">
        <f>((Data!$AJ$14*'Intermediate calculations'!AT5)+Data!$AK$14)</f>
        <v>1664681.0435043324</v>
      </c>
      <c r="AU8" s="22">
        <f>((Data!$AJ$14*'Intermediate calculations'!AU5)+Data!$AK$14)</f>
        <v>1748607.3559516179</v>
      </c>
      <c r="AV8" s="22">
        <f>((Data!$AJ$14*'Intermediate calculations'!AV5)+Data!$AK$14)</f>
        <v>1825168.6983334487</v>
      </c>
      <c r="AW8" s="22">
        <f>((Data!$AJ$14*'Intermediate calculations'!AW5)+Data!$AK$14)</f>
        <v>1906482.2321121742</v>
      </c>
      <c r="AX8" s="22">
        <f>((Data!$AJ$14*'Intermediate calculations'!AX5)+Data!$AK$14)</f>
        <v>1990001.2318875147</v>
      </c>
      <c r="AY8" s="22">
        <f>((Data!$AJ$14*'Intermediate calculations'!AY5)+Data!$AK$14)</f>
        <v>2071404.058756324</v>
      </c>
      <c r="AZ8" s="22">
        <f>((Data!$AJ$14*'Intermediate calculations'!AZ5)+Data!$AK$14)</f>
        <v>2153592.3019730002</v>
      </c>
      <c r="BA8" s="22">
        <f>((Data!$AJ$14*'Intermediate calculations'!BA5)+Data!$AK$14)</f>
        <v>2239262.7611855506</v>
      </c>
      <c r="BB8" s="22">
        <f>((Data!$AJ$14*'Intermediate calculations'!BB5)+Data!$AK$14)</f>
        <v>2329474.8815916916</v>
      </c>
      <c r="BC8" s="22">
        <f>((Data!$AJ$14*'Intermediate calculations'!BC5)+Data!$AK$14)</f>
        <v>2416193.5923610185</v>
      </c>
      <c r="BD8" s="22">
        <f>((Data!$AJ$14*'Intermediate calculations'!BD5)+Data!$AK$14)</f>
        <v>2504842.2881023777</v>
      </c>
      <c r="BE8" s="22">
        <f>((Data!$AJ$14*'Intermediate calculations'!BE5)+Data!$AK$14)</f>
        <v>2595582.7479657563</v>
      </c>
      <c r="BF8" s="22">
        <f>((Data!$AJ$14*'Intermediate calculations'!BF5)+Data!$AK$14)</f>
        <v>2692426.1011662241</v>
      </c>
      <c r="BG8" s="22">
        <f>((Data!$AJ$14*'Intermediate calculations'!BG5)+Data!$AK$14)</f>
        <v>2792236.6238720845</v>
      </c>
      <c r="BH8" s="22">
        <f>((Data!$AJ$14*'Intermediate calculations'!BH5)+Data!$AK$14)</f>
        <v>2855530.1293611932</v>
      </c>
      <c r="BI8" s="22">
        <f>((Data!$AJ$14*'Intermediate calculations'!BI5)+Data!$AK$14)</f>
        <v>2916760.4460988254</v>
      </c>
      <c r="BJ8" s="22">
        <f>((Data!$AJ$14*'Intermediate calculations'!BJ5)+Data!$AK$14)</f>
        <v>2983701.8017495889</v>
      </c>
      <c r="BK8" s="22">
        <f>((Data!$AJ$14*'Intermediate calculations'!BK5)+Data!$AK$14)</f>
        <v>3049043.664082428</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645794.28492388863</v>
      </c>
      <c r="Z9" s="22">
        <f t="shared" si="1"/>
        <v>669886.30966413917</v>
      </c>
      <c r="AA9" s="22">
        <f t="shared" si="1"/>
        <v>691529.88926476799</v>
      </c>
      <c r="AB9" s="22">
        <f t="shared" si="1"/>
        <v>701686.63569375395</v>
      </c>
      <c r="AC9" s="22">
        <f t="shared" si="1"/>
        <v>711998.78929906012</v>
      </c>
      <c r="AD9" s="22">
        <f t="shared" si="1"/>
        <v>734761.42285630002</v>
      </c>
      <c r="AE9" s="22">
        <f t="shared" si="1"/>
        <v>753961.80972249014</v>
      </c>
      <c r="AF9" s="22">
        <f t="shared" si="1"/>
        <v>759566.82897412742</v>
      </c>
      <c r="AG9" s="22">
        <f t="shared" si="1"/>
        <v>703356.22622990492</v>
      </c>
      <c r="AH9" s="22">
        <f t="shared" si="1"/>
        <v>737814.45524557598</v>
      </c>
      <c r="AI9" s="22">
        <f t="shared" si="1"/>
        <v>764987.67316268699</v>
      </c>
      <c r="AJ9" s="22">
        <f t="shared" si="1"/>
        <v>790757.79786022473</v>
      </c>
      <c r="AK9" s="22">
        <f t="shared" si="1"/>
        <v>819879.69631292927</v>
      </c>
      <c r="AL9" s="22">
        <f t="shared" si="1"/>
        <v>859953.50115644373</v>
      </c>
      <c r="AM9" s="22">
        <f t="shared" si="1"/>
        <v>903290.53335097269</v>
      </c>
      <c r="AN9" s="22">
        <f t="shared" si="1"/>
        <v>950141.50201477192</v>
      </c>
      <c r="AO9" s="22">
        <f t="shared" si="1"/>
        <v>993420.07874126988</v>
      </c>
      <c r="AP9" s="22">
        <f t="shared" si="1"/>
        <v>1042517.5472609417</v>
      </c>
      <c r="AQ9" s="22">
        <f t="shared" si="1"/>
        <v>1098813.1291746877</v>
      </c>
      <c r="AR9" s="22">
        <f t="shared" si="1"/>
        <v>1157947.8487121633</v>
      </c>
      <c r="AS9" s="22">
        <f t="shared" si="1"/>
        <v>1220373.4112817447</v>
      </c>
      <c r="AT9" s="22">
        <f t="shared" si="1"/>
        <v>1285133.7655853448</v>
      </c>
      <c r="AU9" s="22">
        <f t="shared" si="1"/>
        <v>1356919.3082184556</v>
      </c>
      <c r="AV9" s="22">
        <f t="shared" si="1"/>
        <v>1423631.5847000901</v>
      </c>
      <c r="AW9" s="22">
        <f t="shared" si="1"/>
        <v>1494682.0699759447</v>
      </c>
      <c r="AX9" s="22">
        <f t="shared" si="1"/>
        <v>1568120.9707273617</v>
      </c>
      <c r="AY9" s="22">
        <f t="shared" si="1"/>
        <v>1640552.0145350087</v>
      </c>
      <c r="AZ9" s="22">
        <f t="shared" si="1"/>
        <v>1714259.4723705081</v>
      </c>
      <c r="BA9" s="22">
        <f t="shared" si="1"/>
        <v>1791410.2089484406</v>
      </c>
      <c r="BB9" s="22">
        <f t="shared" si="1"/>
        <v>1870568.3299181284</v>
      </c>
      <c r="BC9" s="22">
        <f t="shared" si="1"/>
        <v>1947452.0354429809</v>
      </c>
      <c r="BD9" s="22">
        <f t="shared" si="1"/>
        <v>2026417.4110748237</v>
      </c>
      <c r="BE9" s="22">
        <f t="shared" si="1"/>
        <v>2107613.1913481941</v>
      </c>
      <c r="BF9" s="22">
        <f t="shared" si="1"/>
        <v>2194327.2724504727</v>
      </c>
      <c r="BG9" s="22">
        <f t="shared" si="1"/>
        <v>2284049.5583273652</v>
      </c>
      <c r="BH9" s="22">
        <f t="shared" si="1"/>
        <v>2344390.2362055397</v>
      </c>
      <c r="BI9" s="22">
        <f t="shared" si="1"/>
        <v>2403410.6075854325</v>
      </c>
      <c r="BJ9" s="22">
        <f t="shared" si="1"/>
        <v>2467521.3900469104</v>
      </c>
      <c r="BK9" s="22">
        <f t="shared" si="1"/>
        <v>2530706.2411884153</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276768.97925309523</v>
      </c>
      <c r="Z10" s="22">
        <f t="shared" si="2"/>
        <v>280307.03737719299</v>
      </c>
      <c r="AA10" s="22">
        <f t="shared" si="2"/>
        <v>282455.87026307429</v>
      </c>
      <c r="AB10" s="22">
        <f t="shared" si="2"/>
        <v>279693.27436744038</v>
      </c>
      <c r="AC10" s="22">
        <f t="shared" si="2"/>
        <v>276888.41806074558</v>
      </c>
      <c r="AD10" s="22">
        <f t="shared" si="2"/>
        <v>278702.60866963107</v>
      </c>
      <c r="AE10" s="22">
        <f t="shared" si="2"/>
        <v>278862.58715763339</v>
      </c>
      <c r="AF10" s="22">
        <f t="shared" si="2"/>
        <v>273857.42813352903</v>
      </c>
      <c r="AG10" s="22">
        <f t="shared" si="2"/>
        <v>247125.16056726384</v>
      </c>
      <c r="AH10" s="22">
        <f t="shared" si="2"/>
        <v>256544.64885897387</v>
      </c>
      <c r="AI10" s="22">
        <f t="shared" ref="AI10:BK10" si="3">AI8-AI9</f>
        <v>263221.56495920417</v>
      </c>
      <c r="AJ10" s="22">
        <f t="shared" si="3"/>
        <v>269239.25020978157</v>
      </c>
      <c r="AK10" s="22">
        <f t="shared" si="3"/>
        <v>276216.15437280503</v>
      </c>
      <c r="AL10" s="22">
        <f t="shared" si="3"/>
        <v>286651.16705214791</v>
      </c>
      <c r="AM10" s="22">
        <f t="shared" si="3"/>
        <v>297893.68653063988</v>
      </c>
      <c r="AN10" s="22">
        <f t="shared" si="3"/>
        <v>309993.11604195472</v>
      </c>
      <c r="AO10" s="22">
        <f t="shared" si="3"/>
        <v>320627.64446146809</v>
      </c>
      <c r="AP10" s="22">
        <f t="shared" si="3"/>
        <v>332835.41746325581</v>
      </c>
      <c r="AQ10" s="22">
        <f t="shared" si="3"/>
        <v>346993.61973937508</v>
      </c>
      <c r="AR10" s="22">
        <f t="shared" si="3"/>
        <v>357690.6967226055</v>
      </c>
      <c r="AS10" s="22">
        <f t="shared" si="3"/>
        <v>368654.46799136023</v>
      </c>
      <c r="AT10" s="22">
        <f t="shared" si="3"/>
        <v>379547.27791898767</v>
      </c>
      <c r="AU10" s="22">
        <f t="shared" si="3"/>
        <v>391688.0477331623</v>
      </c>
      <c r="AV10" s="22">
        <f t="shared" si="3"/>
        <v>401537.11363335862</v>
      </c>
      <c r="AW10" s="22">
        <f t="shared" si="3"/>
        <v>411800.16213622945</v>
      </c>
      <c r="AX10" s="22">
        <f t="shared" si="3"/>
        <v>421880.26116015296</v>
      </c>
      <c r="AY10" s="22">
        <f t="shared" si="3"/>
        <v>430852.0442213153</v>
      </c>
      <c r="AZ10" s="22">
        <f t="shared" si="3"/>
        <v>439332.82960249204</v>
      </c>
      <c r="BA10" s="22">
        <f t="shared" si="3"/>
        <v>447852.55223710998</v>
      </c>
      <c r="BB10" s="22">
        <f t="shared" si="3"/>
        <v>458906.5516735632</v>
      </c>
      <c r="BC10" s="22">
        <f t="shared" si="3"/>
        <v>468741.55691803759</v>
      </c>
      <c r="BD10" s="22">
        <f t="shared" si="3"/>
        <v>478424.87702755397</v>
      </c>
      <c r="BE10" s="22">
        <f t="shared" si="3"/>
        <v>487969.55661756219</v>
      </c>
      <c r="BF10" s="22">
        <f t="shared" si="3"/>
        <v>498098.82871575141</v>
      </c>
      <c r="BG10" s="22">
        <f t="shared" si="3"/>
        <v>508187.06554471934</v>
      </c>
      <c r="BH10" s="22">
        <f t="shared" si="3"/>
        <v>511139.8931556535</v>
      </c>
      <c r="BI10" s="22">
        <f t="shared" si="3"/>
        <v>513349.83851339296</v>
      </c>
      <c r="BJ10" s="22">
        <f t="shared" si="3"/>
        <v>516180.41170267854</v>
      </c>
      <c r="BK10" s="22">
        <f t="shared" si="3"/>
        <v>518337.42289401265</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40.795969839954637</v>
      </c>
      <c r="Z11" s="22">
        <f>((Data!$AJ$15*LN('Intermediate calculations'!Z2))+Data!$AK$15)</f>
        <v>40.075960285152689</v>
      </c>
      <c r="AA11" s="22">
        <f>((Data!$AJ$15*LN('Intermediate calculations'!AA2))+Data!$AK$15)</f>
        <v>39.399615271435337</v>
      </c>
      <c r="AB11" s="22">
        <f>((Data!$AJ$15*LN('Intermediate calculations'!AB2))+Data!$AK$15)</f>
        <v>38.76194023059638</v>
      </c>
      <c r="AC11" s="22">
        <f>((Data!$AJ$15*LN('Intermediate calculations'!AC2))+Data!$AK$15)</f>
        <v>38.158751387251051</v>
      </c>
      <c r="AD11" s="22">
        <f>((Data!$AJ$15*LN('Intermediate calculations'!AD2))+Data!$AK$15)</f>
        <v>37.586509237828665</v>
      </c>
      <c r="AE11" s="22">
        <f>((Data!$AJ$15*LN('Intermediate calculations'!AE2))+Data!$AK$15)</f>
        <v>37.042192699997493</v>
      </c>
      <c r="AF11" s="22">
        <f>((Data!$AJ$15*LN('Intermediate calculations'!AF2))+Data!$AK$15)</f>
        <v>36.523202565791273</v>
      </c>
      <c r="AG11" s="22">
        <f>((Data!$AJ$15*LN('Intermediate calculations'!AG2))+Data!$AK$15)</f>
        <v>36.027286433617057</v>
      </c>
      <c r="AH11" s="22">
        <f>((Data!$AJ$15*LN('Intermediate calculations'!AH2))+Data!$AK$15)</f>
        <v>35.552479628470408</v>
      </c>
      <c r="AI11" s="22">
        <f>((Data!$AJ$15*LN('Intermediate calculations'!AI2))+Data!$AK$15)</f>
        <v>35.097058190504647</v>
      </c>
      <c r="AJ11" s="22">
        <f>((Data!$AJ$15*LN('Intermediate calculations'!AJ2))+Data!$AK$15)</f>
        <v>34.659501089431416</v>
      </c>
      <c r="AK11" s="22">
        <f>((Data!$AJ$15*LN('Intermediate calculations'!AK2))+Data!$AK$15)</f>
        <v>34.238459573914099</v>
      </c>
      <c r="AL11" s="22">
        <f>((Data!$AJ$15*LN('Intermediate calculations'!AL2))+Data!$AK$15)</f>
        <v>33.832732097871521</v>
      </c>
      <c r="AM11" s="22">
        <f>((Data!$AJ$15*LN('Intermediate calculations'!AM2))+Data!$AK$15)</f>
        <v>33.44124364865732</v>
      </c>
      <c r="AN11" s="22">
        <f>((Data!$AJ$15*LN('Intermediate calculations'!AN2))+Data!$AK$15)</f>
        <v>33.063028581146384</v>
      </c>
      <c r="AO11" s="22">
        <f>((Data!$AJ$15*LN('Intermediate calculations'!AO2))+Data!$AK$15)</f>
        <v>32.697216267559419</v>
      </c>
      <c r="AP11" s="22">
        <f>((Data!$AJ$15*LN('Intermediate calculations'!AP2))+Data!$AK$15)</f>
        <v>32.343019026344436</v>
      </c>
      <c r="AQ11" s="22">
        <f>((Data!$AJ$15*LN('Intermediate calculations'!AQ2))+Data!$AK$15)</f>
        <v>31.999721909108992</v>
      </c>
      <c r="AR11" s="22">
        <f>((Data!$AJ$15*LN('Intermediate calculations'!AR2))+Data!$AK$15)</f>
        <v>31.666674012627091</v>
      </c>
      <c r="AS11" s="22">
        <f>((Data!$AJ$15*LN('Intermediate calculations'!AS2))+Data!$AK$15)</f>
        <v>31.343281050547503</v>
      </c>
      <c r="AT11" s="22">
        <f>((Data!$AJ$15*LN('Intermediate calculations'!AT2))+Data!$AK$15)</f>
        <v>31.028998971788127</v>
      </c>
      <c r="AU11" s="22">
        <f>((Data!$AJ$15*LN('Intermediate calculations'!AU2))+Data!$AK$15)</f>
        <v>30.723328453476078</v>
      </c>
      <c r="AV11" s="22">
        <f>((Data!$AJ$15*LN('Intermediate calculations'!AV2))+Data!$AK$15)</f>
        <v>30.425810128442798</v>
      </c>
      <c r="AW11" s="22">
        <f>((Data!$AJ$15*LN('Intermediate calculations'!AW2))+Data!$AK$15)</f>
        <v>30.136020432749135</v>
      </c>
      <c r="AX11" s="22">
        <f>((Data!$AJ$15*LN('Intermediate calculations'!AX2))+Data!$AK$15)</f>
        <v>29.853567979020418</v>
      </c>
      <c r="AY11" s="22">
        <f>((Data!$AJ$15*LN('Intermediate calculations'!AY2))+Data!$AK$15)</f>
        <v>29.578090377663656</v>
      </c>
      <c r="AZ11" s="22">
        <f>((Data!$AJ$15*LN('Intermediate calculations'!AZ2))+Data!$AK$15)</f>
        <v>29.30925144118924</v>
      </c>
      <c r="BA11" s="22">
        <f>((Data!$AJ$15*LN('Intermediate calculations'!BA2))+Data!$AK$15)</f>
        <v>29.046738717532804</v>
      </c>
      <c r="BB11" s="22">
        <f>((Data!$AJ$15*LN('Intermediate calculations'!BB2))+Data!$AK$15)</f>
        <v>28.790261306983027</v>
      </c>
      <c r="BC11" s="22">
        <f>((Data!$AJ$15*LN('Intermediate calculations'!BC2))+Data!$AK$15)</f>
        <v>28.539547924464109</v>
      </c>
      <c r="BD11" s="22">
        <f>((Data!$AJ$15*LN('Intermediate calculations'!BD2))+Data!$AK$15)</f>
        <v>28.294345174808811</v>
      </c>
      <c r="BE11" s="22">
        <f>((Data!$AJ$15*LN('Intermediate calculations'!BE2))+Data!$AK$15)</f>
        <v>28.054416013531345</v>
      </c>
      <c r="BF11" s="22">
        <f>((Data!$AJ$15*LN('Intermediate calculations'!BF2))+Data!$AK$15)</f>
        <v>27.819538369662155</v>
      </c>
      <c r="BG11" s="22">
        <f>((Data!$AJ$15*LN('Intermediate calculations'!BG2))+Data!$AK$15)</f>
        <v>27.589503910590359</v>
      </c>
      <c r="BH11" s="22">
        <f>((Data!$AJ$15*LN('Intermediate calculations'!BH2))+Data!$AK$15)</f>
        <v>27.364116931696394</v>
      </c>
      <c r="BI11" s="22">
        <f>((Data!$AJ$15*LN('Intermediate calculations'!BI2))+Data!$AK$15)</f>
        <v>27.14319335594481</v>
      </c>
      <c r="BJ11" s="22">
        <f>((Data!$AJ$15*LN('Intermediate calculations'!BJ2))+Data!$AK$15)</f>
        <v>26.926559830623162</v>
      </c>
      <c r="BK11" s="22">
        <f>((Data!$AJ$15*LN('Intermediate calculations'!BK2))+Data!$AK$15)</f>
        <v>26.714052910122213</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1954947.2316851625</v>
      </c>
      <c r="Z12" s="22">
        <f>((Data!$AJ$6*'Intermediate calculations'!Z4)+Data!$AK$6)*Drivers!AA4</f>
        <v>1994965.5739095975</v>
      </c>
      <c r="AA12" s="22">
        <f>((Data!$AJ$6*'Intermediate calculations'!AA4)+Data!$AK$6)*Drivers!AB4</f>
        <v>2032023.5879034807</v>
      </c>
      <c r="AB12" s="22">
        <f>((Data!$AJ$6*'Intermediate calculations'!AB4)+Data!$AK$6)*Drivers!AC4</f>
        <v>2054654.7452131729</v>
      </c>
      <c r="AC12" s="22">
        <f>((Data!$AJ$6*'Intermediate calculations'!AC4)+Data!$AK$6)*Drivers!AD4</f>
        <v>2077982.440421666</v>
      </c>
      <c r="AD12" s="22">
        <f>((Data!$AJ$6*'Intermediate calculations'!AD4)+Data!$AK$6)*Drivers!AE4</f>
        <v>2117538.1425148984</v>
      </c>
      <c r="AE12" s="22">
        <f>((Data!$AJ$6*'Intermediate calculations'!AE4)+Data!$AK$6)*Drivers!AF4</f>
        <v>2152550.9933751053</v>
      </c>
      <c r="AF12" s="22">
        <f>((Data!$AJ$6*'Intermediate calculations'!AF4)+Data!$AK$6)*Drivers!AG4</f>
        <v>2170685.6033910401</v>
      </c>
      <c r="AG12" s="22">
        <f>((Data!$AJ$6*'Intermediate calculations'!AG4)+Data!$AK$6)*Drivers!AH4</f>
        <v>2112697.5344339008</v>
      </c>
      <c r="AH12" s="22">
        <f>((Data!$AJ$6*'Intermediate calculations'!AH4)+Data!$AK$6)*Drivers!AI4</f>
        <v>2165756.9465722474</v>
      </c>
      <c r="AI12" s="22">
        <f>((Data!$AJ$6*'Intermediate calculations'!AI4)+Data!$AK$6)*Drivers!AJ4</f>
        <v>2209794.1357682804</v>
      </c>
      <c r="AJ12" s="22">
        <f>((Data!$AJ$6*'Intermediate calculations'!AJ4)+Data!$AK$6)*Drivers!AK4</f>
        <v>2252095.7365848664</v>
      </c>
      <c r="AK12" s="22">
        <f>((Data!$AJ$6*'Intermediate calculations'!AK4)+Data!$AK$6)*Drivers!AL4</f>
        <v>2298492.4338421756</v>
      </c>
      <c r="AL12" s="22">
        <f>((Data!$AJ$6*'Intermediate calculations'!AL4)+Data!$AK$6)*Drivers!AM4</f>
        <v>2358222.4131576382</v>
      </c>
      <c r="AM12" s="22">
        <f>((Data!$AJ$6*'Intermediate calculations'!AM4)+Data!$AK$6)*Drivers!AN4</f>
        <v>2419848.2425787644</v>
      </c>
      <c r="AN12" s="22">
        <f>((Data!$AJ$6*'Intermediate calculations'!AN4)+Data!$AK$6)*Drivers!AO4</f>
        <v>2485586.8733863868</v>
      </c>
      <c r="AO12" s="22">
        <f>((Data!$AJ$6*'Intermediate calculations'!AO4)+Data!$AK$6)*Drivers!AP4</f>
        <v>2546834.8810890182</v>
      </c>
      <c r="AP12" s="22">
        <f>((Data!$AJ$6*'Intermediate calculations'!AP4)+Data!$AK$6)*Drivers!AQ4</f>
        <v>2614961.2032565763</v>
      </c>
      <c r="AQ12" s="22">
        <f>((Data!$AJ$6*'Intermediate calculations'!AQ4)+Data!$AK$6)*Drivers!AR4</f>
        <v>2691573.3833803767</v>
      </c>
      <c r="AR12" s="22">
        <f>((Data!$AJ$6*'Intermediate calculations'!AR4)+Data!$AK$6)*Drivers!AS4</f>
        <v>2766097.983129926</v>
      </c>
      <c r="AS12" s="22">
        <f>((Data!$AJ$6*'Intermediate calculations'!AS4)+Data!$AK$6)*Drivers!AT4</f>
        <v>2843967.2121689562</v>
      </c>
      <c r="AT12" s="22">
        <f>((Data!$AJ$6*'Intermediate calculations'!AT4)+Data!$AK$6)*Drivers!AU4</f>
        <v>2923998.639520776</v>
      </c>
      <c r="AU12" s="22">
        <f>((Data!$AJ$6*'Intermediate calculations'!AU4)+Data!$AK$6)*Drivers!AV4</f>
        <v>3011689.0903966683</v>
      </c>
      <c r="AV12" s="22">
        <f>((Data!$AJ$6*'Intermediate calculations'!AV4)+Data!$AK$6)*Drivers!AW4</f>
        <v>3092736.9387697573</v>
      </c>
      <c r="AW12" s="22">
        <f>((Data!$AJ$6*'Intermediate calculations'!AW4)+Data!$AK$6)*Drivers!AX4</f>
        <v>3176644.515058056</v>
      </c>
      <c r="AX12" s="22">
        <f>((Data!$AJ$6*'Intermediate calculations'!AX4)+Data!$AK$6)*Drivers!AY4</f>
        <v>3262639.0199772469</v>
      </c>
      <c r="AY12" s="22">
        <f>((Data!$AJ$6*'Intermediate calculations'!AY4)+Data!$AK$6)*Drivers!AZ4</f>
        <v>3346768.4512107838</v>
      </c>
      <c r="AZ12" s="22">
        <f>((Data!$AJ$6*'Intermediate calculations'!AZ4)+Data!$AK$6)*Drivers!BA4</f>
        <v>3431687.0788458847</v>
      </c>
      <c r="BA12" s="22">
        <f>((Data!$AJ$6*'Intermediate calculations'!BA4)+Data!$AK$6)*Drivers!BB4</f>
        <v>3519861.8788828966</v>
      </c>
      <c r="BB12" s="22">
        <f>((Data!$AJ$6*'Intermediate calculations'!BB4)+Data!$AK$6)*Drivers!BC4</f>
        <v>3610761.9935679962</v>
      </c>
      <c r="BC12" s="22">
        <f>((Data!$AJ$6*'Intermediate calculations'!BC4)+Data!$AK$6)*Drivers!BD4</f>
        <v>3698519.2123694308</v>
      </c>
      <c r="BD12" s="22">
        <f>((Data!$AJ$6*'Intermediate calculations'!BD4)+Data!$AK$6)*Drivers!BE4</f>
        <v>3788094.0238350825</v>
      </c>
      <c r="BE12" s="22">
        <f>((Data!$AJ$6*'Intermediate calculations'!BE4)+Data!$AK$6)*Drivers!BF4</f>
        <v>3879634.714817767</v>
      </c>
      <c r="BF12" s="22">
        <f>((Data!$AJ$6*'Intermediate calculations'!BF4)+Data!$AK$6)*Drivers!BG4</f>
        <v>3976810.1387036</v>
      </c>
      <c r="BG12" s="22">
        <f>((Data!$AJ$6*'Intermediate calculations'!BG4)+Data!$AK$6)*Drivers!BH4</f>
        <v>4075210.991251884</v>
      </c>
      <c r="BH12" s="22">
        <f>((Data!$AJ$6*'Intermediate calculations'!BH4)+Data!$AK$6)*Drivers!BI4</f>
        <v>4140250.1875814218</v>
      </c>
      <c r="BI12" s="22">
        <f>((Data!$AJ$6*'Intermediate calculations'!BI4)+Data!$AK$6)*Drivers!BJ4</f>
        <v>4203438.9276189627</v>
      </c>
      <c r="BJ12" s="22">
        <f>((Data!$AJ$6*'Intermediate calculations'!BJ4)+Data!$AK$6)*Drivers!BK4</f>
        <v>4271887.6032368336</v>
      </c>
      <c r="BK12" s="22">
        <f>((Data!$AJ$6*'Intermediate calculations'!BK4)+Data!$AK$6)*Drivers!BL4</f>
        <v>4338910.2859498346</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37.361319802001063</v>
      </c>
      <c r="Z13" s="51">
        <f>Z12*ttokg/Drivers!AA4</f>
        <v>37.566869837984136</v>
      </c>
      <c r="AA13" s="51">
        <f>AA12*ttokg/Drivers!AB4</f>
        <v>37.691233946844257</v>
      </c>
      <c r="AB13" s="51">
        <f>AB12*ttokg/Drivers!AC4</f>
        <v>37.527603689453805</v>
      </c>
      <c r="AC13" s="51">
        <f>AC12*ttokg/Drivers!AD4</f>
        <v>37.360385913196403</v>
      </c>
      <c r="AD13" s="51">
        <f>AD12*ttokg/Drivers!AE4</f>
        <v>37.463997896084443</v>
      </c>
      <c r="AE13" s="51">
        <f>AE12*ttokg/Drivers!AF4</f>
        <v>37.477383004393225</v>
      </c>
      <c r="AF13" s="51">
        <f>AF12*ttokg/Drivers!AG4</f>
        <v>37.191668687124803</v>
      </c>
      <c r="AG13" s="51">
        <f>AG12*ttokg/Drivers!AH4</f>
        <v>35.62205697738225</v>
      </c>
      <c r="AH13" s="51">
        <f>AH12*ttokg/Drivers!AI4</f>
        <v>36.101015015032402</v>
      </c>
      <c r="AI13" s="51">
        <f>AI12*ttokg/Drivers!AJ4</f>
        <v>36.415773698721601</v>
      </c>
      <c r="AJ13" s="51">
        <f>AJ12*ttokg/Drivers!AK4</f>
        <v>36.690413085680689</v>
      </c>
      <c r="AK13" s="51">
        <f>AK12*ttokg/Drivers!AL4</f>
        <v>37.020037945748292</v>
      </c>
      <c r="AL13" s="51">
        <f>AL12*ttokg/Drivers!AM4</f>
        <v>37.549708675779755</v>
      </c>
      <c r="AM13" s="51">
        <f>AM12*ttokg/Drivers!AN4</f>
        <v>38.155275846116169</v>
      </c>
      <c r="AN13" s="51">
        <f>AN12*ttokg/Drivers!AO4</f>
        <v>38.80968086066656</v>
      </c>
      <c r="AO13" s="51">
        <f>AO12*ttokg/Drivers!AP4</f>
        <v>39.37826450280879</v>
      </c>
      <c r="AP13" s="51">
        <f>AP12*ttokg/Drivers!AQ4</f>
        <v>40.037383700925766</v>
      </c>
      <c r="AQ13" s="51">
        <f>AQ12*ttokg/Drivers!AR4</f>
        <v>40.808564961633969</v>
      </c>
      <c r="AR13" s="51">
        <f>AR12*ttokg/Drivers!AS4</f>
        <v>41.583591629805852</v>
      </c>
      <c r="AS13" s="51">
        <f>AS12*ttokg/Drivers!AT4</f>
        <v>42.392434859257705</v>
      </c>
      <c r="AT13" s="51">
        <f>AT12*ttokg/Drivers!AU4</f>
        <v>43.216568682555007</v>
      </c>
      <c r="AU13" s="51">
        <f>AU12*ttokg/Drivers!AV4</f>
        <v>44.135961326932012</v>
      </c>
      <c r="AV13" s="51">
        <f>AV12*ttokg/Drivers!AW4</f>
        <v>44.940176656649989</v>
      </c>
      <c r="AW13" s="51">
        <f>AW12*ttokg/Drivers!AX4</f>
        <v>45.823942979699936</v>
      </c>
      <c r="AX13" s="51">
        <f>AX12*ttokg/Drivers!AY4</f>
        <v>46.722374795886587</v>
      </c>
      <c r="AY13" s="51">
        <f>AY12*ttokg/Drivers!AZ4</f>
        <v>47.578812013317211</v>
      </c>
      <c r="AZ13" s="51">
        <f>AZ12*ttokg/Drivers!BA4</f>
        <v>48.43147007741841</v>
      </c>
      <c r="BA13" s="51">
        <f>BA12*ttokg/Drivers!BB4</f>
        <v>49.31484117045882</v>
      </c>
      <c r="BB13" s="51">
        <f>BB12*ttokg/Drivers!BC4</f>
        <v>50.276130977662092</v>
      </c>
      <c r="BC13" s="51">
        <f>BC12*ttokg/Drivers!BD4</f>
        <v>51.180183089603013</v>
      </c>
      <c r="BD13" s="51">
        <f>BD12*ttokg/Drivers!BE4</f>
        <v>52.09615557792651</v>
      </c>
      <c r="BE13" s="51">
        <f>BE12*ttokg/Drivers!BF4</f>
        <v>53.025739286549133</v>
      </c>
      <c r="BF13" s="51">
        <f>BF12*ttokg/Drivers!BG4</f>
        <v>54.018400747861193</v>
      </c>
      <c r="BG13" s="51">
        <f>BG12*ttokg/Drivers!BH4</f>
        <v>55.07387059142814</v>
      </c>
      <c r="BH13" s="51">
        <f>BH12*ttokg/Drivers!BI4</f>
        <v>55.668654168056278</v>
      </c>
      <c r="BI13" s="51">
        <f>BI12*ttokg/Drivers!BJ4</f>
        <v>56.231221032172783</v>
      </c>
      <c r="BJ13" s="51">
        <f>BJ12*ttokg/Drivers!BK4</f>
        <v>56.856644506229188</v>
      </c>
      <c r="BK13" s="51">
        <f>BK12*ttokg/Drivers!BL4</f>
        <v>57.455381688995594</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((Data!$AJ$6*LN('Intermediate calculations'!Y4))+Data!$AK$6)</f>
        <v>1.7973706349476766E-2</v>
      </c>
      <c r="Z14" s="22">
        <f>((Data!$AJ$6*LN('Intermediate calculations'!Z4))+Data!$AK$6)</f>
        <v>1.7977412659182793E-2</v>
      </c>
      <c r="AA14" s="22">
        <f>((Data!$AJ$6*LN('Intermediate calculations'!AA4))+Data!$AK$6)</f>
        <v>1.7979637610300706E-2</v>
      </c>
      <c r="AB14" s="22">
        <f>((Data!$AJ$6*LN('Intermediate calculations'!AB4))+Data!$AK$6)</f>
        <v>1.797670744039313E-2</v>
      </c>
      <c r="AC14" s="22">
        <f>((Data!$AJ$6*LN('Intermediate calculations'!AC4))+Data!$AK$6)</f>
        <v>1.7973689427338582E-2</v>
      </c>
      <c r="AD14" s="22">
        <f>((Data!$AJ$6*LN('Intermediate calculations'!AD4))+Data!$AK$6)</f>
        <v>1.7975562289310215E-2</v>
      </c>
      <c r="AE14" s="22">
        <f>((Data!$AJ$6*LN('Intermediate calculations'!AE4))+Data!$AK$6)</f>
        <v>1.7975803560948248E-2</v>
      </c>
      <c r="AF14" s="22">
        <f>((Data!$AJ$6*LN('Intermediate calculations'!AF4))+Data!$AK$6)</f>
        <v>1.7970619786608404E-2</v>
      </c>
      <c r="AG14" s="22">
        <f>((Data!$AJ$6*LN('Intermediate calculations'!AG4))+Data!$AK$6)</f>
        <v>1.7940803045012072E-2</v>
      </c>
      <c r="AH14" s="22">
        <f>((Data!$AJ$6*LN('Intermediate calculations'!AH4))+Data!$AK$6)</f>
        <v>1.7950152759581176E-2</v>
      </c>
      <c r="AI14" s="22">
        <f>((Data!$AJ$6*LN('Intermediate calculations'!AI4))+Data!$AK$6)</f>
        <v>1.7956173839572161E-2</v>
      </c>
      <c r="AJ14" s="22">
        <f>((Data!$AJ$6*LN('Intermediate calculations'!AJ4))+Data!$AK$6)</f>
        <v>1.7961350409768675E-2</v>
      </c>
      <c r="AK14" s="22">
        <f>((Data!$AJ$6*LN('Intermediate calculations'!AK4))+Data!$AK$6)</f>
        <v>1.7967471405056574E-2</v>
      </c>
      <c r="AL14" s="22">
        <f>((Data!$AJ$6*LN('Intermediate calculations'!AL4))+Data!$AK$6)</f>
        <v>1.7977104606739288E-2</v>
      </c>
      <c r="AM14" s="22">
        <f>((Data!$AJ$6*LN('Intermediate calculations'!AM4))+Data!$AK$6)</f>
        <v>1.7987826135490208E-2</v>
      </c>
      <c r="AN14" s="22">
        <f>((Data!$AJ$6*LN('Intermediate calculations'!AN4))+Data!$AK$6)</f>
        <v>1.7999081056627793E-2</v>
      </c>
      <c r="AO14" s="22">
        <f>((Data!$AJ$6*LN('Intermediate calculations'!AO4))+Data!$AK$6)</f>
        <v>1.8008595634268501E-2</v>
      </c>
      <c r="AP14" s="22">
        <f>((Data!$AJ$6*LN('Intermediate calculations'!AP4))+Data!$AK$6)</f>
        <v>1.8019334210876228E-2</v>
      </c>
      <c r="AQ14" s="22">
        <f>((Data!$AJ$6*LN('Intermediate calculations'!AQ4))+Data!$AK$6)</f>
        <v>1.8031523892722168E-2</v>
      </c>
      <c r="AR14" s="22">
        <f>((Data!$AJ$6*LN('Intermediate calculations'!AR4))+Data!$AK$6)</f>
        <v>1.8043391514264991E-2</v>
      </c>
      <c r="AS14" s="22">
        <f>((Data!$AJ$6*LN('Intermediate calculations'!AS4))+Data!$AK$6)</f>
        <v>1.8055392837274399E-2</v>
      </c>
      <c r="AT14" s="22">
        <f>((Data!$AJ$6*LN('Intermediate calculations'!AT4))+Data!$AK$6)</f>
        <v>1.8067242107824975E-2</v>
      </c>
      <c r="AU14" s="22">
        <f>((Data!$AJ$6*LN('Intermediate calculations'!AU4))+Data!$AK$6)</f>
        <v>1.8080037843123481E-2</v>
      </c>
      <c r="AV14" s="22">
        <f>((Data!$AJ$6*LN('Intermediate calculations'!AV4))+Data!$AK$6)</f>
        <v>1.8090886826228485E-2</v>
      </c>
      <c r="AW14" s="22">
        <f>((Data!$AJ$6*LN('Intermediate calculations'!AW4))+Data!$AK$6)</f>
        <v>1.8102461234995228E-2</v>
      </c>
      <c r="AX14" s="22">
        <f>((Data!$AJ$6*LN('Intermediate calculations'!AX4))+Data!$AK$6)</f>
        <v>1.8113876062169229E-2</v>
      </c>
      <c r="AY14" s="22">
        <f>((Data!$AJ$6*LN('Intermediate calculations'!AY4))+Data!$AK$6)</f>
        <v>1.8124446187594921E-2</v>
      </c>
      <c r="AZ14" s="22">
        <f>((Data!$AJ$6*LN('Intermediate calculations'!AZ4))+Data!$AK$6)</f>
        <v>1.8134684603359204E-2</v>
      </c>
      <c r="BA14" s="22">
        <f>((Data!$AJ$6*LN('Intermediate calculations'!BA4))+Data!$AK$6)</f>
        <v>1.8145007812695711E-2</v>
      </c>
      <c r="BB14" s="22">
        <f>((Data!$AJ$6*LN('Intermediate calculations'!BB4))+Data!$AK$6)</f>
        <v>1.8155930908174214E-2</v>
      </c>
      <c r="BC14" s="22">
        <f>((Data!$AJ$6*LN('Intermediate calculations'!BC4))+Data!$AK$6)</f>
        <v>1.8165923957010929E-2</v>
      </c>
      <c r="BD14" s="22">
        <f>((Data!$AJ$6*LN('Intermediate calculations'!BD4))+Data!$AK$6)</f>
        <v>1.8175786881275219E-2</v>
      </c>
      <c r="BE14" s="22">
        <f>((Data!$AJ$6*LN('Intermediate calculations'!BE4))+Data!$AK$6)</f>
        <v>1.8185540542337505E-2</v>
      </c>
      <c r="BF14" s="22">
        <f>((Data!$AJ$6*LN('Intermediate calculations'!BF4))+Data!$AK$6)</f>
        <v>1.8195686031303959E-2</v>
      </c>
      <c r="BG14" s="22">
        <f>((Data!$AJ$6*LN('Intermediate calculations'!BG4))+Data!$AK$6)</f>
        <v>1.8206183486620935E-2</v>
      </c>
      <c r="BH14" s="22">
        <f>((Data!$AJ$6*LN('Intermediate calculations'!BH4))+Data!$AK$6)</f>
        <v>1.8211973383137386E-2</v>
      </c>
      <c r="BI14" s="22">
        <f>((Data!$AJ$6*LN('Intermediate calculations'!BI4))+Data!$AK$6)</f>
        <v>1.821736941707789E-2</v>
      </c>
      <c r="BJ14" s="22">
        <f>((Data!$AJ$6*LN('Intermediate calculations'!BJ4))+Data!$AK$6)</f>
        <v>1.8223279495122566E-2</v>
      </c>
      <c r="BK14" s="22">
        <f>((Data!$AJ$6*LN('Intermediate calculations'!BK4))+Data!$AK$6)</f>
        <v>1.8228852297949572E-2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2858592.3579480099</v>
      </c>
      <c r="Z15" s="22">
        <f>((Data!$AJ$17*'Intermediate calculations'!Z12)+Data!$AK$17)</f>
        <v>2902378.5252225883</v>
      </c>
      <c r="AA15" s="22">
        <f>((Data!$AJ$17*'Intermediate calculations'!AA12)+Data!$AK$17)</f>
        <v>2942925.6421046332</v>
      </c>
      <c r="AB15" s="22">
        <f>((Data!$AJ$17*'Intermediate calculations'!AB12)+Data!$AK$17)</f>
        <v>2967687.5783693101</v>
      </c>
      <c r="AC15" s="22">
        <f>((Data!$AJ$17*'Intermediate calculations'!AC12)+Data!$AK$17)</f>
        <v>2993211.6332839532</v>
      </c>
      <c r="AD15" s="22">
        <f>((Data!$AJ$17*'Intermediate calculations'!AD12)+Data!$AK$17)</f>
        <v>3036491.6017245287</v>
      </c>
      <c r="AE15" s="22">
        <f>((Data!$AJ$17*'Intermediate calculations'!AE12)+Data!$AK$17)</f>
        <v>3074800.9983488796</v>
      </c>
      <c r="AF15" s="22">
        <f>((Data!$AJ$17*'Intermediate calculations'!AF12)+Data!$AK$17)</f>
        <v>3094643.0263660252</v>
      </c>
      <c r="AG15" s="22">
        <f>((Data!$AJ$17*'Intermediate calculations'!AG12)+Data!$AK$17)</f>
        <v>3031195.2385229608</v>
      </c>
      <c r="AH15" s="22">
        <f>((Data!$AJ$17*'Intermediate calculations'!AH12)+Data!$AK$17)</f>
        <v>3089250.3244220931</v>
      </c>
      <c r="AI15" s="22">
        <f>((Data!$AJ$17*'Intermediate calculations'!AI12)+Data!$AK$17)</f>
        <v>3137433.7229653345</v>
      </c>
      <c r="AJ15" s="22">
        <f>((Data!$AJ$17*'Intermediate calculations'!AJ12)+Data!$AK$17)</f>
        <v>3183718.1232273355</v>
      </c>
      <c r="AK15" s="22">
        <f>((Data!$AJ$17*'Intermediate calculations'!AK12)+Data!$AK$17)</f>
        <v>3234483.1833016155</v>
      </c>
      <c r="AL15" s="22">
        <f>((Data!$AJ$17*'Intermediate calculations'!AL12)+Data!$AK$17)</f>
        <v>3299836.8866346097</v>
      </c>
      <c r="AM15" s="22">
        <f>((Data!$AJ$17*'Intermediate calculations'!AM12)+Data!$AK$17)</f>
        <v>3367264.9390095649</v>
      </c>
      <c r="AN15" s="22">
        <f>((Data!$AJ$17*'Intermediate calculations'!AN12)+Data!$AK$17)</f>
        <v>3439193.0231066309</v>
      </c>
      <c r="AO15" s="22">
        <f>((Data!$AJ$17*'Intermediate calculations'!AO12)+Data!$AK$17)</f>
        <v>3506207.6809218312</v>
      </c>
      <c r="AP15" s="22">
        <f>((Data!$AJ$17*'Intermediate calculations'!AP12)+Data!$AK$17)</f>
        <v>3580748.263375273</v>
      </c>
      <c r="AQ15" s="22">
        <f>((Data!$AJ$17*'Intermediate calculations'!AQ12)+Data!$AK$17)</f>
        <v>3664573.6681198655</v>
      </c>
      <c r="AR15" s="22">
        <f>((Data!$AJ$17*'Intermediate calculations'!AR12)+Data!$AK$17)</f>
        <v>3746114.9416789766</v>
      </c>
      <c r="AS15" s="22">
        <f>((Data!$AJ$17*'Intermediate calculations'!AS12)+Data!$AK$17)</f>
        <v>3831315.7495766003</v>
      </c>
      <c r="AT15" s="22">
        <f>((Data!$AJ$17*'Intermediate calculations'!AT12)+Data!$AK$17)</f>
        <v>3918882.3320601294</v>
      </c>
      <c r="AU15" s="22">
        <f>((Data!$AJ$17*'Intermediate calculations'!AU12)+Data!$AK$17)</f>
        <v>4014829.0539133549</v>
      </c>
      <c r="AV15" s="22">
        <f>((Data!$AJ$17*'Intermediate calculations'!AV12)+Data!$AK$17)</f>
        <v>4103507.75594969</v>
      </c>
      <c r="AW15" s="22">
        <f>((Data!$AJ$17*'Intermediate calculations'!AW12)+Data!$AK$17)</f>
        <v>4195315.4362968439</v>
      </c>
      <c r="AX15" s="22">
        <f>((Data!$AJ$17*'Intermediate calculations'!AX12)+Data!$AK$17)</f>
        <v>4289406.5347228833</v>
      </c>
      <c r="AY15" s="22">
        <f>((Data!$AJ$17*'Intermediate calculations'!AY12)+Data!$AK$17)</f>
        <v>4381456.9582023844</v>
      </c>
      <c r="AZ15" s="22">
        <f>((Data!$AJ$17*'Intermediate calculations'!AZ12)+Data!$AK$17)</f>
        <v>4474370.8828598587</v>
      </c>
      <c r="BA15" s="22">
        <f>((Data!$AJ$17*'Intermediate calculations'!BA12)+Data!$AK$17)</f>
        <v>4570847.5565354042</v>
      </c>
      <c r="BB15" s="22">
        <f>((Data!$AJ$17*'Intermediate calculations'!BB12)+Data!$AK$17)</f>
        <v>4670306.1399159497</v>
      </c>
      <c r="BC15" s="22">
        <f>((Data!$AJ$17*'Intermediate calculations'!BC12)+Data!$AK$17)</f>
        <v>4766325.9160586298</v>
      </c>
      <c r="BD15" s="22">
        <f>((Data!$AJ$17*'Intermediate calculations'!BD12)+Data!$AK$17)</f>
        <v>4864334.4156718152</v>
      </c>
      <c r="BE15" s="22">
        <f>((Data!$AJ$17*'Intermediate calculations'!BE12)+Data!$AK$17)</f>
        <v>4964493.8871791316</v>
      </c>
      <c r="BF15" s="22">
        <f>((Data!$AJ$17*'Intermediate calculations'!BF12)+Data!$AK$17)</f>
        <v>5070818.6155094607</v>
      </c>
      <c r="BG15" s="22">
        <f>((Data!$AJ$17*'Intermediate calculations'!BG12)+Data!$AK$17)</f>
        <v>5178484.1496157059</v>
      </c>
      <c r="BH15" s="22">
        <f>((Data!$AJ$17*'Intermediate calculations'!BH12)+Data!$AK$17)</f>
        <v>5249646.9457634799</v>
      </c>
      <c r="BI15" s="22">
        <f>((Data!$AJ$17*'Intermediate calculations'!BI12)+Data!$AK$17)</f>
        <v>5318785.0606218269</v>
      </c>
      <c r="BJ15" s="22">
        <f>((Data!$AJ$17*'Intermediate calculations'!BJ12)+Data!$AK$17)</f>
        <v>5393678.3468933767</v>
      </c>
      <c r="BK15" s="22">
        <f>((Data!$AJ$17*'Intermediate calculations'!BK12)+Data!$AK$17)</f>
        <v>5467011.3795313602</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163459.89246766997</v>
      </c>
      <c r="Z18" s="22">
        <f t="shared" si="4"/>
        <v>165060.86789352147</v>
      </c>
      <c r="AA18" s="22">
        <f t="shared" si="4"/>
        <v>166717.6249808867</v>
      </c>
      <c r="AB18" s="22">
        <f t="shared" si="4"/>
        <v>168422.43716144172</v>
      </c>
      <c r="AC18" s="22">
        <f t="shared" si="4"/>
        <v>170190.83332314037</v>
      </c>
      <c r="AD18" s="22">
        <f t="shared" si="4"/>
        <v>172038.81534912848</v>
      </c>
      <c r="AE18" s="22">
        <f t="shared" si="4"/>
        <v>173907.06077521536</v>
      </c>
      <c r="AF18" s="22">
        <f t="shared" si="4"/>
        <v>175790.3355834824</v>
      </c>
      <c r="AG18" s="22">
        <f t="shared" si="4"/>
        <v>177637.55554350026</v>
      </c>
      <c r="AH18" s="22">
        <f t="shared" si="4"/>
        <v>179056.7394751031</v>
      </c>
      <c r="AI18" s="22">
        <f t="shared" si="4"/>
        <v>180483.87967925082</v>
      </c>
      <c r="AJ18" s="22">
        <f t="shared" si="4"/>
        <v>181925.5002841902</v>
      </c>
      <c r="AK18" s="22">
        <f t="shared" si="4"/>
        <v>183386.86029254118</v>
      </c>
      <c r="AL18" s="22">
        <f t="shared" si="4"/>
        <v>184876.18662873426</v>
      </c>
      <c r="AM18" s="22">
        <f t="shared" si="4"/>
        <v>186173.13018311179</v>
      </c>
      <c r="AN18" s="22">
        <f t="shared" si="4"/>
        <v>187485.89556282421</v>
      </c>
      <c r="AO18" s="22">
        <f t="shared" si="4"/>
        <v>188807.11510830262</v>
      </c>
      <c r="AP18" s="22">
        <f t="shared" si="4"/>
        <v>190146.80578141604</v>
      </c>
      <c r="AQ18" s="22">
        <f t="shared" si="4"/>
        <v>191506.48967419186</v>
      </c>
      <c r="AR18" s="22">
        <f t="shared" si="4"/>
        <v>192703.08082233934</v>
      </c>
      <c r="AS18" s="22">
        <f t="shared" si="4"/>
        <v>193912.24151480512</v>
      </c>
      <c r="AT18" s="22">
        <f t="shared" si="4"/>
        <v>195133.02502178412</v>
      </c>
      <c r="AU18" s="22">
        <f t="shared" si="4"/>
        <v>196370.29877116103</v>
      </c>
      <c r="AV18" s="22">
        <f t="shared" si="4"/>
        <v>197611.69883330099</v>
      </c>
      <c r="AW18" s="22">
        <f t="shared" si="4"/>
        <v>198697.72680796753</v>
      </c>
      <c r="AX18" s="22">
        <f t="shared" si="4"/>
        <v>199792.98750130698</v>
      </c>
      <c r="AY18" s="22">
        <f t="shared" si="4"/>
        <v>200894.0954872611</v>
      </c>
      <c r="AZ18" s="22">
        <f t="shared" si="4"/>
        <v>202003.4156682844</v>
      </c>
      <c r="BA18" s="22">
        <f t="shared" si="4"/>
        <v>203123.15033125447</v>
      </c>
      <c r="BB18" s="22">
        <f t="shared" si="4"/>
        <v>204093.569374049</v>
      </c>
      <c r="BC18" s="22">
        <f t="shared" si="4"/>
        <v>205066.78873371767</v>
      </c>
      <c r="BD18" s="22">
        <f t="shared" si="4"/>
        <v>206047.1602755184</v>
      </c>
      <c r="BE18" s="22">
        <f t="shared" si="4"/>
        <v>207034.84766063947</v>
      </c>
      <c r="BF18" s="22">
        <f t="shared" si="4"/>
        <v>208033.07897645939</v>
      </c>
      <c r="BG18" s="22">
        <f t="shared" si="4"/>
        <v>208874.3307757146</v>
      </c>
      <c r="BH18" s="22">
        <f t="shared" si="4"/>
        <v>209690.40268908208</v>
      </c>
      <c r="BI18" s="22">
        <f t="shared" si="4"/>
        <v>210508.7409519027</v>
      </c>
      <c r="BJ18" s="22">
        <f t="shared" si="4"/>
        <v>211335.55405906262</v>
      </c>
      <c r="BK18" s="22">
        <f t="shared" si="4"/>
        <v>212165.04264112306</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168454.70578324009</v>
      </c>
      <c r="Z19" s="22">
        <f>(((Data!$AJ$7*'Intermediate calculations'!Z4)+Data!$AK$7)*Drivers!AA4)</f>
        <v>170977.41273547855</v>
      </c>
      <c r="AA19" s="22">
        <f>(((Data!$AJ$7*'Intermediate calculations'!AA4)+Data!$AK$7)*Drivers!AB4)</f>
        <v>173588.01659296342</v>
      </c>
      <c r="AB19" s="22">
        <f>(((Data!$AJ$7*'Intermediate calculations'!AB4)+Data!$AK$7)*Drivers!AC4)</f>
        <v>176274.34236080549</v>
      </c>
      <c r="AC19" s="22">
        <f>(((Data!$AJ$7*'Intermediate calculations'!AC4)+Data!$AK$7)*Drivers!AD4)</f>
        <v>179060.85939248081</v>
      </c>
      <c r="AD19" s="22">
        <f>(((Data!$AJ$7*'Intermediate calculations'!AD4)+Data!$AK$7)*Drivers!AE4)</f>
        <v>181972.78235475381</v>
      </c>
      <c r="AE19" s="22">
        <f>(((Data!$AJ$7*'Intermediate calculations'!AE4)+Data!$AK$7)*Drivers!AF4)</f>
        <v>184916.6349890753</v>
      </c>
      <c r="AF19" s="22">
        <f>(((Data!$AJ$7*'Intermediate calculations'!AF4)+Data!$AK$7)*Drivers!AG4)</f>
        <v>187884.16989003346</v>
      </c>
      <c r="AG19" s="22">
        <f>(((Data!$AJ$7*'Intermediate calculations'!AG4)+Data!$AK$7)*Drivers!AH4)</f>
        <v>190794.8920411696</v>
      </c>
      <c r="AH19" s="22">
        <f>(((Data!$AJ$7*'Intermediate calculations'!AH4)+Data!$AK$7)*Drivers!AI4)</f>
        <v>193031.14446138102</v>
      </c>
      <c r="AI19" s="22">
        <f>(((Data!$AJ$7*'Intermediate calculations'!AI4)+Data!$AK$7)*Drivers!AJ4)</f>
        <v>195279.93382859294</v>
      </c>
      <c r="AJ19" s="22">
        <f>(((Data!$AJ$7*'Intermediate calculations'!AJ4)+Data!$AK$7)*Drivers!AK4)</f>
        <v>197551.5404153314</v>
      </c>
      <c r="AK19" s="22">
        <f>(((Data!$AJ$7*'Intermediate calculations'!AK4)+Data!$AK$7)*Drivers!AL4)</f>
        <v>199854.25099618206</v>
      </c>
      <c r="AL19" s="22">
        <f>(((Data!$AJ$7*'Intermediate calculations'!AL4)+Data!$AK$7)*Drivers!AM4)</f>
        <v>202201.0289927698</v>
      </c>
      <c r="AM19" s="22">
        <f>(((Data!$AJ$7*'Intermediate calculations'!AM4)+Data!$AK$7)*Drivers!AN4)</f>
        <v>204244.66343490922</v>
      </c>
      <c r="AN19" s="22">
        <f>(((Data!$AJ$7*'Intermediate calculations'!AN4)+Data!$AK$7)*Drivers!AO4)</f>
        <v>206313.22882109997</v>
      </c>
      <c r="AO19" s="22">
        <f>(((Data!$AJ$7*'Intermediate calculations'!AO4)+Data!$AK$7)*Drivers!AP4)</f>
        <v>208395.11570018117</v>
      </c>
      <c r="AP19" s="22">
        <f>(((Data!$AJ$7*'Intermediate calculations'!AP4)+Data!$AK$7)*Drivers!AQ4)</f>
        <v>210506.10811164466</v>
      </c>
      <c r="AQ19" s="22">
        <f>(((Data!$AJ$7*'Intermediate calculations'!AQ4)+Data!$AK$7)*Drivers!AR4)</f>
        <v>212648.60446340963</v>
      </c>
      <c r="AR19" s="22">
        <f>(((Data!$AJ$7*'Intermediate calculations'!AR4)+Data!$AK$7)*Drivers!AS4)</f>
        <v>214534.11048659729</v>
      </c>
      <c r="AS19" s="22">
        <f>(((Data!$AJ$7*'Intermediate calculations'!AS4)+Data!$AK$7)*Drivers!AT4)</f>
        <v>216439.42273312007</v>
      </c>
      <c r="AT19" s="22">
        <f>(((Data!$AJ$7*'Intermediate calculations'!AT4)+Data!$AK$7)*Drivers!AU4)</f>
        <v>218363.04941127216</v>
      </c>
      <c r="AU19" s="22">
        <f>(((Data!$AJ$7*'Intermediate calculations'!AU4)+Data!$AK$7)*Drivers!AV4)</f>
        <v>220312.66027910609</v>
      </c>
      <c r="AV19" s="22">
        <f>(((Data!$AJ$7*'Intermediate calculations'!AV4)+Data!$AK$7)*Drivers!AW4)</f>
        <v>222268.77310676177</v>
      </c>
      <c r="AW19" s="22">
        <f>(((Data!$AJ$7*'Intermediate calculations'!AW4)+Data!$AK$7)*Drivers!AX4)</f>
        <v>223980.06128631614</v>
      </c>
      <c r="AX19" s="22">
        <f>(((Data!$AJ$7*'Intermediate calculations'!AX4)+Data!$AK$7)*Drivers!AY4)</f>
        <v>225705.89774887849</v>
      </c>
      <c r="AY19" s="22">
        <f>(((Data!$AJ$7*'Intermediate calculations'!AY4)+Data!$AK$7)*Drivers!AZ4)</f>
        <v>227440.94797293443</v>
      </c>
      <c r="AZ19" s="22">
        <f>(((Data!$AJ$7*'Intermediate calculations'!AZ4)+Data!$AK$7)*Drivers!BA4)</f>
        <v>229188.93840910084</v>
      </c>
      <c r="BA19" s="22">
        <f>(((Data!$AJ$7*'Intermediate calculations'!BA4)+Data!$AK$7)*Drivers!BB4)</f>
        <v>230953.33926955404</v>
      </c>
      <c r="BB19" s="22">
        <f>(((Data!$AJ$7*'Intermediate calculations'!BB4)+Data!$AK$7)*Drivers!BC4)</f>
        <v>232482.45884647712</v>
      </c>
      <c r="BC19" s="22">
        <f>(((Data!$AJ$7*'Intermediate calculations'!BC4)+Data!$AK$7)*Drivers!BD4)</f>
        <v>234015.99097010941</v>
      </c>
      <c r="BD19" s="22">
        <f>(((Data!$AJ$7*'Intermediate calculations'!BD4)+Data!$AK$7)*Drivers!BE4)</f>
        <v>235560.7930103793</v>
      </c>
      <c r="BE19" s="22">
        <f>(((Data!$AJ$7*'Intermediate calculations'!BE4)+Data!$AK$7)*Drivers!BF4)</f>
        <v>237117.12285332981</v>
      </c>
      <c r="BF19" s="22">
        <f>(((Data!$AJ$7*'Intermediate calculations'!BF4)+Data!$AK$7)*Drivers!BG4)</f>
        <v>238690.06709700651</v>
      </c>
      <c r="BG19" s="22">
        <f>(((Data!$AJ$7*'Intermediate calculations'!BG4)+Data!$AK$7)*Drivers!BH4)</f>
        <v>240015.65381638758</v>
      </c>
      <c r="BH19" s="22">
        <f>(((Data!$AJ$7*'Intermediate calculations'!BH4)+Data!$AK$7)*Drivers!BI4)</f>
        <v>241301.56380359654</v>
      </c>
      <c r="BI19" s="22">
        <f>(((Data!$AJ$7*'Intermediate calculations'!BI4)+Data!$AK$7)*Drivers!BJ4)</f>
        <v>242591.04494838192</v>
      </c>
      <c r="BJ19" s="22">
        <f>(((Data!$AJ$7*'Intermediate calculations'!BJ4)+Data!$AK$7)*Drivers!BK4)</f>
        <v>243893.88016993122</v>
      </c>
      <c r="BK19" s="22">
        <f>(((Data!$AJ$7*'Intermediate calculations'!BK4)+Data!$AK$7)*Drivers!BL4)</f>
        <v>245200.93122079491</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3.2193657367899781E-3</v>
      </c>
      <c r="Z20" s="22">
        <f>Z19/Drivers!AA4</f>
        <v>3.2196476437843925E-3</v>
      </c>
      <c r="AA20" s="22">
        <f>AA19/Drivers!AB4</f>
        <v>3.2198182062071821E-3</v>
      </c>
      <c r="AB20" s="22">
        <f>AB19/Drivers!AC4</f>
        <v>3.2195937911938958E-3</v>
      </c>
      <c r="AC20" s="22">
        <f>AC19/Drivers!AD4</f>
        <v>3.2193644559836538E-3</v>
      </c>
      <c r="AD20" s="22">
        <f>AD19/Drivers!AE4</f>
        <v>3.2195065573583466E-3</v>
      </c>
      <c r="AE20" s="22">
        <f>AE19/Drivers!AF4</f>
        <v>3.2195249147166176E-3</v>
      </c>
      <c r="AF20" s="22">
        <f>AF19/Drivers!AG4</f>
        <v>3.2191330643135904E-3</v>
      </c>
      <c r="AG20" s="22">
        <f>AG19/Drivers!AH4</f>
        <v>3.2169803791176235E-3</v>
      </c>
      <c r="AH20" s="22">
        <f>AH19/Drivers!AI4</f>
        <v>3.2176372586953808E-3</v>
      </c>
      <c r="AI20" s="22">
        <f>AI19/Drivers!AJ4</f>
        <v>3.2180689427574161E-3</v>
      </c>
      <c r="AJ20" s="22">
        <f>AJ19/Drivers!AK4</f>
        <v>3.2184456041564531E-3</v>
      </c>
      <c r="AK20" s="22">
        <f>AK19/Drivers!AL4</f>
        <v>3.2188976768264552E-3</v>
      </c>
      <c r="AL20" s="22">
        <f>AL19/Drivers!AM4</f>
        <v>3.21962410765785E-3</v>
      </c>
      <c r="AM20" s="22">
        <f>AM19/Drivers!AN4</f>
        <v>3.220454628655276E-3</v>
      </c>
      <c r="AN20" s="22">
        <f>AN19/Drivers!AO4</f>
        <v>3.2213521295965885E-3</v>
      </c>
      <c r="AO20" s="22">
        <f>AO19/Drivers!AP4</f>
        <v>3.2221319285631171E-3</v>
      </c>
      <c r="AP20" s="22">
        <f>AP19/Drivers!AQ4</f>
        <v>3.2230358948952724E-3</v>
      </c>
      <c r="AQ20" s="22">
        <f>AQ19/Drivers!AR4</f>
        <v>3.2240935516858206E-3</v>
      </c>
      <c r="AR20" s="22">
        <f>AR19/Drivers!AS4</f>
        <v>3.2251564823614124E-3</v>
      </c>
      <c r="AS20" s="22">
        <f>AS19/Drivers!AT4</f>
        <v>3.2262657916479649E-3</v>
      </c>
      <c r="AT20" s="22">
        <f>AT19/Drivers!AU4</f>
        <v>3.2273960716209644E-3</v>
      </c>
      <c r="AU20" s="22">
        <f>AU19/Drivers!AV4</f>
        <v>3.2286569968055473E-3</v>
      </c>
      <c r="AV20" s="22">
        <f>AV19/Drivers!AW4</f>
        <v>3.2297599590374853E-3</v>
      </c>
      <c r="AW20" s="22">
        <f>AW19/Drivers!AX4</f>
        <v>3.2309720235681682E-3</v>
      </c>
      <c r="AX20" s="22">
        <f>AX19/Drivers!AY4</f>
        <v>3.2322042014745166E-3</v>
      </c>
      <c r="AY20" s="22">
        <f>AY19/Drivers!AZ4</f>
        <v>3.2333787847856595E-3</v>
      </c>
      <c r="AZ20" s="22">
        <f>AZ19/Drivers!BA4</f>
        <v>3.2345481850777312E-3</v>
      </c>
      <c r="BA20" s="22">
        <f>BA19/Drivers!BB4</f>
        <v>3.2357597075598392E-3</v>
      </c>
      <c r="BB20" s="22">
        <f>BB19/Drivers!BC4</f>
        <v>3.2370780937085635E-3</v>
      </c>
      <c r="BC20" s="22">
        <f>BC19/Drivers!BD4</f>
        <v>3.2383179797171083E-3</v>
      </c>
      <c r="BD20" s="22">
        <f>BD19/Drivers!BE4</f>
        <v>3.2395742142388613E-3</v>
      </c>
      <c r="BE20" s="22">
        <f>BE19/Drivers!BF4</f>
        <v>3.240849116226113E-3</v>
      </c>
      <c r="BF20" s="22">
        <f>BF19/Drivers!BG4</f>
        <v>3.2422105278536572E-3</v>
      </c>
      <c r="BG20" s="22">
        <f>BG19/Drivers!BH4</f>
        <v>3.2436580796863382E-3</v>
      </c>
      <c r="BH20" s="22">
        <f>BH19/Drivers!BI4</f>
        <v>3.2444738112410052E-3</v>
      </c>
      <c r="BI20" s="22">
        <f>BI19/Drivers!BJ4</f>
        <v>3.2452453583393152E-3</v>
      </c>
      <c r="BJ20" s="22">
        <f>BJ19/Drivers!BK4</f>
        <v>3.2461031117858872E-3</v>
      </c>
      <c r="BK20" s="22">
        <f>BK19/Drivers!BL4</f>
        <v>3.2469242656175102E-3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3.2193657367899782</v>
      </c>
      <c r="Z21" s="22">
        <f t="shared" ref="Z21:BK21" si="7">Z20*1000</f>
        <v>3.2196476437843926</v>
      </c>
      <c r="AA21" s="22">
        <f t="shared" si="7"/>
        <v>3.2198182062071821</v>
      </c>
      <c r="AB21" s="22">
        <f t="shared" si="7"/>
        <v>3.2195937911938959</v>
      </c>
      <c r="AC21" s="22">
        <f t="shared" si="7"/>
        <v>3.2193644559836536</v>
      </c>
      <c r="AD21" s="22">
        <f t="shared" si="7"/>
        <v>3.2195065573583466</v>
      </c>
      <c r="AE21" s="22">
        <f t="shared" si="7"/>
        <v>3.2195249147166178</v>
      </c>
      <c r="AF21" s="22">
        <f t="shared" si="7"/>
        <v>3.2191330643135903</v>
      </c>
      <c r="AG21" s="22">
        <f t="shared" si="7"/>
        <v>3.2169803791176235</v>
      </c>
      <c r="AH21" s="22">
        <f t="shared" si="7"/>
        <v>3.217637258695381</v>
      </c>
      <c r="AI21" s="22">
        <f t="shared" si="7"/>
        <v>3.2180689427574163</v>
      </c>
      <c r="AJ21" s="22">
        <f t="shared" si="7"/>
        <v>3.2184456041564529</v>
      </c>
      <c r="AK21" s="22">
        <f t="shared" si="7"/>
        <v>3.218897676826455</v>
      </c>
      <c r="AL21" s="22">
        <f t="shared" si="7"/>
        <v>3.2196241076578498</v>
      </c>
      <c r="AM21" s="22">
        <f t="shared" si="7"/>
        <v>3.220454628655276</v>
      </c>
      <c r="AN21" s="22">
        <f t="shared" si="7"/>
        <v>3.2213521295965886</v>
      </c>
      <c r="AO21" s="22">
        <f t="shared" si="7"/>
        <v>3.2221319285631171</v>
      </c>
      <c r="AP21" s="22">
        <f t="shared" si="7"/>
        <v>3.2230358948952724</v>
      </c>
      <c r="AQ21" s="22">
        <f t="shared" si="7"/>
        <v>3.2240935516858205</v>
      </c>
      <c r="AR21" s="22">
        <f t="shared" si="7"/>
        <v>3.2251564823614123</v>
      </c>
      <c r="AS21" s="22">
        <f t="shared" si="7"/>
        <v>3.2262657916479651</v>
      </c>
      <c r="AT21" s="22">
        <f t="shared" si="7"/>
        <v>3.2273960716209644</v>
      </c>
      <c r="AU21" s="22">
        <f t="shared" si="7"/>
        <v>3.2286569968055474</v>
      </c>
      <c r="AV21" s="22">
        <f t="shared" si="7"/>
        <v>3.2297599590374855</v>
      </c>
      <c r="AW21" s="22">
        <f t="shared" si="7"/>
        <v>3.2309720235681683</v>
      </c>
      <c r="AX21" s="22">
        <f t="shared" si="7"/>
        <v>3.2322042014745165</v>
      </c>
      <c r="AY21" s="22">
        <f t="shared" si="7"/>
        <v>3.2333787847856597</v>
      </c>
      <c r="AZ21" s="22">
        <f t="shared" si="7"/>
        <v>3.2345481850777311</v>
      </c>
      <c r="BA21" s="22">
        <f t="shared" si="7"/>
        <v>3.2357597075598394</v>
      </c>
      <c r="BB21" s="22">
        <f t="shared" si="7"/>
        <v>3.2370780937085635</v>
      </c>
      <c r="BC21" s="22">
        <f t="shared" si="7"/>
        <v>3.2383179797171082</v>
      </c>
      <c r="BD21" s="22">
        <f t="shared" si="7"/>
        <v>3.2395742142388615</v>
      </c>
      <c r="BE21" s="22">
        <f t="shared" si="7"/>
        <v>3.240849116226113</v>
      </c>
      <c r="BF21" s="22">
        <f t="shared" si="7"/>
        <v>3.2422105278536573</v>
      </c>
      <c r="BG21" s="22">
        <f t="shared" si="7"/>
        <v>3.2436580796863383</v>
      </c>
      <c r="BH21" s="22">
        <f t="shared" si="7"/>
        <v>3.2444738112410052</v>
      </c>
      <c r="BI21" s="22">
        <f t="shared" si="7"/>
        <v>3.2452453583393153</v>
      </c>
      <c r="BJ21" s="22">
        <f t="shared" si="7"/>
        <v>3.246103111785887</v>
      </c>
      <c r="BK21" s="22">
        <f t="shared" si="7"/>
        <v>3.2469242656175101</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10752.428028717455</v>
      </c>
      <c r="Z22" s="22">
        <f>((Data!$AJ$8*'Intermediate calculations'!Z4)+Data!$AK$8)*Drivers!AA4</f>
        <v>10913.451876732677</v>
      </c>
      <c r="AA22" s="22">
        <f>((Data!$AJ$8*'Intermediate calculations'!AA4)+Data!$AK$8)*Drivers!AB4</f>
        <v>11080.086165508308</v>
      </c>
      <c r="AB22" s="22">
        <f>((Data!$AJ$8*'Intermediate calculations'!AB4)+Data!$AK$8)*Drivers!AC4</f>
        <v>11251.553767710991</v>
      </c>
      <c r="AC22" s="22">
        <f>((Data!$AJ$8*'Intermediate calculations'!AC4)+Data!$AK$8)*Drivers!AD4</f>
        <v>11429.416556966864</v>
      </c>
      <c r="AD22" s="22">
        <f>((Data!$AJ$8*'Intermediate calculations'!AD4)+Data!$AK$8)*Drivers!AE4</f>
        <v>11615.28398009067</v>
      </c>
      <c r="AE22" s="22">
        <f>((Data!$AJ$8*'Intermediate calculations'!AE4)+Data!$AK$8)*Drivers!AF4</f>
        <v>11803.189467387791</v>
      </c>
      <c r="AF22" s="22">
        <f>((Data!$AJ$8*'Intermediate calculations'!AF4)+Data!$AK$8)*Drivers!AG4</f>
        <v>11992.606588725543</v>
      </c>
      <c r="AG22" s="22">
        <f>((Data!$AJ$8*'Intermediate calculations'!AG4)+Data!$AK$8)*Drivers!AH4</f>
        <v>12178.397364329978</v>
      </c>
      <c r="AH22" s="22">
        <f>((Data!$AJ$8*'Intermediate calculations'!AH4)+Data!$AK$8)*Drivers!AI4</f>
        <v>12321.136880513684</v>
      </c>
      <c r="AI22" s="22">
        <f>((Data!$AJ$8*'Intermediate calculations'!AI4)+Data!$AK$8)*Drivers!AJ4</f>
        <v>12464.676627356999</v>
      </c>
      <c r="AJ22" s="22">
        <f>((Data!$AJ$8*'Intermediate calculations'!AJ4)+Data!$AK$8)*Drivers!AK4</f>
        <v>12609.672792467965</v>
      </c>
      <c r="AK22" s="22">
        <f>((Data!$AJ$8*'Intermediate calculations'!AK4)+Data!$AK$8)*Drivers!AL4</f>
        <v>12756.654318905241</v>
      </c>
      <c r="AL22" s="22">
        <f>((Data!$AJ$8*'Intermediate calculations'!AL4)+Data!$AK$8)*Drivers!AM4</f>
        <v>12906.448659112972</v>
      </c>
      <c r="AM22" s="22">
        <f>((Data!$AJ$8*'Intermediate calculations'!AM4)+Data!$AK$8)*Drivers!AN4</f>
        <v>13036.89341073889</v>
      </c>
      <c r="AN22" s="22">
        <f>((Data!$AJ$8*'Intermediate calculations'!AN4)+Data!$AK$8)*Drivers!AO4</f>
        <v>13168.92949921915</v>
      </c>
      <c r="AO22" s="22">
        <f>((Data!$AJ$8*'Intermediate calculations'!AO4)+Data!$AK$8)*Drivers!AP4</f>
        <v>13301.81589575625</v>
      </c>
      <c r="AP22" s="22">
        <f>((Data!$AJ$8*'Intermediate calculations'!AP4)+Data!$AK$8)*Drivers!AQ4</f>
        <v>13436.560092232643</v>
      </c>
      <c r="AQ22" s="22">
        <f>((Data!$AJ$8*'Intermediate calculations'!AQ4)+Data!$AK$8)*Drivers!AR4</f>
        <v>13573.315178515513</v>
      </c>
      <c r="AR22" s="22">
        <f>((Data!$AJ$8*'Intermediate calculations'!AR4)+Data!$AK$8)*Drivers!AS4</f>
        <v>13693.666626804086</v>
      </c>
      <c r="AS22" s="22">
        <f>((Data!$AJ$8*'Intermediate calculations'!AS4)+Data!$AK$8)*Drivers!AT4</f>
        <v>13815.28230211405</v>
      </c>
      <c r="AT22" s="22">
        <f>((Data!$AJ$8*'Intermediate calculations'!AT4)+Data!$AK$8)*Drivers!AU4</f>
        <v>13938.066983698227</v>
      </c>
      <c r="AU22" s="22">
        <f>((Data!$AJ$8*'Intermediate calculations'!AU4)+Data!$AK$8)*Drivers!AV4</f>
        <v>14062.510230581247</v>
      </c>
      <c r="AV22" s="22">
        <f>((Data!$AJ$8*'Intermediate calculations'!AV4)+Data!$AK$8)*Drivers!AW4</f>
        <v>14187.368496176288</v>
      </c>
      <c r="AW22" s="22">
        <f>((Data!$AJ$8*'Intermediate calculations'!AW4)+Data!$AK$8)*Drivers!AX4</f>
        <v>14296.599656573377</v>
      </c>
      <c r="AX22" s="22">
        <f>((Data!$AJ$8*'Intermediate calculations'!AX4)+Data!$AK$8)*Drivers!AY4</f>
        <v>14406.759430779484</v>
      </c>
      <c r="AY22" s="22">
        <f>((Data!$AJ$8*'Intermediate calculations'!AY4)+Data!$AK$8)*Drivers!AZ4</f>
        <v>14517.50731742135</v>
      </c>
      <c r="AZ22" s="22">
        <f>((Data!$AJ$8*'Intermediate calculations'!AZ4)+Data!$AK$8)*Drivers!BA4</f>
        <v>14629.081175048996</v>
      </c>
      <c r="BA22" s="22">
        <f>((Data!$AJ$8*'Intermediate calculations'!BA4)+Data!$AK$8)*Drivers!BB4</f>
        <v>14741.702506567284</v>
      </c>
      <c r="BB22" s="22">
        <f>((Data!$AJ$8*'Intermediate calculations'!BB4)+Data!$AK$8)*Drivers!BC4</f>
        <v>14839.305883817695</v>
      </c>
      <c r="BC22" s="22">
        <f>((Data!$AJ$8*'Intermediate calculations'!BC4)+Data!$AK$8)*Drivers!BD4</f>
        <v>14937.190912985714</v>
      </c>
      <c r="BD22" s="22">
        <f>((Data!$AJ$8*'Intermediate calculations'!BD4)+Data!$AK$8)*Drivers!BE4</f>
        <v>15035.795298534855</v>
      </c>
      <c r="BE22" s="22">
        <f>((Data!$AJ$8*'Intermediate calculations'!BE4)+Data!$AK$8)*Drivers!BF4</f>
        <v>15135.135501276378</v>
      </c>
      <c r="BF22" s="22">
        <f>((Data!$AJ$8*'Intermediate calculations'!BF4)+Data!$AK$8)*Drivers!BG4</f>
        <v>15235.536197681271</v>
      </c>
      <c r="BG22" s="22">
        <f>((Data!$AJ$8*'Intermediate calculations'!BG4)+Data!$AK$8)*Drivers!BH4</f>
        <v>15320.148115939639</v>
      </c>
      <c r="BH22" s="22">
        <f>((Data!$AJ$8*'Intermediate calculations'!BH4)+Data!$AK$8)*Drivers!BI4</f>
        <v>15402.227476825317</v>
      </c>
      <c r="BI22" s="22">
        <f>((Data!$AJ$8*'Intermediate calculations'!BI4)+Data!$AK$8)*Drivers!BJ4</f>
        <v>15484.53478393928</v>
      </c>
      <c r="BJ22" s="22">
        <f>((Data!$AJ$8*'Intermediate calculations'!BJ4)+Data!$AK$8)*Drivers!BK4</f>
        <v>15567.694478931788</v>
      </c>
      <c r="BK22" s="22">
        <f>((Data!$AJ$8*'Intermediate calculations'!BK4)+Data!$AK$8)*Drivers!BL4</f>
        <v>15651.12326941245</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2.05491430007871E-4</v>
      </c>
      <c r="Z23" s="22">
        <f>Z22/Drivers!AA4</f>
        <v>2.0550942407134427E-4</v>
      </c>
      <c r="AA23" s="22">
        <f>AA22/Drivers!AB4</f>
        <v>2.0552031103450108E-4</v>
      </c>
      <c r="AB23" s="22">
        <f>AB22/Drivers!AC4</f>
        <v>2.0550598667195085E-4</v>
      </c>
      <c r="AC23" s="22">
        <f>AC22/Drivers!AD4</f>
        <v>2.0549134825427584E-4</v>
      </c>
      <c r="AD23" s="22">
        <f>AD22/Drivers!AE4</f>
        <v>2.0550041855478809E-4</v>
      </c>
      <c r="AE23" s="22">
        <f>AE22/Drivers!AF4</f>
        <v>2.0550159030106077E-4</v>
      </c>
      <c r="AF23" s="22">
        <f>AF22/Drivers!AG4</f>
        <v>2.0547657857320793E-4</v>
      </c>
      <c r="AG23" s="22">
        <f>AG22/Drivers!AH4</f>
        <v>2.0533917313516752E-4</v>
      </c>
      <c r="AH23" s="22">
        <f>AH22/Drivers!AI4</f>
        <v>2.0538110161885412E-4</v>
      </c>
      <c r="AI23" s="22">
        <f>AI22/Drivers!AJ4</f>
        <v>2.054086559206862E-4</v>
      </c>
      <c r="AJ23" s="22">
        <f>AJ22/Drivers!AK4</f>
        <v>2.05432698137646E-4</v>
      </c>
      <c r="AK23" s="22">
        <f>AK22/Drivers!AL4</f>
        <v>2.0546155383998656E-4</v>
      </c>
      <c r="AL23" s="22">
        <f>AL22/Drivers!AM4</f>
        <v>2.0550792176539476E-4</v>
      </c>
      <c r="AM23" s="22">
        <f>AM22/Drivers!AN4</f>
        <v>2.0556093374395385E-4</v>
      </c>
      <c r="AN23" s="22">
        <f>AN22/Drivers!AO4</f>
        <v>2.0561822103808017E-4</v>
      </c>
      <c r="AO23" s="22">
        <f>AO22/Drivers!AP4</f>
        <v>2.0566799544019903E-4</v>
      </c>
      <c r="AP23" s="22">
        <f>AP22/Drivers!AQ4</f>
        <v>2.0572569541884724E-4</v>
      </c>
      <c r="AQ23" s="22">
        <f>AQ22/Drivers!AR4</f>
        <v>2.0579320542675459E-4</v>
      </c>
      <c r="AR23" s="22">
        <f>AR22/Drivers!AS4</f>
        <v>2.0586105206562213E-4</v>
      </c>
      <c r="AS23" s="22">
        <f>AS22/Drivers!AT4</f>
        <v>2.0593185904135952E-4</v>
      </c>
      <c r="AT23" s="22">
        <f>AT22/Drivers!AU4</f>
        <v>2.0600400457155098E-4</v>
      </c>
      <c r="AU23" s="22">
        <f>AU22/Drivers!AV4</f>
        <v>2.0608448915780098E-4</v>
      </c>
      <c r="AV23" s="22">
        <f>AV22/Drivers!AW4</f>
        <v>2.0615489100239275E-4</v>
      </c>
      <c r="AW23" s="22">
        <f>AW22/Drivers!AX4</f>
        <v>2.0623225682350017E-4</v>
      </c>
      <c r="AX23" s="22">
        <f>AX22/Drivers!AY4</f>
        <v>2.0631090647709688E-4</v>
      </c>
      <c r="AY23" s="22">
        <f>AY22/Drivers!AZ4</f>
        <v>2.0638587987993577E-4</v>
      </c>
      <c r="AZ23" s="22">
        <f>AZ22/Drivers!BA4</f>
        <v>2.0646052245177016E-4</v>
      </c>
      <c r="BA23" s="22">
        <f>BA22/Drivers!BB4</f>
        <v>2.0653785367403236E-4</v>
      </c>
      <c r="BB23" s="22">
        <f>BB22/Drivers!BC4</f>
        <v>2.0662200598139775E-4</v>
      </c>
      <c r="BC23" s="22">
        <f>BC22/Drivers!BD4</f>
        <v>2.0670114764151764E-4</v>
      </c>
      <c r="BD23" s="22">
        <f>BD22/Drivers!BE4</f>
        <v>2.067813328237572E-4</v>
      </c>
      <c r="BE23" s="22">
        <f>BE22/Drivers!BF4</f>
        <v>2.0686270954634771E-4</v>
      </c>
      <c r="BF23" s="22">
        <f>BF22/Drivers!BG4</f>
        <v>2.0694960816087181E-4</v>
      </c>
      <c r="BG23" s="22">
        <f>BG22/Drivers!BH4</f>
        <v>2.070420050863621E-4</v>
      </c>
      <c r="BH23" s="22">
        <f>BH22/Drivers!BI4</f>
        <v>2.0709407305793661E-4</v>
      </c>
      <c r="BI23" s="22">
        <f>BI22/Drivers!BJ4</f>
        <v>2.0714332074506277E-4</v>
      </c>
      <c r="BJ23" s="22">
        <f>BJ22/Drivers!BK4</f>
        <v>2.0719807096505671E-4</v>
      </c>
      <c r="BK23" s="22">
        <f>BK22/Drivers!BL4</f>
        <v>2.0725048503941566E-4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0.20549143000787101</v>
      </c>
      <c r="Z24" s="22">
        <f t="shared" ref="Z24" si="10">Z23*1000</f>
        <v>0.20550942407134426</v>
      </c>
      <c r="AA24" s="22">
        <f t="shared" ref="AA24" si="11">AA23*1000</f>
        <v>0.20552031103450108</v>
      </c>
      <c r="AB24" s="22">
        <f t="shared" ref="AB24" si="12">AB23*1000</f>
        <v>0.20550598667195086</v>
      </c>
      <c r="AC24" s="22">
        <f t="shared" ref="AC24" si="13">AC23*1000</f>
        <v>0.20549134825427584</v>
      </c>
      <c r="AD24" s="22">
        <f t="shared" ref="AD24" si="14">AD23*1000</f>
        <v>0.20550041855478809</v>
      </c>
      <c r="AE24" s="22">
        <f t="shared" ref="AE24" si="15">AE23*1000</f>
        <v>0.20550159030106077</v>
      </c>
      <c r="AF24" s="22">
        <f t="shared" ref="AF24" si="16">AF23*1000</f>
        <v>0.20547657857320795</v>
      </c>
      <c r="AG24" s="22">
        <f t="shared" ref="AG24" si="17">AG23*1000</f>
        <v>0.20533917313516753</v>
      </c>
      <c r="AH24" s="22">
        <f t="shared" ref="AH24" si="18">AH23*1000</f>
        <v>0.20538110161885412</v>
      </c>
      <c r="AI24" s="22">
        <f t="shared" ref="AI24" si="19">AI23*1000</f>
        <v>0.20540865592068619</v>
      </c>
      <c r="AJ24" s="22">
        <f t="shared" ref="AJ24" si="20">AJ23*1000</f>
        <v>0.205432698137646</v>
      </c>
      <c r="AK24" s="22">
        <f t="shared" ref="AK24" si="21">AK23*1000</f>
        <v>0.20546155383998654</v>
      </c>
      <c r="AL24" s="22">
        <f t="shared" ref="AL24" si="22">AL23*1000</f>
        <v>0.20550792176539476</v>
      </c>
      <c r="AM24" s="22">
        <f t="shared" ref="AM24" si="23">AM23*1000</f>
        <v>0.20556093374395384</v>
      </c>
      <c r="AN24" s="22">
        <f t="shared" ref="AN24" si="24">AN23*1000</f>
        <v>0.20561822103808017</v>
      </c>
      <c r="AO24" s="22">
        <f t="shared" ref="AO24" si="25">AO23*1000</f>
        <v>0.20566799544019904</v>
      </c>
      <c r="AP24" s="22">
        <f t="shared" ref="AP24" si="26">AP23*1000</f>
        <v>0.20572569541884725</v>
      </c>
      <c r="AQ24" s="22">
        <f t="shared" ref="AQ24" si="27">AQ23*1000</f>
        <v>0.20579320542675458</v>
      </c>
      <c r="AR24" s="22">
        <f t="shared" ref="AR24" si="28">AR23*1000</f>
        <v>0.20586105206562214</v>
      </c>
      <c r="AS24" s="22">
        <f t="shared" ref="AS24" si="29">AS23*1000</f>
        <v>0.20593185904135952</v>
      </c>
      <c r="AT24" s="22">
        <f t="shared" ref="AT24" si="30">AT23*1000</f>
        <v>0.20600400457155099</v>
      </c>
      <c r="AU24" s="22">
        <f t="shared" ref="AU24" si="31">AU23*1000</f>
        <v>0.20608448915780098</v>
      </c>
      <c r="AV24" s="22">
        <f t="shared" ref="AV24" si="32">AV23*1000</f>
        <v>0.20615489100239276</v>
      </c>
      <c r="AW24" s="22">
        <f t="shared" ref="AW24" si="33">AW23*1000</f>
        <v>0.20623225682350016</v>
      </c>
      <c r="AX24" s="22">
        <f t="shared" ref="AX24" si="34">AX23*1000</f>
        <v>0.20631090647709688</v>
      </c>
      <c r="AY24" s="22">
        <f t="shared" ref="AY24" si="35">AY23*1000</f>
        <v>0.20638587987993576</v>
      </c>
      <c r="AZ24" s="22">
        <f t="shared" ref="AZ24" si="36">AZ23*1000</f>
        <v>0.20646052245177016</v>
      </c>
      <c r="BA24" s="22">
        <f t="shared" ref="BA24" si="37">BA23*1000</f>
        <v>0.20653785367403235</v>
      </c>
      <c r="BB24" s="22">
        <f t="shared" ref="BB24" si="38">BB23*1000</f>
        <v>0.20662200598139774</v>
      </c>
      <c r="BC24" s="22">
        <f t="shared" ref="BC24" si="39">BC23*1000</f>
        <v>0.20670114764151765</v>
      </c>
      <c r="BD24" s="22">
        <f t="shared" ref="BD24" si="40">BD23*1000</f>
        <v>0.20678133282375719</v>
      </c>
      <c r="BE24" s="22">
        <f t="shared" ref="BE24" si="41">BE23*1000</f>
        <v>0.20686270954634772</v>
      </c>
      <c r="BF24" s="22">
        <f t="shared" ref="BF24" si="42">BF23*1000</f>
        <v>0.20694960816087182</v>
      </c>
      <c r="BG24" s="22">
        <f t="shared" ref="BG24" si="43">BG23*1000</f>
        <v>0.20704200508636211</v>
      </c>
      <c r="BH24" s="22">
        <f t="shared" ref="BH24" si="44">BH23*1000</f>
        <v>0.20709407305793662</v>
      </c>
      <c r="BI24" s="22">
        <f t="shared" ref="BI24" si="45">BI23*1000</f>
        <v>0.20714332074506278</v>
      </c>
      <c r="BJ24" s="22">
        <f t="shared" ref="BJ24" si="46">BJ23*1000</f>
        <v>0.20719807096505671</v>
      </c>
      <c r="BK24" s="22">
        <f t="shared" ref="BK24" si="47">BK23*1000</f>
        <v>0.20725048503941568</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3.4248571667978491</v>
      </c>
      <c r="Z26" s="51">
        <f>(Z19+Z22)*ttokg/Drivers!AA4</f>
        <v>3.4251570678557361</v>
      </c>
      <c r="AA26" s="51">
        <f>(AA19+AA22)*ttokg/Drivers!AB4</f>
        <v>3.4253385172416833</v>
      </c>
      <c r="AB26" s="51">
        <f>(AB19+AB22)*ttokg/Drivers!AC4</f>
        <v>3.4250997778658463</v>
      </c>
      <c r="AC26" s="51">
        <f>(AC19+AC22)*ttokg/Drivers!AD4</f>
        <v>3.42485580423793</v>
      </c>
      <c r="AD26" s="51">
        <f>(AD19+AD22)*ttokg/Drivers!AE4</f>
        <v>3.4250069759131345</v>
      </c>
      <c r="AE26" s="51">
        <f>(AE19+AE22)*ttokg/Drivers!AF4</f>
        <v>3.4250265050176782</v>
      </c>
      <c r="AF26" s="51">
        <f>(AF19+AF22)*ttokg/Drivers!AG4</f>
        <v>3.4246096428867983</v>
      </c>
      <c r="AG26" s="51">
        <f>(AG19+AG22)*ttokg/Drivers!AH4</f>
        <v>3.4223195522527909</v>
      </c>
      <c r="AH26" s="51">
        <f>(AH19+AH22)*ttokg/Drivers!AI4</f>
        <v>3.4230183603142352</v>
      </c>
      <c r="AI26" s="51">
        <f>(AI19+AI22)*ttokg/Drivers!AJ4</f>
        <v>3.4234775986781023</v>
      </c>
      <c r="AJ26" s="51">
        <f>(AJ19+AJ22)*ttokg/Drivers!AK4</f>
        <v>3.4238783022940988</v>
      </c>
      <c r="AK26" s="51">
        <f>(AK19+AK22)*ttokg/Drivers!AL4</f>
        <v>3.4243592306664414</v>
      </c>
      <c r="AL26" s="51">
        <f>(AL19+AL22)*ttokg/Drivers!AM4</f>
        <v>3.4251320294232444</v>
      </c>
      <c r="AM26" s="51">
        <f>(AM19+AM22)*ttokg/Drivers!AN4</f>
        <v>3.4260155623992299</v>
      </c>
      <c r="AN26" s="51">
        <f>(AN19+AN22)*ttokg/Drivers!AO4</f>
        <v>3.4269703506346687</v>
      </c>
      <c r="AO26" s="51">
        <f>(AO19+AO22)*ttokg/Drivers!AP4</f>
        <v>3.4277999240033159</v>
      </c>
      <c r="AP26" s="51">
        <f>(AP19+AP22)*ttokg/Drivers!AQ4</f>
        <v>3.4287615903141195</v>
      </c>
      <c r="AQ26" s="51">
        <f>(AQ19+AQ22)*ttokg/Drivers!AR4</f>
        <v>3.4298867571125746</v>
      </c>
      <c r="AR26" s="51">
        <f>(AR19+AR22)*ttokg/Drivers!AS4</f>
        <v>3.4310175344270348</v>
      </c>
      <c r="AS26" s="51">
        <f>(AS19+AS22)*ttokg/Drivers!AT4</f>
        <v>3.4321976506893241</v>
      </c>
      <c r="AT26" s="51">
        <f>(AT19+AT22)*ttokg/Drivers!AU4</f>
        <v>3.4334000761925152</v>
      </c>
      <c r="AU26" s="51">
        <f>(AU19+AU22)*ttokg/Drivers!AV4</f>
        <v>3.4347414859633481</v>
      </c>
      <c r="AV26" s="51">
        <f>(AV19+AV22)*ttokg/Drivers!AW4</f>
        <v>3.435914850039878</v>
      </c>
      <c r="AW26" s="51">
        <f>(AW19+AW22)*ttokg/Drivers!AX4</f>
        <v>3.437204280391668</v>
      </c>
      <c r="AX26" s="51">
        <f>(AX19+AX22)*ttokg/Drivers!AY4</f>
        <v>3.4385151079516136</v>
      </c>
      <c r="AY26" s="51">
        <f>(AY19+AY22)*ttokg/Drivers!AZ4</f>
        <v>3.4397646646655948</v>
      </c>
      <c r="AZ26" s="51">
        <f>(AZ19+AZ22)*ttokg/Drivers!BA4</f>
        <v>3.4410087075295008</v>
      </c>
      <c r="BA26" s="51">
        <f>(BA19+BA22)*ttokg/Drivers!BB4</f>
        <v>3.4422975612338713</v>
      </c>
      <c r="BB26" s="51">
        <f>(BB19+BB22)*ttokg/Drivers!BC4</f>
        <v>3.4437000996899614</v>
      </c>
      <c r="BC26" s="51">
        <f>(BC19+BC22)*ttokg/Drivers!BD4</f>
        <v>3.4450191273586257</v>
      </c>
      <c r="BD26" s="51">
        <f>(BD19+BD22)*ttokg/Drivers!BE4</f>
        <v>3.4463555470626184</v>
      </c>
      <c r="BE26" s="51">
        <f>(BE19+BE22)*ttokg/Drivers!BF4</f>
        <v>3.4477118257724606</v>
      </c>
      <c r="BF26" s="51">
        <f>(BF19+BF22)*ttokg/Drivers!BG4</f>
        <v>3.449160136014529</v>
      </c>
      <c r="BG26" s="51">
        <f>(BG19+BG22)*ttokg/Drivers!BH4</f>
        <v>3.4507000847727003</v>
      </c>
      <c r="BH26" s="51">
        <f>(BH19+BH22)*ttokg/Drivers!BI4</f>
        <v>3.4515678842989419</v>
      </c>
      <c r="BI26" s="51">
        <f>(BI19+BI22)*ttokg/Drivers!BJ4</f>
        <v>3.4523886790843776</v>
      </c>
      <c r="BJ26" s="51">
        <f>(BJ19+BJ22)*ttokg/Drivers!BK4</f>
        <v>3.4533011827509434</v>
      </c>
      <c r="BK26" s="51">
        <f>(BK19+BK22)*ttokg/Drivers!BL4</f>
        <v>3.454174750656926</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152707.46443895251</v>
      </c>
      <c r="Z27" s="22">
        <f>((Data!$AJ$23*'Intermediate calculations'!Z19)+Data!$AK$23)</f>
        <v>154147.4160167888</v>
      </c>
      <c r="AA27" s="22">
        <f>((Data!$AJ$23*'Intermediate calculations'!AA19)+Data!$AK$23)</f>
        <v>155637.53881537839</v>
      </c>
      <c r="AB27" s="22">
        <f>((Data!$AJ$23*'Intermediate calculations'!AB19)+Data!$AK$23)</f>
        <v>157170.88339373074</v>
      </c>
      <c r="AC27" s="22">
        <f>((Data!$AJ$23*'Intermediate calculations'!AC19)+Data!$AK$23)</f>
        <v>158761.4167661735</v>
      </c>
      <c r="AD27" s="22">
        <f>((Data!$AJ$23*'Intermediate calculations'!AD19)+Data!$AK$23)</f>
        <v>160423.53136903781</v>
      </c>
      <c r="AE27" s="22">
        <f>((Data!$AJ$23*'Intermediate calculations'!AE19)+Data!$AK$23)</f>
        <v>162103.87130782756</v>
      </c>
      <c r="AF27" s="22">
        <f>((Data!$AJ$23*'Intermediate calculations'!AF19)+Data!$AK$23)</f>
        <v>163797.72899475685</v>
      </c>
      <c r="AG27" s="22">
        <f>((Data!$AJ$23*'Intermediate calculations'!AG19)+Data!$AK$23)</f>
        <v>165459.15817917028</v>
      </c>
      <c r="AH27" s="22">
        <f>((Data!$AJ$23*'Intermediate calculations'!AH19)+Data!$AK$23)</f>
        <v>166735.60259458941</v>
      </c>
      <c r="AI27" s="22">
        <f>((Data!$AJ$23*'Intermediate calculations'!AI19)+Data!$AK$23)</f>
        <v>168019.20305189383</v>
      </c>
      <c r="AJ27" s="22">
        <f>((Data!$AJ$23*'Intermediate calculations'!AJ19)+Data!$AK$23)</f>
        <v>169315.82749172224</v>
      </c>
      <c r="AK27" s="22">
        <f>((Data!$AJ$23*'Intermediate calculations'!AK19)+Data!$AK$23)</f>
        <v>170630.20597363595</v>
      </c>
      <c r="AL27" s="22">
        <f>((Data!$AJ$23*'Intermediate calculations'!AL19)+Data!$AK$23)</f>
        <v>171969.73796962129</v>
      </c>
      <c r="AM27" s="22">
        <f>((Data!$AJ$23*'Intermediate calculations'!AM19)+Data!$AK$23)</f>
        <v>173136.23677237291</v>
      </c>
      <c r="AN27" s="22">
        <f>((Data!$AJ$23*'Intermediate calculations'!AN19)+Data!$AK$23)</f>
        <v>174316.96606360507</v>
      </c>
      <c r="AO27" s="22">
        <f>((Data!$AJ$23*'Intermediate calculations'!AO19)+Data!$AK$23)</f>
        <v>175505.29921254638</v>
      </c>
      <c r="AP27" s="22">
        <f>((Data!$AJ$23*'Intermediate calculations'!AP19)+Data!$AK$23)</f>
        <v>176710.24568918339</v>
      </c>
      <c r="AQ27" s="22">
        <f>((Data!$AJ$23*'Intermediate calculations'!AQ19)+Data!$AK$23)</f>
        <v>177933.17449567636</v>
      </c>
      <c r="AR27" s="22">
        <f>((Data!$AJ$23*'Intermediate calculations'!AR19)+Data!$AK$23)</f>
        <v>179009.41419553524</v>
      </c>
      <c r="AS27" s="22">
        <f>((Data!$AJ$23*'Intermediate calculations'!AS19)+Data!$AK$23)</f>
        <v>180096.95921269106</v>
      </c>
      <c r="AT27" s="22">
        <f>((Data!$AJ$23*'Intermediate calculations'!AT19)+Data!$AK$23)</f>
        <v>181194.9580380859</v>
      </c>
      <c r="AU27" s="22">
        <f>((Data!$AJ$23*'Intermediate calculations'!AU19)+Data!$AK$23)</f>
        <v>182307.78854057979</v>
      </c>
      <c r="AV27" s="22">
        <f>((Data!$AJ$23*'Intermediate calculations'!AV19)+Data!$AK$23)</f>
        <v>183424.3303371247</v>
      </c>
      <c r="AW27" s="22">
        <f>((Data!$AJ$23*'Intermediate calculations'!AW19)+Data!$AK$23)</f>
        <v>184401.12715139415</v>
      </c>
      <c r="AX27" s="22">
        <f>((Data!$AJ$23*'Intermediate calculations'!AX19)+Data!$AK$23)</f>
        <v>185386.22807052749</v>
      </c>
      <c r="AY27" s="22">
        <f>((Data!$AJ$23*'Intermediate calculations'!AY19)+Data!$AK$23)</f>
        <v>186376.58816983976</v>
      </c>
      <c r="AZ27" s="22">
        <f>((Data!$AJ$23*'Intermediate calculations'!AZ19)+Data!$AK$23)</f>
        <v>187374.33449323542</v>
      </c>
      <c r="BA27" s="22">
        <f>((Data!$AJ$23*'Intermediate calculations'!BA19)+Data!$AK$23)</f>
        <v>188381.44782468717</v>
      </c>
      <c r="BB27" s="22">
        <f>((Data!$AJ$23*'Intermediate calculations'!BB19)+Data!$AK$23)</f>
        <v>189254.2634902313</v>
      </c>
      <c r="BC27" s="22">
        <f>((Data!$AJ$23*'Intermediate calculations'!BC19)+Data!$AK$23)</f>
        <v>190129.59782073196</v>
      </c>
      <c r="BD27" s="22">
        <f>((Data!$AJ$23*'Intermediate calculations'!BD19)+Data!$AK$23)</f>
        <v>191011.36497698355</v>
      </c>
      <c r="BE27" s="22">
        <f>((Data!$AJ$23*'Intermediate calculations'!BE19)+Data!$AK$23)</f>
        <v>191899.71215936309</v>
      </c>
      <c r="BF27" s="22">
        <f>((Data!$AJ$23*'Intermediate calculations'!BF19)+Data!$AK$23)</f>
        <v>192797.54277877812</v>
      </c>
      <c r="BG27" s="22">
        <f>((Data!$AJ$23*'Intermediate calculations'!BG19)+Data!$AK$23)</f>
        <v>193554.18265977496</v>
      </c>
      <c r="BH27" s="22">
        <f>((Data!$AJ$23*'Intermediate calculations'!BH19)+Data!$AK$23)</f>
        <v>194288.17521225676</v>
      </c>
      <c r="BI27" s="22">
        <f>((Data!$AJ$23*'Intermediate calculations'!BI19)+Data!$AK$23)</f>
        <v>195024.20616796342</v>
      </c>
      <c r="BJ27" s="22">
        <f>((Data!$AJ$23*'Intermediate calculations'!BJ19)+Data!$AK$23)</f>
        <v>195767.85958013084</v>
      </c>
      <c r="BK27" s="22">
        <f>((Data!$AJ$23*'Intermediate calculations'!BK19)+Data!$AK$23)</f>
        <v>196513.9193717106</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233790.12764994369</v>
      </c>
      <c r="Z29" s="22">
        <f>((Data!$AJ$9*'Intermediate calculations'!Z4)+Data!$AK$9)*Drivers!AA4</f>
        <v>240538.06399401766</v>
      </c>
      <c r="AA29" s="22">
        <f>((Data!$AJ$9*'Intermediate calculations'!AA4)+Data!$AK$9)*Drivers!AB4</f>
        <v>246204.89291625377</v>
      </c>
      <c r="AB29" s="22">
        <f>((Data!$AJ$9*'Intermediate calculations'!AB4)+Data!$AK$9)*Drivers!AC4</f>
        <v>247350.5991686245</v>
      </c>
      <c r="AC29" s="22">
        <f>((Data!$AJ$9*'Intermediate calculations'!AC4)+Data!$AK$9)*Drivers!AD4</f>
        <v>248494.44443308114</v>
      </c>
      <c r="AD29" s="22">
        <f>((Data!$AJ$9*'Intermediate calculations'!AD4)+Data!$AK$9)*Drivers!AE4</f>
        <v>254277.45327308931</v>
      </c>
      <c r="AE29" s="22">
        <f>((Data!$AJ$9*'Intermediate calculations'!AE4)+Data!$AK$9)*Drivers!AF4</f>
        <v>258619.67183132662</v>
      </c>
      <c r="AF29" s="22">
        <f>((Data!$AJ$9*'Intermediate calculations'!AF4)+Data!$AK$9)*Drivers!AG4</f>
        <v>257810.14050616129</v>
      </c>
      <c r="AG29" s="22">
        <f>((Data!$AJ$9*'Intermediate calculations'!AG4)+Data!$AK$9)*Drivers!AH4</f>
        <v>234112.52382455493</v>
      </c>
      <c r="AH29" s="22">
        <f>((Data!$AJ$9*'Intermediate calculations'!AH4)+Data!$AK$9)*Drivers!AI4</f>
        <v>245409.44893846259</v>
      </c>
      <c r="AI29" s="22">
        <f>((Data!$AJ$9*'Intermediate calculations'!AI4)+Data!$AK$9)*Drivers!AJ4</f>
        <v>253952.77794610485</v>
      </c>
      <c r="AJ29" s="22">
        <f>((Data!$AJ$9*'Intermediate calculations'!AJ4)+Data!$AK$9)*Drivers!AK4</f>
        <v>261923.14548725789</v>
      </c>
      <c r="AK29" s="22">
        <f>((Data!$AJ$9*'Intermediate calculations'!AK4)+Data!$AK$9)*Drivers!AL4</f>
        <v>271065.34291882522</v>
      </c>
      <c r="AL29" s="22">
        <f>((Data!$AJ$9*'Intermediate calculations'!AL4)+Data!$AK$9)*Drivers!AM4</f>
        <v>284144.18455845758</v>
      </c>
      <c r="AM29" s="22">
        <f>((Data!$AJ$9*'Intermediate calculations'!AM4)+Data!$AK$9)*Drivers!AN4</f>
        <v>298438.68632703193</v>
      </c>
      <c r="AN29" s="22">
        <f>((Data!$AJ$9*'Intermediate calculations'!AN4)+Data!$AK$9)*Drivers!AO4</f>
        <v>313923.45554359735</v>
      </c>
      <c r="AO29" s="22">
        <f>((Data!$AJ$9*'Intermediate calculations'!AO4)+Data!$AK$9)*Drivers!AP4</f>
        <v>328022.66786897584</v>
      </c>
      <c r="AP29" s="22">
        <f>((Data!$AJ$9*'Intermediate calculations'!AP4)+Data!$AK$9)*Drivers!AQ4</f>
        <v>344139.19039295247</v>
      </c>
      <c r="AQ29" s="22">
        <f>((Data!$AJ$9*'Intermediate calculations'!AQ4)+Data!$AK$9)*Drivers!AR4</f>
        <v>362753.82812781673</v>
      </c>
      <c r="AR29" s="22">
        <f>((Data!$AJ$9*'Intermediate calculations'!AR4)+Data!$AK$9)*Drivers!AS4</f>
        <v>381282.27163092769</v>
      </c>
      <c r="AS29" s="22">
        <f>((Data!$AJ$9*'Intermediate calculations'!AS4)+Data!$AK$9)*Drivers!AT4</f>
        <v>400779.6619069092</v>
      </c>
      <c r="AT29" s="22">
        <f>((Data!$AJ$9*'Intermediate calculations'!AT4)+Data!$AK$9)*Drivers!AU4</f>
        <v>420891.76475006144</v>
      </c>
      <c r="AU29" s="22">
        <f>((Data!$AJ$9*'Intermediate calculations'!AU4)+Data!$AK$9)*Drivers!AV4</f>
        <v>443263.7685142149</v>
      </c>
      <c r="AV29" s="22">
        <f>((Data!$AJ$9*'Intermediate calculations'!AV4)+Data!$AK$9)*Drivers!AW4</f>
        <v>463614.22372301563</v>
      </c>
      <c r="AW29" s="22">
        <f>((Data!$AJ$9*'Intermediate calculations'!AW4)+Data!$AK$9)*Drivers!AX4</f>
        <v>485348.04755100893</v>
      </c>
      <c r="AX29" s="22">
        <f>((Data!$AJ$9*'Intermediate calculations'!AX4)+Data!$AK$9)*Drivers!AY4</f>
        <v>507681.81703681039</v>
      </c>
      <c r="AY29" s="22">
        <f>((Data!$AJ$9*'Intermediate calculations'!AY4)+Data!$AK$9)*Drivers!AZ4</f>
        <v>529432.3250902791</v>
      </c>
      <c r="AZ29" s="22">
        <f>((Data!$AJ$9*'Intermediate calculations'!AZ4)+Data!$AK$9)*Drivers!BA4</f>
        <v>551393.94062096812</v>
      </c>
      <c r="BA29" s="22">
        <f>((Data!$AJ$9*'Intermediate calculations'!BA4)+Data!$AK$9)*Drivers!BB4</f>
        <v>574304.96500846441</v>
      </c>
      <c r="BB29" s="22">
        <f>((Data!$AJ$9*'Intermediate calculations'!BB4)+Data!$AK$9)*Drivers!BC4</f>
        <v>598538.50002234126</v>
      </c>
      <c r="BC29" s="22">
        <f>((Data!$AJ$9*'Intermediate calculations'!BC4)+Data!$AK$9)*Drivers!BD4</f>
        <v>621812.72243266355</v>
      </c>
      <c r="BD29" s="22">
        <f>((Data!$AJ$9*'Intermediate calculations'!BD4)+Data!$AK$9)*Drivers!BE4</f>
        <v>645612.43188959453</v>
      </c>
      <c r="BE29" s="22">
        <f>((Data!$AJ$9*'Intermediate calculations'!BE4)+Data!$AK$9)*Drivers!BF4</f>
        <v>669981.90226742555</v>
      </c>
      <c r="BF29" s="22">
        <f>((Data!$AJ$9*'Intermediate calculations'!BF4)+Data!$AK$9)*Drivers!BG4</f>
        <v>696019.28281661647</v>
      </c>
      <c r="BG29" s="22">
        <f>((Data!$AJ$9*'Intermediate calculations'!BG4)+Data!$AK$9)*Drivers!BH4</f>
        <v>722951.42494529625</v>
      </c>
      <c r="BH29" s="22">
        <f>((Data!$AJ$9*'Intermediate calculations'!BH4)+Data!$AK$9)*Drivers!BI4</f>
        <v>739883.9227702897</v>
      </c>
      <c r="BI29" s="22">
        <f>((Data!$AJ$9*'Intermediate calculations'!BI4)+Data!$AK$9)*Drivers!BJ4</f>
        <v>756249.53900698142</v>
      </c>
      <c r="BJ29" s="22">
        <f>((Data!$AJ$9*'Intermediate calculations'!BJ4)+Data!$AK$9)*Drivers!BK4</f>
        <v>774176.69224890578</v>
      </c>
      <c r="BK29" s="22">
        <f>((Data!$AJ$9*'Intermediate calculations'!BK4)+Data!$AK$9)*Drivers!BL4</f>
        <v>791663.89379782462</v>
      </c>
    </row>
    <row r="30" spans="1:63"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4.4680017875218496</v>
      </c>
      <c r="Z30" s="51">
        <f>Z29*ttokg/Drivers!AA4</f>
        <v>4.5295328698005095</v>
      </c>
      <c r="AA30" s="51">
        <f>AA29*ttokg/Drivers!AB4</f>
        <v>4.5667610715772069</v>
      </c>
      <c r="AB30" s="51">
        <f>AB29*ttokg/Drivers!AC4</f>
        <v>4.5177786095571077</v>
      </c>
      <c r="AC30" s="51">
        <f>AC29*ttokg/Drivers!AD4</f>
        <v>4.4677222293665606</v>
      </c>
      <c r="AD30" s="51">
        <f>AD29*ttokg/Drivers!AE4</f>
        <v>4.4987383146406321</v>
      </c>
      <c r="AE30" s="51">
        <f>AE29*ttokg/Drivers!AF4</f>
        <v>4.502745125910292</v>
      </c>
      <c r="AF30" s="51">
        <f>AF29*ttokg/Drivers!AG4</f>
        <v>4.4172169912157173</v>
      </c>
      <c r="AG30" s="51">
        <f>AG29*ttokg/Drivers!AH4</f>
        <v>3.9473561770552497</v>
      </c>
      <c r="AH30" s="51">
        <f>AH29*ttokg/Drivers!AI4</f>
        <v>4.0907315176711219</v>
      </c>
      <c r="AI30" s="51">
        <f>AI29*ttokg/Drivers!AJ4</f>
        <v>4.1849540380972332</v>
      </c>
      <c r="AJ30" s="51">
        <f>AJ29*ttokg/Drivers!AK4</f>
        <v>4.2671669096986431</v>
      </c>
      <c r="AK30" s="51">
        <f>AK29*ttokg/Drivers!AL4</f>
        <v>4.3658395968081827</v>
      </c>
      <c r="AL30" s="51">
        <f>AL29*ttokg/Drivers!AM4</f>
        <v>4.5243957026939938</v>
      </c>
      <c r="AM30" s="51">
        <f>AM29*ttokg/Drivers!AN4</f>
        <v>4.7056712894630213</v>
      </c>
      <c r="AN30" s="51">
        <f>AN29*ttokg/Drivers!AO4</f>
        <v>4.9015664086309156</v>
      </c>
      <c r="AO30" s="51">
        <f>AO29*ttokg/Drivers!AP4</f>
        <v>5.0717710339895596</v>
      </c>
      <c r="AP30" s="51">
        <f>AP29*ttokg/Drivers!AQ4</f>
        <v>5.2690773366463057</v>
      </c>
      <c r="AQ30" s="51">
        <f>AQ29*ttokg/Drivers!AR4</f>
        <v>5.4999292427403859</v>
      </c>
      <c r="AR30" s="51">
        <f>AR29*ttokg/Drivers!AS4</f>
        <v>5.731932265553616</v>
      </c>
      <c r="AS30" s="51">
        <f>AS29*ttokg/Drivers!AT4</f>
        <v>5.9740582231770896</v>
      </c>
      <c r="AT30" s="51">
        <f>AT29*ttokg/Drivers!AU4</f>
        <v>6.220761396189963</v>
      </c>
      <c r="AU30" s="51">
        <f>AU29*ttokg/Drivers!AV4</f>
        <v>6.4959801485341178</v>
      </c>
      <c r="AV30" s="51">
        <f>AV29*ttokg/Drivers!AW4</f>
        <v>6.7367207515993179</v>
      </c>
      <c r="AW30" s="51">
        <f>AW29*ttokg/Drivers!AX4</f>
        <v>7.0012748202893151</v>
      </c>
      <c r="AX30" s="51">
        <f>AX29*ttokg/Drivers!AY4</f>
        <v>7.2702189814477229</v>
      </c>
      <c r="AY30" s="51">
        <f>AY29*ttokg/Drivers!AZ4</f>
        <v>7.5265921250484951</v>
      </c>
      <c r="AZ30" s="51">
        <f>AZ29*ttokg/Drivers!BA4</f>
        <v>7.781833985001736</v>
      </c>
      <c r="BA30" s="51">
        <f>BA29*ttokg/Drivers!BB4</f>
        <v>8.0462697422055811</v>
      </c>
      <c r="BB30" s="51">
        <f>BB29*ttokg/Drivers!BC4</f>
        <v>8.3340303448139625</v>
      </c>
      <c r="BC30" s="51">
        <f>BC29*ttokg/Drivers!BD4</f>
        <v>8.6046569327295934</v>
      </c>
      <c r="BD30" s="51">
        <f>BD29*ttokg/Drivers!BE4</f>
        <v>8.878851866700149</v>
      </c>
      <c r="BE30" s="51">
        <f>BE29*ttokg/Drivers!BF4</f>
        <v>9.1571212982115711</v>
      </c>
      <c r="BF30" s="51">
        <f>BF29*ttokg/Drivers!BG4</f>
        <v>9.4542729564865375</v>
      </c>
      <c r="BG30" s="51">
        <f>BG29*ttokg/Drivers!BH4</f>
        <v>9.7702262059061216</v>
      </c>
      <c r="BH30" s="51">
        <f>BH29*ttokg/Drivers!BI4</f>
        <v>9.94827374073855</v>
      </c>
      <c r="BI30" s="51">
        <f>BI29*ttokg/Drivers!BJ4</f>
        <v>10.116677252991167</v>
      </c>
      <c r="BJ30" s="51">
        <f>BJ29*ttokg/Drivers!BK4</f>
        <v>10.303896793270599</v>
      </c>
      <c r="BK30" s="51">
        <f>BK29*ttokg/Drivers!BL4</f>
        <v>10.483127833926449</v>
      </c>
    </row>
    <row r="31" spans="1:63"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0.27372906412169845</v>
      </c>
      <c r="AP31" s="51"/>
      <c r="AQ31" s="51">
        <f>(AQ32-AE32)/AE32</f>
        <v>0.38039633458998184</v>
      </c>
      <c r="AR31" s="51"/>
      <c r="AS31" s="51"/>
      <c r="AT31" s="51"/>
      <c r="AU31" s="51"/>
      <c r="AV31" s="51"/>
      <c r="AW31" s="51"/>
      <c r="AX31" s="51"/>
      <c r="AY31" s="51"/>
      <c r="AZ31" s="51"/>
      <c r="BA31" s="51"/>
      <c r="BB31" s="51"/>
      <c r="BC31" s="51"/>
      <c r="BD31" s="51"/>
      <c r="BE31" s="51"/>
      <c r="BF31" s="51"/>
      <c r="BG31" s="51"/>
      <c r="BH31" s="51"/>
      <c r="BI31" s="51"/>
      <c r="BJ31" s="51"/>
      <c r="BK31" s="51"/>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211088.27785039041</v>
      </c>
      <c r="Z32" s="22">
        <f>((Data!$AJ$26*'Intermediate calculations'!Z29)+Data!$AK$26)</f>
        <v>216810.58915385391</v>
      </c>
      <c r="AA32" s="22">
        <f>((Data!$AJ$26*'Intermediate calculations'!AA29)+Data!$AK$26)</f>
        <v>221616.11154515258</v>
      </c>
      <c r="AB32" s="22">
        <f>((Data!$AJ$26*'Intermediate calculations'!AB29)+Data!$AK$26)</f>
        <v>222587.68085228562</v>
      </c>
      <c r="AC32" s="22">
        <f>((Data!$AJ$26*'Intermediate calculations'!AC29)+Data!$AK$26)</f>
        <v>223557.67202476633</v>
      </c>
      <c r="AD32" s="22">
        <f>((Data!$AJ$26*'Intermediate calculations'!AD29)+Data!$AK$26)</f>
        <v>228461.71604146331</v>
      </c>
      <c r="AE32" s="22">
        <f>((Data!$AJ$26*'Intermediate calculations'!AE29)+Data!$AK$26)</f>
        <v>232143.95681418956</v>
      </c>
      <c r="AF32" s="22">
        <f>((Data!$AJ$26*'Intermediate calculations'!AF29)+Data!$AK$26)</f>
        <v>231457.4668984141</v>
      </c>
      <c r="AG32" s="22">
        <f>((Data!$AJ$26*'Intermediate calculations'!AG29)+Data!$AK$26)</f>
        <v>211361.6727344117</v>
      </c>
      <c r="AH32" s="22">
        <f>((Data!$AJ$26*'Intermediate calculations'!AH29)+Data!$AK$26)</f>
        <v>220941.56782788949</v>
      </c>
      <c r="AI32" s="22">
        <f>((Data!$AJ$26*'Intermediate calculations'!AI29)+Data!$AK$26)</f>
        <v>228186.38841553062</v>
      </c>
      <c r="AJ32" s="22">
        <f>((Data!$AJ$26*'Intermediate calculations'!AJ29)+Data!$AK$26)</f>
        <v>234945.33247604364</v>
      </c>
      <c r="AK32" s="22">
        <f>((Data!$AJ$26*'Intermediate calculations'!AK29)+Data!$AK$26)</f>
        <v>242697.99892600137</v>
      </c>
      <c r="AL32" s="22">
        <f>((Data!$AJ$26*'Intermediate calculations'!AL29)+Data!$AK$26)</f>
        <v>253788.97541637724</v>
      </c>
      <c r="AM32" s="22">
        <f>((Data!$AJ$26*'Intermediate calculations'!AM29)+Data!$AK$26)</f>
        <v>265910.8427365286</v>
      </c>
      <c r="AN32" s="22">
        <f>((Data!$AJ$26*'Intermediate calculations'!AN29)+Data!$AK$26)</f>
        <v>279042.06766239682</v>
      </c>
      <c r="AO32" s="22">
        <f>((Data!$AJ$26*'Intermediate calculations'!AO29)+Data!$AK$26)</f>
        <v>290998.32776113029</v>
      </c>
      <c r="AP32" s="22">
        <f>((Data!$AJ$26*'Intermediate calculations'!AP29)+Data!$AK$26)</f>
        <v>304665.28522916674</v>
      </c>
      <c r="AQ32" s="22">
        <f>((Data!$AJ$26*'Intermediate calculations'!AQ29)+Data!$AK$26)</f>
        <v>320450.6670835223</v>
      </c>
      <c r="AR32" s="22">
        <f>((Data!$AJ$26*'Intermediate calculations'!AR29)+Data!$AK$26)</f>
        <v>336162.95544654876</v>
      </c>
      <c r="AS32" s="22">
        <f>((Data!$AJ$26*'Intermediate calculations'!AS29)+Data!$AK$26)</f>
        <v>352696.91947279056</v>
      </c>
      <c r="AT32" s="22">
        <f>((Data!$AJ$26*'Intermediate calculations'!AT29)+Data!$AK$26)</f>
        <v>369752.16533871519</v>
      </c>
      <c r="AU32" s="22">
        <f>((Data!$AJ$26*'Intermediate calculations'!AU29)+Data!$AK$26)</f>
        <v>388723.82770971104</v>
      </c>
      <c r="AV32" s="22">
        <f>((Data!$AJ$26*'Intermediate calculations'!AV29)+Data!$AK$26)</f>
        <v>405981.19854638411</v>
      </c>
      <c r="AW32" s="22">
        <f>((Data!$AJ$26*'Intermediate calculations'!AW29)+Data!$AK$26)</f>
        <v>424411.67853566702</v>
      </c>
      <c r="AX32" s="22">
        <f>((Data!$AJ$26*'Intermediate calculations'!AX29)+Data!$AK$26)</f>
        <v>443350.91789138271</v>
      </c>
      <c r="AY32" s="22">
        <f>((Data!$AJ$26*'Intermediate calculations'!AY29)+Data!$AK$26)</f>
        <v>461795.54625539237</v>
      </c>
      <c r="AZ32" s="22">
        <f>((Data!$AJ$26*'Intermediate calculations'!AZ29)+Data!$AK$26)</f>
        <v>480419.19567732944</v>
      </c>
      <c r="BA32" s="22">
        <f>((Data!$AJ$26*'Intermediate calculations'!BA29)+Data!$AK$26)</f>
        <v>499847.95243221987</v>
      </c>
      <c r="BB32" s="22">
        <f>((Data!$AJ$26*'Intermediate calculations'!BB29)+Data!$AK$26)</f>
        <v>520398.21020911308</v>
      </c>
      <c r="BC32" s="22">
        <f>((Data!$AJ$26*'Intermediate calculations'!BC29)+Data!$AK$26)</f>
        <v>540134.9621858669</v>
      </c>
      <c r="BD32" s="22">
        <f>((Data!$AJ$26*'Intermediate calculations'!BD29)+Data!$AK$26)</f>
        <v>560317.33195053495</v>
      </c>
      <c r="BE32" s="22">
        <f>((Data!$AJ$26*'Intermediate calculations'!BE29)+Data!$AK$26)</f>
        <v>580982.8641506047</v>
      </c>
      <c r="BF32" s="22">
        <f>((Data!$AJ$26*'Intermediate calculations'!BF29)+Data!$AK$26)</f>
        <v>603062.79932368349</v>
      </c>
      <c r="BG32" s="22">
        <f>((Data!$AJ$26*'Intermediate calculations'!BG29)+Data!$AK$26)</f>
        <v>625901.50044225191</v>
      </c>
      <c r="BH32" s="22">
        <f>((Data!$AJ$26*'Intermediate calculations'!BH29)+Data!$AK$26)</f>
        <v>640260.41237610893</v>
      </c>
      <c r="BI32" s="22">
        <f>((Data!$AJ$26*'Intermediate calculations'!BI29)+Data!$AK$26)</f>
        <v>654138.60357475723</v>
      </c>
      <c r="BJ32" s="22">
        <f>((Data!$AJ$26*'Intermediate calculations'!BJ29)+Data!$AK$26)</f>
        <v>669340.99233547458</v>
      </c>
      <c r="BK32" s="22">
        <f>((Data!$AJ$26*'Intermediate calculations'!BK29)+Data!$AK$26)</f>
        <v>684170.29806495167</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420480.92757924291</v>
      </c>
      <c r="Z34" s="22">
        <f>((Data!$AJ$10*'Intermediate calculations'!Z4)+Data!$AK$10)*Drivers!AA4</f>
        <v>429767.22964472527</v>
      </c>
      <c r="AA34" s="22">
        <f>((Data!$AJ$10*'Intermediate calculations'!AA4)+Data!$AK$10)*Drivers!AB4</f>
        <v>438165.22956540936</v>
      </c>
      <c r="AB34" s="22">
        <f>((Data!$AJ$10*'Intermediate calculations'!AB4)+Data!$AK$10)*Drivers!AC4</f>
        <v>442492.83714094426</v>
      </c>
      <c r="AC34" s="22">
        <f>((Data!$AJ$10*'Intermediate calculations'!AC4)+Data!$AK$10)*Drivers!AD4</f>
        <v>446940.79405474308</v>
      </c>
      <c r="AD34" s="22">
        <f>((Data!$AJ$10*'Intermediate calculations'!AD4)+Data!$AK$10)*Drivers!AE4</f>
        <v>455812.8583414192</v>
      </c>
      <c r="AE34" s="22">
        <f>((Data!$AJ$10*'Intermediate calculations'!AE4)+Data!$AK$10)*Drivers!AF4</f>
        <v>463397.27203146002</v>
      </c>
      <c r="AF34" s="22">
        <f>((Data!$AJ$10*'Intermediate calculations'!AF4)+Data!$AK$10)*Drivers!AG4</f>
        <v>466267.26864287379</v>
      </c>
      <c r="AG34" s="22">
        <f>((Data!$AJ$10*'Intermediate calculations'!AG4)+Data!$AK$10)*Drivers!AH4</f>
        <v>447994.75473177637</v>
      </c>
      <c r="AH34" s="22">
        <f>((Data!$AJ$10*'Intermediate calculations'!AH4)+Data!$AK$10)*Drivers!AI4</f>
        <v>461120.37071547058</v>
      </c>
      <c r="AI34" s="22">
        <f>((Data!$AJ$10*'Intermediate calculations'!AI4)+Data!$AK$10)*Drivers!AJ4</f>
        <v>471725.99616310041</v>
      </c>
      <c r="AJ34" s="22">
        <f>((Data!$AJ$10*'Intermediate calculations'!AJ4)+Data!$AK$10)*Drivers!AK4</f>
        <v>481831.88825529447</v>
      </c>
      <c r="AK34" s="22">
        <f>((Data!$AJ$10*'Intermediate calculations'!AK4)+Data!$AK$10)*Drivers!AL4</f>
        <v>493054.59010400955</v>
      </c>
      <c r="AL34" s="22">
        <f>((Data!$AJ$10*'Intermediate calculations'!AL4)+Data!$AK$10)*Drivers!AM4</f>
        <v>507955.48800400115</v>
      </c>
      <c r="AM34" s="22">
        <f>((Data!$AJ$10*'Intermediate calculations'!AM4)+Data!$AK$10)*Drivers!AN4</f>
        <v>523606.33765019279</v>
      </c>
      <c r="AN34" s="22">
        <f>((Data!$AJ$10*'Intermediate calculations'!AN4)+Data!$AK$10)*Drivers!AO4</f>
        <v>540383.45209025091</v>
      </c>
      <c r="AO34" s="22">
        <f>((Data!$AJ$10*'Intermediate calculations'!AO4)+Data!$AK$10)*Drivers!AP4</f>
        <v>555901.09958604118</v>
      </c>
      <c r="AP34" s="22">
        <f>((Data!$AJ$10*'Intermediate calculations'!AP4)+Data!$AK$10)*Drivers!AQ4</f>
        <v>573311.56453650759</v>
      </c>
      <c r="AQ34" s="22">
        <f>((Data!$AJ$10*'Intermediate calculations'!AQ4)+Data!$AK$10)*Drivers!AR4</f>
        <v>593060.45103804616</v>
      </c>
      <c r="AR34" s="22">
        <f>((Data!$AJ$10*'Intermediate calculations'!AR4)+Data!$AK$10)*Drivers!AS4</f>
        <v>612416.88694168732</v>
      </c>
      <c r="AS34" s="22">
        <f>((Data!$AJ$10*'Intermediate calculations'!AS4)+Data!$AK$10)*Drivers!AT4</f>
        <v>632689.57198180165</v>
      </c>
      <c r="AT34" s="22">
        <f>((Data!$AJ$10*'Intermediate calculations'!AT4)+Data!$AK$10)*Drivers!AU4</f>
        <v>653550.54163423553</v>
      </c>
      <c r="AU34" s="22">
        <f>((Data!$AJ$10*'Intermediate calculations'!AU4)+Data!$AK$10)*Drivers!AV4</f>
        <v>676523.88179145532</v>
      </c>
      <c r="AV34" s="22">
        <f>((Data!$AJ$10*'Intermediate calculations'!AV4)+Data!$AK$10)*Drivers!AW4</f>
        <v>697643.88271503046</v>
      </c>
      <c r="AW34" s="22">
        <f>((Data!$AJ$10*'Intermediate calculations'!AW4)+Data!$AK$10)*Drivers!AX4</f>
        <v>719739.29609677801</v>
      </c>
      <c r="AX34" s="22">
        <f>((Data!$AJ$10*'Intermediate calculations'!AX4)+Data!$AK$10)*Drivers!AY4</f>
        <v>742404.80975590122</v>
      </c>
      <c r="AY34" s="22">
        <f>((Data!$AJ$10*'Intermediate calculations'!AY4)+Data!$AK$10)*Drivers!AZ4</f>
        <v>764544.53371577279</v>
      </c>
      <c r="AZ34" s="22">
        <f>((Data!$AJ$10*'Intermediate calculations'!AZ4)+Data!$AK$10)*Drivers!BA4</f>
        <v>786894.39153048443</v>
      </c>
      <c r="BA34" s="22">
        <f>((Data!$AJ$10*'Intermediate calculations'!BA4)+Data!$AK$10)*Drivers!BB4</f>
        <v>810138.37262773467</v>
      </c>
      <c r="BB34" s="22">
        <f>((Data!$AJ$10*'Intermediate calculations'!BB4)+Data!$AK$10)*Drivers!BC4</f>
        <v>834313.36026044877</v>
      </c>
      <c r="BC34" s="22">
        <f>((Data!$AJ$10*'Intermediate calculations'!BC4)+Data!$AK$10)*Drivers!BD4</f>
        <v>857610.47470316722</v>
      </c>
      <c r="BD34" s="22">
        <f>((Data!$AJ$10*'Intermediate calculations'!BD4)+Data!$AK$10)*Drivers!BE4</f>
        <v>881405.1405881606</v>
      </c>
      <c r="BE34" s="22">
        <f>((Data!$AJ$10*'Intermediate calculations'!BE4)+Data!$AK$10)*Drivers!BF4</f>
        <v>905738.43550896447</v>
      </c>
      <c r="BF34" s="22">
        <f>((Data!$AJ$10*'Intermediate calculations'!BF4)+Data!$AK$10)*Drivers!BG4</f>
        <v>931627.63376947725</v>
      </c>
      <c r="BG34" s="22">
        <f>((Data!$AJ$10*'Intermediate calculations'!BG4)+Data!$AK$10)*Drivers!BH4</f>
        <v>958039.29316248244</v>
      </c>
      <c r="BH34" s="22">
        <f>((Data!$AJ$10*'Intermediate calculations'!BH4)+Data!$AK$10)*Drivers!BI4</f>
        <v>975195.83909111994</v>
      </c>
      <c r="BI34" s="22">
        <f>((Data!$AJ$10*'Intermediate calculations'!BI4)+Data!$AK$10)*Drivers!BJ4</f>
        <v>991834.8020410426</v>
      </c>
      <c r="BJ34" s="22">
        <f>((Data!$AJ$10*'Intermediate calculations'!BJ4)+Data!$AK$10)*Drivers!BK4</f>
        <v>1009927.757417495</v>
      </c>
      <c r="BK34" s="22">
        <f>((Data!$AJ$10*'Intermediate calculations'!BK4)+Data!$AK$10)*Drivers!BL4</f>
        <v>1027620.7808778348</v>
      </c>
    </row>
    <row r="35" spans="1:63"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8.0358805349382134</v>
      </c>
      <c r="Z35" s="51">
        <f>Z34*ttokg/Drivers!AA4</f>
        <v>8.0928762820977109</v>
      </c>
      <c r="AA35" s="51">
        <f>AA34*ttokg/Drivers!AB4</f>
        <v>8.1273604663033137</v>
      </c>
      <c r="AB35" s="51">
        <f>AB34*ttokg/Drivers!AC4</f>
        <v>8.0819884052707458</v>
      </c>
      <c r="AC35" s="51">
        <f>AC34*ttokg/Drivers!AD4</f>
        <v>8.0356215824650032</v>
      </c>
      <c r="AD35" s="51">
        <f>AD34*ttokg/Drivers!AE4</f>
        <v>8.0643515330638351</v>
      </c>
      <c r="AE35" s="51">
        <f>AE34*ttokg/Drivers!AF4</f>
        <v>8.0680630101512527</v>
      </c>
      <c r="AF35" s="51">
        <f>AF34*ttokg/Drivers!AG4</f>
        <v>7.9888389861368703</v>
      </c>
      <c r="AG35" s="51">
        <f>AG34*ttokg/Drivers!AH4</f>
        <v>7.5536106889526033</v>
      </c>
      <c r="AH35" s="51">
        <f>AH34*ttokg/Drivers!AI4</f>
        <v>7.686418115053792</v>
      </c>
      <c r="AI35" s="51">
        <f>AI34*ttokg/Drivers!AJ4</f>
        <v>7.7736956787185516</v>
      </c>
      <c r="AJ35" s="51">
        <f>AJ34*ttokg/Drivers!AK4</f>
        <v>7.8498488011653418</v>
      </c>
      <c r="AK35" s="51">
        <f>AK34*ttokg/Drivers!AL4</f>
        <v>7.941248518475275</v>
      </c>
      <c r="AL35" s="51">
        <f>AL34*ttokg/Drivers!AM4</f>
        <v>8.0881177654801579</v>
      </c>
      <c r="AM35" s="51">
        <f>AM34*ttokg/Drivers!AN4</f>
        <v>8.2560318850934991</v>
      </c>
      <c r="AN35" s="51">
        <f>AN34*ttokg/Drivers!AO4</f>
        <v>8.4374879601111417</v>
      </c>
      <c r="AO35" s="51">
        <f>AO34*ttokg/Drivers!AP4</f>
        <v>8.5951471371167614</v>
      </c>
      <c r="AP35" s="51">
        <f>AP34*ttokg/Drivers!AQ4</f>
        <v>8.7779103800623428</v>
      </c>
      <c r="AQ35" s="51">
        <f>AQ34*ttokg/Drivers!AR4</f>
        <v>8.9917466459586386</v>
      </c>
      <c r="AR35" s="51">
        <f>AR34*ttokg/Drivers!AS4</f>
        <v>9.2066491820235434</v>
      </c>
      <c r="AS35" s="51">
        <f>AS34*ttokg/Drivers!AT4</f>
        <v>9.4309285112731285</v>
      </c>
      <c r="AT35" s="51">
        <f>AT34*ttokg/Drivers!AU4</f>
        <v>9.6594476783634917</v>
      </c>
      <c r="AU35" s="51">
        <f>AU34*ttokg/Drivers!AV4</f>
        <v>9.9143805974875292</v>
      </c>
      <c r="AV35" s="51">
        <f>AV34*ttokg/Drivers!AW4</f>
        <v>10.137376683940053</v>
      </c>
      <c r="AW35" s="51">
        <f>AW34*ttokg/Drivers!AX4</f>
        <v>10.382430992277827</v>
      </c>
      <c r="AX35" s="51">
        <f>AX34*ttokg/Drivers!AY4</f>
        <v>10.631551807998054</v>
      </c>
      <c r="AY35" s="51">
        <f>AY34*ttokg/Drivers!AZ4</f>
        <v>10.869028191153161</v>
      </c>
      <c r="AZ35" s="51">
        <f>AZ34*ttokg/Drivers!BA4</f>
        <v>11.10545667535456</v>
      </c>
      <c r="BA35" s="51">
        <f>BA34*ttokg/Drivers!BB4</f>
        <v>11.350401392713254</v>
      </c>
      <c r="BB35" s="51">
        <f>BB34*ttokg/Drivers!BC4</f>
        <v>11.616951726972863</v>
      </c>
      <c r="BC35" s="51">
        <f>BC34*ttokg/Drivers!BD4</f>
        <v>11.867630961081291</v>
      </c>
      <c r="BD35" s="51">
        <f>BD34*ttokg/Drivers!BE4</f>
        <v>12.121615525471464</v>
      </c>
      <c r="BE35" s="51">
        <f>BE34*ttokg/Drivers!BF4</f>
        <v>12.379374264198265</v>
      </c>
      <c r="BF35" s="51">
        <f>BF34*ttokg/Drivers!BG4</f>
        <v>12.654623457871876</v>
      </c>
      <c r="BG35" s="51">
        <f>BG34*ttokg/Drivers!BH4</f>
        <v>12.94728841436633</v>
      </c>
      <c r="BH35" s="51">
        <f>BH34*ttokg/Drivers!BI4</f>
        <v>13.112212415405727</v>
      </c>
      <c r="BI35" s="51">
        <f>BI34*ttokg/Drivers!BJ4</f>
        <v>13.2682032358118</v>
      </c>
      <c r="BJ35" s="51">
        <f>BJ34*ttokg/Drivers!BK4</f>
        <v>13.441623191806706</v>
      </c>
      <c r="BK35" s="51">
        <f>BK34*ttokg/Drivers!BL4</f>
        <v>13.607643464781777</v>
      </c>
    </row>
    <row r="36" spans="1:63"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0.22276145679004156</v>
      </c>
      <c r="AP36" s="51"/>
      <c r="AQ36" s="51">
        <f>(AQ37-AE37)/AE37</f>
        <v>0.28379441344780459</v>
      </c>
      <c r="AR36" s="51"/>
      <c r="AS36" s="51"/>
      <c r="AT36" s="51"/>
      <c r="AU36" s="51"/>
      <c r="AV36" s="51"/>
      <c r="AW36" s="51"/>
      <c r="AX36" s="51"/>
      <c r="AY36" s="51"/>
      <c r="AZ36" s="51"/>
      <c r="BA36" s="51"/>
      <c r="BB36" s="51"/>
      <c r="BC36" s="51"/>
      <c r="BD36" s="51"/>
      <c r="BE36" s="51"/>
      <c r="BF36" s="51"/>
      <c r="BG36" s="51"/>
      <c r="BH36" s="51"/>
      <c r="BI36" s="51"/>
      <c r="BJ36" s="51"/>
      <c r="BK36" s="51"/>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450281.78593555599</v>
      </c>
      <c r="Z37" s="22">
        <f>((Data!$AJ$29*'Intermediate calculations'!Z34)+Data!$AK$29)</f>
        <v>460382.52588684513</v>
      </c>
      <c r="AA37" s="22">
        <f>((Data!$AJ$29*'Intermediate calculations'!AA34)+Data!$AK$29)</f>
        <v>469517.05680255586</v>
      </c>
      <c r="AB37" s="22">
        <f>((Data!$AJ$29*'Intermediate calculations'!AB34)+Data!$AK$29)</f>
        <v>474224.20916777849</v>
      </c>
      <c r="AC37" s="22">
        <f>((Data!$AJ$29*'Intermediate calculations'!AC34)+Data!$AK$29)</f>
        <v>479062.26588659</v>
      </c>
      <c r="AD37" s="22">
        <f>((Data!$AJ$29*'Intermediate calculations'!AD34)+Data!$AK$29)</f>
        <v>488712.43810357357</v>
      </c>
      <c r="AE37" s="22">
        <f>((Data!$AJ$29*'Intermediate calculations'!AE34)+Data!$AK$29)</f>
        <v>496962.02871842729</v>
      </c>
      <c r="AF37" s="22">
        <f>((Data!$AJ$29*'Intermediate calculations'!AF34)+Data!$AK$29)</f>
        <v>500083.73305547715</v>
      </c>
      <c r="AG37" s="22">
        <f>((Data!$AJ$29*'Intermediate calculations'!AG34)+Data!$AK$29)</f>
        <v>480208.6622284847</v>
      </c>
      <c r="AH37" s="22">
        <f>((Data!$AJ$29*'Intermediate calculations'!AH34)+Data!$AK$29)</f>
        <v>494485.43599880819</v>
      </c>
      <c r="AI37" s="22">
        <f>((Data!$AJ$29*'Intermediate calculations'!AI34)+Data!$AK$29)</f>
        <v>506021.20814060303</v>
      </c>
      <c r="AJ37" s="22">
        <f>((Data!$AJ$29*'Intermediate calculations'!AJ34)+Data!$AK$29)</f>
        <v>517013.41874060786</v>
      </c>
      <c r="AK37" s="22">
        <f>((Data!$AJ$29*'Intermediate calculations'!AK34)+Data!$AK$29)</f>
        <v>529220.38682385371</v>
      </c>
      <c r="AL37" s="22">
        <f>((Data!$AJ$29*'Intermediate calculations'!AL34)+Data!$AK$29)</f>
        <v>545428.14031573921</v>
      </c>
      <c r="AM37" s="22">
        <f>((Data!$AJ$29*'Intermediate calculations'!AM34)+Data!$AK$29)</f>
        <v>562451.618679696</v>
      </c>
      <c r="AN37" s="22">
        <f>((Data!$AJ$29*'Intermediate calculations'!AN34)+Data!$AK$29)</f>
        <v>580700.13880073978</v>
      </c>
      <c r="AO37" s="22">
        <f>((Data!$AJ$29*'Intermediate calculations'!AO34)+Data!$AK$29)</f>
        <v>597578.73276693863</v>
      </c>
      <c r="AP37" s="22">
        <f>((Data!$AJ$29*'Intermediate calculations'!AP34)+Data!$AK$29)</f>
        <v>616516.15022930736</v>
      </c>
      <c r="AQ37" s="22">
        <f>((Data!$AJ$29*'Intermediate calculations'!AQ34)+Data!$AK$29)</f>
        <v>637997.0761644044</v>
      </c>
      <c r="AR37" s="22">
        <f>((Data!$AJ$29*'Intermediate calculations'!AR34)+Data!$AK$29)</f>
        <v>659051.13235036586</v>
      </c>
      <c r="AS37" s="22">
        <f>((Data!$AJ$29*'Intermediate calculations'!AS34)+Data!$AK$29)</f>
        <v>681101.7956026115</v>
      </c>
      <c r="AT37" s="22">
        <f>((Data!$AJ$29*'Intermediate calculations'!AT34)+Data!$AK$29)</f>
        <v>703792.33787715086</v>
      </c>
      <c r="AU37" s="22">
        <f>((Data!$AJ$29*'Intermediate calculations'!AU34)+Data!$AK$29)</f>
        <v>728780.51219070447</v>
      </c>
      <c r="AV37" s="22">
        <f>((Data!$AJ$29*'Intermediate calculations'!AV34)+Data!$AK$29)</f>
        <v>751752.8035932174</v>
      </c>
      <c r="AW37" s="22">
        <f>((Data!$AJ$29*'Intermediate calculations'!AW34)+Data!$AK$29)</f>
        <v>775786.05419302685</v>
      </c>
      <c r="AX37" s="22">
        <f>((Data!$AJ$29*'Intermediate calculations'!AX34)+Data!$AK$29)</f>
        <v>800439.40465684282</v>
      </c>
      <c r="AY37" s="22">
        <f>((Data!$AJ$29*'Intermediate calculations'!AY34)+Data!$AK$29)</f>
        <v>824520.85201178328</v>
      </c>
      <c r="AZ37" s="22">
        <f>((Data!$AJ$29*'Intermediate calculations'!AZ34)+Data!$AK$29)</f>
        <v>848830.86262126104</v>
      </c>
      <c r="BA37" s="22">
        <f>((Data!$AJ$29*'Intermediate calculations'!BA34)+Data!$AK$29)</f>
        <v>874113.41393613792</v>
      </c>
      <c r="BB37" s="22">
        <f>((Data!$AJ$29*'Intermediate calculations'!BB34)+Data!$AK$29)</f>
        <v>900408.62398657599</v>
      </c>
      <c r="BC37" s="22">
        <f>((Data!$AJ$29*'Intermediate calculations'!BC34)+Data!$AK$29)</f>
        <v>925748.96860836144</v>
      </c>
      <c r="BD37" s="22">
        <f>((Data!$AJ$29*'Intermediate calculations'!BD34)+Data!$AK$29)</f>
        <v>951630.50149813248</v>
      </c>
      <c r="BE37" s="22">
        <f>((Data!$AJ$29*'Intermediate calculations'!BE34)+Data!$AK$29)</f>
        <v>978097.90288351895</v>
      </c>
      <c r="BF37" s="22">
        <f>((Data!$AJ$29*'Intermediate calculations'!BF34)+Data!$AK$29)</f>
        <v>1006257.6652230206</v>
      </c>
      <c r="BG37" s="22">
        <f>((Data!$AJ$29*'Intermediate calculations'!BG34)+Data!$AK$29)</f>
        <v>1034985.7101788693</v>
      </c>
      <c r="BH37" s="22">
        <f>((Data!$AJ$29*'Intermediate calculations'!BH34)+Data!$AK$29)</f>
        <v>1053646.9391229134</v>
      </c>
      <c r="BI37" s="22">
        <f>((Data!$AJ$29*'Intermediate calculations'!BI34)+Data!$AK$29)</f>
        <v>1071745.1914338104</v>
      </c>
      <c r="BJ37" s="22">
        <f>((Data!$AJ$29*'Intermediate calculations'!BJ34)+Data!$AK$29)</f>
        <v>1091424.9558781658</v>
      </c>
      <c r="BK37" s="22">
        <f>((Data!$AJ$29*'Intermediate calculations'!BK34)+Data!$AK$29)</f>
        <v>1110669.7131200428</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1794081.3978567999</v>
      </c>
      <c r="Z39" s="22">
        <f>((Data!$AJ$11*'Intermediate calculations'!Z4)+Data!$AK$11)*Drivers!AA4</f>
        <v>1859704.051977712</v>
      </c>
      <c r="AA39" s="22">
        <f>((Data!$AJ$11*'Intermediate calculations'!AA4)+Data!$AK$11)*Drivers!AB4</f>
        <v>1911902.1211526673</v>
      </c>
      <c r="AB39" s="22">
        <f>((Data!$AJ$11*'Intermediate calculations'!AB4)+Data!$AK$11)*Drivers!AC4</f>
        <v>1909686.0015640706</v>
      </c>
      <c r="AC39" s="22">
        <f>((Data!$AJ$11*'Intermediate calculations'!AC4)+Data!$AK$11)*Drivers!AD4</f>
        <v>1906854.9554363207</v>
      </c>
      <c r="AD39" s="22">
        <f>((Data!$AJ$11*'Intermediate calculations'!AD4)+Data!$AK$11)*Drivers!AE4</f>
        <v>1958657.2544878039</v>
      </c>
      <c r="AE39" s="22">
        <f>((Data!$AJ$11*'Intermediate calculations'!AE4)+Data!$AK$11)*Drivers!AF4</f>
        <v>1993072.7177320495</v>
      </c>
      <c r="AF39" s="22">
        <f>((Data!$AJ$11*'Intermediate calculations'!AF4)+Data!$AK$11)*Drivers!AG4</f>
        <v>1965854.3880988103</v>
      </c>
      <c r="AG39" s="22">
        <f>((Data!$AJ$11*'Intermediate calculations'!AG4)+Data!$AK$11)*Drivers!AH4</f>
        <v>1665769.2743366272</v>
      </c>
      <c r="AH39" s="22">
        <f>((Data!$AJ$11*'Intermediate calculations'!AH4)+Data!$AK$11)*Drivers!AI4</f>
        <v>1787385.3950776407</v>
      </c>
      <c r="AI39" s="22">
        <f>((Data!$AJ$11*'Intermediate calculations'!AI4)+Data!$AK$11)*Drivers!AJ4</f>
        <v>1876059.1402417619</v>
      </c>
      <c r="AJ39" s="22">
        <f>((Data!$AJ$11*'Intermediate calculations'!AJ4)+Data!$AK$11)*Drivers!AK4</f>
        <v>1957758.7672771637</v>
      </c>
      <c r="AK39" s="22">
        <f>((Data!$AJ$11*'Intermediate calculations'!AK4)+Data!$AK$11)*Drivers!AL4</f>
        <v>2053261.8977895596</v>
      </c>
      <c r="AL39" s="22">
        <f>((Data!$AJ$11*'Intermediate calculations'!AL4)+Data!$AK$11)*Drivers!AM4</f>
        <v>2195493.9577198392</v>
      </c>
      <c r="AM39" s="22">
        <f>((Data!$AJ$11*'Intermediate calculations'!AM4)+Data!$AK$11)*Drivers!AN4</f>
        <v>2354030.0457775113</v>
      </c>
      <c r="AN39" s="22">
        <f>((Data!$AJ$11*'Intermediate calculations'!AN4)+Data!$AK$11)*Drivers!AO4</f>
        <v>2526626.2352298182</v>
      </c>
      <c r="AO39" s="22">
        <f>((Data!$AJ$11*'Intermediate calculations'!AO4)+Data!$AK$11)*Drivers!AP4</f>
        <v>2682604.9629579731</v>
      </c>
      <c r="AP39" s="22">
        <f>((Data!$AJ$11*'Intermediate calculations'!AP4)+Data!$AK$11)*Drivers!AQ4</f>
        <v>2862491.0645730169</v>
      </c>
      <c r="AQ39" s="22">
        <f>((Data!$AJ$11*'Intermediate calculations'!AQ4)+Data!$AK$11)*Drivers!AR4</f>
        <v>3072009.4647490294</v>
      </c>
      <c r="AR39" s="22">
        <f>((Data!$AJ$11*'Intermediate calculations'!AR4)+Data!$AK$11)*Drivers!AS4</f>
        <v>3282019.3173918845</v>
      </c>
      <c r="AS39" s="22">
        <f>((Data!$AJ$11*'Intermediate calculations'!AS4)+Data!$AK$11)*Drivers!AT4</f>
        <v>3503477.8013689667</v>
      </c>
      <c r="AT39" s="22">
        <f>((Data!$AJ$11*'Intermediate calculations'!AT4)+Data!$AK$11)*Drivers!AU4</f>
        <v>3732165.4369014972</v>
      </c>
      <c r="AU39" s="22">
        <f>((Data!$AJ$11*'Intermediate calculations'!AU4)+Data!$AK$11)*Drivers!AV4</f>
        <v>3987674.5877813394</v>
      </c>
      <c r="AV39" s="22">
        <f>((Data!$AJ$11*'Intermediate calculations'!AV4)+Data!$AK$11)*Drivers!AW4</f>
        <v>4219015.126454345</v>
      </c>
      <c r="AW39" s="22">
        <f>((Data!$AJ$11*'Intermediate calculations'!AW4)+Data!$AK$11)*Drivers!AX4</f>
        <v>4468316.5363066988</v>
      </c>
      <c r="AX39" s="22">
        <f>((Data!$AJ$11*'Intermediate calculations'!AX4)+Data!$AK$11)*Drivers!AY4</f>
        <v>4724693.1128228698</v>
      </c>
      <c r="AY39" s="22">
        <f>((Data!$AJ$11*'Intermediate calculations'!AY4)+Data!$AK$11)*Drivers!AZ4</f>
        <v>4974053.1015394032</v>
      </c>
      <c r="AZ39" s="22">
        <f>((Data!$AJ$11*'Intermediate calculations'!AZ4)+Data!$AK$11)*Drivers!BA4</f>
        <v>5225856.415819345</v>
      </c>
      <c r="BA39" s="22">
        <f>((Data!$AJ$11*'Intermediate calculations'!BA4)+Data!$AK$11)*Drivers!BB4</f>
        <v>5488895.2366580525</v>
      </c>
      <c r="BB39" s="22">
        <f>((Data!$AJ$11*'Intermediate calculations'!BB4)+Data!$AK$11)*Drivers!BC4</f>
        <v>5769112.0424739597</v>
      </c>
      <c r="BC39" s="22">
        <f>((Data!$AJ$11*'Intermediate calculations'!BC4)+Data!$AK$11)*Drivers!BD4</f>
        <v>6037851.9411528958</v>
      </c>
      <c r="BD39" s="22">
        <f>((Data!$AJ$11*'Intermediate calculations'!BD4)+Data!$AK$11)*Drivers!BE4</f>
        <v>6312797.6279397272</v>
      </c>
      <c r="BE39" s="22">
        <f>((Data!$AJ$11*'Intermediate calculations'!BE4)+Data!$AK$11)*Drivers!BF4</f>
        <v>6594476.0508723063</v>
      </c>
      <c r="BF39" s="22">
        <f>((Data!$AJ$11*'Intermediate calculations'!BF4)+Data!$AK$11)*Drivers!BG4</f>
        <v>6895965.1409784677</v>
      </c>
      <c r="BG39" s="22">
        <f>((Data!$AJ$11*'Intermediate calculations'!BG4)+Data!$AK$11)*Drivers!BH4</f>
        <v>7209597.8444357151</v>
      </c>
      <c r="BH39" s="22">
        <f>((Data!$AJ$11*'Intermediate calculations'!BH4)+Data!$AK$11)*Drivers!BI4</f>
        <v>7404104.8428450311</v>
      </c>
      <c r="BI39" s="22">
        <f>((Data!$AJ$11*'Intermediate calculations'!BI4)+Data!$AK$11)*Drivers!BJ4</f>
        <v>7591824.1515213959</v>
      </c>
      <c r="BJ39" s="22">
        <f>((Data!$AJ$11*'Intermediate calculations'!BJ4)+Data!$AK$11)*Drivers!BK4</f>
        <v>7798103.6950450102</v>
      </c>
      <c r="BK39" s="22">
        <f>((Data!$AJ$11*'Intermediate calculations'!BK4)+Data!$AK$11)*Drivers!BL4</f>
        <v>7999106.8295963947</v>
      </c>
    </row>
    <row r="40" spans="1:63"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34.286986251986896</v>
      </c>
      <c r="Z40" s="51">
        <f>Z39*ttokg/Drivers!AA4</f>
        <v>35.019782281708821</v>
      </c>
      <c r="AA40" s="51">
        <f>AA39*ttokg/Drivers!AB4</f>
        <v>35.463146471730738</v>
      </c>
      <c r="AB40" s="51">
        <f>AB39*ttokg/Drivers!AC4</f>
        <v>34.87979652297188</v>
      </c>
      <c r="AC40" s="51">
        <f>AC39*ttokg/Drivers!AD4</f>
        <v>34.283656892276539</v>
      </c>
      <c r="AD40" s="51">
        <f>AD39*ttokg/Drivers!AE4</f>
        <v>34.653038728328518</v>
      </c>
      <c r="AE40" s="51">
        <f>AE39*ttokg/Drivers!AF4</f>
        <v>34.700757300495916</v>
      </c>
      <c r="AF40" s="51">
        <f>AF39*ttokg/Drivers!AG4</f>
        <v>33.682171648940695</v>
      </c>
      <c r="AG40" s="51">
        <f>AG39*ttokg/Drivers!AH4</f>
        <v>28.086428385732802</v>
      </c>
      <c r="AH40" s="51">
        <f>AH39*ttokg/Drivers!AI4</f>
        <v>29.793937444122609</v>
      </c>
      <c r="AI40" s="51">
        <f>AI39*ttokg/Drivers!AJ4</f>
        <v>30.916067696373897</v>
      </c>
      <c r="AJ40" s="51">
        <f>AJ39*ttokg/Drivers!AK4</f>
        <v>31.895170674421866</v>
      </c>
      <c r="AK40" s="51">
        <f>AK39*ttokg/Drivers!AL4</f>
        <v>33.070299579653934</v>
      </c>
      <c r="AL40" s="51">
        <f>AL39*ttokg/Drivers!AM4</f>
        <v>34.958601890916668</v>
      </c>
      <c r="AM40" s="51">
        <f>AM39*ttokg/Drivers!AN4</f>
        <v>37.117478760142895</v>
      </c>
      <c r="AN40" s="51">
        <f>AN39*ttokg/Drivers!AO4</f>
        <v>39.450464955932979</v>
      </c>
      <c r="AO40" s="51">
        <f>AO39*ttokg/Drivers!AP4</f>
        <v>41.477493720651765</v>
      </c>
      <c r="AP40" s="51">
        <f>AP39*ttokg/Drivers!AQ4</f>
        <v>43.827286213674775</v>
      </c>
      <c r="AQ40" s="51">
        <f>AQ39*ttokg/Drivers!AR4</f>
        <v>46.576585494213333</v>
      </c>
      <c r="AR40" s="51">
        <f>AR39*ttokg/Drivers!AS4</f>
        <v>49.339593842271988</v>
      </c>
      <c r="AS40" s="51">
        <f>AS39*ttokg/Drivers!AT4</f>
        <v>52.223159901382822</v>
      </c>
      <c r="AT40" s="51">
        <f>AT39*ttokg/Drivers!AU4</f>
        <v>55.161237682704964</v>
      </c>
      <c r="AU40" s="51">
        <f>AU39*ttokg/Drivers!AV4</f>
        <v>58.43891786569705</v>
      </c>
      <c r="AV40" s="51">
        <f>AV39*ttokg/Drivers!AW4</f>
        <v>61.305985233699829</v>
      </c>
      <c r="AW40" s="51">
        <f>AW39*ttokg/Drivers!AX4</f>
        <v>64.456655821693801</v>
      </c>
      <c r="AX40" s="51">
        <f>AX39*ttokg/Drivers!AY4</f>
        <v>67.659609617000683</v>
      </c>
      <c r="AY40" s="51">
        <f>AY39*ttokg/Drivers!AZ4</f>
        <v>70.712850593766859</v>
      </c>
      <c r="AZ40" s="51">
        <f>AZ39*ttokg/Drivers!BA4</f>
        <v>73.752618702273594</v>
      </c>
      <c r="BA40" s="51">
        <f>BA39*ttokg/Drivers!BB4</f>
        <v>76.901880275764455</v>
      </c>
      <c r="BB40" s="51">
        <f>BB39*ttokg/Drivers!BC4</f>
        <v>80.328925913395693</v>
      </c>
      <c r="BC40" s="51">
        <f>BC39*ttokg/Drivers!BD4</f>
        <v>83.55191634063452</v>
      </c>
      <c r="BD40" s="51">
        <f>BD39*ttokg/Drivers!BE4</f>
        <v>86.817403498385588</v>
      </c>
      <c r="BE40" s="51">
        <f>BE39*ttokg/Drivers!BF4</f>
        <v>90.131415328716557</v>
      </c>
      <c r="BF40" s="51">
        <f>BF39*ttokg/Drivers!BG4</f>
        <v>93.670302462588822</v>
      </c>
      <c r="BG40" s="51">
        <f>BG39*ttokg/Drivers!BH4</f>
        <v>97.433104581099713</v>
      </c>
      <c r="BH40" s="51">
        <f>BH39*ttokg/Drivers!BI4</f>
        <v>99.553537406189633</v>
      </c>
      <c r="BI40" s="51">
        <f>BI39*ttokg/Drivers!BJ4</f>
        <v>101.55911606009779</v>
      </c>
      <c r="BJ40" s="51">
        <f>BJ39*ttokg/Drivers!BK4</f>
        <v>103.78878163272354</v>
      </c>
      <c r="BK40" s="51">
        <f>BK39*ttokg/Drivers!BL4</f>
        <v>105.92330925895202</v>
      </c>
    </row>
    <row r="41" spans="1:63"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0.32812232075796199</v>
      </c>
      <c r="AP41" s="51"/>
      <c r="AQ41" s="51">
        <f>(AQ42-AE42)/AE42</f>
        <v>0.48150690635522486</v>
      </c>
      <c r="AR41" s="51"/>
      <c r="AS41" s="51"/>
      <c r="AT41" s="51"/>
      <c r="AU41" s="51"/>
      <c r="AV41" s="51"/>
      <c r="AW41" s="51"/>
      <c r="AX41" s="51"/>
      <c r="AY41" s="51"/>
      <c r="AZ41" s="51"/>
      <c r="BA41" s="51"/>
      <c r="BB41" s="51"/>
      <c r="BC41" s="51"/>
      <c r="BD41" s="51"/>
      <c r="BE41" s="51"/>
      <c r="BF41" s="51"/>
      <c r="BG41" s="51"/>
      <c r="BH41" s="51"/>
      <c r="BI41" s="51"/>
      <c r="BJ41" s="51"/>
      <c r="BK41" s="51"/>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1471692.7305891733</v>
      </c>
      <c r="Z42" s="22">
        <f>((Data!$AJ$33*'Intermediate calculations'!Z39)+Data!$AK$33)</f>
        <v>1518993.3100212589</v>
      </c>
      <c r="AA42" s="22">
        <f>((Data!$AJ$33*'Intermediate calculations'!AA39)+Data!$AK$33)</f>
        <v>1556617.4956060459</v>
      </c>
      <c r="AB42" s="22">
        <f>((Data!$AJ$33*'Intermediate calculations'!AB39)+Data!$AK$33)</f>
        <v>1555020.1243622939</v>
      </c>
      <c r="AC42" s="22">
        <f>((Data!$AJ$33*'Intermediate calculations'!AC39)+Data!$AK$33)</f>
        <v>1552979.5162211664</v>
      </c>
      <c r="AD42" s="22">
        <f>((Data!$AJ$33*'Intermediate calculations'!AD39)+Data!$AK$33)</f>
        <v>1590318.4320860233</v>
      </c>
      <c r="AE42" s="22">
        <f>((Data!$AJ$33*'Intermediate calculations'!AE39)+Data!$AK$33)</f>
        <v>1615124.9775493788</v>
      </c>
      <c r="AF42" s="22">
        <f>((Data!$AJ$33*'Intermediate calculations'!AF39)+Data!$AK$33)</f>
        <v>1595506.1008051746</v>
      </c>
      <c r="AG42" s="22">
        <f>((Data!$AJ$33*'Intermediate calculations'!AG39)+Data!$AK$33)</f>
        <v>1379205.8010071614</v>
      </c>
      <c r="AH42" s="22">
        <f>((Data!$AJ$33*'Intermediate calculations'!AH39)+Data!$AK$33)</f>
        <v>1466866.27521982</v>
      </c>
      <c r="AI42" s="22">
        <f>((Data!$AJ$33*'Intermediate calculations'!AI39)+Data!$AK$33)</f>
        <v>1530782.0004044164</v>
      </c>
      <c r="AJ42" s="22">
        <f>((Data!$AJ$33*'Intermediate calculations'!AJ39)+Data!$AK$33)</f>
        <v>1589670.8056490112</v>
      </c>
      <c r="AK42" s="22">
        <f>((Data!$AJ$33*'Intermediate calculations'!AK39)+Data!$AK$33)</f>
        <v>1658509.1278919829</v>
      </c>
      <c r="AL42" s="22">
        <f>((Data!$AJ$33*'Intermediate calculations'!AL39)+Data!$AK$33)</f>
        <v>1761029.4989230817</v>
      </c>
      <c r="AM42" s="22">
        <f>((Data!$AJ$33*'Intermediate calculations'!AM39)+Data!$AK$33)</f>
        <v>1875301.7563695293</v>
      </c>
      <c r="AN42" s="22">
        <f>((Data!$AJ$33*'Intermediate calculations'!AN39)+Data!$AK$33)</f>
        <v>1999708.4856953789</v>
      </c>
      <c r="AO42" s="22">
        <f>((Data!$AJ$33*'Intermediate calculations'!AO39)+Data!$AK$33)</f>
        <v>2112137.4067662526</v>
      </c>
      <c r="AP42" s="22">
        <f>((Data!$AJ$33*'Intermediate calculations'!AP39)+Data!$AK$33)</f>
        <v>2241798.6792666456</v>
      </c>
      <c r="AQ42" s="22">
        <f>((Data!$AJ$33*'Intermediate calculations'!AQ39)+Data!$AK$33)</f>
        <v>2392818.8088662322</v>
      </c>
      <c r="AR42" s="22">
        <f>((Data!$AJ$33*'Intermediate calculations'!AR39)+Data!$AK$33)</f>
        <v>2544193.1756839929</v>
      </c>
      <c r="AS42" s="22">
        <f>((Data!$AJ$33*'Intermediate calculations'!AS39)+Data!$AK$33)</f>
        <v>2703819.6759009222</v>
      </c>
      <c r="AT42" s="22">
        <f>((Data!$AJ$33*'Intermediate calculations'!AT39)+Data!$AK$33)</f>
        <v>2868656.9232593039</v>
      </c>
      <c r="AU42" s="22">
        <f>((Data!$AJ$33*'Intermediate calculations'!AU39)+Data!$AK$33)</f>
        <v>3052827.0250133164</v>
      </c>
      <c r="AV42" s="22">
        <f>((Data!$AJ$33*'Intermediate calculations'!AV39)+Data!$AK$33)</f>
        <v>3219576.4756710418</v>
      </c>
      <c r="AW42" s="22">
        <f>((Data!$AJ$33*'Intermediate calculations'!AW39)+Data!$AK$33)</f>
        <v>3399272.0594175453</v>
      </c>
      <c r="AX42" s="22">
        <f>((Data!$AJ$33*'Intermediate calculations'!AX39)+Data!$AK$33)</f>
        <v>3584067.3985345117</v>
      </c>
      <c r="AY42" s="22">
        <f>((Data!$AJ$33*'Intermediate calculations'!AY39)+Data!$AK$33)</f>
        <v>3763805.2057213089</v>
      </c>
      <c r="AZ42" s="22">
        <f>((Data!$AJ$33*'Intermediate calculations'!AZ39)+Data!$AK$33)</f>
        <v>3945304.1534233545</v>
      </c>
      <c r="BA42" s="22">
        <f>((Data!$AJ$33*'Intermediate calculations'!BA39)+Data!$AK$33)</f>
        <v>4134901.6149322842</v>
      </c>
      <c r="BB42" s="22">
        <f>((Data!$AJ$33*'Intermediate calculations'!BB39)+Data!$AK$33)</f>
        <v>4336880.907895335</v>
      </c>
      <c r="BC42" s="22">
        <f>((Data!$AJ$33*'Intermediate calculations'!BC39)+Data!$AK$33)</f>
        <v>4530587.6863595555</v>
      </c>
      <c r="BD42" s="22">
        <f>((Data!$AJ$33*'Intermediate calculations'!BD39)+Data!$AK$33)</f>
        <v>4728767.575173676</v>
      </c>
      <c r="BE42" s="22">
        <f>((Data!$AJ$33*'Intermediate calculations'!BE39)+Data!$AK$33)</f>
        <v>4931800.3966392325</v>
      </c>
      <c r="BF42" s="22">
        <f>((Data!$AJ$33*'Intermediate calculations'!BF39)+Data!$AK$33)</f>
        <v>5149112.6776725175</v>
      </c>
      <c r="BG42" s="22">
        <f>((Data!$AJ$33*'Intermediate calculations'!BG39)+Data!$AK$33)</f>
        <v>5375178.0327105094</v>
      </c>
      <c r="BH42" s="22">
        <f>((Data!$AJ$33*'Intermediate calculations'!BH39)+Data!$AK$33)</f>
        <v>5515377.9964517588</v>
      </c>
      <c r="BI42" s="22">
        <f>((Data!$AJ$33*'Intermediate calculations'!BI39)+Data!$AK$33)</f>
        <v>5650685.4171882365</v>
      </c>
      <c r="BJ42" s="22">
        <f>((Data!$AJ$33*'Intermediate calculations'!BJ39)+Data!$AK$33)</f>
        <v>5799370.9902477348</v>
      </c>
      <c r="BK42" s="22">
        <f>((Data!$AJ$33*'Intermediate calculations'!BK39)+Data!$AK$33)</f>
        <v>5944253.3461857922</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9069608.5036172941</v>
      </c>
      <c r="AA44" s="22">
        <f>((Data!$AJ$40*'Intermediate calculations'!AA45)+Data!$AK$40)</f>
        <v>9310273.6227034926</v>
      </c>
      <c r="AB44" s="22">
        <f>((Data!$AJ$40*'Intermediate calculations'!AB45)+Data!$AK$40)</f>
        <v>9559918.203922689</v>
      </c>
      <c r="AC44" s="22">
        <f>((Data!$AJ$40*'Intermediate calculations'!AC45)+Data!$AK$40)</f>
        <v>9818892.7438438796</v>
      </c>
      <c r="AD44" s="22">
        <f>((Data!$AJ$40*'Intermediate calculations'!AD45)+Data!$AK$40)</f>
        <v>10087565.193359558</v>
      </c>
      <c r="AE44" s="22">
        <f>((Data!$AJ$40*'Intermediate calculations'!AE45)+Data!$AK$40)</f>
        <v>10359825.374047421</v>
      </c>
      <c r="AF44" s="22">
        <f>((Data!$AJ$40*'Intermediate calculations'!AF45)+Data!$AK$40)</f>
        <v>10636488.448266506</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11745410.545782182</v>
      </c>
      <c r="AL44" s="22">
        <f>((Data!$AJ$40*'Intermediate calculations'!AL45)+Data!$AK$40)</f>
        <v>11958347.911885723</v>
      </c>
      <c r="AM44" s="22">
        <f>((Data!$AJ$40*'Intermediate calculations'!AM45)+Data!$AK$40)</f>
        <v>12142539.899210595</v>
      </c>
      <c r="AN44" s="22">
        <f>((Data!$AJ$40*'Intermediate calculations'!AN45)+Data!$AK$40)</f>
        <v>12328545.523359004</v>
      </c>
      <c r="AO44" s="22">
        <f>((Data!$AJ$40*'Intermediate calculations'!AO45)+Data!$AK$40)</f>
        <v>12516382.64221162</v>
      </c>
      <c r="AP44" s="22">
        <f>((Data!$AJ$40*'Intermediate calculations'!AP45)+Data!$AK$40)</f>
        <v>12706069.28948579</v>
      </c>
      <c r="AQ44" s="22">
        <f>((Data!$AJ$40*'Intermediate calculations'!AQ45)+Data!$AK$40)</f>
        <v>12897623.676466919</v>
      </c>
      <c r="AR44" s="22">
        <f>((Data!$AJ$40*'Intermediate calculations'!AR45)+Data!$AK$40)</f>
        <v>13065285.550986845</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13750364.405404899</v>
      </c>
      <c r="AW44" s="22">
        <f>((Data!$AJ$40*'Intermediate calculations'!AW45)+Data!$AK$40)</f>
        <v>13900436.811271213</v>
      </c>
      <c r="AX44" s="22">
        <f>((Data!$AJ$40*'Intermediate calculations'!AX45)+Data!$AK$40)</f>
        <v>14051607.920698307</v>
      </c>
      <c r="AY44" s="22">
        <f>((Data!$AJ$40*'Intermediate calculations'!AY45)+Data!$AK$40)</f>
        <v>14203885.777466826</v>
      </c>
      <c r="AZ44" s="22">
        <f>((Data!$AJ$40*'Intermediate calculations'!AZ45)+Data!$AK$40)</f>
        <v>14357278.484247208</v>
      </c>
      <c r="BA44" s="22">
        <f>((Data!$AJ$40*'Intermediate calculations'!BA45)+Data!$AK$40)</f>
        <v>14511794.203030784</v>
      </c>
      <c r="BB44" s="22">
        <f>((Data!$AJ$40*'Intermediate calculations'!BB45)+Data!$AK$40)</f>
        <v>14643837.8575859</v>
      </c>
      <c r="BC44" s="22">
        <f>((Data!$AJ$40*'Intermediate calculations'!BC45)+Data!$AK$40)</f>
        <v>14776701.625972856</v>
      </c>
      <c r="BD44" s="22">
        <f>((Data!$AJ$40*'Intermediate calculations'!BD45)+Data!$AK$40)</f>
        <v>14910390.601860862</v>
      </c>
      <c r="BE44" s="22">
        <f>((Data!$AJ$40*'Intermediate calculations'!BE45)+Data!$AK$40)</f>
        <v>15044909.910555545</v>
      </c>
      <c r="BF44" s="22">
        <f>((Data!$AJ$40*'Intermediate calculations'!BF45)+Data!$AK$40)</f>
        <v>15180264.709195446</v>
      </c>
      <c r="BG44" s="22">
        <f>((Data!$AJ$40*'Intermediate calculations'!BG45)+Data!$AK$40)</f>
        <v>15292205.461046565</v>
      </c>
      <c r="BH44" s="22">
        <f>((Data!$AJ$40*'Intermediate calculations'!BH45)+Data!$AK$40)</f>
        <v>15404717.652523212</v>
      </c>
      <c r="BI44" s="22">
        <f>((Data!$AJ$40*'Intermediate calculations'!BI45)+Data!$AK$40)</f>
        <v>15517804.200733211</v>
      </c>
      <c r="BJ44" s="22">
        <f>((Data!$AJ$40*'Intermediate calculations'!BJ45)+Data!$AK$40)</f>
        <v>15631468.037675802</v>
      </c>
      <c r="BK44" s="22">
        <f>((Data!$AJ$40*'Intermediate calculations'!BK45)+Data!$AK$40)</f>
        <v>15745712.110317562</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4510882.5831505302</v>
      </c>
      <c r="AA45" s="22">
        <f>((Data!$AJ$39*Drivers!AB4)+Data!$AK$39)</f>
        <v>4611861.4731789092</v>
      </c>
      <c r="AB45" s="22">
        <f>((Data!$AJ$39*Drivers!AC4)+Data!$AK$39)</f>
        <v>4716607.9890380902</v>
      </c>
      <c r="AC45" s="22">
        <f>((Data!$AJ$39*Drivers!AD4)+Data!$AK$39)</f>
        <v>4825269.1929805083</v>
      </c>
      <c r="AD45" s="22">
        <f>((Data!$AJ$39*Drivers!AE4)+Data!$AK$39)</f>
        <v>4937999.4707885766</v>
      </c>
      <c r="AE45" s="22">
        <f>((Data!$AJ$39*Drivers!AF4)+Data!$AK$39)</f>
        <v>5052235.0980750518</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5722947.2983687911</v>
      </c>
      <c r="AM45" s="22">
        <f>((Data!$AJ$39*Drivers!AN4)+Data!$AK$39)</f>
        <v>5800231.0464366823</v>
      </c>
      <c r="AN45" s="22">
        <f>((Data!$AJ$39*Drivers!AO4)+Data!$AK$39)</f>
        <v>5878275.764910467</v>
      </c>
      <c r="AO45" s="22">
        <f>((Data!$AJ$39*Drivers!AP4)+Data!$AK$39)</f>
        <v>5957088.9466456743</v>
      </c>
      <c r="AP45" s="22">
        <f>((Data!$AJ$39*Drivers!AQ4)+Data!$AK$39)</f>
        <v>6036678.1582758389</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6474846.1905522551</v>
      </c>
      <c r="AW45" s="22">
        <f>((Data!$AJ$39*Drivers!AX4)+Data!$AK$39)</f>
        <v>6537813.9568235315</v>
      </c>
      <c r="AX45" s="22">
        <f>((Data!$AJ$39*Drivers!AY4)+Data!$AK$39)</f>
        <v>6601242.7199624032</v>
      </c>
      <c r="AY45" s="22">
        <f>((Data!$AJ$39*Drivers!AZ4)+Data!$AK$39)</f>
        <v>6665135.8549990505</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7074807.4399275556</v>
      </c>
      <c r="BG45" s="22">
        <f>((Data!$AJ$39*Drivers!BH4)+Data!$AK$39)</f>
        <v>7121775.8286736608</v>
      </c>
      <c r="BH45" s="22">
        <f>((Data!$AJ$39*Drivers!BI4)+Data!$AK$39)</f>
        <v>7168983.9835284688</v>
      </c>
      <c r="BI45" s="22">
        <f>((Data!$AJ$39*Drivers!BJ4)+Data!$AK$39)</f>
        <v>7216433.1284595896</v>
      </c>
      <c r="BJ45" s="22">
        <f>((Data!$AJ$39*Drivers!BK4)+Data!$AK$39)</f>
        <v>7264124.4936828092</v>
      </c>
      <c r="BK45" s="22">
        <f>((Data!$AJ$39*Drivers!BL4)+Data!$AK$39)</f>
        <v>7312059.3156939484</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11888967.550540993</v>
      </c>
      <c r="AA46" s="22">
        <f>((Data!$AJ$41*'Intermediate calculations'!AA44)+Data!$AK$41)</f>
        <v>12116544.669480311</v>
      </c>
      <c r="AB46" s="22">
        <f>((Data!$AJ$41*'Intermediate calculations'!AB44)+Data!$AK$41)</f>
        <v>12352612.92385966</v>
      </c>
      <c r="AC46" s="22">
        <f>((Data!$AJ$41*'Intermediate calculations'!AC44)+Data!$AK$41)</f>
        <v>12597503.749325689</v>
      </c>
      <c r="AD46" s="22">
        <f>((Data!$AJ$41*'Intermediate calculations'!AD44)+Data!$AK$41)</f>
        <v>12851565.086636676</v>
      </c>
      <c r="AE46" s="22">
        <f>((Data!$AJ$41*'Intermediate calculations'!AE44)+Data!$AK$41)</f>
        <v>13109019.044892462</v>
      </c>
      <c r="AF46" s="22">
        <f>((Data!$AJ$41*'Intermediate calculations'!AF44)+Data!$AK$41)</f>
        <v>13370636.455785824</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14419252.462288922</v>
      </c>
      <c r="AL46" s="22">
        <f>((Data!$AJ$41*'Intermediate calculations'!AL44)+Data!$AK$41)</f>
        <v>14620609.736148844</v>
      </c>
      <c r="AM46" s="22">
        <f>((Data!$AJ$41*'Intermediate calculations'!AM44)+Data!$AK$41)</f>
        <v>14794784.880292136</v>
      </c>
      <c r="AN46" s="22">
        <f>((Data!$AJ$41*'Intermediate calculations'!AN44)+Data!$AK$41)</f>
        <v>14970675.030933548</v>
      </c>
      <c r="AO46" s="22">
        <f>((Data!$AJ$41*'Intermediate calculations'!AO44)+Data!$AK$41)</f>
        <v>15148297.074795375</v>
      </c>
      <c r="AP46" s="22">
        <f>((Data!$AJ$41*'Intermediate calculations'!AP44)+Data!$AK$41)</f>
        <v>15327668.064874135</v>
      </c>
      <c r="AQ46" s="22">
        <f>((Data!$AJ$41*'Intermediate calculations'!AQ44)+Data!$AK$41)</f>
        <v>15508805.222077787</v>
      </c>
      <c r="AR46" s="22">
        <f>((Data!$AJ$41*'Intermediate calculations'!AR44)+Data!$AK$41)</f>
        <v>15667349.204288784</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16315171.674477609</v>
      </c>
      <c r="AW46" s="22">
        <f>((Data!$AJ$41*'Intermediate calculations'!AW44)+Data!$AK$41)</f>
        <v>16457082.749456095</v>
      </c>
      <c r="AX46" s="22">
        <f>((Data!$AJ$41*'Intermediate calculations'!AX44)+Data!$AK$41)</f>
        <v>16600032.777615165</v>
      </c>
      <c r="AY46" s="22">
        <f>((Data!$AJ$41*'Intermediate calculations'!AY44)+Data!$AK$41)</f>
        <v>16744029.365293587</v>
      </c>
      <c r="AZ46" s="22">
        <f>((Data!$AJ$41*'Intermediate calculations'!AZ44)+Data!$AK$41)</f>
        <v>16889080.174517334</v>
      </c>
      <c r="BA46" s="22">
        <f>((Data!$AJ$41*'Intermediate calculations'!BA44)+Data!$AK$41)</f>
        <v>17035192.923407253</v>
      </c>
      <c r="BB46" s="22">
        <f>((Data!$AJ$41*'Intermediate calculations'!BB44)+Data!$AK$41)</f>
        <v>17160055.697838262</v>
      </c>
      <c r="BC46" s="22">
        <f>((Data!$AJ$41*'Intermediate calculations'!BC44)+Data!$AK$41)</f>
        <v>17285693.986160778</v>
      </c>
      <c r="BD46" s="22">
        <f>((Data!$AJ$41*'Intermediate calculations'!BD44)+Data!$AK$41)</f>
        <v>17412112.605036922</v>
      </c>
      <c r="BE46" s="22">
        <f>((Data!$AJ$41*'Intermediate calculations'!BE44)+Data!$AK$41)</f>
        <v>17539316.401044767</v>
      </c>
      <c r="BF46" s="22">
        <f>((Data!$AJ$41*'Intermediate calculations'!BF44)+Data!$AK$41)</f>
        <v>17667310.250864141</v>
      </c>
      <c r="BG46" s="22">
        <f>((Data!$AJ$41*'Intermediate calculations'!BG44)+Data!$AK$41)</f>
        <v>17773163.37114558</v>
      </c>
      <c r="BH46" s="22">
        <f>((Data!$AJ$41*'Intermediate calculations'!BH44)+Data!$AK$41)</f>
        <v>17879556.854667522</v>
      </c>
      <c r="BI46" s="22">
        <f>((Data!$AJ$41*'Intermediate calculations'!BI44)+Data!$AK$41)</f>
        <v>17986493.459897824</v>
      </c>
      <c r="BJ46" s="22">
        <f>((Data!$AJ$41*'Intermediate calculations'!BJ44)+Data!$AK$41)</f>
        <v>18093975.959385909</v>
      </c>
      <c r="BK46" s="22">
        <f>((Data!$AJ$41*'Intermediate calculations'!BK44)+Data!$AK$41)</f>
        <v>18202007.139834598</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170434.18103123695</v>
      </c>
      <c r="Z47" s="22">
        <f>((Data!$AJ$12*((Drivers!AA5*1000000)/Drivers!AA4))+Data!$AK$12)*Drivers!AA4</f>
        <v>169677.63522063452</v>
      </c>
      <c r="AA47" s="22">
        <f>((Data!$AJ$12*((Drivers!AB5*1000000)/Drivers!AB4))+Data!$AK$12)*Drivers!AB4</f>
        <v>170236.12664511442</v>
      </c>
      <c r="AB47" s="22">
        <f>((Data!$AJ$12*((Drivers!AC5*1000000)/Drivers!AC4))+Data!$AK$12)*Drivers!AC4</f>
        <v>175585.93106329709</v>
      </c>
      <c r="AC47" s="22">
        <f>((Data!$AJ$12*((Drivers!AD5*1000000)/Drivers!AD4))+Data!$AK$12)*Drivers!AD4</f>
        <v>181180.71094700386</v>
      </c>
      <c r="AD47" s="22">
        <f>((Data!$AJ$12*((Drivers!AE5*1000000)/Drivers!AE4))+Data!$AK$12)*Drivers!AE4</f>
        <v>182351.84510898826</v>
      </c>
      <c r="AE47" s="22">
        <f>((Data!$AJ$12*((Drivers!AF5*1000000)/Drivers!AF4))+Data!$AK$12)*Drivers!AF4</f>
        <v>185068.79437888181</v>
      </c>
      <c r="AF47" s="22">
        <f>((Data!$AJ$12*((Drivers!AG5*1000000)/Drivers!AG4))+Data!$AK$12)*Drivers!AG4</f>
        <v>193093.49026941712</v>
      </c>
      <c r="AG47" s="22">
        <f>((Data!$AJ$12*((Drivers!AH5*1000000)/Drivers!AH4))+Data!$AK$12)*Drivers!AH4</f>
        <v>224306.22696455522</v>
      </c>
      <c r="AH47" s="22">
        <f>((Data!$AJ$12*((Drivers!AI5*1000000)/Drivers!AI4))+Data!$AK$12)*Drivers!AI4</f>
        <v>218218.70042383508</v>
      </c>
      <c r="AI47" s="22">
        <f>((Data!$AJ$12*((Drivers!AJ5*1000000)/Drivers!AJ4))+Data!$AK$12)*Drivers!AJ4</f>
        <v>214967.85586502563</v>
      </c>
      <c r="AJ47" s="22">
        <f>((Data!$AJ$12*((Drivers!AK5*1000000)/Drivers!AK4))+Data!$AK$12)*Drivers!AK4</f>
        <v>212356.29004946142</v>
      </c>
      <c r="AK47" s="22">
        <f>((Data!$AJ$12*((Drivers!AL5*1000000)/Drivers!AL4))+Data!$AK$12)*Drivers!AL4</f>
        <v>208625.94308722334</v>
      </c>
      <c r="AL47" s="22">
        <f>((Data!$AJ$12*((Drivers!AM5*1000000)/Drivers!AM4))+Data!$AK$12)*Drivers!AM4</f>
        <v>200990.56788915119</v>
      </c>
      <c r="AM47" s="22">
        <f>((Data!$AJ$12*((Drivers!AN5*1000000)/Drivers!AN4))+Data!$AK$12)*Drivers!AN4</f>
        <v>191380.80876448291</v>
      </c>
      <c r="AN47" s="22">
        <f>((Data!$AJ$12*((Drivers!AO5*1000000)/Drivers!AO4))+Data!$AK$12)*Drivers!AO4</f>
        <v>180618.50153540529</v>
      </c>
      <c r="AO47" s="22">
        <f>((Data!$AJ$12*((Drivers!AP5*1000000)/Drivers!AP4))+Data!$AK$12)*Drivers!AP4</f>
        <v>171300.57334213227</v>
      </c>
      <c r="AP47" s="22">
        <f>((Data!$AJ$12*((Drivers!AQ5*1000000)/Drivers!AQ4))+Data!$AK$12)*Drivers!AQ4</f>
        <v>159997.36321334096</v>
      </c>
      <c r="AQ47" s="22">
        <f>((Data!$AJ$12*((Drivers!AR5*1000000)/Drivers!AR4))+Data!$AK$12)*Drivers!AR4</f>
        <v>146224.68843758319</v>
      </c>
      <c r="AR47" s="22">
        <f>((Data!$AJ$12*((Drivers!AS5*1000000)/Drivers!AS4))+Data!$AK$12)*Drivers!AS4</f>
        <v>131916.35988004171</v>
      </c>
      <c r="AS47" s="22">
        <f>((Data!$AJ$12*((Drivers!AT5*1000000)/Drivers!AT4))+Data!$AK$12)*Drivers!AT4</f>
        <v>116668.60386878856</v>
      </c>
      <c r="AT47" s="22">
        <f>((Data!$AJ$12*((Drivers!AU5*1000000)/Drivers!AU4))+Data!$AK$12)*Drivers!AU4</f>
        <v>100838.81091243765</v>
      </c>
      <c r="AU47" s="22">
        <f>((Data!$AJ$12*((Drivers!AV5*1000000)/Drivers!AV4))+Data!$AK$12)*Drivers!AV4</f>
        <v>82768.932305827839</v>
      </c>
      <c r="AV47" s="22">
        <f>((Data!$AJ$12*((Drivers!AW5*1000000)/Drivers!AW4))+Data!$AK$12)*Drivers!AW4</f>
        <v>66775.044123391985</v>
      </c>
      <c r="AW47" s="22">
        <f>((Data!$AJ$12*((Drivers!AX5*1000000)/Drivers!AX4))+Data!$AK$12)*Drivers!AX4</f>
        <v>48777.346007188455</v>
      </c>
      <c r="AX47" s="22">
        <f>((Data!$AJ$12*((Drivers!AY5*1000000)/Drivers!AY4))+Data!$AK$12)*Drivers!AY4</f>
        <v>30203.52307343432</v>
      </c>
      <c r="AY47" s="22">
        <f>((Data!$AJ$12*((Drivers!AZ5*1000000)/Drivers!AZ4))+Data!$AK$12)*Drivers!AZ4</f>
        <v>12246.471852347848</v>
      </c>
      <c r="AZ47" s="22">
        <f>((Data!$AJ$12*((Drivers!BA5*1000000)/Drivers!BA4))+Data!$AK$12)*Drivers!BA4</f>
        <v>-5894.3299262013625</v>
      </c>
      <c r="BA47" s="22">
        <f>((Data!$AJ$12*((Drivers!BB5*1000000)/Drivers!BB4))+Data!$AK$12)*Drivers!BB4</f>
        <v>-24962.886243782694</v>
      </c>
      <c r="BB47" s="22">
        <f>((Data!$AJ$12*((Drivers!BC5*1000000)/Drivers!BC4))+Data!$AK$12)*Drivers!BC4</f>
        <v>-45950.076822330891</v>
      </c>
      <c r="BC47" s="22">
        <f>((Data!$AJ$12*((Drivers!BD5*1000000)/Drivers!BD4))+Data!$AK$12)*Drivers!BD4</f>
        <v>-65948.900062037676</v>
      </c>
      <c r="BD47" s="22">
        <f>((Data!$AJ$12*((Drivers!BE5*1000000)/Drivers!BE4))+Data!$AK$12)*Drivers!BE4</f>
        <v>-86455.919105343171</v>
      </c>
      <c r="BE47" s="22">
        <f>((Data!$AJ$12*((Drivers!BF5*1000000)/Drivers!BF4))+Data!$AK$12)*Drivers!BF4</f>
        <v>-107515.62900477897</v>
      </c>
      <c r="BF47" s="22">
        <f>((Data!$AJ$12*((Drivers!BG5*1000000)/Drivers!BG4))+Data!$AK$12)*Drivers!BG4</f>
        <v>-130234.84300708424</v>
      </c>
      <c r="BG47" s="22">
        <f>((Data!$AJ$12*((Drivers!BH5*1000000)/Drivers!BH4))+Data!$AK$12)*Drivers!BH4</f>
        <v>-154466.05921109673</v>
      </c>
      <c r="BH47" s="22">
        <f>((Data!$AJ$12*((Drivers!BI5*1000000)/Drivers!BI4))+Data!$AK$12)*Drivers!BI4</f>
        <v>-168602.6246622481</v>
      </c>
      <c r="BI47" s="22">
        <f>((Data!$AJ$12*((Drivers!BJ5*1000000)/Drivers!BJ4))+Data!$AK$12)*Drivers!BJ4</f>
        <v>-182152.80134492664</v>
      </c>
      <c r="BJ47" s="22">
        <f>((Data!$AJ$12*((Drivers!BK5*1000000)/Drivers!BK4))+Data!$AK$12)*Drivers!BK4</f>
        <v>-197261.98434271701</v>
      </c>
      <c r="BK47" s="22">
        <f>((Data!$AJ$12*((Drivers!BL5*1000000)/Drivers!BL4))+Data!$AK$12)*Drivers!BL4</f>
        <v>-211912.57224822964</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178152.15495275339</v>
      </c>
      <c r="Z49" s="22">
        <f>((Data!$AJ$44*'Intermediate calculations'!Z47)+Data!$AK$44)</f>
        <v>177402.66444741483</v>
      </c>
      <c r="AA49" s="22">
        <f>((Data!$AJ$44*'Intermediate calculations'!AA47)+Data!$AK$44)</f>
        <v>177955.94755875398</v>
      </c>
      <c r="AB49" s="22">
        <f>((Data!$AJ$44*'Intermediate calculations'!AB47)+Data!$AK$44)</f>
        <v>183255.86140488758</v>
      </c>
      <c r="AC49" s="22">
        <f>((Data!$AJ$44*'Intermediate calculations'!AC47)+Data!$AK$44)</f>
        <v>188798.46615338046</v>
      </c>
      <c r="AD49" s="22">
        <f>((Data!$AJ$44*'Intermediate calculations'!AD47)+Data!$AK$44)</f>
        <v>189958.67869118566</v>
      </c>
      <c r="AE49" s="22">
        <f>((Data!$AJ$44*'Intermediate calculations'!AE47)+Data!$AK$44)</f>
        <v>192650.29055755795</v>
      </c>
      <c r="AF49" s="22">
        <f>((Data!$AJ$44*'Intermediate calculations'!AF47)+Data!$AK$44)</f>
        <v>200600.1506901471</v>
      </c>
      <c r="AG49" s="22">
        <f>((Data!$AJ$44*'Intermediate calculations'!AG47)+Data!$AK$44)</f>
        <v>231521.80734436927</v>
      </c>
      <c r="AH49" s="22">
        <f>((Data!$AJ$44*'Intermediate calculations'!AH47)+Data!$AK$44)</f>
        <v>225491.05113724267</v>
      </c>
      <c r="AI49" s="22">
        <f>((Data!$AJ$44*'Intermediate calculations'!AI47)+Data!$AK$44)</f>
        <v>222270.52291936902</v>
      </c>
      <c r="AJ49" s="22">
        <f>((Data!$AJ$44*'Intermediate calculations'!AJ47)+Data!$AK$44)</f>
        <v>219683.31173479644</v>
      </c>
      <c r="AK49" s="22">
        <f>((Data!$AJ$44*'Intermediate calculations'!AK47)+Data!$AK$44)</f>
        <v>215987.75280018325</v>
      </c>
      <c r="AL49" s="22">
        <f>((Data!$AJ$44*'Intermediate calculations'!AL47)+Data!$AK$44)</f>
        <v>208423.58267928107</v>
      </c>
      <c r="AM49" s="22">
        <f>((Data!$AJ$44*'Intermediate calculations'!AM47)+Data!$AK$44)</f>
        <v>198903.44110742534</v>
      </c>
      <c r="AN49" s="22">
        <f>((Data!$AJ$44*'Intermediate calculations'!AN47)+Data!$AK$44)</f>
        <v>188241.49972768631</v>
      </c>
      <c r="AO49" s="22">
        <f>((Data!$AJ$44*'Intermediate calculations'!AO47)+Data!$AK$44)</f>
        <v>179010.4675649101</v>
      </c>
      <c r="AP49" s="22">
        <f>((Data!$AJ$44*'Intermediate calculations'!AP47)+Data!$AK$44)</f>
        <v>167812.66757361827</v>
      </c>
      <c r="AQ49" s="22">
        <f>((Data!$AJ$44*'Intermediate calculations'!AQ47)+Data!$AK$44)</f>
        <v>154168.43237611363</v>
      </c>
      <c r="AR49" s="22">
        <f>((Data!$AJ$44*'Intermediate calculations'!AR47)+Data!$AK$44)</f>
        <v>139993.53873338422</v>
      </c>
      <c r="AS49" s="22">
        <f>((Data!$AJ$44*'Intermediate calculations'!AS47)+Data!$AK$44)</f>
        <v>124887.97843816142</v>
      </c>
      <c r="AT49" s="22">
        <f>((Data!$AJ$44*'Intermediate calculations'!AT47)+Data!$AK$44)</f>
        <v>109205.80908900747</v>
      </c>
      <c r="AU49" s="22">
        <f>((Data!$AJ$44*'Intermediate calculations'!AU47)+Data!$AK$44)</f>
        <v>91304.444414883968</v>
      </c>
      <c r="AV49" s="22">
        <f>((Data!$AJ$44*'Intermediate calculations'!AV47)+Data!$AK$44)</f>
        <v>75459.710139457922</v>
      </c>
      <c r="AW49" s="22">
        <f>((Data!$AJ$44*'Intermediate calculations'!AW47)+Data!$AK$44)</f>
        <v>57629.852823477238</v>
      </c>
      <c r="AX49" s="22">
        <f>((Data!$AJ$44*'Intermediate calculations'!AX47)+Data!$AK$44)</f>
        <v>39229.243446494118</v>
      </c>
      <c r="AY49" s="22">
        <f>((Data!$AJ$44*'Intermediate calculations'!AY47)+Data!$AK$44)</f>
        <v>21439.653965632991</v>
      </c>
      <c r="AZ49" s="22">
        <f>((Data!$AJ$44*'Intermediate calculations'!AZ47)+Data!$AK$44)</f>
        <v>3468.0275264820129</v>
      </c>
      <c r="BA49" s="22">
        <f>((Data!$AJ$44*'Intermediate calculations'!BA47)+Data!$AK$44)</f>
        <v>-15422.701508367212</v>
      </c>
      <c r="BB49" s="22">
        <f>((Data!$AJ$44*'Intermediate calculations'!BB47)+Data!$AK$44)</f>
        <v>-36214.172232165678</v>
      </c>
      <c r="BC49" s="22">
        <f>((Data!$AJ$44*'Intermediate calculations'!BC47)+Data!$AK$44)</f>
        <v>-56026.492816121972</v>
      </c>
      <c r="BD49" s="22">
        <f>((Data!$AJ$44*'Intermediate calculations'!BD47)+Data!$AK$44)</f>
        <v>-76342.269931476985</v>
      </c>
      <c r="BE49" s="22">
        <f>((Data!$AJ$44*'Intermediate calculations'!BE47)+Data!$AK$44)</f>
        <v>-97205.58368407443</v>
      </c>
      <c r="BF49" s="22">
        <f>((Data!$AJ$44*'Intermediate calculations'!BF47)+Data!$AK$44)</f>
        <v>-119712.92553284315</v>
      </c>
      <c r="BG49" s="22">
        <f>((Data!$AJ$44*'Intermediate calculations'!BG47)+Data!$AK$44)</f>
        <v>-143718.16913237056</v>
      </c>
      <c r="BH49" s="22">
        <f>((Data!$AJ$44*'Intermediate calculations'!BH47)+Data!$AK$44)</f>
        <v>-157722.90147673216</v>
      </c>
      <c r="BI49" s="22">
        <f>((Data!$AJ$44*'Intermediate calculations'!BI47)+Data!$AK$44)</f>
        <v>-171146.71352750625</v>
      </c>
      <c r="BJ49" s="22">
        <f>((Data!$AJ$44*'Intermediate calculations'!BJ47)+Data!$AK$44)</f>
        <v>-186114.99309705323</v>
      </c>
      <c r="BK49" s="22">
        <f>((Data!$AJ$44*'Intermediate calculations'!BK47)+Data!$AK$44)</f>
        <v>-200628.9542860869</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2572733.1221532091</v>
      </c>
      <c r="Z50" s="22">
        <f>Z15*Constants!$H$29*Constants!$H$35</f>
        <v>2612140.6727003292</v>
      </c>
      <c r="AA50" s="22">
        <f>AA15*Constants!$H$29*Constants!$H$35</f>
        <v>2648633.0778941698</v>
      </c>
      <c r="AB50" s="22">
        <f>AB15*Constants!$H$29*Constants!$H$35</f>
        <v>2670918.8205323792</v>
      </c>
      <c r="AC50" s="22">
        <f>AC15*Constants!$H$29*Constants!$H$35</f>
        <v>2693890.4699555575</v>
      </c>
      <c r="AD50" s="22">
        <f>AD15*Constants!$H$29*Constants!$H$35</f>
        <v>2732842.441552076</v>
      </c>
      <c r="AE50" s="22">
        <f>AE15*Constants!$H$29*Constants!$H$35</f>
        <v>2767320.8985139914</v>
      </c>
      <c r="AF50" s="22">
        <f>AF15*Constants!$H$29*Constants!$H$35</f>
        <v>2785178.7237294228</v>
      </c>
      <c r="AG50" s="22">
        <f>AG15*Constants!$H$29*Constants!$H$35</f>
        <v>2728075.7146706642</v>
      </c>
      <c r="AH50" s="22">
        <f>AH15*Constants!$H$29*Constants!$H$35</f>
        <v>2780325.2919798838</v>
      </c>
      <c r="AI50" s="22">
        <f>AI15*Constants!$H$29*Constants!$H$35</f>
        <v>2823690.3506688015</v>
      </c>
      <c r="AJ50" s="22">
        <f>AJ15*Constants!$H$29*Constants!$H$35</f>
        <v>2865346.3109046021</v>
      </c>
      <c r="AK50" s="22">
        <f>AK15*Constants!$H$29*Constants!$H$35</f>
        <v>2911034.8649714538</v>
      </c>
      <c r="AL50" s="22">
        <f>AL15*Constants!$H$29*Constants!$H$35</f>
        <v>2969853.1979711484</v>
      </c>
      <c r="AM50" s="22">
        <f>AM15*Constants!$H$29*Constants!$H$35</f>
        <v>3030538.4451086079</v>
      </c>
      <c r="AN50" s="22">
        <f>AN15*Constants!$H$29*Constants!$H$35</f>
        <v>3095273.7207959676</v>
      </c>
      <c r="AO50" s="22">
        <f>AO15*Constants!$H$29*Constants!$H$35</f>
        <v>3155586.9128296482</v>
      </c>
      <c r="AP50" s="22">
        <f>AP15*Constants!$H$29*Constants!$H$35</f>
        <v>3222673.4370377455</v>
      </c>
      <c r="AQ50" s="22">
        <f>AQ15*Constants!$H$29*Constants!$H$35</f>
        <v>3298116.3013078785</v>
      </c>
      <c r="AR50" s="22">
        <f>AR15*Constants!$H$29*Constants!$H$35</f>
        <v>3371503.4475110788</v>
      </c>
      <c r="AS50" s="22">
        <f>AS15*Constants!$H$29*Constants!$H$35</f>
        <v>3448184.1746189403</v>
      </c>
      <c r="AT50" s="22">
        <f>AT15*Constants!$H$29*Constants!$H$35</f>
        <v>3526994.0988541166</v>
      </c>
      <c r="AU50" s="22">
        <f>AU15*Constants!$H$29*Constants!$H$35</f>
        <v>3613346.1485220194</v>
      </c>
      <c r="AV50" s="22">
        <f>AV15*Constants!$H$29*Constants!$H$35</f>
        <v>3693156.9803547207</v>
      </c>
      <c r="AW50" s="22">
        <f>AW15*Constants!$H$29*Constants!$H$35</f>
        <v>3775783.8926671594</v>
      </c>
      <c r="AX50" s="22">
        <f>AX15*Constants!$H$29*Constants!$H$35</f>
        <v>3860465.8812505947</v>
      </c>
      <c r="AY50" s="22">
        <f>AY15*Constants!$H$29*Constants!$H$35</f>
        <v>3943311.262382146</v>
      </c>
      <c r="AZ50" s="22">
        <f>AZ15*Constants!$H$29*Constants!$H$35</f>
        <v>4026933.7945738724</v>
      </c>
      <c r="BA50" s="22">
        <f>BA15*Constants!$H$29*Constants!$H$35</f>
        <v>4113762.8008818636</v>
      </c>
      <c r="BB50" s="22">
        <f>BB15*Constants!$H$29*Constants!$H$35</f>
        <v>4203275.5259243539</v>
      </c>
      <c r="BC50" s="22">
        <f>BC15*Constants!$H$29*Constants!$H$35</f>
        <v>4289693.3244527662</v>
      </c>
      <c r="BD50" s="22">
        <f>BD15*Constants!$H$29*Constants!$H$35</f>
        <v>4377900.9741046336</v>
      </c>
      <c r="BE50" s="22">
        <f>BE15*Constants!$H$29*Constants!$H$35</f>
        <v>4468044.4984612176</v>
      </c>
      <c r="BF50" s="22">
        <f>BF15*Constants!$H$29*Constants!$H$35</f>
        <v>4563736.753958514</v>
      </c>
      <c r="BG50" s="22">
        <f>BG15*Constants!$H$29*Constants!$H$35</f>
        <v>4660635.7346541351</v>
      </c>
      <c r="BH50" s="22">
        <f>BH15*Constants!$H$29*Constants!$H$35</f>
        <v>4724682.2511871317</v>
      </c>
      <c r="BI50" s="22">
        <f>BI15*Constants!$H$29*Constants!$H$35</f>
        <v>4786906.5545596434</v>
      </c>
      <c r="BJ50" s="22">
        <f>BJ15*Constants!$H$29*Constants!$H$35</f>
        <v>4854310.5122040389</v>
      </c>
      <c r="BK50" s="22">
        <f>BK15*Constants!$H$29*Constants!$H$35</f>
        <v>4920310.2415782241</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3551868.5670813876</v>
      </c>
      <c r="Z51" s="22">
        <f>Z8*Constants!$H$30*Constants!$H$36</f>
        <v>3658244.3861091291</v>
      </c>
      <c r="AA51" s="22">
        <f>AA8*Constants!$H$30*Constants!$H$36</f>
        <v>3749845.1741821924</v>
      </c>
      <c r="AB51" s="22">
        <f>AB8*Constants!$H$30*Constants!$H$36</f>
        <v>3778312.6537355976</v>
      </c>
      <c r="AC51" s="22">
        <f>AC8*Constants!$H$30*Constants!$H$36</f>
        <v>3807215.7483352516</v>
      </c>
      <c r="AD51" s="22">
        <f>AD8*Constants!$H$30*Constants!$H$36</f>
        <v>3901836.5213748342</v>
      </c>
      <c r="AE51" s="22">
        <f>AE8*Constants!$H$30*Constants!$H$36</f>
        <v>3976373.9279884757</v>
      </c>
      <c r="AF51" s="22">
        <f>AF8*Constants!$H$30*Constants!$H$36</f>
        <v>3978683.3898644769</v>
      </c>
      <c r="AG51" s="22">
        <f>AG8*Constants!$H$30*Constants!$H$36</f>
        <v>3659353.3391690995</v>
      </c>
      <c r="AH51" s="22">
        <f>AH8*Constants!$H$30*Constants!$H$36</f>
        <v>3828282.5508025168</v>
      </c>
      <c r="AI51" s="22">
        <f>AI8*Constants!$H$30*Constants!$H$36</f>
        <v>3958605.5667692809</v>
      </c>
      <c r="AJ51" s="22">
        <f>AJ8*Constants!$H$30*Constants!$H$36</f>
        <v>4080988.6350695239</v>
      </c>
      <c r="AK51" s="22">
        <f>AK8*Constants!$H$30*Constants!$H$36</f>
        <v>4219969.0251400769</v>
      </c>
      <c r="AL51" s="22">
        <f>AL8*Constants!$H$30*Constants!$H$36</f>
        <v>4414427.9726030771</v>
      </c>
      <c r="AM51" s="22">
        <f>AM8*Constants!$H$30*Constants!$H$36</f>
        <v>4624559.2465442084</v>
      </c>
      <c r="AN51" s="22">
        <f>AN8*Constants!$H$30*Constants!$H$36</f>
        <v>4851518.2795183975</v>
      </c>
      <c r="AO51" s="22">
        <f>AO8*Constants!$H$30*Constants!$H$36</f>
        <v>5059083.7343305405</v>
      </c>
      <c r="AP51" s="22">
        <f>AP8*Constants!$H$30*Constants!$H$36</f>
        <v>5295108.9141881596</v>
      </c>
      <c r="AQ51" s="22">
        <f>AQ8*Constants!$H$30*Constants!$H$36</f>
        <v>5566355.9833191419</v>
      </c>
      <c r="AR51" s="22">
        <f>AR8*Constants!$H$30*Constants!$H$36</f>
        <v>5835208.3999238592</v>
      </c>
      <c r="AS51" s="22">
        <f>AS8*Constants!$H$30*Constants!$H$36</f>
        <v>6117757.3352014543</v>
      </c>
      <c r="AT51" s="22">
        <f>AT8*Constants!$H$30*Constants!$H$36</f>
        <v>6409022.0174916787</v>
      </c>
      <c r="AU51" s="22">
        <f>AU8*Constants!$H$30*Constants!$H$36</f>
        <v>6732138.3204137292</v>
      </c>
      <c r="AV51" s="22">
        <f>AV8*Constants!$H$30*Constants!$H$36</f>
        <v>7026899.4885837771</v>
      </c>
      <c r="AW51" s="22">
        <f>AW8*Constants!$H$30*Constants!$H$36</f>
        <v>7339956.5936318692</v>
      </c>
      <c r="AX51" s="22">
        <f>AX8*Constants!$H$30*Constants!$H$36</f>
        <v>7661504.7427669307</v>
      </c>
      <c r="AY51" s="22">
        <f>AY8*Constants!$H$30*Constants!$H$36</f>
        <v>7974905.6262118472</v>
      </c>
      <c r="AZ51" s="22">
        <f>AZ8*Constants!$H$30*Constants!$H$36</f>
        <v>8291330.3625960499</v>
      </c>
      <c r="BA51" s="22">
        <f>BA8*Constants!$H$30*Constants!$H$36</f>
        <v>8621161.6305643693</v>
      </c>
      <c r="BB51" s="22">
        <f>BB8*Constants!$H$30*Constants!$H$36</f>
        <v>8968478.2941280119</v>
      </c>
      <c r="BC51" s="22">
        <f>BC8*Constants!$H$30*Constants!$H$36</f>
        <v>9302345.3305899203</v>
      </c>
      <c r="BD51" s="22">
        <f>BD8*Constants!$H$30*Constants!$H$36</f>
        <v>9643642.8091941532</v>
      </c>
      <c r="BE51" s="22">
        <f>BE8*Constants!$H$30*Constants!$H$36</f>
        <v>9992993.5796681624</v>
      </c>
      <c r="BF51" s="22">
        <f>BF8*Constants!$H$30*Constants!$H$36</f>
        <v>10365840.489489961</v>
      </c>
      <c r="BG51" s="22">
        <f>BG8*Constants!$H$30*Constants!$H$36</f>
        <v>10750111.001907524</v>
      </c>
      <c r="BH51" s="22">
        <f>BH8*Constants!$H$30*Constants!$H$36</f>
        <v>10993790.998040594</v>
      </c>
      <c r="BI51" s="22">
        <f>BI8*Constants!$H$30*Constants!$H$36</f>
        <v>11229527.717480477</v>
      </c>
      <c r="BJ51" s="22">
        <f>BJ8*Constants!$H$30*Constants!$H$36</f>
        <v>11487251.936735917</v>
      </c>
      <c r="BK51" s="22">
        <f>BK8*Constants!$H$30*Constants!$H$36</f>
        <v>11738818.106717346</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629320.58600052935</v>
      </c>
      <c r="Z52" s="22">
        <f>Z18*Constants!$H$31*Constants!$H$37</f>
        <v>635484.34139005758</v>
      </c>
      <c r="AA52" s="22">
        <f>AA18*Constants!$H$31*Constants!$H$37</f>
        <v>641862.85617641371</v>
      </c>
      <c r="AB52" s="22">
        <f>AB18*Constants!$H$31*Constants!$H$37</f>
        <v>648426.38307155063</v>
      </c>
      <c r="AC52" s="22">
        <f>AC18*Constants!$H$31*Constants!$H$37</f>
        <v>655234.70829409035</v>
      </c>
      <c r="AD52" s="22">
        <f>AD18*Constants!$H$31*Constants!$H$37</f>
        <v>662349.43909414462</v>
      </c>
      <c r="AE52" s="22">
        <f>AE18*Constants!$H$31*Constants!$H$37</f>
        <v>669542.18398457905</v>
      </c>
      <c r="AF52" s="22">
        <f>AF18*Constants!$H$31*Constants!$H$37</f>
        <v>676792.79199640721</v>
      </c>
      <c r="AG52" s="22">
        <f>AG18*Constants!$H$31*Constants!$H$37</f>
        <v>683904.5888424759</v>
      </c>
      <c r="AH52" s="22">
        <f>AH18*Constants!$H$31*Constants!$H$37</f>
        <v>689368.44697914692</v>
      </c>
      <c r="AI52" s="22">
        <f>AI18*Constants!$H$31*Constants!$H$37</f>
        <v>694862.93676511559</v>
      </c>
      <c r="AJ52" s="22">
        <f>AJ18*Constants!$H$31*Constants!$H$37</f>
        <v>700413.17609413224</v>
      </c>
      <c r="AK52" s="22">
        <f>AK18*Constants!$H$31*Constants!$H$37</f>
        <v>706039.41212628351</v>
      </c>
      <c r="AL52" s="22">
        <f>AL18*Constants!$H$31*Constants!$H$37</f>
        <v>711773.31852062687</v>
      </c>
      <c r="AM52" s="22">
        <f>AM18*Constants!$H$31*Constants!$H$37</f>
        <v>716766.55120498035</v>
      </c>
      <c r="AN52" s="22">
        <f>AN18*Constants!$H$31*Constants!$H$37</f>
        <v>721820.69791687315</v>
      </c>
      <c r="AO52" s="22">
        <f>AO18*Constants!$H$31*Constants!$H$37</f>
        <v>726907.39316696511</v>
      </c>
      <c r="AP52" s="22">
        <f>AP18*Constants!$H$31*Constants!$H$37</f>
        <v>732065.20225845173</v>
      </c>
      <c r="AQ52" s="22">
        <f>AQ18*Constants!$H$31*Constants!$H$37</f>
        <v>737299.98524563864</v>
      </c>
      <c r="AR52" s="22">
        <f>AR18*Constants!$H$31*Constants!$H$37</f>
        <v>741906.8611660063</v>
      </c>
      <c r="AS52" s="22">
        <f>AS18*Constants!$H$31*Constants!$H$37</f>
        <v>746562.12983199966</v>
      </c>
      <c r="AT52" s="22">
        <f>AT18*Constants!$H$31*Constants!$H$37</f>
        <v>751262.14633386885</v>
      </c>
      <c r="AU52" s="22">
        <f>AU18*Constants!$H$31*Constants!$H$37</f>
        <v>756025.65026896994</v>
      </c>
      <c r="AV52" s="22">
        <f>AV18*Constants!$H$31*Constants!$H$37</f>
        <v>760805.0405082088</v>
      </c>
      <c r="AW52" s="22">
        <f>AW18*Constants!$H$31*Constants!$H$37</f>
        <v>764986.24821067485</v>
      </c>
      <c r="AX52" s="22">
        <f>AX18*Constants!$H$31*Constants!$H$37</f>
        <v>769203.00188003178</v>
      </c>
      <c r="AY52" s="22">
        <f>AY18*Constants!$H$31*Constants!$H$37</f>
        <v>773442.26762595517</v>
      </c>
      <c r="AZ52" s="22">
        <f>AZ18*Constants!$H$31*Constants!$H$37</f>
        <v>777713.15032289492</v>
      </c>
      <c r="BA52" s="22">
        <f>BA18*Constants!$H$31*Constants!$H$37</f>
        <v>782024.12877532956</v>
      </c>
      <c r="BB52" s="22">
        <f>BB18*Constants!$H$31*Constants!$H$37</f>
        <v>785760.24209008855</v>
      </c>
      <c r="BC52" s="22">
        <f>BC18*Constants!$H$31*Constants!$H$37</f>
        <v>789507.13662481285</v>
      </c>
      <c r="BD52" s="22">
        <f>BD18*Constants!$H$31*Constants!$H$37</f>
        <v>793281.56706074579</v>
      </c>
      <c r="BE52" s="22">
        <f>BE18*Constants!$H$31*Constants!$H$37</f>
        <v>797084.16349346179</v>
      </c>
      <c r="BF52" s="22">
        <f>BF18*Constants!$H$31*Constants!$H$37</f>
        <v>800927.3540593686</v>
      </c>
      <c r="BG52" s="22">
        <f>BG18*Constants!$H$31*Constants!$H$37</f>
        <v>804166.17348650121</v>
      </c>
      <c r="BH52" s="22">
        <f>BH18*Constants!$H$31*Constants!$H$37</f>
        <v>807308.05035296595</v>
      </c>
      <c r="BI52" s="22">
        <f>BI18*Constants!$H$31*Constants!$H$37</f>
        <v>810458.65266482532</v>
      </c>
      <c r="BJ52" s="22">
        <f>BJ18*Constants!$H$31*Constants!$H$37</f>
        <v>813641.88312739099</v>
      </c>
      <c r="BK52" s="22">
        <f>BK18*Constants!$H$31*Constants!$H$37</f>
        <v>816835.41416832386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105544.13892519521</v>
      </c>
      <c r="Z53" s="22">
        <f>Z32*Constants!$H$32*Constants!$H$38</f>
        <v>108405.29457692696</v>
      </c>
      <c r="AA53" s="22">
        <f>AA32*Constants!$H$32*Constants!$H$38</f>
        <v>110808.05577257629</v>
      </c>
      <c r="AB53" s="22">
        <f>AB32*Constants!$H$32*Constants!$H$38</f>
        <v>111293.84042614281</v>
      </c>
      <c r="AC53" s="22">
        <f>AC32*Constants!$H$32*Constants!$H$38</f>
        <v>111778.83601238317</v>
      </c>
      <c r="AD53" s="22">
        <f>AD32*Constants!$H$32*Constants!$H$38</f>
        <v>114230.85802073166</v>
      </c>
      <c r="AE53" s="22">
        <f>AE32*Constants!$H$32*Constants!$H$38</f>
        <v>116071.97840709478</v>
      </c>
      <c r="AF53" s="22">
        <f>AF32*Constants!$H$32*Constants!$H$38</f>
        <v>115728.73344920705</v>
      </c>
      <c r="AG53" s="22">
        <f>AG32*Constants!$H$32*Constants!$H$38</f>
        <v>105680.83636720585</v>
      </c>
      <c r="AH53" s="22">
        <f>AH32*Constants!$H$32*Constants!$H$38</f>
        <v>110470.78391394475</v>
      </c>
      <c r="AI53" s="22">
        <f>AI32*Constants!$H$32*Constants!$H$38</f>
        <v>114093.19420776531</v>
      </c>
      <c r="AJ53" s="22">
        <f>AJ32*Constants!$H$32*Constants!$H$38</f>
        <v>117472.66623802182</v>
      </c>
      <c r="AK53" s="22">
        <f>AK32*Constants!$H$32*Constants!$H$38</f>
        <v>121348.99946300068</v>
      </c>
      <c r="AL53" s="22">
        <f>AL32*Constants!$H$32*Constants!$H$38</f>
        <v>126894.48770818862</v>
      </c>
      <c r="AM53" s="22">
        <f>AM32*Constants!$H$32*Constants!$H$38</f>
        <v>132955.4213682643</v>
      </c>
      <c r="AN53" s="22">
        <f>AN32*Constants!$H$32*Constants!$H$38</f>
        <v>139521.03383119841</v>
      </c>
      <c r="AO53" s="22">
        <f>AO32*Constants!$H$32*Constants!$H$38</f>
        <v>145499.16388056515</v>
      </c>
      <c r="AP53" s="22">
        <f>AP32*Constants!$H$32*Constants!$H$38</f>
        <v>152332.64261458337</v>
      </c>
      <c r="AQ53" s="22">
        <f>AQ32*Constants!$H$32*Constants!$H$38</f>
        <v>160225.33354176115</v>
      </c>
      <c r="AR53" s="22">
        <f>AR32*Constants!$H$32*Constants!$H$38</f>
        <v>168081.47772327438</v>
      </c>
      <c r="AS53" s="22">
        <f>AS32*Constants!$H$32*Constants!$H$38</f>
        <v>176348.45973639528</v>
      </c>
      <c r="AT53" s="22">
        <f>AT32*Constants!$H$32*Constants!$H$38</f>
        <v>184876.08266935759</v>
      </c>
      <c r="AU53" s="22">
        <f>AU32*Constants!$H$32*Constants!$H$38</f>
        <v>194361.91385485552</v>
      </c>
      <c r="AV53" s="22">
        <f>AV32*Constants!$H$32*Constants!$H$38</f>
        <v>202990.59927319206</v>
      </c>
      <c r="AW53" s="22">
        <f>AW32*Constants!$H$32*Constants!$H$38</f>
        <v>212205.83926783351</v>
      </c>
      <c r="AX53" s="22">
        <f>AX32*Constants!$H$32*Constants!$H$38</f>
        <v>221675.45894569135</v>
      </c>
      <c r="AY53" s="22">
        <f>AY32*Constants!$H$32*Constants!$H$38</f>
        <v>230897.77312769619</v>
      </c>
      <c r="AZ53" s="22">
        <f>AZ32*Constants!$H$32*Constants!$H$38</f>
        <v>240209.59783866472</v>
      </c>
      <c r="BA53" s="22">
        <f>BA32*Constants!$H$32*Constants!$H$38</f>
        <v>249923.97621610994</v>
      </c>
      <c r="BB53" s="22">
        <f>BB32*Constants!$H$32*Constants!$H$38</f>
        <v>260199.10510455654</v>
      </c>
      <c r="BC53" s="22">
        <f>BC32*Constants!$H$32*Constants!$H$38</f>
        <v>270067.48109293345</v>
      </c>
      <c r="BD53" s="22">
        <f>BD32*Constants!$H$32*Constants!$H$38</f>
        <v>280158.66597526748</v>
      </c>
      <c r="BE53" s="22">
        <f>BE32*Constants!$H$32*Constants!$H$38</f>
        <v>290491.43207530235</v>
      </c>
      <c r="BF53" s="22">
        <f>BF32*Constants!$H$32*Constants!$H$38</f>
        <v>301531.39966184174</v>
      </c>
      <c r="BG53" s="22">
        <f>BG32*Constants!$H$32*Constants!$H$38</f>
        <v>312950.75022112596</v>
      </c>
      <c r="BH53" s="22">
        <f>BH32*Constants!$H$32*Constants!$H$38</f>
        <v>320130.20618805446</v>
      </c>
      <c r="BI53" s="22">
        <f>BI32*Constants!$H$32*Constants!$H$38</f>
        <v>327069.30178737862</v>
      </c>
      <c r="BJ53" s="22">
        <f>BJ32*Constants!$H$32*Constants!$H$38</f>
        <v>334670.49616773729</v>
      </c>
      <c r="BK53" s="22">
        <f>BK32*Constants!$H$32*Constants!$H$38</f>
        <v>342085.14903247583</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540338.14312266721</v>
      </c>
      <c r="Z54" s="22">
        <f>Z37*Constants!$H$33*Constants!$H$39</f>
        <v>552459.03106421418</v>
      </c>
      <c r="AA54" s="22">
        <f>AA37*Constants!$H$33*Constants!$H$39</f>
        <v>563420.46816306701</v>
      </c>
      <c r="AB54" s="22">
        <f>AB37*Constants!$H$33*Constants!$H$39</f>
        <v>569069.05100133421</v>
      </c>
      <c r="AC54" s="22">
        <f>AC37*Constants!$H$33*Constants!$H$39</f>
        <v>574874.71906390798</v>
      </c>
      <c r="AD54" s="22">
        <f>AD37*Constants!$H$33*Constants!$H$39</f>
        <v>586454.92572428822</v>
      </c>
      <c r="AE54" s="22">
        <f>AE37*Constants!$H$33*Constants!$H$39</f>
        <v>596354.43446211272</v>
      </c>
      <c r="AF54" s="22">
        <f>AF37*Constants!$H$33*Constants!$H$39</f>
        <v>600100.47966657253</v>
      </c>
      <c r="AG54" s="22">
        <f>AG37*Constants!$H$33*Constants!$H$39</f>
        <v>576250.39467418159</v>
      </c>
      <c r="AH54" s="22">
        <f>AH37*Constants!$H$33*Constants!$H$39</f>
        <v>593382.52319856978</v>
      </c>
      <c r="AI54" s="22">
        <f>AI37*Constants!$H$33*Constants!$H$39</f>
        <v>607225.44976872357</v>
      </c>
      <c r="AJ54" s="22">
        <f>AJ37*Constants!$H$33*Constants!$H$39</f>
        <v>620416.1024887294</v>
      </c>
      <c r="AK54" s="22">
        <f>AK37*Constants!$H$33*Constants!$H$39</f>
        <v>635064.46418862441</v>
      </c>
      <c r="AL54" s="22">
        <f>AL37*Constants!$H$33*Constants!$H$39</f>
        <v>654513.76837888698</v>
      </c>
      <c r="AM54" s="22">
        <f>AM37*Constants!$H$33*Constants!$H$39</f>
        <v>674941.94241563522</v>
      </c>
      <c r="AN54" s="22">
        <f>AN37*Constants!$H$33*Constants!$H$39</f>
        <v>696840.16656088771</v>
      </c>
      <c r="AO54" s="22">
        <f>AO37*Constants!$H$33*Constants!$H$39</f>
        <v>717094.47932032635</v>
      </c>
      <c r="AP54" s="22">
        <f>AP37*Constants!$H$33*Constants!$H$39</f>
        <v>739819.38027516881</v>
      </c>
      <c r="AQ54" s="22">
        <f>AQ37*Constants!$H$33*Constants!$H$39</f>
        <v>765596.49139728525</v>
      </c>
      <c r="AR54" s="22">
        <f>AR37*Constants!$H$33*Constants!$H$39</f>
        <v>790861.35882043897</v>
      </c>
      <c r="AS54" s="22">
        <f>AS37*Constants!$H$33*Constants!$H$39</f>
        <v>817322.15472313378</v>
      </c>
      <c r="AT54" s="22">
        <f>AT37*Constants!$H$33*Constants!$H$39</f>
        <v>844550.80545258103</v>
      </c>
      <c r="AU54" s="22">
        <f>AU37*Constants!$H$33*Constants!$H$39</f>
        <v>874536.61462884536</v>
      </c>
      <c r="AV54" s="22">
        <f>AV37*Constants!$H$33*Constants!$H$39</f>
        <v>902103.36431186087</v>
      </c>
      <c r="AW54" s="22">
        <f>AW37*Constants!$H$33*Constants!$H$39</f>
        <v>930943.26503163215</v>
      </c>
      <c r="AX54" s="22">
        <f>AX37*Constants!$H$33*Constants!$H$39</f>
        <v>960527.28558821138</v>
      </c>
      <c r="AY54" s="22">
        <f>AY37*Constants!$H$33*Constants!$H$39</f>
        <v>989425.02241413994</v>
      </c>
      <c r="AZ54" s="22">
        <f>AZ37*Constants!$H$33*Constants!$H$39</f>
        <v>1018597.0351455132</v>
      </c>
      <c r="BA54" s="22">
        <f>BA37*Constants!$H$33*Constants!$H$39</f>
        <v>1048936.0967233654</v>
      </c>
      <c r="BB54" s="22">
        <f>BB37*Constants!$H$33*Constants!$H$39</f>
        <v>1080490.3487838912</v>
      </c>
      <c r="BC54" s="22">
        <f>BC37*Constants!$H$33*Constants!$H$39</f>
        <v>1110898.7623300336</v>
      </c>
      <c r="BD54" s="22">
        <f>BD37*Constants!$H$33*Constants!$H$39</f>
        <v>1141956.6017977588</v>
      </c>
      <c r="BE54" s="22">
        <f>BE37*Constants!$H$33*Constants!$H$39</f>
        <v>1173717.4834602226</v>
      </c>
      <c r="BF54" s="22">
        <f>BF37*Constants!$H$33*Constants!$H$39</f>
        <v>1207509.1982676247</v>
      </c>
      <c r="BG54" s="22">
        <f>BG37*Constants!$H$33*Constants!$H$39</f>
        <v>1241982.852214643</v>
      </c>
      <c r="BH54" s="22">
        <f>BH37*Constants!$H$33*Constants!$H$39</f>
        <v>1264376.326947496</v>
      </c>
      <c r="BI54" s="22">
        <f>BI37*Constants!$H$33*Constants!$H$39</f>
        <v>1286094.2297205725</v>
      </c>
      <c r="BJ54" s="22">
        <f>BJ37*Constants!$H$33*Constants!$H$39</f>
        <v>1309709.9470537989</v>
      </c>
      <c r="BK54" s="22">
        <f>BK37*Constants!$H$33*Constants!$H$39</f>
        <v>1332803.6557440513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1530560.4398127405</v>
      </c>
      <c r="Z55" s="22">
        <f>Z42*Constants!$H$34*Constants!$H$40</f>
        <v>1579753.0424221093</v>
      </c>
      <c r="AA55" s="22">
        <f>AA42*Constants!$H$34*Constants!$H$40</f>
        <v>1618882.1954302879</v>
      </c>
      <c r="AB55" s="22">
        <f>AB42*Constants!$H$34*Constants!$H$40</f>
        <v>1617220.9293367856</v>
      </c>
      <c r="AC55" s="22">
        <f>AC42*Constants!$H$34*Constants!$H$40</f>
        <v>1615098.6968700131</v>
      </c>
      <c r="AD55" s="22">
        <f>AD42*Constants!$H$34*Constants!$H$40</f>
        <v>1653931.1693694643</v>
      </c>
      <c r="AE55" s="22">
        <f>AE42*Constants!$H$34*Constants!$H$40</f>
        <v>1679729.976651354</v>
      </c>
      <c r="AF55" s="22">
        <f>AF42*Constants!$H$34*Constants!$H$40</f>
        <v>1659326.3448373817</v>
      </c>
      <c r="AG55" s="22">
        <f>AG42*Constants!$H$34*Constants!$H$40</f>
        <v>1434374.0330474479</v>
      </c>
      <c r="AH55" s="22">
        <f>AH42*Constants!$H$34*Constants!$H$40</f>
        <v>1525540.9262286129</v>
      </c>
      <c r="AI55" s="22">
        <f>AI42*Constants!$H$34*Constants!$H$40</f>
        <v>1592013.2804205932</v>
      </c>
      <c r="AJ55" s="22">
        <f>AJ42*Constants!$H$34*Constants!$H$40</f>
        <v>1653257.6378749716</v>
      </c>
      <c r="AK55" s="22">
        <f>AK42*Constants!$H$34*Constants!$H$40</f>
        <v>1724849.4930076625</v>
      </c>
      <c r="AL55" s="22">
        <f>AL42*Constants!$H$34*Constants!$H$40</f>
        <v>1831470.6788800051</v>
      </c>
      <c r="AM55" s="22">
        <f>AM42*Constants!$H$34*Constants!$H$40</f>
        <v>1950313.8266243108</v>
      </c>
      <c r="AN55" s="22">
        <f>AN42*Constants!$H$34*Constants!$H$40</f>
        <v>2079696.8251231941</v>
      </c>
      <c r="AO55" s="22">
        <f>AO42*Constants!$H$34*Constants!$H$40</f>
        <v>2196622.9030369031</v>
      </c>
      <c r="AP55" s="22">
        <f>AP42*Constants!$H$34*Constants!$H$40</f>
        <v>2331470.6264373115</v>
      </c>
      <c r="AQ55" s="22">
        <f>AQ42*Constants!$H$34*Constants!$H$40</f>
        <v>2488531.5612208815</v>
      </c>
      <c r="AR55" s="22">
        <f>AR42*Constants!$H$34*Constants!$H$40</f>
        <v>2645960.9027113528</v>
      </c>
      <c r="AS55" s="22">
        <f>AS42*Constants!$H$34*Constants!$H$40</f>
        <v>2811972.4629369592</v>
      </c>
      <c r="AT55" s="22">
        <f>AT42*Constants!$H$34*Constants!$H$40</f>
        <v>2983403.2001896761</v>
      </c>
      <c r="AU55" s="22">
        <f>AU42*Constants!$H$34*Constants!$H$40</f>
        <v>3174940.1060138489</v>
      </c>
      <c r="AV55" s="22">
        <f>AV42*Constants!$H$34*Constants!$H$40</f>
        <v>3348359.5346978838</v>
      </c>
      <c r="AW55" s="22">
        <f>AW42*Constants!$H$34*Constants!$H$40</f>
        <v>3535242.9417942478</v>
      </c>
      <c r="AX55" s="22">
        <f>AX42*Constants!$H$34*Constants!$H$40</f>
        <v>3727430.0944758928</v>
      </c>
      <c r="AY55" s="22">
        <f>AY42*Constants!$H$34*Constants!$H$40</f>
        <v>3914357.4139501615</v>
      </c>
      <c r="AZ55" s="22">
        <f>AZ42*Constants!$H$34*Constants!$H$40</f>
        <v>4103116.3195602889</v>
      </c>
      <c r="BA55" s="22">
        <f>BA42*Constants!$H$34*Constants!$H$40</f>
        <v>4300297.6795295766</v>
      </c>
      <c r="BB55" s="22">
        <f>BB42*Constants!$H$34*Constants!$H$40</f>
        <v>4510356.1442111488</v>
      </c>
      <c r="BC55" s="22">
        <f>BC42*Constants!$H$34*Constants!$H$40</f>
        <v>4711811.1938139386</v>
      </c>
      <c r="BD55" s="22">
        <f>BD42*Constants!$H$34*Constants!$H$40</f>
        <v>4917918.2781806234</v>
      </c>
      <c r="BE55" s="22">
        <f>BE42*Constants!$H$34*Constants!$H$40</f>
        <v>5129072.4125048025</v>
      </c>
      <c r="BF55" s="22">
        <f>BF42*Constants!$H$34*Constants!$H$40</f>
        <v>5355077.1847794186</v>
      </c>
      <c r="BG55" s="22">
        <f>BG42*Constants!$H$34*Constants!$H$40</f>
        <v>5590185.1540189302</v>
      </c>
      <c r="BH55" s="22">
        <f>BH42*Constants!$H$34*Constants!$H$40</f>
        <v>5735993.11630983</v>
      </c>
      <c r="BI55" s="22">
        <f>BI42*Constants!$H$34*Constants!$H$40</f>
        <v>5876712.833875767</v>
      </c>
      <c r="BJ55" s="22">
        <f>BJ42*Constants!$H$34*Constants!$H$40</f>
        <v>6031345.8298576446</v>
      </c>
      <c r="BK55" s="22">
        <f>BK42*Constants!$H$34*Constants!$H$40</f>
        <v>6182023.4800332244</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8930364.9970957283</v>
      </c>
      <c r="Z56" s="22">
        <f t="shared" si="48"/>
        <v>9146486.7682627663</v>
      </c>
      <c r="AA56" s="22">
        <f t="shared" si="48"/>
        <v>9333451.827618707</v>
      </c>
      <c r="AB56" s="22">
        <f t="shared" si="48"/>
        <v>9395241.6781037915</v>
      </c>
      <c r="AC56" s="22">
        <f t="shared" si="48"/>
        <v>9458093.1785312034</v>
      </c>
      <c r="AD56" s="22">
        <f t="shared" si="48"/>
        <v>9651645.3551355395</v>
      </c>
      <c r="AE56" s="22">
        <f t="shared" si="48"/>
        <v>9805393.4000076074</v>
      </c>
      <c r="AF56" s="22">
        <f t="shared" si="48"/>
        <v>9815810.4635434691</v>
      </c>
      <c r="AG56" s="22">
        <f t="shared" si="48"/>
        <v>9187638.906771075</v>
      </c>
      <c r="AH56" s="22">
        <f t="shared" si="48"/>
        <v>9527370.5231026746</v>
      </c>
      <c r="AI56" s="22">
        <f t="shared" si="48"/>
        <v>9790490.7786002811</v>
      </c>
      <c r="AJ56" s="22">
        <f t="shared" si="48"/>
        <v>10037894.528669981</v>
      </c>
      <c r="AK56" s="22">
        <f t="shared" si="48"/>
        <v>10318306.2588971</v>
      </c>
      <c r="AL56" s="22">
        <f t="shared" si="48"/>
        <v>10708933.424061932</v>
      </c>
      <c r="AM56" s="22">
        <f t="shared" si="48"/>
        <v>11130075.433266008</v>
      </c>
      <c r="AN56" s="22">
        <f t="shared" si="48"/>
        <v>11584670.72374652</v>
      </c>
      <c r="AO56" s="22">
        <f t="shared" si="48"/>
        <v>12000794.586564949</v>
      </c>
      <c r="AP56" s="22">
        <f t="shared" si="48"/>
        <v>12473470.20281142</v>
      </c>
      <c r="AQ56" s="22">
        <f t="shared" si="48"/>
        <v>13016125.656032588</v>
      </c>
      <c r="AR56" s="22">
        <f t="shared" si="48"/>
        <v>13553522.447856009</v>
      </c>
      <c r="AS56" s="22">
        <f t="shared" si="48"/>
        <v>14118146.717048883</v>
      </c>
      <c r="AT56" s="22">
        <f t="shared" si="48"/>
        <v>14700108.350991279</v>
      </c>
      <c r="AU56" s="22">
        <f t="shared" si="48"/>
        <v>15345348.75370227</v>
      </c>
      <c r="AV56" s="22">
        <f t="shared" si="48"/>
        <v>15934315.007729642</v>
      </c>
      <c r="AW56" s="22">
        <f t="shared" si="48"/>
        <v>16559118.780603416</v>
      </c>
      <c r="AX56" s="22">
        <f t="shared" si="48"/>
        <v>17200806.464907352</v>
      </c>
      <c r="AY56" s="22">
        <f t="shared" si="48"/>
        <v>17826339.365711946</v>
      </c>
      <c r="AZ56" s="22">
        <f t="shared" si="48"/>
        <v>18457900.260037284</v>
      </c>
      <c r="BA56" s="22">
        <f t="shared" si="48"/>
        <v>19116106.312690612</v>
      </c>
      <c r="BB56" s="22">
        <f t="shared" si="48"/>
        <v>19808559.660242051</v>
      </c>
      <c r="BC56" s="22">
        <f t="shared" si="48"/>
        <v>20474323.228904404</v>
      </c>
      <c r="BD56" s="22">
        <f t="shared" si="48"/>
        <v>21154858.896313183</v>
      </c>
      <c r="BE56" s="22">
        <f t="shared" si="48"/>
        <v>21851403.569663171</v>
      </c>
      <c r="BF56" s="22">
        <f t="shared" si="48"/>
        <v>22594622.380216725</v>
      </c>
      <c r="BG56" s="22">
        <f t="shared" si="48"/>
        <v>23360031.666502859</v>
      </c>
      <c r="BH56" s="22">
        <f t="shared" si="48"/>
        <v>23846280.949026071</v>
      </c>
      <c r="BI56" s="22">
        <f t="shared" si="48"/>
        <v>24316769.290088668</v>
      </c>
      <c r="BJ56" s="22">
        <f t="shared" si="48"/>
        <v>24830930.605146527</v>
      </c>
      <c r="BK56" s="22">
        <f t="shared" si="48"/>
        <v>25332876.047273643</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7130062.2439640947</v>
      </c>
      <c r="Z58" s="22">
        <f>((Data!$AJ$37*'Intermediate calculations'!Z56)+Data!$AK$37)</f>
        <v>7262677.0596915632</v>
      </c>
      <c r="AA58" s="22">
        <f>((Data!$AJ$37*'Intermediate calculations'!AA56)+Data!$AK$37)</f>
        <v>7377400.9801928438</v>
      </c>
      <c r="AB58" s="22">
        <f>((Data!$AJ$37*'Intermediate calculations'!AB56)+Data!$AK$37)</f>
        <v>7415315.9463328086</v>
      </c>
      <c r="AC58" s="22">
        <f>((Data!$AJ$37*'Intermediate calculations'!AC56)+Data!$AK$37)</f>
        <v>7453882.353143042</v>
      </c>
      <c r="AD58" s="22">
        <f>((Data!$AJ$37*'Intermediate calculations'!AD56)+Data!$AK$37)</f>
        <v>7572648.2048914805</v>
      </c>
      <c r="AE58" s="22">
        <f>((Data!$AJ$37*'Intermediate calculations'!AE56)+Data!$AK$37)</f>
        <v>7666989.7815362941</v>
      </c>
      <c r="AF58" s="22">
        <f>((Data!$AJ$37*'Intermediate calculations'!AF56)+Data!$AK$37)</f>
        <v>7673381.8120743092</v>
      </c>
      <c r="AG58" s="22">
        <f>((Data!$AJ$37*'Intermediate calculations'!AG56)+Data!$AK$37)</f>
        <v>7287928.4873270169</v>
      </c>
      <c r="AH58" s="22">
        <f>((Data!$AJ$37*'Intermediate calculations'!AH56)+Data!$AK$37)</f>
        <v>7496391.7321603615</v>
      </c>
      <c r="AI58" s="22">
        <f>((Data!$AJ$37*'Intermediate calculations'!AI56)+Data!$AK$37)</f>
        <v>7657845.3608649429</v>
      </c>
      <c r="AJ58" s="22">
        <f>((Data!$AJ$37*'Intermediate calculations'!AJ56)+Data!$AK$37)</f>
        <v>7809655.1602600273</v>
      </c>
      <c r="AK58" s="22">
        <f>((Data!$AJ$37*'Intermediate calculations'!AK56)+Data!$AK$37)</f>
        <v>7981719.0376338102</v>
      </c>
      <c r="AL58" s="22">
        <f>((Data!$AJ$37*'Intermediate calculations'!AL56)+Data!$AK$37)</f>
        <v>8221412.3792474121</v>
      </c>
      <c r="AM58" s="22">
        <f>((Data!$AJ$37*'Intermediate calculations'!AM56)+Data!$AK$37)</f>
        <v>8479829.9817134272</v>
      </c>
      <c r="AN58" s="22">
        <f>((Data!$AJ$37*'Intermediate calculations'!AN56)+Data!$AK$37)</f>
        <v>8758774.9040695075</v>
      </c>
      <c r="AO58" s="22">
        <f>((Data!$AJ$37*'Intermediate calculations'!AO56)+Data!$AK$37)</f>
        <v>9014113.3139366806</v>
      </c>
      <c r="AP58" s="22">
        <f>((Data!$AJ$37*'Intermediate calculations'!AP56)+Data!$AK$37)</f>
        <v>9304152.5330718327</v>
      </c>
      <c r="AQ58" s="22">
        <f>((Data!$AJ$37*'Intermediate calculations'!AQ56)+Data!$AK$37)</f>
        <v>9637132.1886790916</v>
      </c>
      <c r="AR58" s="22">
        <f>((Data!$AJ$37*'Intermediate calculations'!AR56)+Data!$AK$37)</f>
        <v>9966885.0688973218</v>
      </c>
      <c r="AS58" s="22">
        <f>((Data!$AJ$37*'Intermediate calculations'!AS56)+Data!$AK$37)</f>
        <v>10313345.043799145</v>
      </c>
      <c r="AT58" s="22">
        <f>((Data!$AJ$37*'Intermediate calculations'!AT56)+Data!$AK$37)</f>
        <v>10670443.426016632</v>
      </c>
      <c r="AU58" s="22">
        <f>((Data!$AJ$37*'Intermediate calculations'!AU56)+Data!$AK$37)</f>
        <v>11066370.391834904</v>
      </c>
      <c r="AV58" s="22">
        <f>((Data!$AJ$37*'Intermediate calculations'!AV56)+Data!$AK$37)</f>
        <v>11427766.889863649</v>
      </c>
      <c r="AW58" s="22">
        <f>((Data!$AJ$37*'Intermediate calculations'!AW56)+Data!$AK$37)</f>
        <v>11811153.703501424</v>
      </c>
      <c r="AX58" s="22">
        <f>((Data!$AJ$37*'Intermediate calculations'!AX56)+Data!$AK$37)</f>
        <v>12204900.680259179</v>
      </c>
      <c r="AY58" s="22">
        <f>((Data!$AJ$37*'Intermediate calculations'!AY56)+Data!$AK$37)</f>
        <v>12588734.895219205</v>
      </c>
      <c r="AZ58" s="22">
        <f>((Data!$AJ$37*'Intermediate calculations'!AZ56)+Data!$AK$37)</f>
        <v>12976267.956647325</v>
      </c>
      <c r="BA58" s="22">
        <f>((Data!$AJ$37*'Intermediate calculations'!BA56)+Data!$AK$37)</f>
        <v>13380150.795067441</v>
      </c>
      <c r="BB58" s="22">
        <f>((Data!$AJ$37*'Intermediate calculations'!BB56)+Data!$AK$37)</f>
        <v>13805048.169309432</v>
      </c>
      <c r="BC58" s="22">
        <f>((Data!$AJ$37*'Intermediate calculations'!BC56)+Data!$AK$37)</f>
        <v>14213568.386867622</v>
      </c>
      <c r="BD58" s="22">
        <f>((Data!$AJ$37*'Intermediate calculations'!BD56)+Data!$AK$37)</f>
        <v>14631152.934884457</v>
      </c>
      <c r="BE58" s="22">
        <f>((Data!$AJ$37*'Intermediate calculations'!BE56)+Data!$AK$37)</f>
        <v>15058560.793905126</v>
      </c>
      <c r="BF58" s="22">
        <f>((Data!$AJ$37*'Intermediate calculations'!BF56)+Data!$AK$37)</f>
        <v>15514608.442758471</v>
      </c>
      <c r="BG58" s="22">
        <f>((Data!$AJ$37*'Intermediate calculations'!BG56)+Data!$AK$37)</f>
        <v>15984272.423896573</v>
      </c>
      <c r="BH58" s="22">
        <f>((Data!$AJ$37*'Intermediate calculations'!BH56)+Data!$AK$37)</f>
        <v>16282640.601481009</v>
      </c>
      <c r="BI58" s="22">
        <f>((Data!$AJ$37*'Intermediate calculations'!BI56)+Data!$AK$37)</f>
        <v>16571337.68329289</v>
      </c>
      <c r="BJ58" s="22">
        <f>((Data!$AJ$37*'Intermediate calculations'!BJ56)+Data!$AK$37)</f>
        <v>16886833.006519217</v>
      </c>
      <c r="BK58" s="22">
        <f>((Data!$AJ$37*'Intermediate calculations'!BK56)+Data!$AK$37)</f>
        <v>17194832.528980482</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16060427.241059823</v>
      </c>
      <c r="Z59" s="22">
        <f t="shared" si="49"/>
        <v>16409163.82795433</v>
      </c>
      <c r="AA59" s="22">
        <f t="shared" si="49"/>
        <v>16710852.807811551</v>
      </c>
      <c r="AB59" s="22">
        <f t="shared" si="49"/>
        <v>16810557.624436602</v>
      </c>
      <c r="AC59" s="22">
        <f t="shared" si="49"/>
        <v>16911975.531674244</v>
      </c>
      <c r="AD59" s="22">
        <f t="shared" si="49"/>
        <v>17224293.560027018</v>
      </c>
      <c r="AE59" s="22">
        <f t="shared" si="49"/>
        <v>17472383.181543902</v>
      </c>
      <c r="AF59" s="22">
        <f t="shared" si="49"/>
        <v>17489192.275617778</v>
      </c>
      <c r="AG59" s="22">
        <f t="shared" si="49"/>
        <v>16475567.394098092</v>
      </c>
      <c r="AH59" s="22">
        <f t="shared" si="49"/>
        <v>17023762.255263038</v>
      </c>
      <c r="AI59" s="22">
        <f t="shared" si="49"/>
        <v>17448336.139465224</v>
      </c>
      <c r="AJ59" s="22">
        <f t="shared" si="49"/>
        <v>17847549.688930009</v>
      </c>
      <c r="AK59" s="22">
        <f t="shared" si="49"/>
        <v>18300025.29653091</v>
      </c>
      <c r="AL59" s="22">
        <f t="shared" si="49"/>
        <v>18930345.803309344</v>
      </c>
      <c r="AM59" s="22">
        <f t="shared" si="49"/>
        <v>19609905.414979436</v>
      </c>
      <c r="AN59" s="22">
        <f t="shared" si="49"/>
        <v>20343445.627816029</v>
      </c>
      <c r="AO59" s="22">
        <f t="shared" si="49"/>
        <v>21014907.900501631</v>
      </c>
      <c r="AP59" s="22">
        <f t="shared" si="49"/>
        <v>21777622.735883251</v>
      </c>
      <c r="AQ59" s="22">
        <f t="shared" si="49"/>
        <v>22653257.84471168</v>
      </c>
      <c r="AR59" s="22">
        <f t="shared" si="49"/>
        <v>23520407.516753331</v>
      </c>
      <c r="AS59" s="22">
        <f t="shared" si="49"/>
        <v>24431491.76084803</v>
      </c>
      <c r="AT59" s="22">
        <f t="shared" si="49"/>
        <v>25370551.777007911</v>
      </c>
      <c r="AU59" s="22">
        <f t="shared" si="49"/>
        <v>26411719.145537175</v>
      </c>
      <c r="AV59" s="22">
        <f t="shared" si="49"/>
        <v>27362081.89759329</v>
      </c>
      <c r="AW59" s="22">
        <f t="shared" si="49"/>
        <v>28370272.484104842</v>
      </c>
      <c r="AX59" s="22">
        <f t="shared" si="49"/>
        <v>29405707.145166531</v>
      </c>
      <c r="AY59" s="22">
        <f t="shared" si="49"/>
        <v>30415074.260931149</v>
      </c>
      <c r="AZ59" s="22">
        <f t="shared" si="49"/>
        <v>31434168.21668461</v>
      </c>
      <c r="BA59" s="22">
        <f t="shared" si="49"/>
        <v>32496257.107758053</v>
      </c>
      <c r="BB59" s="22">
        <f t="shared" si="49"/>
        <v>33613607.829551481</v>
      </c>
      <c r="BC59" s="22">
        <f t="shared" si="49"/>
        <v>34687891.615772024</v>
      </c>
      <c r="BD59" s="22">
        <f t="shared" si="49"/>
        <v>35786011.831197642</v>
      </c>
      <c r="BE59" s="22">
        <f t="shared" si="49"/>
        <v>36909964.363568299</v>
      </c>
      <c r="BF59" s="22">
        <f t="shared" si="49"/>
        <v>38109230.822975196</v>
      </c>
      <c r="BG59" s="22">
        <f t="shared" si="49"/>
        <v>39344304.090399429</v>
      </c>
      <c r="BH59" s="22">
        <f t="shared" si="49"/>
        <v>40128921.550507084</v>
      </c>
      <c r="BI59" s="22">
        <f t="shared" si="49"/>
        <v>40888106.973381557</v>
      </c>
      <c r="BJ59" s="22">
        <f t="shared" si="49"/>
        <v>41717763.611665741</v>
      </c>
      <c r="BK59" s="22">
        <f t="shared" si="49"/>
        <v>42527708.576254129</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18499607.236653291</v>
      </c>
      <c r="Z60" s="22">
        <f>((Data!$AJ$41*'Intermediate calculations'!Z59)+Data!$AK$41)</f>
        <v>18829378.613641895</v>
      </c>
      <c r="AA60" s="22">
        <f>((Data!$AJ$41*'Intermediate calculations'!AA59)+Data!$AK$41)</f>
        <v>19114660.955812372</v>
      </c>
      <c r="AB60" s="22">
        <f>((Data!$AJ$41*'Intermediate calculations'!AB59)+Data!$AK$41)</f>
        <v>19208943.56310527</v>
      </c>
      <c r="AC60" s="22">
        <f>((Data!$AJ$41*'Intermediate calculations'!AC59)+Data!$AK$41)</f>
        <v>19304846.098651897</v>
      </c>
      <c r="AD60" s="22">
        <f>((Data!$AJ$41*'Intermediate calculations'!AD59)+Data!$AK$41)</f>
        <v>19600179.453793719</v>
      </c>
      <c r="AE60" s="22">
        <f>((Data!$AJ$41*'Intermediate calculations'!AE59)+Data!$AK$41)</f>
        <v>19834777.311256126</v>
      </c>
      <c r="AF60" s="22">
        <f>((Data!$AJ$41*'Intermediate calculations'!AF59)+Data!$AK$41)</f>
        <v>19850672.282724522</v>
      </c>
      <c r="AG60" s="22">
        <f>((Data!$AJ$41*'Intermediate calculations'!AG59)+Data!$AK$41)</f>
        <v>18892170.979763225</v>
      </c>
      <c r="AH60" s="22">
        <f>((Data!$AJ$41*'Intermediate calculations'!AH59)+Data!$AK$41)</f>
        <v>19410553.56713175</v>
      </c>
      <c r="AI60" s="22">
        <f>((Data!$AJ$41*'Intermediate calculations'!AI59)+Data!$AK$41)</f>
        <v>19812038.010371737</v>
      </c>
      <c r="AJ60" s="22">
        <f>((Data!$AJ$41*'Intermediate calculations'!AJ59)+Data!$AK$41)</f>
        <v>20189541.28036657</v>
      </c>
      <c r="AK60" s="22">
        <f>((Data!$AJ$41*'Intermediate calculations'!AK59)+Data!$AK$41)</f>
        <v>20617410.078134671</v>
      </c>
      <c r="AL60" s="22">
        <f>((Data!$AJ$41*'Intermediate calculations'!AL59)+Data!$AK$41)</f>
        <v>21213452.103192858</v>
      </c>
      <c r="AM60" s="22">
        <f>((Data!$AJ$41*'Intermediate calculations'!AM59)+Data!$AK$41)</f>
        <v>21856055.481524594</v>
      </c>
      <c r="AN60" s="22">
        <f>((Data!$AJ$41*'Intermediate calculations'!AN59)+Data!$AK$41)</f>
        <v>22549703.854406141</v>
      </c>
      <c r="AO60" s="22">
        <f>((Data!$AJ$41*'Intermediate calculations'!AO59)+Data!$AK$41)</f>
        <v>23184650.2482768</v>
      </c>
      <c r="AP60" s="22">
        <f>((Data!$AJ$41*'Intermediate calculations'!AP59)+Data!$AK$41)</f>
        <v>23905886.651239939</v>
      </c>
      <c r="AQ60" s="22">
        <f>((Data!$AJ$41*'Intermediate calculations'!AQ59)+Data!$AK$41)</f>
        <v>24733902.427127741</v>
      </c>
      <c r="AR60" s="22">
        <f>((Data!$AJ$41*'Intermediate calculations'!AR59)+Data!$AK$41)</f>
        <v>25553894.226528183</v>
      </c>
      <c r="AS60" s="22">
        <f>((Data!$AJ$41*'Intermediate calculations'!AS59)+Data!$AK$41)</f>
        <v>26415431.320766643</v>
      </c>
      <c r="AT60" s="22">
        <f>((Data!$AJ$41*'Intermediate calculations'!AT59)+Data!$AK$41)</f>
        <v>27303422.791239068</v>
      </c>
      <c r="AU60" s="22">
        <f>((Data!$AJ$41*'Intermediate calculations'!AU59)+Data!$AK$41)</f>
        <v>28287968.748556025</v>
      </c>
      <c r="AV60" s="22">
        <f>((Data!$AJ$41*'Intermediate calculations'!AV59)+Data!$AK$41)</f>
        <v>29186648.282513358</v>
      </c>
      <c r="AW60" s="22">
        <f>((Data!$AJ$41*'Intermediate calculations'!AW59)+Data!$AK$41)</f>
        <v>30140010.82167659</v>
      </c>
      <c r="AX60" s="22">
        <f>((Data!$AJ$41*'Intermediate calculations'!AX59)+Data!$AK$41)</f>
        <v>31119135.831187949</v>
      </c>
      <c r="AY60" s="22">
        <f>((Data!$AJ$41*'Intermediate calculations'!AY59)+Data!$AK$41)</f>
        <v>32073610.916858867</v>
      </c>
      <c r="AZ60" s="22">
        <f>((Data!$AJ$41*'Intermediate calculations'!AZ59)+Data!$AK$41)</f>
        <v>33037283.871458396</v>
      </c>
      <c r="BA60" s="22">
        <f>((Data!$AJ$41*'Intermediate calculations'!BA59)+Data!$AK$41)</f>
        <v>34041613.584071949</v>
      </c>
      <c r="BB60" s="22">
        <f>((Data!$AJ$41*'Intermediate calculations'!BB59)+Data!$AK$41)</f>
        <v>35098199.844166577</v>
      </c>
      <c r="BC60" s="22">
        <f>((Data!$AJ$41*'Intermediate calculations'!BC59)+Data!$AK$41)</f>
        <v>36114061.261556797</v>
      </c>
      <c r="BD60" s="22">
        <f>((Data!$AJ$41*'Intermediate calculations'!BD59)+Data!$AK$41)</f>
        <v>37152462.820638061</v>
      </c>
      <c r="BE60" s="22">
        <f>((Data!$AJ$41*'Intermediate calculations'!BE59)+Data!$AK$41)</f>
        <v>38215291.86754223</v>
      </c>
      <c r="BF60" s="22">
        <f>((Data!$AJ$41*'Intermediate calculations'!BF59)+Data!$AK$41)</f>
        <v>39349339.072673872</v>
      </c>
      <c r="BG60" s="22">
        <f>((Data!$AJ$41*'Intermediate calculations'!BG59)+Data!$AK$41)</f>
        <v>40517245.817725301</v>
      </c>
      <c r="BH60" s="22">
        <f>((Data!$AJ$41*'Intermediate calculations'!BH59)+Data!$AK$41)</f>
        <v>41259193.723258004</v>
      </c>
      <c r="BI60" s="22">
        <f>((Data!$AJ$41*'Intermediate calculations'!BI59)+Data!$AK$41)</f>
        <v>41977092.652419478</v>
      </c>
      <c r="BJ60" s="22">
        <f>((Data!$AJ$41*'Intermediate calculations'!BJ59)+Data!$AK$41)</f>
        <v>42761630.38753666</v>
      </c>
      <c r="BK60" s="22">
        <f>((Data!$AJ$41*'Intermediate calculations'!BK59)+Data!$AK$41)</f>
        <v>43527528.421453297</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3515409.2867776863</v>
      </c>
      <c r="Z61" s="22">
        <f>((Data!$AJ$42*LN('Intermediate calculations'!Z60))+Data!$AK$42)</f>
        <v>3529023.5614843424</v>
      </c>
      <c r="AA61" s="22">
        <f>((Data!$AJ$42*LN('Intermediate calculations'!AA60))+Data!$AK$42)</f>
        <v>3540610.1599060763</v>
      </c>
      <c r="AB61" s="22">
        <f>((Data!$AJ$42*LN('Intermediate calculations'!AB60))+Data!$AK$42)</f>
        <v>3544401.4110568538</v>
      </c>
      <c r="AC61" s="22">
        <f>((Data!$AJ$42*LN('Intermediate calculations'!AC60))+Data!$AK$42)</f>
        <v>3548238.7589823715</v>
      </c>
      <c r="AD61" s="22">
        <f>((Data!$AJ$42*LN('Intermediate calculations'!AD60))+Data!$AK$42)</f>
        <v>3559937.2967489585</v>
      </c>
      <c r="AE61" s="22">
        <f>((Data!$AJ$42*LN('Intermediate calculations'!AE60))+Data!$AK$42)</f>
        <v>3569105.0779654514</v>
      </c>
      <c r="AF61" s="22">
        <f>((Data!$AJ$42*LN('Intermediate calculations'!AF60))+Data!$AK$42)</f>
        <v>3569722.3049658909</v>
      </c>
      <c r="AG61" s="22">
        <f>((Data!$AJ$42*LN('Intermediate calculations'!AG60))+Data!$AK$42)</f>
        <v>3531588.8379038274</v>
      </c>
      <c r="AH61" s="22">
        <f>((Data!$AJ$42*LN('Intermediate calculations'!AH60))+Data!$AK$42)</f>
        <v>3552446.4074528385</v>
      </c>
      <c r="AI61" s="22">
        <f>((Data!$AJ$42*LN('Intermediate calculations'!AI60))+Data!$AK$42)</f>
        <v>3568221.2142758686</v>
      </c>
      <c r="AJ61" s="22">
        <f>((Data!$AJ$42*LN('Intermediate calculations'!AJ60))+Data!$AK$42)</f>
        <v>3582764.847653836</v>
      </c>
      <c r="AK61" s="22">
        <f>((Data!$AJ$42*LN('Intermediate calculations'!AK60))+Data!$AK$42)</f>
        <v>3598923.6372989267</v>
      </c>
      <c r="AL61" s="22">
        <f>((Data!$AJ$42*LN('Intermediate calculations'!AL60))+Data!$AK$42)</f>
        <v>3620883.3121071253</v>
      </c>
      <c r="AM61" s="22">
        <f>((Data!$AJ$42*LN('Intermediate calculations'!AM60))+Data!$AK$42)</f>
        <v>3643877.6957010273</v>
      </c>
      <c r="AN61" s="22">
        <f>((Data!$AJ$42*LN('Intermediate calculations'!AN60))+Data!$AK$42)</f>
        <v>3667951.8945248518</v>
      </c>
      <c r="AO61" s="22">
        <f>((Data!$AJ$42*LN('Intermediate calculations'!AO60))+Data!$AK$42)</f>
        <v>3689348.2035207469</v>
      </c>
      <c r="AP61" s="22">
        <f>((Data!$AJ$42*LN('Intermediate calculations'!AP60))+Data!$AK$42)</f>
        <v>3712952.6816795133</v>
      </c>
      <c r="AQ61" s="22">
        <f>((Data!$AJ$42*LN('Intermediate calculations'!AQ60))+Data!$AK$42)</f>
        <v>3739189.1473612245</v>
      </c>
      <c r="AR61" s="22">
        <f>((Data!$AJ$42*LN('Intermediate calculations'!AR60))+Data!$AK$42)</f>
        <v>3764319.6885661576</v>
      </c>
      <c r="AS61" s="22">
        <f>((Data!$AJ$42*LN('Intermediate calculations'!AS60))+Data!$AK$42)</f>
        <v>3789869.2314700112</v>
      </c>
      <c r="AT61" s="22">
        <f>((Data!$AJ$42*LN('Intermediate calculations'!AT60))+Data!$AK$42)</f>
        <v>3815345.6315816585</v>
      </c>
      <c r="AU61" s="22">
        <f>((Data!$AJ$42*LN('Intermediate calculations'!AU60))+Data!$AK$42)</f>
        <v>3842641.084538091</v>
      </c>
      <c r="AV61" s="22">
        <f>((Data!$AJ$42*LN('Intermediate calculations'!AV60))+Data!$AK$42)</f>
        <v>3866739.0627323315</v>
      </c>
      <c r="AW61" s="22">
        <f>((Data!$AJ$42*LN('Intermediate calculations'!AW60))+Data!$AK$42)</f>
        <v>3891505.4136994649</v>
      </c>
      <c r="AX61" s="22">
        <f>((Data!$AJ$42*LN('Intermediate calculations'!AX60))+Data!$AK$42)</f>
        <v>3916138.6023290083</v>
      </c>
      <c r="AY61" s="22">
        <f>((Data!$AJ$42*LN('Intermediate calculations'!AY60))+Data!$AK$42)</f>
        <v>3939416.6652577445</v>
      </c>
      <c r="AZ61" s="22">
        <f>((Data!$AJ$42*LN('Intermediate calculations'!AZ60))+Data!$AK$42)</f>
        <v>3962226.6064802278</v>
      </c>
      <c r="BA61" s="22">
        <f>((Data!$AJ$42*LN('Intermediate calculations'!BA60))+Data!$AK$42)</f>
        <v>3985301.4782181904</v>
      </c>
      <c r="BB61" s="22">
        <f>((Data!$AJ$42*LN('Intermediate calculations'!BB60))+Data!$AK$42)</f>
        <v>4008853.4358545057</v>
      </c>
      <c r="BC61" s="22">
        <f>((Data!$AJ$42*LN('Intermediate calculations'!BC60))+Data!$AK$42)</f>
        <v>4030838.3916717302</v>
      </c>
      <c r="BD61" s="22">
        <f>((Data!$AJ$42*LN('Intermediate calculations'!BD60))+Data!$AK$42)</f>
        <v>4052681.0388052948</v>
      </c>
      <c r="BE61" s="22">
        <f>((Data!$AJ$42*LN('Intermediate calculations'!BE60))+Data!$AK$42)</f>
        <v>4074414.2086278833</v>
      </c>
      <c r="BF61" s="22">
        <f>((Data!$AJ$42*LN('Intermediate calculations'!BF60))+Data!$AK$42)</f>
        <v>4096946.9896070622</v>
      </c>
      <c r="BG61" s="22">
        <f>((Data!$AJ$42*LN('Intermediate calculations'!BG60))+Data!$AK$42)</f>
        <v>4119483.6964928079</v>
      </c>
      <c r="BH61" s="22">
        <f>((Data!$AJ$42*LN('Intermediate calculations'!BH60))+Data!$AK$42)</f>
        <v>4133465.8342644051</v>
      </c>
      <c r="BI61" s="22">
        <f>((Data!$AJ$42*LN('Intermediate calculations'!BI60))+Data!$AK$42)</f>
        <v>4146757.4514207542</v>
      </c>
      <c r="BJ61" s="22">
        <f>((Data!$AJ$42*LN('Intermediate calculations'!BJ60))+Data!$AK$42)</f>
        <v>4161025.375052277</v>
      </c>
      <c r="BK61" s="22">
        <f>((Data!$AJ$42*LN('Intermediate calculations'!BK60))+Data!$AK$42)</f>
        <v>4174704.004019428</v>
      </c>
    </row>
    <row r="62" spans="1:63" s="50" customFormat="1" x14ac:dyDescent="0.25">
      <c r="A62" s="42"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RowHeight="15" outlineLevelCol="1" x14ac:dyDescent="0.25"/>
  <cols>
    <col min="1" max="1" width="29.5703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s="23" t="str">
        <f>'Intermediate calculations'!A4</f>
        <v>Wealth (GDP)</v>
      </c>
      <c r="B4" t="str">
        <f>'Intermediate calculations'!B4</f>
        <v>GDP/capita</v>
      </c>
      <c r="C4">
        <f>'Intermediate calculations'!C4</f>
        <v>38.888634300416797</v>
      </c>
      <c r="D4">
        <f>'Intermediate calculations'!D4</f>
        <v>39.079963325259669</v>
      </c>
      <c r="E4">
        <f>'Intermediate calculations'!E4</f>
        <v>39.259748848773555</v>
      </c>
      <c r="F4">
        <f>'Intermediate calculations'!F4</f>
        <v>39.456905876727333</v>
      </c>
      <c r="G4">
        <f>'Intermediate calculations'!G4</f>
        <v>39.708548338086537</v>
      </c>
      <c r="H4">
        <f>'Intermediate calculations'!H4</f>
        <v>40.039380829432609</v>
      </c>
      <c r="I4">
        <f>'Intermediate calculations'!I4</f>
        <v>40.925694285299514</v>
      </c>
      <c r="J4">
        <f>'Intermediate calculations'!J4</f>
        <v>41.260636741320013</v>
      </c>
      <c r="K4">
        <f>'Intermediate calculations'!K4</f>
        <v>40.888585957822002</v>
      </c>
      <c r="L4">
        <f>'Intermediate calculations'!L4</f>
        <v>41.371018903319886</v>
      </c>
      <c r="M4">
        <f>'Intermediate calculations'!M4</f>
        <v>42.587032708560614</v>
      </c>
      <c r="N4">
        <f>'Intermediate calculations'!N4</f>
        <v>43.241658061091897</v>
      </c>
      <c r="O4">
        <f>'Intermediate calculations'!O4</f>
        <v>44.321282935143849</v>
      </c>
      <c r="P4">
        <f>'Intermediate calculations'!P4</f>
        <v>45.087519699622248</v>
      </c>
      <c r="Q4">
        <f>'Intermediate calculations'!Q4</f>
        <v>46.545129592940249</v>
      </c>
      <c r="R4">
        <f>'Intermediate calculations'!R4</f>
        <v>48.414826700289169</v>
      </c>
      <c r="S4">
        <f>'Intermediate calculations'!S4</f>
        <v>50.448798407481377</v>
      </c>
      <c r="T4">
        <f>'Intermediate calculations'!T4</f>
        <v>52.583198043553097</v>
      </c>
      <c r="U4">
        <f>'Intermediate calculations'!U4</f>
        <v>53.838243463793447</v>
      </c>
      <c r="V4">
        <f>'Intermediate calculations'!V4</f>
        <v>52.381590470556326</v>
      </c>
      <c r="W4">
        <f>'Intermediate calculations'!W4</f>
        <v>53.214703803416278</v>
      </c>
      <c r="X4">
        <f>'Intermediate calculations'!X4</f>
        <v>54.207584899968928</v>
      </c>
      <c r="Y4">
        <f>'Intermediate calculations'!Y4</f>
        <v>55.188632360107675</v>
      </c>
      <c r="Z4">
        <f>'Intermediate calculations'!Z4</f>
        <v>55.731226947537017</v>
      </c>
      <c r="AA4">
        <f>'Intermediate calculations'!AA4</f>
        <v>56.059513401077403</v>
      </c>
      <c r="AB4">
        <f>'Intermediate calculations'!AB4</f>
        <v>55.627575301066337</v>
      </c>
      <c r="AC4">
        <f>'Intermediate calculations'!AC4</f>
        <v>55.186167154941195</v>
      </c>
      <c r="AD4">
        <f>'Intermediate calculations'!AD4</f>
        <v>55.459673801821602</v>
      </c>
      <c r="AE4">
        <f>'Intermediate calculations'!AG4</f>
        <v>50.597465103717653</v>
      </c>
      <c r="AF4">
        <f>'Intermediate calculations'!AQ4</f>
        <v>64.288395131800442</v>
      </c>
      <c r="AG4">
        <f>'Intermediate calculations'!BA4</f>
        <v>86.742584487756588</v>
      </c>
      <c r="AH4">
        <f>'Intermediate calculations'!BK4</f>
        <v>108.23133394470732</v>
      </c>
    </row>
    <row r="5" spans="1:37" x14ac:dyDescent="0.25">
      <c r="A5" s="23"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1.7136060892304253E-2</v>
      </c>
      <c r="AA5">
        <f>AA13/Drivers!AB4</f>
        <v>1.8196196501834357E-2</v>
      </c>
      <c r="AB5">
        <f>AB13/Drivers!AC4</f>
        <v>1.8684763785133233E-2</v>
      </c>
      <c r="AC5">
        <f>AC13/Drivers!AD4</f>
        <v>1.9273663203246076E-2</v>
      </c>
      <c r="AD5">
        <f>AD13/Drivers!AE4</f>
        <v>1.8134548357121919E-2</v>
      </c>
      <c r="AJ5" s="23">
        <f>SLOPE(M5:AD5,$M$4:$AD$4)</f>
        <v>3.625230347920294E-4</v>
      </c>
      <c r="AK5" s="23">
        <f>INTERCEPT(M5:AD5,$M$4:$AD$4)</f>
        <v>-2.3723738635549503E-3</v>
      </c>
    </row>
    <row r="6" spans="1:37" x14ac:dyDescent="0.25">
      <c r="A6" s="23"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3.6362344596746719E-2</v>
      </c>
      <c r="AA6">
        <f>AA16/Drivers!AB4</f>
        <v>3.6652073687690814E-2</v>
      </c>
      <c r="AB6">
        <f>AB16/Drivers!AC4</f>
        <v>3.8739378287651602E-2</v>
      </c>
      <c r="AC6">
        <f>AC16/Drivers!AD4</f>
        <v>3.8223701464646598E-2</v>
      </c>
      <c r="AD6">
        <f>AD16/Drivers!AE4</f>
        <v>3.9046778755285928E-2</v>
      </c>
      <c r="AJ6" s="23">
        <f>SLOPE(M6:AD6,$M$4:$AD$4)</f>
        <v>3.788280250949476E-4</v>
      </c>
      <c r="AK6" s="23">
        <f>INTERCEPT(M6:AD6,$M$4:$AD$4)</f>
        <v>1.6454319197330362E-2</v>
      </c>
    </row>
    <row r="7" spans="1:37" x14ac:dyDescent="0.25">
      <c r="A7" s="23"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3.0268686020098745E-3</v>
      </c>
      <c r="AA7">
        <f>AA22/Drivers!AB4</f>
        <v>3.2779121771704055E-3</v>
      </c>
      <c r="AB7">
        <f>AB22/Drivers!AC4</f>
        <v>3.313577561973481E-3</v>
      </c>
      <c r="AC7">
        <f>AC22/Drivers!AD4</f>
        <v>3.2279790032750002E-3</v>
      </c>
      <c r="AD7">
        <f>AD22/Drivers!AE4</f>
        <v>3.0933116436675087E-3</v>
      </c>
      <c r="AJ7" s="23">
        <f>SLOPE(M7:AD7,$M$4:$AD$4)</f>
        <v>5.1955364271139401E-7</v>
      </c>
      <c r="AK7" s="23">
        <f>INTERCEPT(M7:AD7,$M$4:$AD$4)</f>
        <v>3.1906922818110244E-3</v>
      </c>
    </row>
    <row r="8" spans="1:37" x14ac:dyDescent="0.25">
      <c r="A8" s="23"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1.9320437885169412E-4</v>
      </c>
      <c r="AA8">
        <f>AA20/Drivers!AB4</f>
        <v>2.0922843684066417E-4</v>
      </c>
      <c r="AB8">
        <f>AB20/Drivers!AC4</f>
        <v>2.1150495076426473E-4</v>
      </c>
      <c r="AC8">
        <f>AC20/Drivers!AD4</f>
        <v>2.0604121297500001E-4</v>
      </c>
      <c r="AD8">
        <f>AD20/Drivers!AE4</f>
        <v>1.9744542406388354E-4</v>
      </c>
      <c r="AJ8" s="23">
        <f>SLOPE(M8:AD8,$M$4:$AD$4)</f>
        <v>3.3162998470940826E-8</v>
      </c>
      <c r="AK8" s="23">
        <f>INTERCEPT(M8:AD8,$M$4:$AD$4)</f>
        <v>2.0366120947729944E-4</v>
      </c>
    </row>
    <row r="9" spans="1:37" x14ac:dyDescent="0.25">
      <c r="A9" s="23"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4.6135548556203755E-3</v>
      </c>
      <c r="AA9">
        <f>AA25/Drivers!AB4</f>
        <v>4.3774743878011299E-3</v>
      </c>
      <c r="AB9">
        <f>AB25/Drivers!AC4</f>
        <v>4.6392277628776553E-3</v>
      </c>
      <c r="AC9">
        <f>AC25/Drivers!AD4</f>
        <v>4.7285199836321996E-3</v>
      </c>
      <c r="AD9">
        <f>AD25/Drivers!AE4</f>
        <v>4.4938295441063099E-3</v>
      </c>
      <c r="AJ9" s="23">
        <f>SLOPE(R9:AD9,$R$4:$AD$4)</f>
        <v>1.1340157772339081E-4</v>
      </c>
      <c r="AK9" s="23">
        <f>INTERCEPT(R9:AD9,$R$4:$AD$4)</f>
        <v>-1.7904761945105414E-3</v>
      </c>
    </row>
    <row r="10" spans="1:37" x14ac:dyDescent="0.25">
      <c r="A10" s="23"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8.1537520509535628E-3</v>
      </c>
      <c r="AA10">
        <f>AA28/Drivers!AB4</f>
        <v>7.7533232800884424E-3</v>
      </c>
      <c r="AB10">
        <f>AB28/Drivers!AC4</f>
        <v>7.9999281895291839E-3</v>
      </c>
      <c r="AC10">
        <f>AC28/Drivers!AD4</f>
        <v>7.9288110752159698E-3</v>
      </c>
      <c r="AD10">
        <f>AD28/Drivers!AE4</f>
        <v>7.2892038274480304E-3</v>
      </c>
      <c r="AJ10" s="23">
        <f>SLOPE(M10:AD10,$M$4:$AD$4)</f>
        <v>1.0504297035016152E-4</v>
      </c>
      <c r="AK10" s="23">
        <f>INTERCEPT(M10:AD10,$M$4:$AD$4)</f>
        <v>2.2387026622694576E-3</v>
      </c>
    </row>
    <row r="11" spans="1:37" x14ac:dyDescent="0.25">
      <c r="A11" s="23"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3.4196798440026953E-2</v>
      </c>
      <c r="AA11">
        <f>AA31/Drivers!AB4</f>
        <v>3.2997995491094112E-2</v>
      </c>
      <c r="AB11">
        <f>AB31/Drivers!AC4</f>
        <v>3.3278240094342867E-2</v>
      </c>
      <c r="AC11">
        <f>AC31/Drivers!AD4</f>
        <v>3.4825639575268325E-2</v>
      </c>
      <c r="AD11">
        <f>AD31/Drivers!AE4</f>
        <v>3.36329526115988E-2</v>
      </c>
      <c r="AJ11" s="23">
        <f>SLOPE(M11:AD11,$M$4:$AD$4)</f>
        <v>1.350540618537498E-3</v>
      </c>
      <c r="AK11" s="23">
        <f>INTERCEPT(M11:AD11,$M$4:$AD$4)</f>
        <v>-4.0247503431871501E-2</v>
      </c>
    </row>
    <row r="12" spans="1:37" x14ac:dyDescent="0.25">
      <c r="A12" s="23"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2.9941029471168969E-3</v>
      </c>
      <c r="AA12">
        <f>AA43/Drivers!AB4</f>
        <v>3.0605223474033326E-3</v>
      </c>
      <c r="AB12">
        <f>AB43/Drivers!AC4</f>
        <v>2.794495463465674E-3</v>
      </c>
      <c r="AC12">
        <f>AC43/Drivers!AD4</f>
        <v>2.6788953519437174E-3</v>
      </c>
      <c r="AD12">
        <f>AD43/Drivers!AE4</f>
        <v>2.8484510102406136E-3</v>
      </c>
      <c r="AJ12" s="23">
        <f>SLOPE(R12:AB12,$R$4:$AB$4)</f>
        <v>-1.1431015094428761E-4</v>
      </c>
      <c r="AK12" s="23">
        <f>INTERCEPT(R12:AB12,$R$4:$AB$4)</f>
        <v>9.5658167110602085E-3</v>
      </c>
    </row>
    <row r="13" spans="1:37" x14ac:dyDescent="0.25">
      <c r="A13" s="2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85"/>
      <c r="AG13" s="85"/>
      <c r="AH13" s="85"/>
      <c r="AJ13" s="23"/>
      <c r="AK13" s="23"/>
    </row>
    <row r="14" spans="1:37" x14ac:dyDescent="0.25">
      <c r="A14" s="23"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s="23">
        <f>SLOPE(W14:AD14,W13:AD13)</f>
        <v>1.1425667845690142</v>
      </c>
      <c r="AK14" s="23">
        <f>INTERCEPT(W14:AD14,W13:AD13)</f>
        <v>-131737.17502305284</v>
      </c>
    </row>
    <row r="15" spans="1:37" x14ac:dyDescent="0.25">
      <c r="A15" s="23"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42.473568985429814</v>
      </c>
      <c r="Z15">
        <f>SUM(Z54:Z55)/'Intermediate calculations'!Z10</f>
        <v>41.298681290054191</v>
      </c>
      <c r="AA15">
        <f>SUM(AA54:AA55)/'Intermediate calculations'!AA10</f>
        <v>41.393492686522805</v>
      </c>
      <c r="AB15">
        <f>SUM(AB54:AB55)/'Intermediate calculations'!AB10</f>
        <v>41.021579893004564</v>
      </c>
      <c r="AC15">
        <f>SUM(AC54:AC55)/'Intermediate calculations'!AC10</f>
        <v>40.056438899393576</v>
      </c>
      <c r="AD15">
        <f>SUM(AD54:AD55)/'Intermediate calculations'!AD10</f>
        <v>37.747852631227858</v>
      </c>
      <c r="AJ15" s="23">
        <f>SLOPE(K15:AD15,LN(K2:AD2))</f>
        <v>-11.156276005568321</v>
      </c>
      <c r="AK15" s="23">
        <f>INTERCEPT(K15:AD15,LN(K2:AD2))</f>
        <v>71.007725320385688</v>
      </c>
    </row>
    <row r="16" spans="1:37" x14ac:dyDescent="0.25">
      <c r="A16" s="23"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c r="AJ16" s="23"/>
      <c r="AK16" s="23"/>
    </row>
    <row r="17" spans="1:37" x14ac:dyDescent="0.25">
      <c r="A17" s="23"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s="23">
        <f>SLOPE(M17:AD17,M16:AD16)</f>
        <v>1.0941524521183956</v>
      </c>
      <c r="AK17" s="23">
        <f>INTERCEPT(M17:AD17,M16:AD16)</f>
        <v>719582.0506376198</v>
      </c>
    </row>
    <row r="18" spans="1:37" x14ac:dyDescent="0.25">
      <c r="A18" s="23"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s="23">
        <f>SLOPE(M18:AD18,LN(M2:AD2))</f>
        <v>-7.7168579193124878E-2</v>
      </c>
      <c r="AK18" s="23">
        <f>INTERCEPT(M18:AD18,LN(M2:AD2))</f>
        <v>0.79933670900805098</v>
      </c>
    </row>
    <row r="19" spans="1:37" x14ac:dyDescent="0.25">
      <c r="A19" s="23"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c r="AJ19" s="23"/>
      <c r="AK19" s="23"/>
    </row>
    <row r="20" spans="1:37" x14ac:dyDescent="0.25">
      <c r="A20" s="23"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c r="AJ20" s="23"/>
      <c r="AK20" s="23"/>
    </row>
    <row r="21" spans="1:37" x14ac:dyDescent="0.25">
      <c r="A21" s="23"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s="23">
        <f>SLOPE(K21:AD21,LN(K2:AD2))</f>
        <v>-106.85734016342576</v>
      </c>
      <c r="AK21" s="23">
        <f>INTERCEPT(K21:AD21,LN(K2:AD2))</f>
        <v>854.94214143189515</v>
      </c>
    </row>
    <row r="22" spans="1:37" x14ac:dyDescent="0.25">
      <c r="A22" s="23"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c r="AJ22" s="23"/>
      <c r="AK22" s="23"/>
    </row>
    <row r="23" spans="1:37" x14ac:dyDescent="0.25">
      <c r="A23" s="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s="23">
        <f>SLOPE(S23:AD23,S22:AD22)</f>
        <v>0.57079621418517279</v>
      </c>
      <c r="AK23" s="23">
        <f>INTERCEPT(S23:AD23,S22:AD22)</f>
        <v>56554.156116201921</v>
      </c>
    </row>
    <row r="24" spans="1:37" x14ac:dyDescent="0.25">
      <c r="A24" s="23"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s="23">
        <f>SLOPE(AA24:AD24,LN(AA2:AD2))</f>
        <v>-19.53151686828388</v>
      </c>
      <c r="AK24" s="23">
        <f>INTERCEPT(AA24:AD24,LN(AA2:AD2))</f>
        <v>196.0251225336817</v>
      </c>
    </row>
    <row r="25" spans="1:37" x14ac:dyDescent="0.25">
      <c r="A25" s="23"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c r="AJ25" s="23"/>
      <c r="AK25" s="23"/>
    </row>
    <row r="26" spans="1:37" x14ac:dyDescent="0.25">
      <c r="A26" s="23"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s="23">
        <f>SLOPE(F26:AD26,F25:AD25)</f>
        <v>0.84800908184156654</v>
      </c>
      <c r="AK26" s="23">
        <f>INTERCEPT(F26:AD26,F25:AD25)</f>
        <v>12832.12635833901</v>
      </c>
    </row>
    <row r="27" spans="1:37" x14ac:dyDescent="0.25">
      <c r="A27" s="23"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s="23">
        <f>SLOPE(K27:AD27,LN(K2:AD2))</f>
        <v>-3.8989982573491209</v>
      </c>
      <c r="AK27" s="23">
        <f>INTERCEPT(K27:AD27,LN(K2:AD2))</f>
        <v>19.509267032030309</v>
      </c>
    </row>
    <row r="28" spans="1:37" x14ac:dyDescent="0.25">
      <c r="A28" s="23"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c r="AJ28" s="23"/>
      <c r="AK28" s="23"/>
    </row>
    <row r="29" spans="1:37" x14ac:dyDescent="0.25">
      <c r="A29" s="23"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s="23">
        <f>SLOPE(M29:AD29,M28:AD28)</f>
        <v>1.0877031438417331</v>
      </c>
      <c r="AK29" s="23">
        <f>INTERCEPT(M29:AD29,M28:AD28)</f>
        <v>-7076.6409178745816</v>
      </c>
    </row>
    <row r="30" spans="1:37" x14ac:dyDescent="0.25">
      <c r="A30" s="23"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s="23">
        <f>SLOPE(K30:AD30,LN(K2:AD2))</f>
        <v>3.721208914924904E-2</v>
      </c>
      <c r="AK30" s="23">
        <f>INTERCEPT(K30:AD30,LN(K2:AD2))</f>
        <v>54.777632230309557</v>
      </c>
    </row>
    <row r="31" spans="1:37" x14ac:dyDescent="0.25">
      <c r="A31" s="23"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c r="AJ31" s="23"/>
      <c r="AK31" s="23"/>
    </row>
    <row r="32" spans="1:37" x14ac:dyDescent="0.25">
      <c r="A32" s="23" t="s">
        <v>935</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c r="AJ32" s="23"/>
      <c r="AK32" s="23"/>
    </row>
    <row r="33" spans="1:37" x14ac:dyDescent="0.25">
      <c r="A33" s="2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s="23">
        <f>SLOPE(M33:AD33,M31:AD31)</f>
        <v>0.72079650032034193</v>
      </c>
      <c r="AK33" s="23">
        <f>INTERCEPT(M33:AD33,M31:AD31)</f>
        <v>178525.13772416487</v>
      </c>
    </row>
    <row r="34" spans="1:37" x14ac:dyDescent="0.25">
      <c r="A34" s="23" t="s">
        <v>936</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c r="AJ34" s="23"/>
      <c r="AK34" s="23"/>
    </row>
    <row r="35" spans="1:37" x14ac:dyDescent="0.25">
      <c r="A35" s="23"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s="23">
        <f>SLOPE(K35:AD35,LN(K2:AD2))</f>
        <v>-13.661011546309085</v>
      </c>
      <c r="AK35" s="23">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c r="AJ36" s="23"/>
      <c r="AK36" s="23"/>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s="23">
        <f>SLOPE(K39:AD39,K37:AD37)</f>
        <v>0.61361155339122397</v>
      </c>
      <c r="AK37" s="23">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c r="AJ38" s="23"/>
      <c r="AK38" s="23"/>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0.12497708592423576</v>
      </c>
      <c r="AK39">
        <f>INTERCEPT(M39:AD39,Drivers!N4:AE4)</f>
        <v>-2125948.8862176668</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929</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2.3330915544416533E-2</v>
      </c>
      <c r="AK55">
        <f>INTERCEPT(M55:AD55,Drivers!N4:AE4)</f>
        <v>4229136.6969350893</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-7.5956822080505415E-2</v>
      </c>
      <c r="AK60">
        <f>INTERCEPT(M60:AD60,Drivers!N4:AE4)</f>
        <v>7965792.0435501784</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3835.7845804277772</v>
      </c>
      <c r="AK61">
        <f>INTERCEPT(M61:AD61,M4:AD4)</f>
        <v>97336.509803063935</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RowHeight="15" x14ac:dyDescent="0.25"/>
  <cols>
    <col min="2" max="2" width="26.5703125" customWidth="1"/>
    <col min="3" max="3" width="11" customWidth="1"/>
  </cols>
  <sheetData>
    <row r="1" spans="1:53" x14ac:dyDescent="0.25">
      <c r="A1" s="30" t="s">
        <v>665</v>
      </c>
    </row>
    <row r="3" spans="1:53" x14ac:dyDescent="0.25">
      <c r="A3" s="31"/>
      <c r="B3" s="32"/>
      <c r="C3" s="33">
        <v>2000</v>
      </c>
      <c r="D3" s="33">
        <v>2001</v>
      </c>
      <c r="E3" s="33">
        <v>2002</v>
      </c>
      <c r="F3" s="33">
        <v>2003</v>
      </c>
      <c r="G3" s="33">
        <v>2004</v>
      </c>
      <c r="H3" s="33">
        <v>2005</v>
      </c>
      <c r="I3" s="33">
        <v>2006</v>
      </c>
      <c r="J3" s="33">
        <v>2007</v>
      </c>
      <c r="K3" s="33">
        <v>2008</v>
      </c>
      <c r="L3" s="33">
        <v>2009</v>
      </c>
      <c r="M3" s="33">
        <v>2010</v>
      </c>
      <c r="N3" s="33">
        <v>2011</v>
      </c>
      <c r="O3" s="33">
        <v>2012</v>
      </c>
      <c r="P3" s="33">
        <v>2013</v>
      </c>
      <c r="Q3" s="33">
        <v>2014</v>
      </c>
      <c r="R3" s="34">
        <v>2015</v>
      </c>
      <c r="S3" s="34">
        <v>2016</v>
      </c>
      <c r="T3" s="34">
        <v>2017</v>
      </c>
      <c r="U3" s="34">
        <v>2018</v>
      </c>
      <c r="V3" s="34">
        <v>2019</v>
      </c>
      <c r="W3" s="34">
        <v>2020</v>
      </c>
      <c r="X3" s="34">
        <v>2021</v>
      </c>
      <c r="Y3" s="34">
        <v>2022</v>
      </c>
      <c r="Z3" s="34">
        <v>2023</v>
      </c>
      <c r="AA3" s="34">
        <v>2024</v>
      </c>
      <c r="AB3" s="34">
        <v>2025</v>
      </c>
      <c r="AC3" s="34">
        <v>2026</v>
      </c>
      <c r="AD3" s="34">
        <v>2027</v>
      </c>
      <c r="AE3" s="34">
        <v>2028</v>
      </c>
      <c r="AF3" s="34">
        <v>2029</v>
      </c>
      <c r="AG3" s="34">
        <v>2030</v>
      </c>
      <c r="AH3" s="34">
        <v>2031</v>
      </c>
      <c r="AI3" s="34">
        <v>2032</v>
      </c>
      <c r="AJ3" s="34">
        <v>2033</v>
      </c>
      <c r="AK3" s="34">
        <v>2034</v>
      </c>
      <c r="AL3" s="34">
        <v>2035</v>
      </c>
      <c r="AM3" s="34">
        <v>2036</v>
      </c>
      <c r="AN3" s="34">
        <v>2037</v>
      </c>
      <c r="AO3" s="34">
        <v>2038</v>
      </c>
      <c r="AP3" s="34">
        <v>2039</v>
      </c>
      <c r="AQ3" s="34">
        <v>2040</v>
      </c>
      <c r="AR3" s="34">
        <v>2041</v>
      </c>
      <c r="AS3" s="34">
        <v>2042</v>
      </c>
      <c r="AT3" s="34">
        <v>2043</v>
      </c>
      <c r="AU3" s="34">
        <v>2044</v>
      </c>
      <c r="AV3" s="34">
        <v>2045</v>
      </c>
      <c r="AW3" s="34">
        <v>2046</v>
      </c>
      <c r="AX3" s="34">
        <v>2047</v>
      </c>
      <c r="AY3" s="34">
        <v>2048</v>
      </c>
      <c r="AZ3" s="34">
        <v>2049</v>
      </c>
      <c r="BA3" s="34">
        <v>2050</v>
      </c>
    </row>
    <row r="4" spans="1:53" x14ac:dyDescent="0.25">
      <c r="A4" s="32"/>
      <c r="B4" s="32" t="s">
        <v>666</v>
      </c>
      <c r="C4" s="35">
        <v>993.09182234073091</v>
      </c>
      <c r="D4" s="35">
        <v>993.09182234073091</v>
      </c>
      <c r="E4" s="35">
        <v>993.09182234073091</v>
      </c>
      <c r="F4" s="35">
        <v>1043.5184288423109</v>
      </c>
      <c r="G4" s="35">
        <v>1063.935684388</v>
      </c>
      <c r="H4" s="35">
        <v>1250.3949420410001</v>
      </c>
      <c r="I4" s="35">
        <v>1361.4582773811801</v>
      </c>
      <c r="J4" s="35">
        <v>1418.12680256985</v>
      </c>
      <c r="K4" s="35">
        <v>1510.0595450369999</v>
      </c>
      <c r="L4" s="35">
        <v>1467.5146597320002</v>
      </c>
      <c r="M4" s="35">
        <v>1455.5368726329998</v>
      </c>
      <c r="N4" s="35">
        <v>1511.75508982</v>
      </c>
      <c r="O4" s="35">
        <v>1600</v>
      </c>
      <c r="P4" s="35">
        <v>1550</v>
      </c>
      <c r="Q4" s="35">
        <v>1500</v>
      </c>
      <c r="R4" s="36">
        <v>1604.9091918984675</v>
      </c>
      <c r="S4" s="36">
        <v>1560</v>
      </c>
      <c r="T4" s="36">
        <v>1530</v>
      </c>
      <c r="U4" s="36">
        <v>1620</v>
      </c>
      <c r="V4" s="36">
        <v>1680</v>
      </c>
      <c r="W4" s="36">
        <v>1715</v>
      </c>
      <c r="X4" s="36">
        <v>1780</v>
      </c>
      <c r="Y4" s="36">
        <v>1785</v>
      </c>
      <c r="Z4" s="36">
        <v>1790</v>
      </c>
      <c r="AA4" s="36">
        <v>1795</v>
      </c>
      <c r="AB4" s="36">
        <v>1800</v>
      </c>
      <c r="AC4" s="36">
        <v>1805</v>
      </c>
      <c r="AD4" s="36">
        <v>1810</v>
      </c>
      <c r="AE4" s="36">
        <v>1815</v>
      </c>
    </row>
    <row r="5" spans="1:53" x14ac:dyDescent="0.25">
      <c r="A5" s="32"/>
      <c r="B5" s="32" t="s">
        <v>667</v>
      </c>
      <c r="C5" s="35">
        <v>1079.3522583407307</v>
      </c>
      <c r="D5" s="35">
        <v>1079.3522583407307</v>
      </c>
      <c r="E5" s="35">
        <v>1079.3522583407307</v>
      </c>
      <c r="F5" s="35">
        <v>1188.8597378423108</v>
      </c>
      <c r="G5" s="35">
        <v>1206.674888388</v>
      </c>
      <c r="H5" s="35">
        <v>1426.810047041</v>
      </c>
      <c r="I5" s="35">
        <v>1614.02513538118</v>
      </c>
      <c r="J5" s="35">
        <v>1649.1401165698499</v>
      </c>
      <c r="K5" s="35">
        <v>1693.2698300369998</v>
      </c>
      <c r="L5" s="35">
        <v>1660.260131732</v>
      </c>
      <c r="M5" s="35">
        <v>1679.6840026329999</v>
      </c>
      <c r="N5" s="35">
        <v>1828.6388368200001</v>
      </c>
      <c r="O5" s="35">
        <v>1876.7825659999999</v>
      </c>
      <c r="P5" s="35">
        <v>1848.129913</v>
      </c>
      <c r="Q5" s="35">
        <v>1879.0711650000001</v>
      </c>
      <c r="R5" s="36">
        <v>1922.8356980734377</v>
      </c>
      <c r="S5" s="36">
        <v>1990.456203544496</v>
      </c>
      <c r="T5" s="36">
        <v>2057.8989690155481</v>
      </c>
      <c r="U5" s="36">
        <v>2126.2640708919885</v>
      </c>
      <c r="V5" s="36">
        <v>2198.3453171198826</v>
      </c>
      <c r="W5" s="36">
        <v>2269.7994713342828</v>
      </c>
      <c r="X5" s="36">
        <v>2342.1782343068635</v>
      </c>
      <c r="Y5" s="36">
        <v>2416.4818482639166</v>
      </c>
      <c r="Z5" s="36">
        <v>2491.5186816187529</v>
      </c>
      <c r="AA5" s="36">
        <v>2570.8561685926552</v>
      </c>
    </row>
    <row r="6" spans="1:53" x14ac:dyDescent="0.25">
      <c r="A6" s="32"/>
      <c r="B6" s="32" t="s">
        <v>668</v>
      </c>
      <c r="C6" s="35">
        <f>'Intermediate calculations'!M42/1000</f>
        <v>850</v>
      </c>
      <c r="D6" s="35">
        <f>'Intermediate calculations'!N42/1000</f>
        <v>869</v>
      </c>
      <c r="E6" s="35">
        <f>'Intermediate calculations'!O42/1000</f>
        <v>896</v>
      </c>
      <c r="F6" s="35">
        <f>'Intermediate calculations'!P42/1000</f>
        <v>925</v>
      </c>
      <c r="G6" s="35">
        <f>'Intermediate calculations'!Q42/1000</f>
        <v>1043</v>
      </c>
      <c r="H6" s="35">
        <f>'Intermediate calculations'!R42/1000</f>
        <v>1273</v>
      </c>
      <c r="I6" s="35">
        <f>'Intermediate calculations'!S42/1000</f>
        <v>1427</v>
      </c>
      <c r="J6" s="35">
        <f>'Intermediate calculations'!T42/1000</f>
        <v>1499</v>
      </c>
      <c r="K6" s="35">
        <f>'Intermediate calculations'!U42/1000</f>
        <v>1584</v>
      </c>
      <c r="L6" s="35">
        <f>'Intermediate calculations'!V42/1000</f>
        <v>1644</v>
      </c>
      <c r="M6" s="35">
        <f>'Intermediate calculations'!W42/1000</f>
        <v>1681</v>
      </c>
      <c r="N6" s="35">
        <f>'Intermediate calculations'!X42/1000</f>
        <v>1721</v>
      </c>
      <c r="O6" s="35">
        <f>'Intermediate calculations'!Y42/1000</f>
        <v>1471.6927305891734</v>
      </c>
      <c r="P6" s="35">
        <f>'Intermediate calculations'!Z42/1000</f>
        <v>1518.9933100212588</v>
      </c>
      <c r="Q6" s="35">
        <f>'Intermediate calculations'!AA42/1000</f>
        <v>1556.6174956060458</v>
      </c>
      <c r="R6" s="35">
        <f>'Intermediate calculations'!AB42/1000</f>
        <v>1555.0201243622939</v>
      </c>
      <c r="S6" s="35">
        <f>'Intermediate calculations'!AC42/1000</f>
        <v>1552.9795162211663</v>
      </c>
      <c r="T6" s="35">
        <f>'Intermediate calculations'!AD42/1000</f>
        <v>1590.3184320860232</v>
      </c>
      <c r="U6" s="35">
        <f>'Intermediate calculations'!AE42/1000</f>
        <v>1615.1249775493789</v>
      </c>
      <c r="V6" s="35">
        <f>'Intermediate calculations'!AF42/1000</f>
        <v>1595.5061008051746</v>
      </c>
      <c r="W6" s="35">
        <f>'Intermediate calculations'!AG42/1000</f>
        <v>1379.2058010071614</v>
      </c>
      <c r="X6" s="35">
        <f>'Intermediate calculations'!AH42/1000</f>
        <v>1466.86627521982</v>
      </c>
      <c r="Y6" s="35">
        <f>'Intermediate calculations'!AI42/1000</f>
        <v>1530.7820004044163</v>
      </c>
      <c r="Z6" s="35">
        <f>'Intermediate calculations'!AJ42/1000</f>
        <v>1589.6708056490111</v>
      </c>
      <c r="AA6" s="35">
        <f>'Intermediate calculations'!AK42/1000</f>
        <v>1658.5091278919829</v>
      </c>
      <c r="AB6" s="35">
        <f>'Intermediate calculations'!AL42/1000</f>
        <v>1761.0294989230817</v>
      </c>
      <c r="AC6" s="35">
        <f>'Intermediate calculations'!AM42/1000</f>
        <v>1875.3017563695294</v>
      </c>
      <c r="AD6" s="35">
        <f>'Intermediate calculations'!AN42/1000</f>
        <v>1999.7084856953788</v>
      </c>
      <c r="AE6" s="35">
        <f>'Intermediate calculations'!AO42/1000</f>
        <v>2112.1374067662528</v>
      </c>
      <c r="AF6" s="35">
        <f>'Intermediate calculations'!AP42/1000</f>
        <v>2241.7986792666456</v>
      </c>
      <c r="AG6" s="35">
        <f>'Intermediate calculations'!AQ42/1000</f>
        <v>2392.8188088662323</v>
      </c>
      <c r="AH6" s="35">
        <f>'Intermediate calculations'!AR42/1000</f>
        <v>2544.1931756839931</v>
      </c>
      <c r="AI6" s="35">
        <f>'Intermediate calculations'!AS42/1000</f>
        <v>2703.819675900922</v>
      </c>
      <c r="AJ6" s="35">
        <f>'Intermediate calculations'!AT42/1000</f>
        <v>2868.6569232593038</v>
      </c>
      <c r="AK6" s="35">
        <f>'Intermediate calculations'!AU42/1000</f>
        <v>3052.8270250133164</v>
      </c>
      <c r="AL6" s="35">
        <f>'Intermediate calculations'!AV42/1000</f>
        <v>3219.5764756710419</v>
      </c>
      <c r="AM6" s="35">
        <f>'Intermediate calculations'!AW42/1000</f>
        <v>3399.2720594175453</v>
      </c>
      <c r="AN6" s="35">
        <f>'Intermediate calculations'!AX42/1000</f>
        <v>3584.0673985345115</v>
      </c>
      <c r="AO6" s="35">
        <f>'Intermediate calculations'!AY42/1000</f>
        <v>3763.805205721309</v>
      </c>
      <c r="AP6" s="35">
        <f>'Intermediate calculations'!AZ42/1000</f>
        <v>3945.3041534233544</v>
      </c>
      <c r="AQ6" s="35">
        <f>'Intermediate calculations'!BA42/1000</f>
        <v>4134.9016149322842</v>
      </c>
      <c r="AR6" s="35">
        <f>'Intermediate calculations'!BB42/1000</f>
        <v>4336.8809078953354</v>
      </c>
      <c r="AS6" s="35">
        <f>'Intermediate calculations'!BC42/1000</f>
        <v>4530.5876863595558</v>
      </c>
      <c r="AT6" s="35">
        <f>'Intermediate calculations'!BD42/1000</f>
        <v>4728.7675751736761</v>
      </c>
      <c r="AU6" s="35">
        <f>'Intermediate calculations'!BE42/1000</f>
        <v>4931.8003966392325</v>
      </c>
      <c r="AV6" s="35">
        <f>'Intermediate calculations'!BF42/1000</f>
        <v>5149.1126776725177</v>
      </c>
      <c r="AW6" s="35">
        <f>'Intermediate calculations'!BG42/1000</f>
        <v>5375.1780327105098</v>
      </c>
      <c r="AX6" s="35">
        <f>'Intermediate calculations'!BH42/1000</f>
        <v>5515.3779964517589</v>
      </c>
      <c r="AY6" s="35">
        <f>'Intermediate calculations'!BI42/1000</f>
        <v>5650.6854171882369</v>
      </c>
      <c r="AZ6" s="35">
        <f>'Intermediate calculations'!BJ42/1000</f>
        <v>5799.3709902477349</v>
      </c>
      <c r="BA6" s="35">
        <f>'Intermediate calculations'!BK42/1000</f>
        <v>5944.253346185792</v>
      </c>
    </row>
    <row r="7" spans="1:53" x14ac:dyDescent="0.25">
      <c r="A7" s="32"/>
      <c r="B7" s="32" t="s">
        <v>669</v>
      </c>
      <c r="C7" s="35">
        <f>'Intermediate calculations'!M39/1000</f>
        <v>927</v>
      </c>
      <c r="D7" s="35">
        <f>'Intermediate calculations'!N39/1000</f>
        <v>938</v>
      </c>
      <c r="E7" s="35">
        <f>'Intermediate calculations'!O39/1000</f>
        <v>965</v>
      </c>
      <c r="F7" s="35">
        <f>'Intermediate calculations'!P39/1000</f>
        <v>1032</v>
      </c>
      <c r="G7" s="35">
        <f>'Intermediate calculations'!Q39/1000</f>
        <v>1196</v>
      </c>
      <c r="H7" s="35">
        <f>'Intermediate calculations'!R39/1000</f>
        <v>1455</v>
      </c>
      <c r="I7" s="35">
        <f>'Intermediate calculations'!S39/1000</f>
        <v>1664</v>
      </c>
      <c r="J7" s="35">
        <f>'Intermediate calculations'!T39/1000</f>
        <v>1767</v>
      </c>
      <c r="K7" s="35">
        <f>'Intermediate calculations'!U39/1000</f>
        <v>1813</v>
      </c>
      <c r="L7" s="35">
        <f>'Intermediate calculations'!V39/1000</f>
        <v>1841</v>
      </c>
      <c r="M7" s="35">
        <f>'Intermediate calculations'!W39/1000</f>
        <v>1887</v>
      </c>
      <c r="N7" s="35">
        <f>'Intermediate calculations'!X39/1000</f>
        <v>1987</v>
      </c>
      <c r="O7" s="35">
        <f>'Intermediate calculations'!Y39/1000</f>
        <v>1794.0813978567999</v>
      </c>
      <c r="P7" s="35">
        <f>'Intermediate calculations'!Z39/1000</f>
        <v>1859.704051977712</v>
      </c>
      <c r="Q7" s="35">
        <f>'Intermediate calculations'!AA39/1000</f>
        <v>1911.9021211526674</v>
      </c>
      <c r="R7" s="35">
        <f>'Intermediate calculations'!AB39/1000</f>
        <v>1909.6860015640707</v>
      </c>
      <c r="S7" s="35">
        <f>'Intermediate calculations'!AC39/1000</f>
        <v>1906.8549554363208</v>
      </c>
      <c r="T7" s="35">
        <f>'Intermediate calculations'!AD39/1000</f>
        <v>1958.6572544878038</v>
      </c>
      <c r="U7" s="35">
        <f>'Intermediate calculations'!AE39/1000</f>
        <v>1993.0727177320496</v>
      </c>
      <c r="V7" s="35">
        <f>'Intermediate calculations'!AF39/1000</f>
        <v>1965.8543880988104</v>
      </c>
      <c r="W7" s="35">
        <f>'Intermediate calculations'!AG39/1000</f>
        <v>1665.7692743366272</v>
      </c>
      <c r="X7" s="35">
        <f>'Intermediate calculations'!AH39/1000</f>
        <v>1787.3853950776406</v>
      </c>
      <c r="Y7" s="35">
        <f>'Intermediate calculations'!AI39/1000</f>
        <v>1876.059140241762</v>
      </c>
      <c r="Z7" s="35">
        <f>'Intermediate calculations'!AJ39/1000</f>
        <v>1957.7587672771638</v>
      </c>
      <c r="AA7" s="35">
        <f>'Intermediate calculations'!AK39/1000</f>
        <v>2053.2618977895595</v>
      </c>
      <c r="AB7" s="35">
        <f>'Intermediate calculations'!AL39/1000</f>
        <v>2195.4939577198393</v>
      </c>
      <c r="AC7" s="35">
        <f>'Intermediate calculations'!AM39/1000</f>
        <v>2354.0300457775115</v>
      </c>
      <c r="AD7" s="35">
        <f>'Intermediate calculations'!AN39/1000</f>
        <v>2526.6262352298181</v>
      </c>
      <c r="AE7" s="35">
        <f>'Intermediate calculations'!AO39/1000</f>
        <v>2682.6049629579729</v>
      </c>
      <c r="AF7" s="35">
        <f>'Intermediate calculations'!AP39/1000</f>
        <v>2862.491064573017</v>
      </c>
      <c r="AG7" s="35">
        <f>'Intermediate calculations'!AQ39/1000</f>
        <v>3072.0094647490296</v>
      </c>
      <c r="AH7" s="35">
        <f>'Intermediate calculations'!AR39/1000</f>
        <v>3282.0193173918847</v>
      </c>
      <c r="AI7" s="35">
        <f>'Intermediate calculations'!AS39/1000</f>
        <v>3503.4778013689665</v>
      </c>
      <c r="AJ7" s="35">
        <f>'Intermediate calculations'!AT39/1000</f>
        <v>3732.1654369014973</v>
      </c>
      <c r="AK7" s="35">
        <f>'Intermediate calculations'!AU39/1000</f>
        <v>3987.6745877813396</v>
      </c>
      <c r="AL7" s="35">
        <f>'Intermediate calculations'!AV39/1000</f>
        <v>4219.0151264543447</v>
      </c>
      <c r="AM7" s="35">
        <f>'Intermediate calculations'!AW39/1000</f>
        <v>4468.3165363066992</v>
      </c>
      <c r="AN7" s="35">
        <f>'Intermediate calculations'!AX39/1000</f>
        <v>4724.6931128228698</v>
      </c>
      <c r="AO7" s="35">
        <f>'Intermediate calculations'!AY39/1000</f>
        <v>4974.0531015394035</v>
      </c>
      <c r="AP7" s="35">
        <f>'Intermediate calculations'!AZ39/1000</f>
        <v>5225.8564158193449</v>
      </c>
      <c r="AQ7" s="35">
        <f>'Intermediate calculations'!BA39/1000</f>
        <v>5488.8952366580525</v>
      </c>
      <c r="AR7" s="35">
        <f>'Intermediate calculations'!BB39/1000</f>
        <v>5769.1120424739602</v>
      </c>
      <c r="AS7" s="35">
        <f>'Intermediate calculations'!BC39/1000</f>
        <v>6037.851941152896</v>
      </c>
      <c r="AT7" s="35">
        <f>'Intermediate calculations'!BD39/1000</f>
        <v>6312.7976279397271</v>
      </c>
      <c r="AU7" s="35">
        <f>'Intermediate calculations'!BE39/1000</f>
        <v>6594.4760508723066</v>
      </c>
      <c r="AV7" s="35">
        <f>'Intermediate calculations'!BF39/1000</f>
        <v>6895.9651409784674</v>
      </c>
      <c r="AW7" s="35">
        <f>'Intermediate calculations'!BG39/1000</f>
        <v>7209.5978444357152</v>
      </c>
      <c r="AX7" s="35">
        <f>'Intermediate calculations'!BH39/1000</f>
        <v>7404.1048428450313</v>
      </c>
      <c r="AY7" s="35">
        <f>'Intermediate calculations'!BI39/1000</f>
        <v>7591.8241515213958</v>
      </c>
      <c r="AZ7" s="35">
        <f>'Intermediate calculations'!BJ39/1000</f>
        <v>7798.1036950450098</v>
      </c>
      <c r="BA7" s="35">
        <f>'Intermediate calculations'!BK39/1000</f>
        <v>7999.1068295963951</v>
      </c>
    </row>
    <row r="8" spans="1:53" x14ac:dyDescent="0.25">
      <c r="A8" s="32"/>
      <c r="B8" s="32"/>
      <c r="C8" s="35"/>
      <c r="D8" s="35"/>
      <c r="E8" s="35"/>
      <c r="F8" s="35"/>
      <c r="G8" s="35"/>
      <c r="H8" s="35"/>
      <c r="I8" s="35"/>
      <c r="J8" s="35"/>
      <c r="K8" s="35"/>
      <c r="L8" s="35"/>
      <c r="M8" s="35"/>
      <c r="N8" s="35"/>
      <c r="O8" s="35"/>
      <c r="P8" s="35"/>
      <c r="Q8" s="35"/>
      <c r="R8" s="36"/>
      <c r="S8" s="36"/>
      <c r="T8" s="36"/>
      <c r="U8" s="36"/>
      <c r="V8" s="36"/>
      <c r="W8" s="36"/>
      <c r="X8" s="36"/>
      <c r="Y8" s="36"/>
      <c r="Z8" s="36"/>
      <c r="AA8" s="36"/>
    </row>
    <row r="9" spans="1:53" x14ac:dyDescent="0.25">
      <c r="A9" s="31"/>
      <c r="B9" s="32"/>
      <c r="C9" s="33">
        <v>2000</v>
      </c>
      <c r="D9" s="33">
        <v>2001</v>
      </c>
      <c r="E9" s="33">
        <v>2002</v>
      </c>
      <c r="F9" s="33">
        <v>2003</v>
      </c>
      <c r="G9" s="33">
        <v>2004</v>
      </c>
      <c r="H9" s="33">
        <v>2005</v>
      </c>
      <c r="I9" s="33">
        <v>2006</v>
      </c>
      <c r="J9" s="33">
        <v>2007</v>
      </c>
      <c r="K9" s="33">
        <v>2008</v>
      </c>
      <c r="L9" s="33">
        <v>2009</v>
      </c>
      <c r="M9" s="33">
        <v>2010</v>
      </c>
      <c r="N9" s="33">
        <v>2011</v>
      </c>
      <c r="O9" s="33">
        <v>2012</v>
      </c>
      <c r="P9" s="33">
        <v>2013</v>
      </c>
      <c r="Q9" s="33">
        <v>2014</v>
      </c>
      <c r="R9" s="34">
        <v>2015</v>
      </c>
      <c r="S9" s="34">
        <v>2016</v>
      </c>
      <c r="T9" s="34">
        <v>2017</v>
      </c>
      <c r="U9" s="34">
        <v>2018</v>
      </c>
      <c r="V9" s="34">
        <v>2019</v>
      </c>
      <c r="W9" s="34">
        <v>2020</v>
      </c>
      <c r="X9" s="34">
        <v>2021</v>
      </c>
      <c r="Y9" s="34">
        <v>2022</v>
      </c>
      <c r="Z9" s="34">
        <v>2023</v>
      </c>
      <c r="AA9" s="34">
        <v>2024</v>
      </c>
      <c r="AB9" s="34">
        <v>2025</v>
      </c>
      <c r="AC9" s="34">
        <v>2026</v>
      </c>
      <c r="AD9" s="34">
        <v>2027</v>
      </c>
      <c r="AE9" s="34">
        <v>2028</v>
      </c>
      <c r="AF9" s="34">
        <v>2029</v>
      </c>
      <c r="AG9" s="34">
        <v>2030</v>
      </c>
      <c r="AH9" s="34">
        <v>2031</v>
      </c>
      <c r="AI9" s="34">
        <v>2032</v>
      </c>
      <c r="AJ9" s="34">
        <v>2033</v>
      </c>
      <c r="AK9" s="34">
        <v>2034</v>
      </c>
      <c r="AL9" s="34">
        <v>2035</v>
      </c>
      <c r="AM9" s="34">
        <v>2036</v>
      </c>
      <c r="AN9" s="34">
        <v>2037</v>
      </c>
      <c r="AO9" s="34">
        <v>2038</v>
      </c>
      <c r="AP9" s="34">
        <v>2039</v>
      </c>
      <c r="AQ9" s="34">
        <v>2040</v>
      </c>
      <c r="AR9" s="34">
        <v>2041</v>
      </c>
      <c r="AS9" s="34">
        <v>2042</v>
      </c>
      <c r="AT9" s="34">
        <v>2043</v>
      </c>
      <c r="AU9" s="34">
        <v>2044</v>
      </c>
      <c r="AV9" s="34">
        <v>2045</v>
      </c>
      <c r="AW9" s="34">
        <v>2046</v>
      </c>
      <c r="AX9" s="34">
        <v>2047</v>
      </c>
      <c r="AY9" s="34">
        <v>2048</v>
      </c>
      <c r="AZ9" s="34">
        <v>2049</v>
      </c>
      <c r="BA9" s="34">
        <v>2050</v>
      </c>
    </row>
    <row r="10" spans="1:53" x14ac:dyDescent="0.25">
      <c r="A10" s="32"/>
      <c r="B10" s="32" t="s">
        <v>670</v>
      </c>
      <c r="C10" s="35">
        <v>325.34589665653499</v>
      </c>
      <c r="D10" s="35">
        <v>325.34589665653499</v>
      </c>
      <c r="E10" s="35">
        <v>325.34589665653499</v>
      </c>
      <c r="F10" s="35">
        <v>318.8389787234043</v>
      </c>
      <c r="G10" s="35">
        <v>318.8389787234043</v>
      </c>
      <c r="H10" s="35">
        <v>325.21575829787241</v>
      </c>
      <c r="I10" s="35">
        <v>328.46791588085114</v>
      </c>
      <c r="J10" s="35">
        <v>363.86063999999999</v>
      </c>
      <c r="K10" s="35">
        <v>368.28791999999999</v>
      </c>
      <c r="L10" s="35">
        <v>373.60199999999998</v>
      </c>
      <c r="M10" s="35">
        <v>386.43599999999998</v>
      </c>
      <c r="N10" s="35">
        <v>404.49</v>
      </c>
      <c r="O10" s="35">
        <v>450.04</v>
      </c>
      <c r="P10" s="35">
        <v>439.4</v>
      </c>
      <c r="Q10" s="35">
        <v>421.88</v>
      </c>
      <c r="R10" s="36">
        <v>433.92676812049251</v>
      </c>
      <c r="S10" s="36">
        <v>435</v>
      </c>
      <c r="T10" s="36">
        <v>400</v>
      </c>
      <c r="U10" s="36">
        <v>410</v>
      </c>
      <c r="V10" s="36">
        <v>415</v>
      </c>
      <c r="W10" s="36">
        <v>424</v>
      </c>
      <c r="X10" s="36">
        <v>440</v>
      </c>
      <c r="Y10" s="36">
        <v>450</v>
      </c>
      <c r="Z10" s="36">
        <v>458</v>
      </c>
      <c r="AA10" s="36">
        <v>460</v>
      </c>
      <c r="AB10" s="36">
        <v>470</v>
      </c>
      <c r="AC10" s="36">
        <v>480</v>
      </c>
      <c r="AD10" s="36">
        <v>490</v>
      </c>
      <c r="AE10" s="36">
        <v>500</v>
      </c>
    </row>
    <row r="11" spans="1:53" x14ac:dyDescent="0.25">
      <c r="A11" s="32"/>
      <c r="B11" s="32" t="s">
        <v>671</v>
      </c>
      <c r="C11" s="35">
        <v>321.91089665653499</v>
      </c>
      <c r="D11" s="35">
        <v>321.91089665653499</v>
      </c>
      <c r="E11" s="35">
        <v>321.91089665653499</v>
      </c>
      <c r="F11" s="35">
        <v>316.1402608231254</v>
      </c>
      <c r="G11" s="35">
        <v>317.8939787234043</v>
      </c>
      <c r="H11" s="35">
        <v>324.27075829787242</v>
      </c>
      <c r="I11" s="35">
        <v>328.91791588085113</v>
      </c>
      <c r="J11" s="35">
        <v>364.32063999999997</v>
      </c>
      <c r="K11" s="35">
        <v>367.77791999999999</v>
      </c>
      <c r="L11" s="35">
        <v>371.36519499999997</v>
      </c>
      <c r="M11" s="35">
        <v>382.88327899999996</v>
      </c>
      <c r="N11" s="35">
        <v>401.97165999999999</v>
      </c>
      <c r="O11" s="35">
        <v>445.23</v>
      </c>
      <c r="P11" s="35">
        <v>435.75099999999998</v>
      </c>
      <c r="Q11" s="35">
        <v>416.88200000000001</v>
      </c>
      <c r="R11" s="36">
        <f>R10-4</f>
        <v>429.92676812049251</v>
      </c>
      <c r="S11" s="36">
        <f t="shared" ref="S11:AE11" si="0">S10-4</f>
        <v>431</v>
      </c>
      <c r="T11" s="36">
        <f t="shared" si="0"/>
        <v>396</v>
      </c>
      <c r="U11" s="36">
        <f t="shared" si="0"/>
        <v>406</v>
      </c>
      <c r="V11" s="36">
        <f t="shared" si="0"/>
        <v>411</v>
      </c>
      <c r="W11" s="36">
        <f t="shared" si="0"/>
        <v>420</v>
      </c>
      <c r="X11" s="36">
        <f t="shared" si="0"/>
        <v>436</v>
      </c>
      <c r="Y11" s="36">
        <f t="shared" si="0"/>
        <v>446</v>
      </c>
      <c r="Z11" s="36">
        <f t="shared" si="0"/>
        <v>454</v>
      </c>
      <c r="AA11" s="36">
        <f t="shared" si="0"/>
        <v>456</v>
      </c>
      <c r="AB11" s="36">
        <f t="shared" si="0"/>
        <v>466</v>
      </c>
      <c r="AC11" s="36">
        <f t="shared" si="0"/>
        <v>476</v>
      </c>
      <c r="AD11" s="36">
        <f t="shared" si="0"/>
        <v>486</v>
      </c>
      <c r="AE11" s="36">
        <f t="shared" si="0"/>
        <v>496</v>
      </c>
    </row>
    <row r="12" spans="1:53" x14ac:dyDescent="0.25">
      <c r="A12" s="32"/>
      <c r="B12" s="32" t="s">
        <v>672</v>
      </c>
      <c r="C12" s="35">
        <f>'Intermediate calculations'!M37/1000</f>
        <v>329</v>
      </c>
      <c r="D12" s="35">
        <f>'Intermediate calculations'!N37/1000</f>
        <v>330</v>
      </c>
      <c r="E12" s="35">
        <f>'Intermediate calculations'!O37/1000</f>
        <v>340</v>
      </c>
      <c r="F12" s="35">
        <f>'Intermediate calculations'!P37/1000</f>
        <v>328</v>
      </c>
      <c r="G12" s="35">
        <f>'Intermediate calculations'!Q37/1000</f>
        <v>348</v>
      </c>
      <c r="H12" s="35">
        <f>'Intermediate calculations'!R37/1000</f>
        <v>375</v>
      </c>
      <c r="I12" s="35">
        <f>'Intermediate calculations'!S37/1000</f>
        <v>412</v>
      </c>
      <c r="J12" s="35">
        <f>'Intermediate calculations'!T37/1000</f>
        <v>438</v>
      </c>
      <c r="K12" s="35">
        <f>'Intermediate calculations'!U37/1000</f>
        <v>426</v>
      </c>
      <c r="L12" s="35">
        <f>'Intermediate calculations'!V37/1000</f>
        <v>404</v>
      </c>
      <c r="M12" s="35">
        <f>'Intermediate calculations'!W37/1000</f>
        <v>413</v>
      </c>
      <c r="N12" s="35">
        <f>'Intermediate calculations'!X37/1000</f>
        <v>452</v>
      </c>
      <c r="O12" s="35">
        <f>'Intermediate calculations'!Y37/1000</f>
        <v>450.281785935556</v>
      </c>
      <c r="P12" s="35">
        <f>'Intermediate calculations'!Z37/1000</f>
        <v>460.38252588684514</v>
      </c>
      <c r="Q12" s="35">
        <f>'Intermediate calculations'!AA37/1000</f>
        <v>469.51705680255589</v>
      </c>
      <c r="R12" s="35">
        <f>'Intermediate calculations'!AB37/1000</f>
        <v>474.2242091677785</v>
      </c>
      <c r="S12" s="35">
        <f>'Intermediate calculations'!AC37/1000</f>
        <v>479.06226588659001</v>
      </c>
      <c r="T12" s="35">
        <f>'Intermediate calculations'!AD37/1000</f>
        <v>488.71243810357356</v>
      </c>
      <c r="U12" s="35">
        <f>'Intermediate calculations'!AE37/1000</f>
        <v>496.96202871842729</v>
      </c>
      <c r="V12" s="35">
        <f>'Intermediate calculations'!AF37/1000</f>
        <v>500.08373305547713</v>
      </c>
      <c r="W12" s="35">
        <f>'Intermediate calculations'!AG37/1000</f>
        <v>480.20866222848468</v>
      </c>
      <c r="X12" s="35">
        <f>'Intermediate calculations'!AH37/1000</f>
        <v>494.48543599880816</v>
      </c>
      <c r="Y12" s="35">
        <f>'Intermediate calculations'!AI37/1000</f>
        <v>506.02120814060305</v>
      </c>
      <c r="Z12" s="35">
        <f>'Intermediate calculations'!AJ37/1000</f>
        <v>517.0134187406079</v>
      </c>
      <c r="AA12" s="35">
        <f>'Intermediate calculations'!AK37/1000</f>
        <v>529.22038682385369</v>
      </c>
      <c r="AB12" s="35">
        <f>'Intermediate calculations'!AL37/1000</f>
        <v>545.42814031573926</v>
      </c>
      <c r="AC12" s="35">
        <f>'Intermediate calculations'!AM37/1000</f>
        <v>562.45161867969603</v>
      </c>
      <c r="AD12" s="35">
        <f>'Intermediate calculations'!AN37/1000</f>
        <v>580.70013880073975</v>
      </c>
      <c r="AE12" s="35">
        <f>'Intermediate calculations'!AO37/1000</f>
        <v>597.57873276693863</v>
      </c>
      <c r="AF12" s="35">
        <f>'Intermediate calculations'!AP37/1000</f>
        <v>616.51615022930741</v>
      </c>
      <c r="AG12" s="35">
        <f>'Intermediate calculations'!AQ37/1000</f>
        <v>637.99707616440435</v>
      </c>
      <c r="AH12" s="35">
        <f>'Intermediate calculations'!AR37/1000</f>
        <v>659.05113235036583</v>
      </c>
      <c r="AI12" s="35">
        <f>'Intermediate calculations'!AS37/1000</f>
        <v>681.10179560261145</v>
      </c>
      <c r="AJ12" s="35">
        <f>'Intermediate calculations'!AT37/1000</f>
        <v>703.79233787715089</v>
      </c>
      <c r="AK12" s="35">
        <f>'Intermediate calculations'!AU37/1000</f>
        <v>728.78051219070448</v>
      </c>
      <c r="AL12" s="35">
        <f>'Intermediate calculations'!AV37/1000</f>
        <v>751.75280359321744</v>
      </c>
      <c r="AM12" s="35">
        <f>'Intermediate calculations'!AW37/1000</f>
        <v>775.78605419302687</v>
      </c>
      <c r="AN12" s="35">
        <f>'Intermediate calculations'!AX37/1000</f>
        <v>800.43940465684284</v>
      </c>
      <c r="AO12" s="35">
        <f>'Intermediate calculations'!AY37/1000</f>
        <v>824.52085201178329</v>
      </c>
      <c r="AP12" s="35">
        <f>'Intermediate calculations'!AZ37/1000</f>
        <v>848.83086262126108</v>
      </c>
      <c r="AQ12" s="35">
        <f>'Intermediate calculations'!BA37/1000</f>
        <v>874.11341393613793</v>
      </c>
      <c r="AR12" s="35">
        <f>'Intermediate calculations'!BB37/1000</f>
        <v>900.408623986576</v>
      </c>
      <c r="AS12" s="35">
        <f>'Intermediate calculations'!BC37/1000</f>
        <v>925.74896860836145</v>
      </c>
      <c r="AT12" s="35">
        <f>'Intermediate calculations'!BD37/1000</f>
        <v>951.6305014981325</v>
      </c>
      <c r="AU12" s="35">
        <f>'Intermediate calculations'!BE37/1000</f>
        <v>978.09790288351894</v>
      </c>
      <c r="AV12" s="35">
        <f>'Intermediate calculations'!BF37/1000</f>
        <v>1006.2576652230206</v>
      </c>
      <c r="AW12" s="35">
        <f>'Intermediate calculations'!BG37/1000</f>
        <v>1034.9857101788693</v>
      </c>
      <c r="AX12" s="35">
        <f>'Intermediate calculations'!BH37/1000</f>
        <v>1053.6469391229134</v>
      </c>
      <c r="AY12" s="35">
        <f>'Intermediate calculations'!BI37/1000</f>
        <v>1071.7451914338103</v>
      </c>
      <c r="AZ12" s="35">
        <f>'Intermediate calculations'!BJ37/1000</f>
        <v>1091.4249558781657</v>
      </c>
      <c r="BA12" s="35">
        <f>'Intermediate calculations'!BK37/1000</f>
        <v>1110.6697131200428</v>
      </c>
    </row>
    <row r="13" spans="1:53" x14ac:dyDescent="0.25">
      <c r="A13" s="32"/>
      <c r="B13" s="32" t="s">
        <v>673</v>
      </c>
      <c r="C13" s="35">
        <f>'Intermediate calculations'!M34/1000</f>
        <v>310</v>
      </c>
      <c r="D13" s="35">
        <f>'Intermediate calculations'!N34/1000</f>
        <v>308</v>
      </c>
      <c r="E13" s="35">
        <f>'Intermediate calculations'!O34/1000</f>
        <v>313</v>
      </c>
      <c r="F13" s="35">
        <f>'Intermediate calculations'!P34/1000</f>
        <v>305</v>
      </c>
      <c r="G13" s="35">
        <f>'Intermediate calculations'!Q34/1000</f>
        <v>329</v>
      </c>
      <c r="H13" s="35">
        <f>'Intermediate calculations'!R34/1000</f>
        <v>357</v>
      </c>
      <c r="I13" s="35">
        <f>'Intermediate calculations'!S34/1000</f>
        <v>392</v>
      </c>
      <c r="J13" s="35">
        <f>'Intermediate calculations'!T34/1000</f>
        <v>416</v>
      </c>
      <c r="K13" s="35">
        <f>'Intermediate calculations'!U34/1000</f>
        <v>404</v>
      </c>
      <c r="L13" s="35">
        <f>'Intermediate calculations'!V34/1000</f>
        <v>379</v>
      </c>
      <c r="M13" s="35">
        <f>'Intermediate calculations'!W34/1000</f>
        <v>386</v>
      </c>
      <c r="N13" s="35">
        <f>'Intermediate calculations'!X34/1000</f>
        <v>426</v>
      </c>
      <c r="O13" s="35">
        <f>'Intermediate calculations'!Y34/1000</f>
        <v>420.48092757924292</v>
      </c>
      <c r="P13" s="35">
        <f>'Intermediate calculations'!Z34/1000</f>
        <v>429.76722964472526</v>
      </c>
      <c r="Q13" s="35">
        <f>'Intermediate calculations'!AA34/1000</f>
        <v>438.16522956540933</v>
      </c>
      <c r="R13" s="35">
        <f>'Intermediate calculations'!AB34/1000</f>
        <v>442.49283714094429</v>
      </c>
      <c r="S13" s="35">
        <f>'Intermediate calculations'!AC34/1000</f>
        <v>446.94079405474309</v>
      </c>
      <c r="T13" s="35">
        <f>'Intermediate calculations'!AD34/1000</f>
        <v>455.8128583414192</v>
      </c>
      <c r="U13" s="35">
        <f>'Intermediate calculations'!AE34/1000</f>
        <v>463.39727203146003</v>
      </c>
      <c r="V13" s="35">
        <f>'Intermediate calculations'!AF34/1000</f>
        <v>466.26726864287377</v>
      </c>
      <c r="W13" s="35">
        <f>'Intermediate calculations'!AG34/1000</f>
        <v>447.99475473177637</v>
      </c>
      <c r="X13" s="35">
        <f>'Intermediate calculations'!AH34/1000</f>
        <v>461.12037071547059</v>
      </c>
      <c r="Y13" s="35">
        <f>'Intermediate calculations'!AI34/1000</f>
        <v>471.72599616310043</v>
      </c>
      <c r="Z13" s="35">
        <f>'Intermediate calculations'!AJ34/1000</f>
        <v>481.83188825529447</v>
      </c>
      <c r="AA13" s="35">
        <f>'Intermediate calculations'!AK34/1000</f>
        <v>493.05459010400955</v>
      </c>
      <c r="AB13" s="35">
        <f>'Intermediate calculations'!AL34/1000</f>
        <v>507.95548800400115</v>
      </c>
      <c r="AC13" s="35">
        <f>'Intermediate calculations'!AM34/1000</f>
        <v>523.60633765019281</v>
      </c>
      <c r="AD13" s="35">
        <f>'Intermediate calculations'!AN34/1000</f>
        <v>540.3834520902509</v>
      </c>
      <c r="AE13" s="35">
        <f>'Intermediate calculations'!AO34/1000</f>
        <v>555.90109958604114</v>
      </c>
      <c r="AF13" s="35">
        <f>'Intermediate calculations'!AP34/1000</f>
        <v>573.3115645365076</v>
      </c>
      <c r="AG13" s="35">
        <f>'Intermediate calculations'!AQ34/1000</f>
        <v>593.06045103804615</v>
      </c>
      <c r="AH13" s="35">
        <f>'Intermediate calculations'!AR34/1000</f>
        <v>612.41688694168727</v>
      </c>
      <c r="AI13" s="35">
        <f>'Intermediate calculations'!AS34/1000</f>
        <v>632.68957198180169</v>
      </c>
      <c r="AJ13" s="35">
        <f>'Intermediate calculations'!AT34/1000</f>
        <v>653.55054163423551</v>
      </c>
      <c r="AK13" s="35">
        <f>'Intermediate calculations'!AU34/1000</f>
        <v>676.52388179145532</v>
      </c>
      <c r="AL13" s="35">
        <f>'Intermediate calculations'!AV34/1000</f>
        <v>697.64388271503049</v>
      </c>
      <c r="AM13" s="35">
        <f>'Intermediate calculations'!AW34/1000</f>
        <v>719.73929609677805</v>
      </c>
      <c r="AN13" s="35">
        <f>'Intermediate calculations'!AX34/1000</f>
        <v>742.40480975590117</v>
      </c>
      <c r="AO13" s="35">
        <f>'Intermediate calculations'!AY34/1000</f>
        <v>764.54453371577279</v>
      </c>
      <c r="AP13" s="35">
        <f>'Intermediate calculations'!AZ34/1000</f>
        <v>786.89439153048443</v>
      </c>
      <c r="AQ13" s="35">
        <f>'Intermediate calculations'!BA34/1000</f>
        <v>810.13837262773473</v>
      </c>
      <c r="AR13" s="35">
        <f>'Intermediate calculations'!BB34/1000</f>
        <v>834.3133602604488</v>
      </c>
      <c r="AS13" s="35">
        <f>'Intermediate calculations'!BC34/1000</f>
        <v>857.61047470316726</v>
      </c>
      <c r="AT13" s="35">
        <f>'Intermediate calculations'!BD34/1000</f>
        <v>881.40514058816063</v>
      </c>
      <c r="AU13" s="35">
        <f>'Intermediate calculations'!BE34/1000</f>
        <v>905.73843550896447</v>
      </c>
      <c r="AV13" s="35">
        <f>'Intermediate calculations'!BF34/1000</f>
        <v>931.62763376947726</v>
      </c>
      <c r="AW13" s="35">
        <f>'Intermediate calculations'!BG34/1000</f>
        <v>958.03929316248241</v>
      </c>
      <c r="AX13" s="35">
        <f>'Intermediate calculations'!BH34/1000</f>
        <v>975.19583909111998</v>
      </c>
      <c r="AY13" s="35">
        <f>'Intermediate calculations'!BI34/1000</f>
        <v>991.83480204104262</v>
      </c>
      <c r="AZ13" s="35">
        <f>'Intermediate calculations'!BJ34/1000</f>
        <v>1009.9277574174951</v>
      </c>
      <c r="BA13" s="35">
        <f>'Intermediate calculations'!BK34/1000</f>
        <v>1027.6207808778347</v>
      </c>
    </row>
    <row r="14" spans="1:53" x14ac:dyDescent="0.25">
      <c r="A14" s="32"/>
      <c r="B14" s="32"/>
      <c r="C14" s="35"/>
      <c r="D14" s="35"/>
      <c r="E14" s="35"/>
      <c r="F14" s="35"/>
      <c r="G14" s="35"/>
      <c r="H14" s="35"/>
      <c r="I14" s="35"/>
      <c r="J14" s="35"/>
      <c r="K14" s="35"/>
      <c r="L14" s="35"/>
      <c r="M14" s="35"/>
      <c r="N14" s="35"/>
      <c r="O14" s="35"/>
      <c r="P14" s="35"/>
      <c r="Q14" s="35"/>
      <c r="R14" s="36"/>
      <c r="S14" s="36"/>
      <c r="T14" s="36"/>
      <c r="U14" s="36"/>
      <c r="V14" s="36"/>
      <c r="W14" s="36"/>
      <c r="X14" s="36"/>
      <c r="Y14" s="36"/>
      <c r="Z14" s="36"/>
      <c r="AA14" s="36"/>
    </row>
    <row r="15" spans="1:53" x14ac:dyDescent="0.25">
      <c r="A15" s="31"/>
      <c r="B15" s="32"/>
      <c r="C15" s="33">
        <v>2000</v>
      </c>
      <c r="D15" s="33">
        <v>2001</v>
      </c>
      <c r="E15" s="33">
        <v>2002</v>
      </c>
      <c r="F15" s="33">
        <v>2003</v>
      </c>
      <c r="G15" s="33">
        <v>2004</v>
      </c>
      <c r="H15" s="33">
        <v>2005</v>
      </c>
      <c r="I15" s="33">
        <v>2006</v>
      </c>
      <c r="J15" s="33">
        <v>2007</v>
      </c>
      <c r="K15" s="33">
        <v>2008</v>
      </c>
      <c r="L15" s="33">
        <v>2009</v>
      </c>
      <c r="M15" s="33">
        <v>2010</v>
      </c>
      <c r="N15" s="33">
        <v>2011</v>
      </c>
      <c r="O15" s="33">
        <v>2012</v>
      </c>
      <c r="P15" s="33">
        <v>2013</v>
      </c>
      <c r="Q15" s="33">
        <v>2014</v>
      </c>
      <c r="R15" s="34">
        <v>2015</v>
      </c>
      <c r="S15" s="34">
        <v>2016</v>
      </c>
      <c r="T15" s="34">
        <v>2017</v>
      </c>
      <c r="U15" s="34">
        <v>2018</v>
      </c>
      <c r="V15" s="34">
        <v>2019</v>
      </c>
      <c r="W15" s="34">
        <v>2020</v>
      </c>
      <c r="X15" s="34">
        <v>2021</v>
      </c>
      <c r="Y15" s="34">
        <v>2022</v>
      </c>
      <c r="Z15" s="34">
        <v>2023</v>
      </c>
      <c r="AA15" s="34">
        <v>2024</v>
      </c>
      <c r="AB15" s="34">
        <v>2025</v>
      </c>
      <c r="AC15" s="34">
        <v>2026</v>
      </c>
      <c r="AD15" s="34">
        <v>2027</v>
      </c>
      <c r="AE15" s="34">
        <v>2028</v>
      </c>
      <c r="AF15" s="34">
        <v>2029</v>
      </c>
      <c r="AG15" s="34">
        <v>2030</v>
      </c>
      <c r="AH15" s="34">
        <v>2031</v>
      </c>
      <c r="AI15" s="34">
        <v>2032</v>
      </c>
      <c r="AJ15" s="34">
        <v>2033</v>
      </c>
      <c r="AK15" s="34">
        <v>2034</v>
      </c>
      <c r="AL15" s="34">
        <v>2035</v>
      </c>
      <c r="AM15" s="34">
        <v>2036</v>
      </c>
      <c r="AN15" s="34">
        <v>2037</v>
      </c>
      <c r="AO15" s="34">
        <v>2038</v>
      </c>
      <c r="AP15" s="34">
        <v>2039</v>
      </c>
      <c r="AQ15" s="34">
        <v>2040</v>
      </c>
      <c r="AR15" s="34">
        <v>2041</v>
      </c>
      <c r="AS15" s="34">
        <v>2042</v>
      </c>
      <c r="AT15" s="34">
        <v>2043</v>
      </c>
      <c r="AU15" s="34">
        <v>2044</v>
      </c>
      <c r="AV15" s="34">
        <v>2045</v>
      </c>
      <c r="AW15" s="34">
        <v>2046</v>
      </c>
      <c r="AX15" s="34">
        <v>2047</v>
      </c>
      <c r="AY15" s="34">
        <v>2048</v>
      </c>
      <c r="AZ15" s="34">
        <v>2049</v>
      </c>
      <c r="BA15" s="34">
        <v>2050</v>
      </c>
    </row>
    <row r="16" spans="1:53" x14ac:dyDescent="0.25">
      <c r="A16" s="37"/>
      <c r="B16" s="37" t="s">
        <v>674</v>
      </c>
      <c r="C16" s="38">
        <v>610.16713705625</v>
      </c>
      <c r="D16" s="38">
        <v>610.16713705625</v>
      </c>
      <c r="E16" s="38">
        <v>610.16713705625</v>
      </c>
      <c r="F16" s="38">
        <v>536</v>
      </c>
      <c r="G16" s="38">
        <v>559.68422552599998</v>
      </c>
      <c r="H16" s="38">
        <v>575.65290859000004</v>
      </c>
      <c r="I16" s="38">
        <v>579.69497297999999</v>
      </c>
      <c r="J16" s="38">
        <v>601.65087453649994</v>
      </c>
      <c r="K16" s="38">
        <v>631</v>
      </c>
      <c r="L16" s="38">
        <v>612.06999999999994</v>
      </c>
      <c r="M16" s="38">
        <v>654.91489999999999</v>
      </c>
      <c r="N16" s="38">
        <v>622.16915499999993</v>
      </c>
      <c r="O16" s="38">
        <v>613.14770225249993</v>
      </c>
      <c r="P16" s="38">
        <v>665.92799245872072</v>
      </c>
      <c r="Q16" s="38">
        <v>698.08925804689954</v>
      </c>
      <c r="R16" s="39">
        <v>699.22078053934399</v>
      </c>
      <c r="S16" s="39">
        <v>710.39885911430974</v>
      </c>
      <c r="T16" s="39">
        <v>739.18964380980105</v>
      </c>
      <c r="U16" s="39">
        <v>753.56215690376871</v>
      </c>
      <c r="V16" s="39">
        <v>770.46731576083528</v>
      </c>
      <c r="W16" s="39">
        <v>785.71589617587529</v>
      </c>
      <c r="X16" s="39">
        <v>803.32741953910943</v>
      </c>
      <c r="Y16" s="39">
        <v>821.94908336777723</v>
      </c>
      <c r="Z16" s="39">
        <v>844.55586695223269</v>
      </c>
      <c r="AA16" s="39">
        <v>859.84984588505426</v>
      </c>
      <c r="AB16" s="39">
        <v>875</v>
      </c>
      <c r="AC16" s="39">
        <v>890</v>
      </c>
      <c r="AD16" s="39">
        <v>910</v>
      </c>
      <c r="AE16" s="39">
        <v>925</v>
      </c>
    </row>
    <row r="17" spans="1:53" x14ac:dyDescent="0.25">
      <c r="A17" s="37"/>
      <c r="B17" s="37" t="s">
        <v>675</v>
      </c>
      <c r="C17" s="38">
        <v>649.892624710375</v>
      </c>
      <c r="D17" s="38">
        <v>649.892624710375</v>
      </c>
      <c r="E17" s="38">
        <v>649.892624710375</v>
      </c>
      <c r="F17" s="38">
        <v>574.19949799999995</v>
      </c>
      <c r="G17" s="38">
        <v>612.06163379999998</v>
      </c>
      <c r="H17" s="38">
        <v>642.21783919999996</v>
      </c>
      <c r="I17" s="38">
        <v>636.26177159999997</v>
      </c>
      <c r="J17" s="38">
        <v>658.9</v>
      </c>
      <c r="K17" s="38">
        <v>671.91341149238087</v>
      </c>
      <c r="L17" s="38">
        <v>649.94999999999993</v>
      </c>
      <c r="M17" s="38">
        <v>695.36469999999997</v>
      </c>
      <c r="N17" s="38">
        <v>663.10915499999999</v>
      </c>
      <c r="O17" s="38">
        <v>670.91943283249987</v>
      </c>
      <c r="P17" s="38">
        <v>716.42099245872066</v>
      </c>
      <c r="Q17" s="38">
        <v>729.84874533689958</v>
      </c>
      <c r="R17" s="39">
        <v>740.51634422626432</v>
      </c>
      <c r="S17" s="39">
        <v>752.08174895984371</v>
      </c>
      <c r="T17" s="39">
        <v>781.10112686931438</v>
      </c>
      <c r="U17" s="39">
        <v>797.63162045872559</v>
      </c>
      <c r="V17" s="39">
        <v>815.73258961364343</v>
      </c>
      <c r="W17" s="39">
        <v>831.42566617367947</v>
      </c>
      <c r="X17" s="39">
        <v>848.73455405867912</v>
      </c>
      <c r="Y17" s="39">
        <v>866.8135090431233</v>
      </c>
      <c r="Z17" s="39">
        <v>888.81185294880709</v>
      </c>
      <c r="AA17" s="39">
        <v>904.54032017152463</v>
      </c>
    </row>
    <row r="18" spans="1:53" x14ac:dyDescent="0.25">
      <c r="A18" s="37"/>
      <c r="B18" s="37" t="s">
        <v>676</v>
      </c>
      <c r="C18" s="38">
        <f>'Intermediate calculations'!M8/1000</f>
        <v>624.6</v>
      </c>
      <c r="D18" s="38">
        <f>'Intermediate calculations'!N8/1000</f>
        <v>524.29999999999995</v>
      </c>
      <c r="E18" s="38">
        <f>'Intermediate calculations'!O8/1000</f>
        <v>573.4</v>
      </c>
      <c r="F18" s="38">
        <f>'Intermediate calculations'!P8/1000</f>
        <v>609.70000000000005</v>
      </c>
      <c r="G18" s="38">
        <f>'Intermediate calculations'!Q8/1000</f>
        <v>631.70000000000005</v>
      </c>
      <c r="H18" s="38">
        <f>'Intermediate calculations'!R8/1000</f>
        <v>672.3</v>
      </c>
      <c r="I18" s="38">
        <f>'Intermediate calculations'!S8/1000</f>
        <v>808.1</v>
      </c>
      <c r="J18" s="38">
        <f>'Intermediate calculations'!T8/1000</f>
        <v>861.4</v>
      </c>
      <c r="K18" s="38">
        <f>'Intermediate calculations'!U8/1000</f>
        <v>770.2</v>
      </c>
      <c r="L18" s="38">
        <f>'Intermediate calculations'!V8/1000</f>
        <v>796.7</v>
      </c>
      <c r="M18" s="38">
        <f>'Intermediate calculations'!W8/1000</f>
        <v>885.8</v>
      </c>
      <c r="N18" s="38">
        <f>'Intermediate calculations'!X8/1000</f>
        <v>869.5</v>
      </c>
      <c r="O18" s="38">
        <f>'Intermediate calculations'!Y8/1000</f>
        <v>922.56326417698381</v>
      </c>
      <c r="P18" s="38">
        <f>'Intermediate calculations'!Z8/1000</f>
        <v>950.19334704133212</v>
      </c>
      <c r="Q18" s="38">
        <f>'Intermediate calculations'!AA8/1000</f>
        <v>973.98575952784233</v>
      </c>
      <c r="R18" s="38">
        <f>'Intermediate calculations'!AB8/1000</f>
        <v>981.37991006119432</v>
      </c>
      <c r="S18" s="38">
        <f>'Intermediate calculations'!AC8/1000</f>
        <v>988.88720735980576</v>
      </c>
      <c r="T18" s="38">
        <f>'Intermediate calculations'!AD8/1000</f>
        <v>1013.4640315259311</v>
      </c>
      <c r="U18" s="38">
        <f>'Intermediate calculations'!AE8/1000</f>
        <v>1032.8243968801235</v>
      </c>
      <c r="V18" s="38">
        <f>'Intermediate calculations'!AF8/1000</f>
        <v>1033.4242571076566</v>
      </c>
      <c r="W18" s="38">
        <f>'Intermediate calculations'!AG8/1000</f>
        <v>950.48138679716874</v>
      </c>
      <c r="X18" s="38">
        <f>'Intermediate calculations'!AH8/1000</f>
        <v>994.35910410454983</v>
      </c>
      <c r="Y18" s="38">
        <f>'Intermediate calculations'!AI8/1000</f>
        <v>1028.2092381218911</v>
      </c>
      <c r="Z18" s="38">
        <f>'Intermediate calculations'!AJ8/1000</f>
        <v>1059.9970480700063</v>
      </c>
      <c r="AA18" s="38">
        <f>'Intermediate calculations'!AK8/1000</f>
        <v>1096.0958506857344</v>
      </c>
      <c r="AB18" s="38">
        <f>'Intermediate calculations'!AL8/1000</f>
        <v>1146.6046682085916</v>
      </c>
      <c r="AC18" s="38">
        <f>'Intermediate calculations'!AM8/1000</f>
        <v>1201.1842198816125</v>
      </c>
      <c r="AD18" s="38">
        <f>'Intermediate calculations'!AN8/1000</f>
        <v>1260.1346180567266</v>
      </c>
      <c r="AE18" s="38">
        <f>'Intermediate calculations'!AO8/1000</f>
        <v>1314.0477232027379</v>
      </c>
      <c r="AF18" s="38">
        <f>'Intermediate calculations'!AP8/1000</f>
        <v>1375.3529647241976</v>
      </c>
      <c r="AG18" s="38">
        <f>'Intermediate calculations'!AQ8/1000</f>
        <v>1445.8067489140628</v>
      </c>
      <c r="AH18" s="38">
        <f>'Intermediate calculations'!AR8/1000</f>
        <v>1515.6385454347687</v>
      </c>
      <c r="AI18" s="38">
        <f>'Intermediate calculations'!AS8/1000</f>
        <v>1589.0278792731049</v>
      </c>
      <c r="AJ18" s="38">
        <f>'Intermediate calculations'!AT8/1000</f>
        <v>1664.6810435043324</v>
      </c>
      <c r="AK18" s="38">
        <f>'Intermediate calculations'!AU8/1000</f>
        <v>1748.607355951618</v>
      </c>
      <c r="AL18" s="38">
        <f>'Intermediate calculations'!AV8/1000</f>
        <v>1825.1686983334487</v>
      </c>
      <c r="AM18" s="38">
        <f>'Intermediate calculations'!AW8/1000</f>
        <v>1906.4822321121742</v>
      </c>
      <c r="AN18" s="38">
        <f>'Intermediate calculations'!AX8/1000</f>
        <v>1990.0012318875147</v>
      </c>
      <c r="AO18" s="38">
        <f>'Intermediate calculations'!AY8/1000</f>
        <v>2071.404058756324</v>
      </c>
      <c r="AP18" s="38">
        <f>'Intermediate calculations'!AZ8/1000</f>
        <v>2153.5923019730003</v>
      </c>
      <c r="AQ18" s="38">
        <f>'Intermediate calculations'!BA8/1000</f>
        <v>2239.2627611855505</v>
      </c>
      <c r="AR18" s="38">
        <f>'Intermediate calculations'!BB8/1000</f>
        <v>2329.4748815916914</v>
      </c>
      <c r="AS18" s="38">
        <f>'Intermediate calculations'!BC8/1000</f>
        <v>2416.1935923610185</v>
      </c>
      <c r="AT18" s="38">
        <f>'Intermediate calculations'!BD8/1000</f>
        <v>2504.8422881023776</v>
      </c>
      <c r="AU18" s="38">
        <f>'Intermediate calculations'!BE8/1000</f>
        <v>2595.5827479657564</v>
      </c>
      <c r="AV18" s="38">
        <f>'Intermediate calculations'!BF8/1000</f>
        <v>2692.4261011662243</v>
      </c>
      <c r="AW18" s="38">
        <f>'Intermediate calculations'!BG8/1000</f>
        <v>2792.2366238720847</v>
      </c>
      <c r="AX18" s="38">
        <f>'Intermediate calculations'!BH8/1000</f>
        <v>2855.5301293611933</v>
      </c>
      <c r="AY18" s="38">
        <f>'Intermediate calculations'!BI8/1000</f>
        <v>2916.7604460988255</v>
      </c>
      <c r="AZ18" s="38">
        <f>'Intermediate calculations'!BJ8/1000</f>
        <v>2983.7018017495889</v>
      </c>
      <c r="BA18" s="38">
        <f>'Intermediate calculations'!BK8/1000</f>
        <v>3049.0436640824278</v>
      </c>
    </row>
    <row r="19" spans="1:53" x14ac:dyDescent="0.25">
      <c r="A19" s="37"/>
      <c r="B19" s="37" t="s">
        <v>677</v>
      </c>
      <c r="C19" s="38">
        <f>'Intermediate calculations'!M5/1000</f>
        <v>671</v>
      </c>
      <c r="D19" s="38">
        <f>'Intermediate calculations'!N5/1000</f>
        <v>554</v>
      </c>
      <c r="E19" s="38">
        <f>'Intermediate calculations'!O5/1000</f>
        <v>602</v>
      </c>
      <c r="F19" s="38">
        <f>'Intermediate calculations'!P5/1000</f>
        <v>643</v>
      </c>
      <c r="G19" s="38">
        <f>'Intermediate calculations'!Q5/1000</f>
        <v>675</v>
      </c>
      <c r="H19" s="38">
        <f>'Intermediate calculations'!R5/1000</f>
        <v>723</v>
      </c>
      <c r="I19" s="38">
        <f>'Intermediate calculations'!S5/1000</f>
        <v>825</v>
      </c>
      <c r="J19" s="38">
        <f>'Intermediate calculations'!T5/1000</f>
        <v>865</v>
      </c>
      <c r="K19" s="38">
        <f>'Intermediate calculations'!U5/1000</f>
        <v>767</v>
      </c>
      <c r="L19" s="38">
        <f>'Intermediate calculations'!V5/1000</f>
        <v>784</v>
      </c>
      <c r="M19" s="38">
        <f>'Intermediate calculations'!W5/1000</f>
        <v>880</v>
      </c>
      <c r="N19" s="38">
        <f>'Intermediate calculations'!X5/1000</f>
        <v>879</v>
      </c>
      <c r="O19" s="38">
        <f>'Intermediate calculations'!Y5/1000</f>
        <v>922.74732071589835</v>
      </c>
      <c r="P19" s="38">
        <f>'Intermediate calculations'!Z5/1000</f>
        <v>946.92978710430327</v>
      </c>
      <c r="Q19" s="38">
        <f>'Intermediate calculations'!AA5/1000</f>
        <v>967.75343855981521</v>
      </c>
      <c r="R19" s="38">
        <f>'Intermediate calculations'!AB5/1000</f>
        <v>974.22496445503134</v>
      </c>
      <c r="S19" s="38">
        <f>'Intermediate calculations'!AC5/1000</f>
        <v>980.79551892939685</v>
      </c>
      <c r="T19" s="38">
        <f>'Intermediate calculations'!AD5/1000</f>
        <v>1002.3057050279677</v>
      </c>
      <c r="U19" s="38">
        <f>'Intermediate calculations'!AE5/1000</f>
        <v>1019.2503297235784</v>
      </c>
      <c r="V19" s="38">
        <f>'Intermediate calculations'!AF5/1000</f>
        <v>1019.7753408088246</v>
      </c>
      <c r="W19" s="38">
        <f>'Intermediate calculations'!AG5/1000</f>
        <v>947.18188593977345</v>
      </c>
      <c r="X19" s="38">
        <f>'Intermediate calculations'!AH5/1000</f>
        <v>985.5846453232715</v>
      </c>
      <c r="Y19" s="38">
        <f>'Intermediate calculations'!AI5/1000</f>
        <v>1015.2110395739236</v>
      </c>
      <c r="Z19" s="38">
        <f>'Intermediate calculations'!AJ5/1000</f>
        <v>1043.0324416813776</v>
      </c>
      <c r="AA19" s="38">
        <f>'Intermediate calculations'!AK5/1000</f>
        <v>1074.6269209741959</v>
      </c>
      <c r="AB19" s="38">
        <f>'Intermediate calculations'!AL5/1000</f>
        <v>1118.8333675513295</v>
      </c>
      <c r="AC19" s="38">
        <f>'Intermediate calculations'!AM5/1000</f>
        <v>1166.6026116866813</v>
      </c>
      <c r="AD19" s="38">
        <f>'Intermediate calculations'!AN5/1000</f>
        <v>1218.1973184217895</v>
      </c>
      <c r="AE19" s="38">
        <f>'Intermediate calculations'!AO5/1000</f>
        <v>1265.3832736535862</v>
      </c>
      <c r="AF19" s="38">
        <f>'Intermediate calculations'!AP5/1000</f>
        <v>1319.0389919445606</v>
      </c>
      <c r="AG19" s="38">
        <f>'Intermediate calculations'!AQ5/1000</f>
        <v>1380.7017193591694</v>
      </c>
      <c r="AH19" s="38">
        <f>'Intermediate calculations'!AR5/1000</f>
        <v>1441.8200692568055</v>
      </c>
      <c r="AI19" s="38">
        <f>'Intermediate calculations'!AS5/1000</f>
        <v>1506.0520553686888</v>
      </c>
      <c r="AJ19" s="38">
        <f>'Intermediate calculations'!AT5/1000</f>
        <v>1572.2653964643382</v>
      </c>
      <c r="AK19" s="38">
        <f>'Intermediate calculations'!AU5/1000</f>
        <v>1645.7195818833054</v>
      </c>
      <c r="AL19" s="38">
        <f>'Intermediate calculations'!AV5/1000</f>
        <v>1712.7277808050958</v>
      </c>
      <c r="AM19" s="38">
        <f>'Intermediate calculations'!AW5/1000</f>
        <v>1783.8952039062299</v>
      </c>
      <c r="AN19" s="38">
        <f>'Intermediate calculations'!AX5/1000</f>
        <v>1856.9929001663611</v>
      </c>
      <c r="AO19" s="38">
        <f>'Intermediate calculations'!AY5/1000</f>
        <v>1928.2384745767138</v>
      </c>
      <c r="AP19" s="38">
        <f>'Intermediate calculations'!AZ5/1000</f>
        <v>2000.1714629382463</v>
      </c>
      <c r="AQ19" s="38">
        <f>'Intermediate calculations'!BA5/1000</f>
        <v>2075.152164608885</v>
      </c>
      <c r="AR19" s="38">
        <f>'Intermediate calculations'!BB5/1000</f>
        <v>2154.1078297170475</v>
      </c>
      <c r="AS19" s="38">
        <f>'Intermediate calculations'!BC5/1000</f>
        <v>2230.0059845912397</v>
      </c>
      <c r="AT19" s="38">
        <f>'Intermediate calculations'!BD5/1000</f>
        <v>2307.5933054713914</v>
      </c>
      <c r="AU19" s="38">
        <f>'Intermediate calculations'!BE5/1000</f>
        <v>2387.0113850872863</v>
      </c>
      <c r="AV19" s="38">
        <f>'Intermediate calculations'!BF5/1000</f>
        <v>2471.7708534250587</v>
      </c>
      <c r="AW19" s="38">
        <f>'Intermediate calculations'!BG5/1000</f>
        <v>2559.1272548659681</v>
      </c>
      <c r="AX19" s="38">
        <f>'Intermediate calculations'!BH5/1000</f>
        <v>2614.5231462431043</v>
      </c>
      <c r="AY19" s="38">
        <f>'Intermediate calculations'!BI5/1000</f>
        <v>2668.1132886878004</v>
      </c>
      <c r="AZ19" s="38">
        <f>'Intermediate calculations'!BJ5/1000</f>
        <v>2726.7018600998554</v>
      </c>
      <c r="BA19" s="38">
        <f>'Intermediate calculations'!BK5/1000</f>
        <v>2783.8905191920994</v>
      </c>
    </row>
    <row r="20" spans="1:53" x14ac:dyDescent="0.25">
      <c r="A20" s="37"/>
      <c r="B20" s="37"/>
      <c r="C20" s="38"/>
      <c r="D20" s="38"/>
      <c r="E20" s="38"/>
      <c r="F20" s="38"/>
      <c r="G20" s="38"/>
      <c r="H20" s="38"/>
      <c r="I20" s="38"/>
      <c r="J20" s="38"/>
      <c r="K20" s="38"/>
      <c r="L20" s="38"/>
      <c r="M20" s="38"/>
      <c r="N20" s="38"/>
      <c r="O20" s="38"/>
      <c r="P20" s="38"/>
      <c r="Q20" s="38"/>
      <c r="R20" s="39"/>
      <c r="S20" s="39"/>
      <c r="T20" s="39"/>
      <c r="U20" s="39"/>
      <c r="V20" s="39"/>
      <c r="W20" s="39"/>
      <c r="X20" s="39"/>
      <c r="Y20" s="39"/>
      <c r="Z20" s="39"/>
      <c r="AA20" s="39"/>
    </row>
    <row r="21" spans="1:53" x14ac:dyDescent="0.25">
      <c r="A21" s="31"/>
      <c r="B21" s="32"/>
      <c r="C21" s="33">
        <v>2000</v>
      </c>
      <c r="D21" s="33">
        <v>2001</v>
      </c>
      <c r="E21" s="33">
        <v>2002</v>
      </c>
      <c r="F21" s="33">
        <v>2003</v>
      </c>
      <c r="G21" s="33">
        <v>2004</v>
      </c>
      <c r="H21" s="33">
        <v>2005</v>
      </c>
      <c r="I21" s="33">
        <v>2006</v>
      </c>
      <c r="J21" s="33">
        <v>2007</v>
      </c>
      <c r="K21" s="33">
        <v>2008</v>
      </c>
      <c r="L21" s="33">
        <v>2009</v>
      </c>
      <c r="M21" s="33">
        <v>2010</v>
      </c>
      <c r="N21" s="33">
        <v>2011</v>
      </c>
      <c r="O21" s="33">
        <v>2012</v>
      </c>
      <c r="P21" s="33">
        <v>2013</v>
      </c>
      <c r="Q21" s="33">
        <v>2014</v>
      </c>
      <c r="R21" s="34">
        <v>2015</v>
      </c>
      <c r="S21" s="34">
        <v>2016</v>
      </c>
      <c r="T21" s="34">
        <v>2017</v>
      </c>
      <c r="U21" s="34">
        <v>2018</v>
      </c>
      <c r="V21" s="34">
        <v>2019</v>
      </c>
      <c r="W21" s="34">
        <v>2020</v>
      </c>
      <c r="X21" s="34">
        <v>2021</v>
      </c>
      <c r="Y21" s="34">
        <v>2022</v>
      </c>
      <c r="Z21" s="34">
        <v>2023</v>
      </c>
      <c r="AA21" s="34">
        <v>2024</v>
      </c>
      <c r="AB21" s="34">
        <v>2025</v>
      </c>
      <c r="AC21" s="34">
        <v>2026</v>
      </c>
      <c r="AD21" s="34">
        <v>2027</v>
      </c>
      <c r="AE21" s="34">
        <v>2028</v>
      </c>
      <c r="AF21" s="34">
        <v>2029</v>
      </c>
      <c r="AG21" s="34">
        <v>2030</v>
      </c>
      <c r="AH21" s="34">
        <v>2031</v>
      </c>
      <c r="AI21" s="34">
        <v>2032</v>
      </c>
      <c r="AJ21" s="34">
        <v>2033</v>
      </c>
      <c r="AK21" s="34">
        <v>2034</v>
      </c>
      <c r="AL21" s="34">
        <v>2035</v>
      </c>
      <c r="AM21" s="34">
        <v>2036</v>
      </c>
      <c r="AN21" s="34">
        <v>2037</v>
      </c>
      <c r="AO21" s="34">
        <v>2038</v>
      </c>
      <c r="AP21" s="34">
        <v>2039</v>
      </c>
      <c r="AQ21" s="34">
        <v>2040</v>
      </c>
      <c r="AR21" s="34">
        <v>2041</v>
      </c>
      <c r="AS21" s="34">
        <v>2042</v>
      </c>
      <c r="AT21" s="34">
        <v>2043</v>
      </c>
      <c r="AU21" s="34">
        <v>2044</v>
      </c>
      <c r="AV21" s="34">
        <v>2045</v>
      </c>
      <c r="AW21" s="34">
        <v>2046</v>
      </c>
      <c r="AX21" s="34">
        <v>2047</v>
      </c>
      <c r="AY21" s="34">
        <v>2048</v>
      </c>
      <c r="AZ21" s="34">
        <v>2049</v>
      </c>
      <c r="BA21" s="34">
        <v>2050</v>
      </c>
    </row>
    <row r="22" spans="1:53" x14ac:dyDescent="0.25">
      <c r="A22" s="32"/>
      <c r="B22" s="32" t="s">
        <v>678</v>
      </c>
      <c r="C22" s="35">
        <v>129.63</v>
      </c>
      <c r="D22" s="35">
        <v>129.63</v>
      </c>
      <c r="E22" s="35">
        <v>129.63</v>
      </c>
      <c r="F22" s="35">
        <v>143.13999999999999</v>
      </c>
      <c r="G22" s="35">
        <v>146.053</v>
      </c>
      <c r="H22" s="35">
        <v>149.999</v>
      </c>
      <c r="I22" s="35">
        <v>157.24799999999999</v>
      </c>
      <c r="J22" s="35">
        <v>152.83564942134379</v>
      </c>
      <c r="K22" s="35">
        <v>162.80000000000001</v>
      </c>
      <c r="L22" s="35">
        <v>165.18375564550669</v>
      </c>
      <c r="M22" s="35">
        <v>169.66697423006443</v>
      </c>
      <c r="N22" s="35">
        <v>186.75616508255388</v>
      </c>
      <c r="O22" s="35">
        <v>191.25698866104344</v>
      </c>
      <c r="P22" s="35">
        <v>197.47194670605705</v>
      </c>
      <c r="Q22" s="35">
        <v>204.80493212570124</v>
      </c>
      <c r="R22" s="36">
        <v>208.64102609863633</v>
      </c>
      <c r="S22" s="36">
        <v>213.80677245749976</v>
      </c>
      <c r="T22" s="36">
        <v>217.57407311191287</v>
      </c>
      <c r="U22" s="36">
        <v>225.22145508819884</v>
      </c>
      <c r="V22" s="36">
        <v>232.86299528535966</v>
      </c>
      <c r="W22" s="36">
        <v>241.53716288131423</v>
      </c>
      <c r="X22" s="36">
        <v>245</v>
      </c>
      <c r="Y22" s="36">
        <v>250</v>
      </c>
      <c r="Z22" s="36">
        <v>255</v>
      </c>
      <c r="AA22" s="36">
        <v>260</v>
      </c>
      <c r="AB22" s="36">
        <v>265</v>
      </c>
      <c r="AC22" s="36">
        <v>270</v>
      </c>
      <c r="AD22" s="36">
        <v>275</v>
      </c>
      <c r="AE22" s="36">
        <v>280</v>
      </c>
    </row>
    <row r="23" spans="1:53" x14ac:dyDescent="0.25">
      <c r="A23" s="32"/>
      <c r="B23" s="32" t="s">
        <v>679</v>
      </c>
      <c r="C23" s="35">
        <v>137.82499999999999</v>
      </c>
      <c r="D23" s="35">
        <v>137.82499999999999</v>
      </c>
      <c r="E23" s="35">
        <v>137.82499999999999</v>
      </c>
      <c r="F23" s="35">
        <v>156.29499999999999</v>
      </c>
      <c r="G23" s="35">
        <v>167.84399999999999</v>
      </c>
      <c r="H23" s="35">
        <v>176.53800000000001</v>
      </c>
      <c r="I23" s="35">
        <v>177.79399999999998</v>
      </c>
      <c r="J23" s="35">
        <v>173.29521483689047</v>
      </c>
      <c r="K23" s="35">
        <v>179.18</v>
      </c>
      <c r="L23" s="35">
        <v>188.69627164870266</v>
      </c>
      <c r="M23" s="35">
        <v>192.2214902332604</v>
      </c>
      <c r="N23" s="35">
        <v>215.34616508255388</v>
      </c>
      <c r="O23" s="35">
        <v>223.20098866104343</v>
      </c>
      <c r="P23" s="35">
        <v>219.00718870605706</v>
      </c>
      <c r="Q23" s="35">
        <v>215.58134712570126</v>
      </c>
      <c r="R23" s="36">
        <v>221.42544983376598</v>
      </c>
      <c r="S23" s="36">
        <v>226.46723800236197</v>
      </c>
      <c r="T23" s="36">
        <v>230.37779215363364</v>
      </c>
      <c r="U23" s="36">
        <v>237.99020308913876</v>
      </c>
      <c r="V23" s="36">
        <v>245.3694152709713</v>
      </c>
      <c r="W23" s="36">
        <v>253.78761345428606</v>
      </c>
      <c r="X23" s="36">
        <v>263.23358248496942</v>
      </c>
      <c r="Y23" s="36">
        <v>274.0317887557747</v>
      </c>
      <c r="Z23" s="36">
        <v>283.56552384740866</v>
      </c>
      <c r="AA23" s="36">
        <v>293.35792027883537</v>
      </c>
    </row>
    <row r="24" spans="1:53" x14ac:dyDescent="0.25">
      <c r="A24" s="32"/>
      <c r="B24" s="32" t="s">
        <v>680</v>
      </c>
      <c r="C24" s="35">
        <f>'Intermediate calculations'!M32/1000</f>
        <v>123</v>
      </c>
      <c r="D24" s="35">
        <f>'Intermediate calculations'!N32/1000</f>
        <v>106.9</v>
      </c>
      <c r="E24" s="35">
        <f>'Intermediate calculations'!O32/1000</f>
        <v>116.6</v>
      </c>
      <c r="F24" s="35">
        <f>'Intermediate calculations'!P32/1000</f>
        <v>135</v>
      </c>
      <c r="G24" s="35">
        <f>'Intermediate calculations'!Q32/1000</f>
        <v>156.80000000000001</v>
      </c>
      <c r="H24" s="35">
        <f>'Intermediate calculations'!R32/1000</f>
        <v>159.69999999999999</v>
      </c>
      <c r="I24" s="35">
        <f>'Intermediate calculations'!S32/1000</f>
        <v>171.4</v>
      </c>
      <c r="J24" s="35">
        <f>'Intermediate calculations'!T32/1000</f>
        <v>187.1</v>
      </c>
      <c r="K24" s="35">
        <f>'Intermediate calculations'!U32/1000</f>
        <v>181.7</v>
      </c>
      <c r="L24" s="35">
        <f>'Intermediate calculations'!V32/1000</f>
        <v>180.7</v>
      </c>
      <c r="M24" s="35">
        <f>'Intermediate calculations'!W32/1000</f>
        <v>191.9</v>
      </c>
      <c r="N24" s="35">
        <f>'Intermediate calculations'!X32/1000</f>
        <v>205.1</v>
      </c>
      <c r="O24" s="35">
        <f>'Intermediate calculations'!Y32/1000</f>
        <v>211.0882778503904</v>
      </c>
      <c r="P24" s="35">
        <f>'Intermediate calculations'!Z32/1000</f>
        <v>216.81058915385393</v>
      </c>
      <c r="Q24" s="35">
        <f>'Intermediate calculations'!AA32/1000</f>
        <v>221.61611154515259</v>
      </c>
      <c r="R24" s="35">
        <f>'Intermediate calculations'!AB32/1000</f>
        <v>222.58768085228562</v>
      </c>
      <c r="S24" s="35">
        <f>'Intermediate calculations'!AC32/1000</f>
        <v>223.55767202476633</v>
      </c>
      <c r="T24" s="35">
        <f>'Intermediate calculations'!AD32/1000</f>
        <v>228.46171604146332</v>
      </c>
      <c r="U24" s="35">
        <f>'Intermediate calculations'!AE32/1000</f>
        <v>232.14395681418955</v>
      </c>
      <c r="V24" s="35">
        <f>'Intermediate calculations'!AF32/1000</f>
        <v>231.45746689841411</v>
      </c>
      <c r="W24" s="35">
        <f>'Intermediate calculations'!AG32/1000</f>
        <v>211.36167273441168</v>
      </c>
      <c r="X24" s="35">
        <f>'Intermediate calculations'!AH32/1000</f>
        <v>220.94156782788949</v>
      </c>
      <c r="Y24" s="35">
        <f>'Intermediate calculations'!AI32/1000</f>
        <v>228.18638841553062</v>
      </c>
      <c r="Z24" s="35">
        <f>'Intermediate calculations'!AJ32/1000</f>
        <v>234.94533247604363</v>
      </c>
      <c r="AA24" s="35">
        <f>'Intermediate calculations'!AK32/1000</f>
        <v>242.69799892600136</v>
      </c>
      <c r="AB24" s="35">
        <f>'Intermediate calculations'!AL32/1000</f>
        <v>253.78897541637724</v>
      </c>
      <c r="AC24" s="35">
        <f>'Intermediate calculations'!AM32/1000</f>
        <v>265.91084273652859</v>
      </c>
      <c r="AD24" s="35">
        <f>'Intermediate calculations'!AN32/1000</f>
        <v>279.04206766239679</v>
      </c>
      <c r="AE24" s="35">
        <f>'Intermediate calculations'!AO32/1000</f>
        <v>290.99832776113027</v>
      </c>
      <c r="AF24" s="35">
        <f>'Intermediate calculations'!AP32/1000</f>
        <v>304.66528522916673</v>
      </c>
      <c r="AG24" s="35">
        <f>'Intermediate calculations'!AQ32/1000</f>
        <v>320.45066708352232</v>
      </c>
      <c r="AH24" s="35">
        <f>'Intermediate calculations'!AR32/1000</f>
        <v>336.16295544654878</v>
      </c>
      <c r="AI24" s="35">
        <f>'Intermediate calculations'!AS32/1000</f>
        <v>352.69691947279057</v>
      </c>
      <c r="AJ24" s="35">
        <f>'Intermediate calculations'!AT32/1000</f>
        <v>369.7521653387152</v>
      </c>
      <c r="AK24" s="35">
        <f>'Intermediate calculations'!AU32/1000</f>
        <v>388.72382770971103</v>
      </c>
      <c r="AL24" s="35">
        <f>'Intermediate calculations'!AV32/1000</f>
        <v>405.98119854638412</v>
      </c>
      <c r="AM24" s="35">
        <f>'Intermediate calculations'!AW32/1000</f>
        <v>424.41167853566702</v>
      </c>
      <c r="AN24" s="35">
        <f>'Intermediate calculations'!AX32/1000</f>
        <v>443.35091789138272</v>
      </c>
      <c r="AO24" s="35">
        <f>'Intermediate calculations'!AY32/1000</f>
        <v>461.79554625539237</v>
      </c>
      <c r="AP24" s="35">
        <f>'Intermediate calculations'!AZ32/1000</f>
        <v>480.41919567732941</v>
      </c>
      <c r="AQ24" s="35">
        <f>'Intermediate calculations'!BA32/1000</f>
        <v>499.84795243221987</v>
      </c>
      <c r="AR24" s="35">
        <f>'Intermediate calculations'!BB32/1000</f>
        <v>520.39821020911313</v>
      </c>
      <c r="AS24" s="35">
        <f>'Intermediate calculations'!BC32/1000</f>
        <v>540.13496218586693</v>
      </c>
      <c r="AT24" s="35">
        <f>'Intermediate calculations'!BD32/1000</f>
        <v>560.31733195053494</v>
      </c>
      <c r="AU24" s="35">
        <f>'Intermediate calculations'!BE32/1000</f>
        <v>580.98286415060466</v>
      </c>
      <c r="AV24" s="35">
        <f>'Intermediate calculations'!BF32/1000</f>
        <v>603.06279932368352</v>
      </c>
      <c r="AW24" s="35">
        <f>'Intermediate calculations'!BG32/1000</f>
        <v>625.90150044225186</v>
      </c>
      <c r="AX24" s="35">
        <f>'Intermediate calculations'!BH32/1000</f>
        <v>640.26041237610889</v>
      </c>
      <c r="AY24" s="35">
        <f>'Intermediate calculations'!BI32/1000</f>
        <v>654.13860357475721</v>
      </c>
      <c r="AZ24" s="35">
        <f>'Intermediate calculations'!BJ32/1000</f>
        <v>669.34099233547454</v>
      </c>
      <c r="BA24" s="35">
        <f>'Intermediate calculations'!BK32/1000</f>
        <v>684.17029806495168</v>
      </c>
    </row>
    <row r="25" spans="1:53" x14ac:dyDescent="0.25">
      <c r="A25" s="32"/>
      <c r="B25" s="32" t="s">
        <v>681</v>
      </c>
      <c r="C25" s="35">
        <f>'Intermediate calculations'!M29/1000</f>
        <v>131</v>
      </c>
      <c r="D25" s="35">
        <f>'Intermediate calculations'!N29/1000</f>
        <v>115</v>
      </c>
      <c r="E25" s="35">
        <f>'Intermediate calculations'!O29/1000</f>
        <v>123</v>
      </c>
      <c r="F25" s="35">
        <f>'Intermediate calculations'!P29/1000</f>
        <v>146</v>
      </c>
      <c r="G25" s="35">
        <f>'Intermediate calculations'!Q29/1000</f>
        <v>174</v>
      </c>
      <c r="H25" s="35">
        <f>'Intermediate calculations'!R29/1000</f>
        <v>182</v>
      </c>
      <c r="I25" s="35">
        <f>'Intermediate calculations'!S29/1000</f>
        <v>193</v>
      </c>
      <c r="J25" s="35">
        <f>'Intermediate calculations'!T29/1000</f>
        <v>206</v>
      </c>
      <c r="K25" s="35">
        <f>'Intermediate calculations'!U29/1000</f>
        <v>198</v>
      </c>
      <c r="L25" s="35">
        <f>'Intermediate calculations'!V29/1000</f>
        <v>199</v>
      </c>
      <c r="M25" s="35">
        <f>'Intermediate calculations'!W29/1000</f>
        <v>215</v>
      </c>
      <c r="N25" s="35">
        <f>'Intermediate calculations'!X29/1000</f>
        <v>231</v>
      </c>
      <c r="O25" s="35">
        <f>'Intermediate calculations'!Y29/1000</f>
        <v>233.79012764994368</v>
      </c>
      <c r="P25" s="35">
        <f>'Intermediate calculations'!Z29/1000</f>
        <v>240.53806399401768</v>
      </c>
      <c r="Q25" s="35">
        <f>'Intermediate calculations'!AA29/1000</f>
        <v>246.20489291625375</v>
      </c>
      <c r="R25" s="35">
        <f>'Intermediate calculations'!AB29/1000</f>
        <v>247.35059916862448</v>
      </c>
      <c r="S25" s="35">
        <f>'Intermediate calculations'!AC29/1000</f>
        <v>248.49444443308113</v>
      </c>
      <c r="T25" s="35">
        <f>'Intermediate calculations'!AD29/1000</f>
        <v>254.27745327308932</v>
      </c>
      <c r="U25" s="35">
        <f>'Intermediate calculations'!AE29/1000</f>
        <v>258.61967183132663</v>
      </c>
      <c r="V25" s="35">
        <f>'Intermediate calculations'!AF29/1000</f>
        <v>257.8101405061613</v>
      </c>
      <c r="W25" s="35">
        <f>'Intermediate calculations'!AG29/1000</f>
        <v>234.11252382455493</v>
      </c>
      <c r="X25" s="35">
        <f>'Intermediate calculations'!AH29/1000</f>
        <v>245.40944893846259</v>
      </c>
      <c r="Y25" s="35">
        <f>'Intermediate calculations'!AI29/1000</f>
        <v>253.95277794610485</v>
      </c>
      <c r="Z25" s="35">
        <f>'Intermediate calculations'!AJ29/1000</f>
        <v>261.9231454872579</v>
      </c>
      <c r="AA25" s="35">
        <f>'Intermediate calculations'!AK29/1000</f>
        <v>271.06534291882519</v>
      </c>
      <c r="AB25" s="35">
        <f>'Intermediate calculations'!AL29/1000</f>
        <v>284.1441845584576</v>
      </c>
      <c r="AC25" s="35">
        <f>'Intermediate calculations'!AM29/1000</f>
        <v>298.43868632703192</v>
      </c>
      <c r="AD25" s="35">
        <f>'Intermediate calculations'!AN29/1000</f>
        <v>313.92345554359736</v>
      </c>
      <c r="AE25" s="35">
        <f>'Intermediate calculations'!AO29/1000</f>
        <v>328.02266786897582</v>
      </c>
      <c r="AF25" s="35">
        <f>'Intermediate calculations'!AP29/1000</f>
        <v>344.13919039295246</v>
      </c>
      <c r="AG25" s="35">
        <f>'Intermediate calculations'!AQ29/1000</f>
        <v>362.75382812781675</v>
      </c>
      <c r="AH25" s="35">
        <f>'Intermediate calculations'!AR29/1000</f>
        <v>381.28227163092771</v>
      </c>
      <c r="AI25" s="35">
        <f>'Intermediate calculations'!AS29/1000</f>
        <v>400.77966190690921</v>
      </c>
      <c r="AJ25" s="35">
        <f>'Intermediate calculations'!AT29/1000</f>
        <v>420.89176475006144</v>
      </c>
      <c r="AK25" s="35">
        <f>'Intermediate calculations'!AU29/1000</f>
        <v>443.26376851421492</v>
      </c>
      <c r="AL25" s="35">
        <f>'Intermediate calculations'!AV29/1000</f>
        <v>463.61422372301564</v>
      </c>
      <c r="AM25" s="35">
        <f>'Intermediate calculations'!AW29/1000</f>
        <v>485.3480475510089</v>
      </c>
      <c r="AN25" s="35">
        <f>'Intermediate calculations'!AX29/1000</f>
        <v>507.6818170368104</v>
      </c>
      <c r="AO25" s="35">
        <f>'Intermediate calculations'!AY29/1000</f>
        <v>529.43232509027905</v>
      </c>
      <c r="AP25" s="35">
        <f>'Intermediate calculations'!AZ29/1000</f>
        <v>551.39394062096812</v>
      </c>
      <c r="AQ25" s="35">
        <f>'Intermediate calculations'!BA29/1000</f>
        <v>574.30496500846436</v>
      </c>
      <c r="AR25" s="35">
        <f>'Intermediate calculations'!BB29/1000</f>
        <v>598.53850002234128</v>
      </c>
      <c r="AS25" s="35">
        <f>'Intermediate calculations'!BC29/1000</f>
        <v>621.81272243266358</v>
      </c>
      <c r="AT25" s="35">
        <f>'Intermediate calculations'!BD29/1000</f>
        <v>645.61243188959452</v>
      </c>
      <c r="AU25" s="35">
        <f>'Intermediate calculations'!BE29/1000</f>
        <v>669.98190226742554</v>
      </c>
      <c r="AV25" s="35">
        <f>'Intermediate calculations'!BF29/1000</f>
        <v>696.01928281661651</v>
      </c>
      <c r="AW25" s="35">
        <f>'Intermediate calculations'!BG29/1000</f>
        <v>722.95142494529625</v>
      </c>
      <c r="AX25" s="35">
        <f>'Intermediate calculations'!BH29/1000</f>
        <v>739.8839227702897</v>
      </c>
      <c r="AY25" s="35">
        <f>'Intermediate calculations'!BI29/1000</f>
        <v>756.24953900698142</v>
      </c>
      <c r="AZ25" s="35">
        <f>'Intermediate calculations'!BJ29/1000</f>
        <v>774.17669224890574</v>
      </c>
      <c r="BA25" s="35">
        <f>'Intermediate calculations'!BK29/1000</f>
        <v>791.66389379782458</v>
      </c>
    </row>
    <row r="26" spans="1:53" x14ac:dyDescent="0.25">
      <c r="A26" s="32"/>
      <c r="B26" s="32"/>
      <c r="C26" s="35"/>
      <c r="D26" s="35"/>
      <c r="E26" s="35"/>
      <c r="F26" s="35"/>
      <c r="G26" s="35"/>
      <c r="H26" s="35"/>
      <c r="I26" s="35"/>
      <c r="J26" s="35"/>
      <c r="K26" s="35"/>
      <c r="L26" s="35"/>
      <c r="M26" s="35"/>
      <c r="N26" s="35"/>
      <c r="O26" s="35"/>
      <c r="P26" s="35"/>
      <c r="Q26" s="35"/>
      <c r="R26" s="36"/>
      <c r="S26" s="36"/>
      <c r="T26" s="36"/>
      <c r="U26" s="36"/>
      <c r="V26" s="36"/>
      <c r="W26" s="36"/>
      <c r="X26" s="36"/>
      <c r="Y26" s="36"/>
      <c r="Z26" s="36"/>
      <c r="AA26" s="36"/>
    </row>
    <row r="27" spans="1:53" x14ac:dyDescent="0.25">
      <c r="A27" s="31"/>
      <c r="B27" s="32"/>
      <c r="C27" s="33">
        <v>2000</v>
      </c>
      <c r="D27" s="33">
        <v>2001</v>
      </c>
      <c r="E27" s="33">
        <v>2002</v>
      </c>
      <c r="F27" s="33">
        <v>2003</v>
      </c>
      <c r="G27" s="33">
        <v>2004</v>
      </c>
      <c r="H27" s="33">
        <v>2005</v>
      </c>
      <c r="I27" s="33">
        <v>2006</v>
      </c>
      <c r="J27" s="33">
        <v>2007</v>
      </c>
      <c r="K27" s="33">
        <v>2008</v>
      </c>
      <c r="L27" s="33">
        <v>2009</v>
      </c>
      <c r="M27" s="33">
        <v>2010</v>
      </c>
      <c r="N27" s="33">
        <v>2011</v>
      </c>
      <c r="O27" s="33">
        <v>2012</v>
      </c>
      <c r="P27" s="33">
        <v>2013</v>
      </c>
      <c r="Q27" s="33">
        <v>2014</v>
      </c>
      <c r="R27" s="34">
        <v>2015</v>
      </c>
      <c r="S27" s="34">
        <v>2016</v>
      </c>
      <c r="T27" s="34">
        <v>2017</v>
      </c>
      <c r="U27" s="34">
        <v>2018</v>
      </c>
      <c r="V27" s="34">
        <v>2019</v>
      </c>
      <c r="W27" s="34">
        <v>2020</v>
      </c>
      <c r="X27" s="34">
        <v>2021</v>
      </c>
      <c r="Y27" s="34">
        <v>2022</v>
      </c>
      <c r="Z27" s="34">
        <v>2023</v>
      </c>
      <c r="AA27" s="34">
        <v>2024</v>
      </c>
      <c r="AB27" s="34">
        <v>2025</v>
      </c>
      <c r="AC27" s="34">
        <v>2026</v>
      </c>
      <c r="AD27" s="34">
        <v>2027</v>
      </c>
      <c r="AE27" s="34">
        <v>2028</v>
      </c>
      <c r="AF27" s="34">
        <v>2029</v>
      </c>
      <c r="AG27" s="34">
        <v>2030</v>
      </c>
      <c r="AH27" s="34">
        <v>2031</v>
      </c>
      <c r="AI27" s="34">
        <v>2032</v>
      </c>
      <c r="AJ27" s="34">
        <v>2033</v>
      </c>
      <c r="AK27" s="34">
        <v>2034</v>
      </c>
      <c r="AL27" s="34">
        <v>2035</v>
      </c>
      <c r="AM27" s="34">
        <v>2036</v>
      </c>
      <c r="AN27" s="34">
        <v>2037</v>
      </c>
      <c r="AO27" s="34">
        <v>2038</v>
      </c>
      <c r="AP27" s="34">
        <v>2039</v>
      </c>
      <c r="AQ27" s="34">
        <v>2040</v>
      </c>
      <c r="AR27" s="34">
        <v>2041</v>
      </c>
      <c r="AS27" s="34">
        <v>2042</v>
      </c>
      <c r="AT27" s="34">
        <v>2043</v>
      </c>
      <c r="AU27" s="34">
        <v>2044</v>
      </c>
      <c r="AV27" s="34">
        <v>2045</v>
      </c>
      <c r="AW27" s="34">
        <v>2046</v>
      </c>
      <c r="AX27" s="34">
        <v>2047</v>
      </c>
      <c r="AY27" s="34">
        <v>2048</v>
      </c>
      <c r="AZ27" s="34">
        <v>2049</v>
      </c>
      <c r="BA27" s="34">
        <v>2050</v>
      </c>
    </row>
    <row r="28" spans="1:53" x14ac:dyDescent="0.25">
      <c r="A28" s="32"/>
      <c r="B28" s="32" t="s">
        <v>682</v>
      </c>
      <c r="C28" s="40">
        <v>2024.0540449999999</v>
      </c>
      <c r="D28" s="40">
        <v>2024.0540449999999</v>
      </c>
      <c r="E28" s="40">
        <v>2024.0540449999999</v>
      </c>
      <c r="F28" s="40">
        <v>2113.8015639999999</v>
      </c>
      <c r="G28" s="40">
        <v>2290.0087429999999</v>
      </c>
      <c r="H28" s="40">
        <v>2393.5830030000002</v>
      </c>
      <c r="I28" s="40">
        <v>2495.02</v>
      </c>
      <c r="J28" s="40">
        <v>2546.5700000000002</v>
      </c>
      <c r="K28" s="40">
        <v>2673.6727109999997</v>
      </c>
      <c r="L28" s="40">
        <v>2586.3408249999998</v>
      </c>
      <c r="M28" s="40">
        <v>2706.3017989999998</v>
      </c>
      <c r="N28" s="40">
        <v>2720.4017549999999</v>
      </c>
      <c r="O28" s="40">
        <v>2842.8103229999997</v>
      </c>
      <c r="P28" s="40">
        <v>2904.1207999999997</v>
      </c>
      <c r="Q28" s="40">
        <v>2969.867827</v>
      </c>
      <c r="R28" s="41">
        <v>3150</v>
      </c>
      <c r="S28" s="41">
        <v>3100</v>
      </c>
      <c r="T28" s="41">
        <v>3200</v>
      </c>
      <c r="U28" s="41">
        <v>3400</v>
      </c>
      <c r="V28" s="41">
        <v>3250</v>
      </c>
      <c r="W28" s="41">
        <v>3300</v>
      </c>
      <c r="X28" s="41">
        <v>3400</v>
      </c>
      <c r="Y28" s="41">
        <v>3500</v>
      </c>
      <c r="Z28" s="41">
        <f>Y28+50</f>
        <v>3550</v>
      </c>
      <c r="AA28" s="41">
        <f t="shared" ref="AA28:AE28" si="1">Z28+50</f>
        <v>3600</v>
      </c>
      <c r="AB28" s="41">
        <f t="shared" si="1"/>
        <v>3650</v>
      </c>
      <c r="AC28" s="41">
        <f t="shared" si="1"/>
        <v>3700</v>
      </c>
      <c r="AD28" s="41">
        <f t="shared" si="1"/>
        <v>3750</v>
      </c>
      <c r="AE28" s="41">
        <f t="shared" si="1"/>
        <v>3800</v>
      </c>
    </row>
    <row r="29" spans="1:53" x14ac:dyDescent="0.25">
      <c r="A29" s="32"/>
      <c r="B29" s="32" t="s">
        <v>683</v>
      </c>
      <c r="C29" s="40">
        <v>1273.2</v>
      </c>
      <c r="D29" s="40">
        <v>1273.2</v>
      </c>
      <c r="E29" s="40">
        <v>1273.2</v>
      </c>
      <c r="F29" s="40">
        <v>1259</v>
      </c>
      <c r="G29" s="40">
        <v>1347</v>
      </c>
      <c r="H29" s="40">
        <v>1396.6</v>
      </c>
      <c r="I29" s="40">
        <v>1442.9</v>
      </c>
      <c r="J29" s="40">
        <v>1402.61000533527</v>
      </c>
      <c r="K29" s="40">
        <v>1458.4151718048199</v>
      </c>
      <c r="L29" s="40">
        <v>1493.2</v>
      </c>
      <c r="M29" s="40">
        <v>1545.3558772633801</v>
      </c>
      <c r="N29" s="40">
        <v>1571</v>
      </c>
      <c r="O29" s="40">
        <v>1661.1</v>
      </c>
      <c r="P29" s="40">
        <v>1681.39</v>
      </c>
      <c r="Q29" s="40">
        <v>1722.5233396599999</v>
      </c>
      <c r="R29" s="41">
        <v>1775.8304373666449</v>
      </c>
      <c r="S29" s="41">
        <v>1820.2326820256628</v>
      </c>
      <c r="T29" s="41">
        <v>1859.0411448844859</v>
      </c>
      <c r="U29" s="41">
        <v>1893.2454556799651</v>
      </c>
      <c r="V29" s="41">
        <v>1928.6136766918191</v>
      </c>
      <c r="W29" s="41">
        <v>1965.2479914611308</v>
      </c>
      <c r="X29" s="41">
        <v>2003.0736716496317</v>
      </c>
      <c r="Y29" s="41">
        <v>2044.3832164581972</v>
      </c>
      <c r="Z29" s="41">
        <v>2085.024175882957</v>
      </c>
      <c r="AA29" s="41">
        <v>2123.3681095603265</v>
      </c>
    </row>
    <row r="30" spans="1:53" x14ac:dyDescent="0.25">
      <c r="A30" s="32"/>
      <c r="B30" s="32" t="s">
        <v>684</v>
      </c>
      <c r="C30" s="40">
        <v>866.94927349604279</v>
      </c>
      <c r="D30" s="40">
        <v>866.94927349604279</v>
      </c>
      <c r="E30" s="40">
        <v>866.94927349604279</v>
      </c>
      <c r="F30" s="40">
        <v>846.1138215167158</v>
      </c>
      <c r="G30" s="40">
        <v>935.18533488170215</v>
      </c>
      <c r="H30" s="40">
        <v>990.02288429185</v>
      </c>
      <c r="I30" s="40">
        <v>1044.5425069013627</v>
      </c>
      <c r="J30" s="40">
        <v>1150.5392931285598</v>
      </c>
      <c r="K30" s="40">
        <v>1208.3756288442755</v>
      </c>
      <c r="L30" s="40">
        <v>1092.2210617160124</v>
      </c>
      <c r="M30" s="40">
        <v>1154.6007305262117</v>
      </c>
      <c r="N30" s="40">
        <v>1140</v>
      </c>
      <c r="O30" s="40">
        <v>1171</v>
      </c>
      <c r="P30" s="40">
        <v>1200</v>
      </c>
      <c r="Q30" s="40">
        <v>1223.1384873399998</v>
      </c>
      <c r="R30" s="41">
        <v>1297.1574685139426</v>
      </c>
      <c r="S30" s="41">
        <v>1339.9486902058916</v>
      </c>
      <c r="T30" s="41">
        <v>1382.183609812364</v>
      </c>
      <c r="U30" s="41">
        <v>1416.4086784270767</v>
      </c>
      <c r="V30" s="41">
        <v>1452.170708036087</v>
      </c>
      <c r="W30" s="41">
        <v>1490.0278167036406</v>
      </c>
      <c r="X30" s="41">
        <v>1529.1035404245388</v>
      </c>
      <c r="Y30" s="41">
        <v>1572.8770953399192</v>
      </c>
      <c r="Z30" s="41">
        <v>1615.0807207181326</v>
      </c>
      <c r="AA30" s="41">
        <v>1653.5952554033502</v>
      </c>
    </row>
    <row r="31" spans="1:53" x14ac:dyDescent="0.25">
      <c r="A31" s="32"/>
      <c r="B31" s="32" t="s">
        <v>685</v>
      </c>
      <c r="C31" s="40">
        <f>'Intermediate calculations'!M15/1000</f>
        <v>2370</v>
      </c>
      <c r="D31" s="40">
        <f>'Intermediate calculations'!N15/1000</f>
        <v>2358</v>
      </c>
      <c r="E31" s="40">
        <f>'Intermediate calculations'!O15/1000</f>
        <v>2457</v>
      </c>
      <c r="F31" s="40">
        <f>'Intermediate calculations'!P15/1000</f>
        <v>2354</v>
      </c>
      <c r="G31" s="40">
        <f>'Intermediate calculations'!Q15/1000</f>
        <v>2505</v>
      </c>
      <c r="H31" s="40">
        <f>'Intermediate calculations'!R15/1000</f>
        <v>2657</v>
      </c>
      <c r="I31" s="40">
        <f>'Intermediate calculations'!S15/1000</f>
        <v>2513</v>
      </c>
      <c r="J31" s="40">
        <f>'Intermediate calculations'!T15/1000</f>
        <v>2559</v>
      </c>
      <c r="K31" s="40">
        <f>'Intermediate calculations'!U15/1000</f>
        <v>2625</v>
      </c>
      <c r="L31" s="40">
        <f>'Intermediate calculations'!V15/1000</f>
        <v>2587</v>
      </c>
      <c r="M31" s="40">
        <f>'Intermediate calculations'!W15/1000</f>
        <v>2711</v>
      </c>
      <c r="N31" s="40">
        <f>'Intermediate calculations'!X15/1000</f>
        <v>2720</v>
      </c>
      <c r="O31" s="40">
        <f>'Intermediate calculations'!Y15/1000</f>
        <v>2858.59235794801</v>
      </c>
      <c r="P31" s="40">
        <f>'Intermediate calculations'!Z15/1000</f>
        <v>2902.3785252225885</v>
      </c>
      <c r="Q31" s="40">
        <f>'Intermediate calculations'!AA15/1000</f>
        <v>2942.925642104633</v>
      </c>
      <c r="R31" s="40">
        <f>'Intermediate calculations'!AB15/1000</f>
        <v>2967.6875783693099</v>
      </c>
      <c r="S31" s="40">
        <f>'Intermediate calculations'!AC15/1000</f>
        <v>2993.2116332839532</v>
      </c>
      <c r="T31" s="40">
        <f>'Intermediate calculations'!AD15/1000</f>
        <v>3036.4916017245287</v>
      </c>
      <c r="U31" s="40">
        <f>'Intermediate calculations'!AE15/1000</f>
        <v>3074.8009983488796</v>
      </c>
      <c r="V31" s="40">
        <f>'Intermediate calculations'!AF15/1000</f>
        <v>3094.6430263660254</v>
      </c>
      <c r="W31" s="40">
        <f>'Intermediate calculations'!AG15/1000</f>
        <v>3031.1952385229606</v>
      </c>
      <c r="X31" s="40">
        <f>'Intermediate calculations'!AH15/1000</f>
        <v>3089.2503244220929</v>
      </c>
      <c r="Y31" s="40">
        <f>'Intermediate calculations'!AI15/1000</f>
        <v>3137.4337229653347</v>
      </c>
      <c r="Z31" s="40">
        <f>'Intermediate calculations'!AJ15/1000</f>
        <v>3183.7181232273356</v>
      </c>
      <c r="AA31" s="40">
        <f>'Intermediate calculations'!AK15/1000</f>
        <v>3234.4831833016156</v>
      </c>
      <c r="AB31" s="40">
        <f>'Intermediate calculations'!AL15/1000</f>
        <v>3299.8368866346095</v>
      </c>
      <c r="AC31" s="40">
        <f>'Intermediate calculations'!AM15/1000</f>
        <v>3367.2649390095648</v>
      </c>
      <c r="AD31" s="40">
        <f>'Intermediate calculations'!AN15/1000</f>
        <v>3439.1930231066308</v>
      </c>
      <c r="AE31" s="40">
        <f>'Intermediate calculations'!AO15/1000</f>
        <v>3506.2076809218311</v>
      </c>
      <c r="AF31" s="40">
        <f>'Intermediate calculations'!AP15/1000</f>
        <v>3580.7482633752729</v>
      </c>
      <c r="AG31" s="40">
        <f>'Intermediate calculations'!AQ15/1000</f>
        <v>3664.5736681198655</v>
      </c>
      <c r="AH31" s="40">
        <f>'Intermediate calculations'!AR15/1000</f>
        <v>3746.1149416789767</v>
      </c>
      <c r="AI31" s="40">
        <f>'Intermediate calculations'!AS15/1000</f>
        <v>3831.3157495766004</v>
      </c>
      <c r="AJ31" s="40">
        <f>'Intermediate calculations'!AT15/1000</f>
        <v>3918.8823320601296</v>
      </c>
      <c r="AK31" s="40">
        <f>'Intermediate calculations'!AU15/1000</f>
        <v>4014.829053913355</v>
      </c>
      <c r="AL31" s="40">
        <f>'Intermediate calculations'!AV15/1000</f>
        <v>4103.5077559496904</v>
      </c>
      <c r="AM31" s="40">
        <f>'Intermediate calculations'!AW15/1000</f>
        <v>4195.3154362968435</v>
      </c>
      <c r="AN31" s="40">
        <f>'Intermediate calculations'!AX15/1000</f>
        <v>4289.4065347228834</v>
      </c>
      <c r="AO31" s="40">
        <f>'Intermediate calculations'!AY15/1000</f>
        <v>4381.4569582023842</v>
      </c>
      <c r="AP31" s="40">
        <f>'Intermediate calculations'!AZ15/1000</f>
        <v>4474.3708828598583</v>
      </c>
      <c r="AQ31" s="40">
        <f>'Intermediate calculations'!BA15/1000</f>
        <v>4570.8475565354038</v>
      </c>
      <c r="AR31" s="40">
        <f>'Intermediate calculations'!BB15/1000</f>
        <v>4670.3061399159496</v>
      </c>
      <c r="AS31" s="40">
        <f>'Intermediate calculations'!BC15/1000</f>
        <v>4766.3259160586294</v>
      </c>
      <c r="AT31" s="40">
        <f>'Intermediate calculations'!BD15/1000</f>
        <v>4864.3344156718149</v>
      </c>
      <c r="AU31" s="40">
        <f>'Intermediate calculations'!BE15/1000</f>
        <v>4964.4938871791319</v>
      </c>
      <c r="AV31" s="40">
        <f>'Intermediate calculations'!BF15/1000</f>
        <v>5070.8186155094609</v>
      </c>
      <c r="AW31" s="40">
        <f>'Intermediate calculations'!BG15/1000</f>
        <v>5178.484149615706</v>
      </c>
      <c r="AX31" s="40">
        <f>'Intermediate calculations'!BH15/1000</f>
        <v>5249.6469457634803</v>
      </c>
      <c r="AY31" s="40">
        <f>'Intermediate calculations'!BI15/1000</f>
        <v>5318.7850606218271</v>
      </c>
      <c r="AZ31" s="40">
        <f>'Intermediate calculations'!BJ15/1000</f>
        <v>5393.6783468933763</v>
      </c>
      <c r="BA31" s="40">
        <f>'Intermediate calculations'!BK15/1000</f>
        <v>5467.01137953136</v>
      </c>
    </row>
    <row r="32" spans="1:53" x14ac:dyDescent="0.25">
      <c r="A32" s="32"/>
      <c r="B32" s="32" t="s">
        <v>686</v>
      </c>
      <c r="C32" s="40">
        <f>'Intermediate calculations'!M12/1000</f>
        <v>1284</v>
      </c>
      <c r="D32" s="40">
        <f>'Intermediate calculations'!N12/1000</f>
        <v>1575</v>
      </c>
      <c r="E32" s="40">
        <f>'Intermediate calculations'!O12/1000</f>
        <v>1611</v>
      </c>
      <c r="F32" s="40">
        <f>'Intermediate calculations'!P12/1000</f>
        <v>1528</v>
      </c>
      <c r="G32" s="40">
        <f>'Intermediate calculations'!Q12/1000</f>
        <v>1626</v>
      </c>
      <c r="H32" s="40">
        <f>'Intermediate calculations'!R12/1000</f>
        <v>1835</v>
      </c>
      <c r="I32" s="40">
        <f>'Intermediate calculations'!S12/1000</f>
        <v>1697</v>
      </c>
      <c r="J32" s="40">
        <f>'Intermediate calculations'!T12/1000</f>
        <v>1799</v>
      </c>
      <c r="K32" s="40">
        <f>'Intermediate calculations'!U12/1000</f>
        <v>1819</v>
      </c>
      <c r="L32" s="40">
        <f>'Intermediate calculations'!V12/1000</f>
        <v>1788</v>
      </c>
      <c r="M32" s="40">
        <f>'Intermediate calculations'!W12/1000</f>
        <v>1868</v>
      </c>
      <c r="N32" s="40">
        <f>'Intermediate calculations'!X12/1000</f>
        <v>1852</v>
      </c>
      <c r="O32" s="40">
        <f>'Intermediate calculations'!Y12/1000</f>
        <v>1954.9472316851625</v>
      </c>
      <c r="P32" s="40">
        <f>'Intermediate calculations'!Z12/1000</f>
        <v>1994.9655739095974</v>
      </c>
      <c r="Q32" s="40">
        <f>'Intermediate calculations'!AA12/1000</f>
        <v>2032.0235879034808</v>
      </c>
      <c r="R32" s="40">
        <f>'Intermediate calculations'!AB12/1000</f>
        <v>2054.6547452131726</v>
      </c>
      <c r="S32" s="40">
        <f>'Intermediate calculations'!AC12/1000</f>
        <v>2077.9824404216661</v>
      </c>
      <c r="T32" s="40">
        <f>'Intermediate calculations'!AD12/1000</f>
        <v>2117.5381425148985</v>
      </c>
      <c r="U32" s="40">
        <f>'Intermediate calculations'!AE12/1000</f>
        <v>2152.5509933751055</v>
      </c>
      <c r="V32" s="40">
        <f>'Intermediate calculations'!AF12/1000</f>
        <v>2170.6856033910403</v>
      </c>
      <c r="W32" s="40">
        <f>'Intermediate calculations'!AG12/1000</f>
        <v>2112.6975344339007</v>
      </c>
      <c r="X32" s="40">
        <f>'Intermediate calculations'!AH12/1000</f>
        <v>2165.7569465722472</v>
      </c>
      <c r="Y32" s="40">
        <f>'Intermediate calculations'!AI12/1000</f>
        <v>2209.7941357682803</v>
      </c>
      <c r="Z32" s="40">
        <f>'Intermediate calculations'!AJ12/1000</f>
        <v>2252.0957365848662</v>
      </c>
      <c r="AA32" s="40">
        <f>'Intermediate calculations'!AK12/1000</f>
        <v>2298.4924338421756</v>
      </c>
      <c r="AB32" s="40">
        <f>'Intermediate calculations'!AL12/1000</f>
        <v>2358.2224131576381</v>
      </c>
      <c r="AC32" s="40">
        <f>'Intermediate calculations'!AM12/1000</f>
        <v>2419.8482425787643</v>
      </c>
      <c r="AD32" s="40">
        <f>'Intermediate calculations'!AN12/1000</f>
        <v>2485.5868733863867</v>
      </c>
      <c r="AE32" s="40">
        <f>'Intermediate calculations'!AO12/1000</f>
        <v>2546.8348810890184</v>
      </c>
      <c r="AF32" s="40">
        <f>'Intermediate calculations'!AP12/1000</f>
        <v>2614.9612032565765</v>
      </c>
      <c r="AG32" s="40">
        <f>'Intermediate calculations'!AQ12/1000</f>
        <v>2691.5733833803765</v>
      </c>
      <c r="AH32" s="40">
        <f>'Intermediate calculations'!AR12/1000</f>
        <v>2766.097983129926</v>
      </c>
      <c r="AI32" s="40">
        <f>'Intermediate calculations'!AS12/1000</f>
        <v>2843.9672121689564</v>
      </c>
      <c r="AJ32" s="40">
        <f>'Intermediate calculations'!AT12/1000</f>
        <v>2923.9986395207761</v>
      </c>
      <c r="AK32" s="40">
        <f>'Intermediate calculations'!AU12/1000</f>
        <v>3011.6890903966682</v>
      </c>
      <c r="AL32" s="40">
        <f>'Intermediate calculations'!AV12/1000</f>
        <v>3092.7369387697572</v>
      </c>
      <c r="AM32" s="40">
        <f>'Intermediate calculations'!AW12/1000</f>
        <v>3176.6445150580562</v>
      </c>
      <c r="AN32" s="40">
        <f>'Intermediate calculations'!AX12/1000</f>
        <v>3262.6390199772468</v>
      </c>
      <c r="AO32" s="40">
        <f>'Intermediate calculations'!AY12/1000</f>
        <v>3346.768451210784</v>
      </c>
      <c r="AP32" s="40">
        <f>'Intermediate calculations'!AZ12/1000</f>
        <v>3431.6870788458846</v>
      </c>
      <c r="AQ32" s="40">
        <f>'Intermediate calculations'!BA12/1000</f>
        <v>3519.8618788828967</v>
      </c>
      <c r="AR32" s="40">
        <f>'Intermediate calculations'!BB12/1000</f>
        <v>3610.7619935679963</v>
      </c>
      <c r="AS32" s="40">
        <f>'Intermediate calculations'!BC12/1000</f>
        <v>3698.519212369431</v>
      </c>
      <c r="AT32" s="40">
        <f>'Intermediate calculations'!BD12/1000</f>
        <v>3788.0940238350827</v>
      </c>
      <c r="AU32" s="40">
        <f>'Intermediate calculations'!BE12/1000</f>
        <v>3879.634714817767</v>
      </c>
      <c r="AV32" s="40">
        <f>'Intermediate calculations'!BF12/1000</f>
        <v>3976.8101387035999</v>
      </c>
      <c r="AW32" s="40">
        <f>'Intermediate calculations'!BG12/1000</f>
        <v>4075.210991251884</v>
      </c>
      <c r="AX32" s="40">
        <f>'Intermediate calculations'!BH12/1000</f>
        <v>4140.2501875814214</v>
      </c>
      <c r="AY32" s="40">
        <f>'Intermediate calculations'!BI12/1000</f>
        <v>4203.4389276189631</v>
      </c>
      <c r="AZ32" s="40">
        <f>'Intermediate calculations'!BJ12/1000</f>
        <v>4271.8876032368335</v>
      </c>
      <c r="BA32" s="40">
        <f>'Intermediate calculations'!BK12/1000</f>
        <v>4338.9102859498344</v>
      </c>
    </row>
    <row r="33" spans="1:53" x14ac:dyDescent="0.25">
      <c r="A33" s="32"/>
      <c r="B33" s="32"/>
      <c r="C33" s="40"/>
      <c r="D33" s="40"/>
      <c r="E33" s="40"/>
      <c r="F33" s="40"/>
      <c r="G33" s="40"/>
      <c r="H33" s="40"/>
      <c r="I33" s="40"/>
      <c r="J33" s="40"/>
      <c r="K33" s="40"/>
      <c r="L33" s="40"/>
      <c r="M33" s="40"/>
      <c r="N33" s="40"/>
      <c r="O33" s="40"/>
      <c r="P33" s="40"/>
      <c r="Q33" s="40"/>
      <c r="R33" s="41"/>
      <c r="S33" s="41"/>
      <c r="T33" s="41"/>
      <c r="U33" s="41"/>
      <c r="V33" s="41"/>
      <c r="W33" s="41"/>
      <c r="X33" s="41"/>
      <c r="Y33" s="41"/>
      <c r="Z33" s="41"/>
      <c r="AA33" s="41"/>
    </row>
    <row r="34" spans="1:53" x14ac:dyDescent="0.25">
      <c r="A34" s="31"/>
      <c r="B34" s="32"/>
      <c r="C34" s="33">
        <v>2000</v>
      </c>
      <c r="D34" s="33">
        <v>2001</v>
      </c>
      <c r="E34" s="33">
        <v>2002</v>
      </c>
      <c r="F34" s="33">
        <v>2003</v>
      </c>
      <c r="G34" s="33">
        <v>2004</v>
      </c>
      <c r="H34" s="33">
        <v>2005</v>
      </c>
      <c r="I34" s="33">
        <v>2006</v>
      </c>
      <c r="J34" s="33">
        <v>2007</v>
      </c>
      <c r="K34" s="33">
        <v>2008</v>
      </c>
      <c r="L34" s="33">
        <v>2009</v>
      </c>
      <c r="M34" s="33">
        <v>2010</v>
      </c>
      <c r="N34" s="33">
        <v>2011</v>
      </c>
      <c r="O34" s="33">
        <v>2012</v>
      </c>
      <c r="P34" s="33">
        <v>2013</v>
      </c>
      <c r="Q34" s="33">
        <v>2014</v>
      </c>
      <c r="R34" s="34">
        <v>2015</v>
      </c>
      <c r="S34" s="34">
        <v>2016</v>
      </c>
      <c r="T34" s="34">
        <v>2017</v>
      </c>
      <c r="U34" s="34">
        <v>2018</v>
      </c>
      <c r="V34" s="34">
        <v>2019</v>
      </c>
      <c r="W34" s="34">
        <v>2020</v>
      </c>
      <c r="X34" s="34">
        <v>2021</v>
      </c>
      <c r="Y34" s="34">
        <v>2022</v>
      </c>
      <c r="Z34" s="34">
        <v>2023</v>
      </c>
      <c r="AA34" s="34">
        <v>2024</v>
      </c>
      <c r="AB34" s="34">
        <v>2025</v>
      </c>
      <c r="AC34" s="34">
        <v>2026</v>
      </c>
      <c r="AD34" s="34">
        <v>2027</v>
      </c>
      <c r="AE34" s="34">
        <v>2028</v>
      </c>
      <c r="AF34" s="34">
        <v>2029</v>
      </c>
      <c r="AG34" s="34">
        <v>2030</v>
      </c>
      <c r="AH34" s="34">
        <v>2031</v>
      </c>
      <c r="AI34" s="34">
        <v>2032</v>
      </c>
      <c r="AJ34" s="34">
        <v>2033</v>
      </c>
      <c r="AK34" s="34">
        <v>2034</v>
      </c>
      <c r="AL34" s="34">
        <v>2035</v>
      </c>
      <c r="AM34" s="34">
        <v>2036</v>
      </c>
      <c r="AN34" s="34">
        <v>2037</v>
      </c>
      <c r="AO34" s="34">
        <v>2038</v>
      </c>
      <c r="AP34" s="34">
        <v>2039</v>
      </c>
      <c r="AQ34" s="34">
        <v>2040</v>
      </c>
      <c r="AR34" s="34">
        <v>2041</v>
      </c>
      <c r="AS34" s="34">
        <v>2042</v>
      </c>
      <c r="AT34" s="34">
        <v>2043</v>
      </c>
      <c r="AU34" s="34">
        <v>2044</v>
      </c>
      <c r="AV34" s="34">
        <v>2045</v>
      </c>
      <c r="AW34" s="34">
        <v>2046</v>
      </c>
      <c r="AX34" s="34">
        <v>2047</v>
      </c>
      <c r="AY34" s="34">
        <v>2048</v>
      </c>
      <c r="AZ34" s="34">
        <v>2049</v>
      </c>
      <c r="BA34" s="34">
        <v>2050</v>
      </c>
    </row>
    <row r="35" spans="1:53" x14ac:dyDescent="0.25">
      <c r="A35" s="37"/>
      <c r="B35" s="37" t="s">
        <v>687</v>
      </c>
      <c r="C35" s="38">
        <v>114.36</v>
      </c>
      <c r="D35" s="38">
        <v>114.36</v>
      </c>
      <c r="E35" s="38">
        <v>114.36</v>
      </c>
      <c r="F35" s="38">
        <v>94.948778000000004</v>
      </c>
      <c r="G35" s="38">
        <v>97.52034399999998</v>
      </c>
      <c r="H35" s="38">
        <v>102.166586</v>
      </c>
      <c r="I35" s="38">
        <v>115.84967</v>
      </c>
      <c r="J35" s="38">
        <v>110.621706</v>
      </c>
      <c r="K35" s="38">
        <v>115.99826544161907</v>
      </c>
      <c r="L35" s="38">
        <v>120.63819605928383</v>
      </c>
      <c r="M35" s="38">
        <v>125.46372390165519</v>
      </c>
      <c r="N35" s="38">
        <v>91.588518448208291</v>
      </c>
      <c r="O35" s="38">
        <v>98.915599924064963</v>
      </c>
      <c r="P35" s="38">
        <v>115.10460982337811</v>
      </c>
      <c r="Q35" s="38">
        <v>118.08101882391567</v>
      </c>
      <c r="R35" s="39">
        <v>120</v>
      </c>
      <c r="S35" s="39">
        <v>125</v>
      </c>
      <c r="T35" s="39">
        <v>135</v>
      </c>
      <c r="U35" s="39">
        <v>115</v>
      </c>
      <c r="V35" s="39">
        <v>108</v>
      </c>
      <c r="W35" s="39">
        <v>113</v>
      </c>
      <c r="X35" s="39">
        <v>116</v>
      </c>
      <c r="Y35" s="39">
        <v>119</v>
      </c>
      <c r="Z35" s="39">
        <v>121</v>
      </c>
      <c r="AA35" s="39">
        <v>124</v>
      </c>
      <c r="AB35" s="39">
        <v>127</v>
      </c>
      <c r="AC35" s="39">
        <v>129</v>
      </c>
      <c r="AD35" s="39">
        <v>131</v>
      </c>
      <c r="AE35" s="39">
        <v>133</v>
      </c>
    </row>
    <row r="36" spans="1:53" x14ac:dyDescent="0.25">
      <c r="A36" s="37"/>
      <c r="B36" s="37" t="s">
        <v>688</v>
      </c>
      <c r="C36" s="38">
        <v>147.50101899999999</v>
      </c>
      <c r="D36" s="38">
        <v>147.50101899999999</v>
      </c>
      <c r="E36" s="38">
        <v>147.50101899999999</v>
      </c>
      <c r="F36" s="38">
        <v>156</v>
      </c>
      <c r="G36" s="38">
        <v>163</v>
      </c>
      <c r="H36" s="38">
        <v>150</v>
      </c>
      <c r="I36" s="38">
        <v>177</v>
      </c>
      <c r="J36" s="38">
        <v>165.63170600000001</v>
      </c>
      <c r="K36" s="38">
        <v>153.94826544161907</v>
      </c>
      <c r="L36" s="38">
        <v>149.24819605928383</v>
      </c>
      <c r="M36" s="38">
        <v>149.24372390165519</v>
      </c>
      <c r="N36" s="38">
        <v>116.67851844820828</v>
      </c>
      <c r="O36" s="38">
        <v>121.76574443406494</v>
      </c>
      <c r="P36" s="38">
        <v>134.49960982337811</v>
      </c>
      <c r="Q36" s="38">
        <v>134.87990262391565</v>
      </c>
      <c r="R36" s="39">
        <v>138.20716425710361</v>
      </c>
      <c r="S36" s="39">
        <v>140.54831762918488</v>
      </c>
      <c r="T36" s="39">
        <v>142.52537151325211</v>
      </c>
      <c r="U36" s="39">
        <v>143.33699921198837</v>
      </c>
      <c r="V36" s="39">
        <v>145.00011855243841</v>
      </c>
      <c r="W36" s="39">
        <v>146.72189410939382</v>
      </c>
      <c r="X36" s="39">
        <v>148.14351293952492</v>
      </c>
      <c r="Y36" s="39">
        <v>149.6242507758528</v>
      </c>
      <c r="Z36" s="39">
        <v>151.3117511608838</v>
      </c>
      <c r="AA36" s="39">
        <v>153.36736842443659</v>
      </c>
    </row>
    <row r="37" spans="1:53" x14ac:dyDescent="0.25">
      <c r="B37" s="37"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152.70746443895251</v>
      </c>
      <c r="P37">
        <f>'Intermediate calculations'!Z27/1000</f>
        <v>154.14741601678881</v>
      </c>
      <c r="Q37">
        <f>'Intermediate calculations'!AA27/1000</f>
        <v>155.63753881537838</v>
      </c>
      <c r="R37">
        <f>'Intermediate calculations'!AB27/1000</f>
        <v>157.17088339373075</v>
      </c>
      <c r="S37">
        <f>'Intermediate calculations'!AC27/1000</f>
        <v>158.76141676617351</v>
      </c>
      <c r="T37">
        <f>'Intermediate calculations'!AD27/1000</f>
        <v>160.42353136903782</v>
      </c>
      <c r="U37">
        <f>'Intermediate calculations'!AE27/1000</f>
        <v>162.10387130782757</v>
      </c>
      <c r="V37">
        <f>'Intermediate calculations'!AF27/1000</f>
        <v>163.79772899475685</v>
      </c>
      <c r="W37">
        <f>'Intermediate calculations'!AG27/1000</f>
        <v>165.45915817917029</v>
      </c>
      <c r="X37">
        <f>'Intermediate calculations'!AH27/1000</f>
        <v>166.73560259458941</v>
      </c>
      <c r="Y37">
        <f>'Intermediate calculations'!AI27/1000</f>
        <v>168.01920305189384</v>
      </c>
      <c r="Z37">
        <f>'Intermediate calculations'!AJ27/1000</f>
        <v>169.31582749172225</v>
      </c>
      <c r="AA37">
        <f>'Intermediate calculations'!AK27/1000</f>
        <v>170.63020597363595</v>
      </c>
      <c r="AB37">
        <f>'Intermediate calculations'!AL27/1000</f>
        <v>171.96973796962129</v>
      </c>
      <c r="AC37">
        <f>'Intermediate calculations'!AM27/1000</f>
        <v>173.13623677237291</v>
      </c>
      <c r="AD37">
        <f>'Intermediate calculations'!AN27/1000</f>
        <v>174.31696606360507</v>
      </c>
      <c r="AE37">
        <f>'Intermediate calculations'!AO27/1000</f>
        <v>175.50529921254639</v>
      </c>
      <c r="AF37">
        <f>'Intermediate calculations'!AP27/1000</f>
        <v>176.71024568918338</v>
      </c>
      <c r="AG37">
        <f>'Intermediate calculations'!AQ27/1000</f>
        <v>177.93317449567635</v>
      </c>
      <c r="AH37">
        <f>'Intermediate calculations'!AR27/1000</f>
        <v>179.00941419553524</v>
      </c>
      <c r="AI37">
        <f>'Intermediate calculations'!AS27/1000</f>
        <v>180.09695921269105</v>
      </c>
      <c r="AJ37">
        <f>'Intermediate calculations'!AT27/1000</f>
        <v>181.1949580380859</v>
      </c>
      <c r="AK37">
        <f>'Intermediate calculations'!AU27/1000</f>
        <v>182.30778854057979</v>
      </c>
      <c r="AL37">
        <f>'Intermediate calculations'!AV27/1000</f>
        <v>183.4243303371247</v>
      </c>
      <c r="AM37">
        <f>'Intermediate calculations'!AW27/1000</f>
        <v>184.40112715139415</v>
      </c>
      <c r="AN37">
        <f>'Intermediate calculations'!AX27/1000</f>
        <v>185.38622807052749</v>
      </c>
      <c r="AO37">
        <f>'Intermediate calculations'!AY27/1000</f>
        <v>186.37658816983975</v>
      </c>
      <c r="AP37">
        <f>'Intermediate calculations'!AZ27/1000</f>
        <v>187.37433449323541</v>
      </c>
      <c r="AQ37">
        <f>'Intermediate calculations'!BA27/1000</f>
        <v>188.38144782468717</v>
      </c>
      <c r="AR37">
        <f>'Intermediate calculations'!BB27/1000</f>
        <v>189.2542634902313</v>
      </c>
      <c r="AS37">
        <f>'Intermediate calculations'!BC27/1000</f>
        <v>190.12959782073196</v>
      </c>
      <c r="AT37">
        <f>'Intermediate calculations'!BD27/1000</f>
        <v>191.01136497698354</v>
      </c>
      <c r="AU37">
        <f>'Intermediate calculations'!BE27/1000</f>
        <v>191.89971215936308</v>
      </c>
      <c r="AV37">
        <f>'Intermediate calculations'!BF27/1000</f>
        <v>192.79754277877811</v>
      </c>
      <c r="AW37">
        <f>'Intermediate calculations'!BG27/1000</f>
        <v>193.55418265977497</v>
      </c>
      <c r="AX37">
        <f>'Intermediate calculations'!BH27/1000</f>
        <v>194.28817521225676</v>
      </c>
      <c r="AY37">
        <f>'Intermediate calculations'!BI27/1000</f>
        <v>195.02420616796343</v>
      </c>
      <c r="AZ37">
        <f>'Intermediate calculations'!BJ27/1000</f>
        <v>195.76785958013085</v>
      </c>
      <c r="BA37">
        <f>'Intermediate calculations'!BK27/1000</f>
        <v>196.51391937171059</v>
      </c>
    </row>
    <row r="38" spans="1:53" x14ac:dyDescent="0.25">
      <c r="B38" s="37"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168.45470578324009</v>
      </c>
      <c r="P38">
        <f>'Intermediate calculations'!Z19/1000</f>
        <v>170.97741273547854</v>
      </c>
      <c r="Q38">
        <f>'Intermediate calculations'!AA19/1000</f>
        <v>173.58801659296341</v>
      </c>
      <c r="R38">
        <f>'Intermediate calculations'!AB19/1000</f>
        <v>176.27434236080549</v>
      </c>
      <c r="S38">
        <f>'Intermediate calculations'!AC19/1000</f>
        <v>179.06085939248081</v>
      </c>
      <c r="T38">
        <f>'Intermediate calculations'!AD19/1000</f>
        <v>181.9727823547538</v>
      </c>
      <c r="U38">
        <f>'Intermediate calculations'!AE19/1000</f>
        <v>184.91663498907531</v>
      </c>
      <c r="V38">
        <f>'Intermediate calculations'!AF19/1000</f>
        <v>187.88416989003346</v>
      </c>
      <c r="W38">
        <f>'Intermediate calculations'!AG19/1000</f>
        <v>190.79489204116959</v>
      </c>
      <c r="X38">
        <f>'Intermediate calculations'!AH19/1000</f>
        <v>193.03114446138102</v>
      </c>
      <c r="Y38">
        <f>'Intermediate calculations'!AI19/1000</f>
        <v>195.27993382859293</v>
      </c>
      <c r="Z38">
        <f>'Intermediate calculations'!AJ19/1000</f>
        <v>197.5515404153314</v>
      </c>
      <c r="AA38">
        <f>'Intermediate calculations'!AK19/1000</f>
        <v>199.85425099618206</v>
      </c>
      <c r="AB38">
        <f>'Intermediate calculations'!AL19/1000</f>
        <v>202.20102899276981</v>
      </c>
      <c r="AC38">
        <f>'Intermediate calculations'!AM19/1000</f>
        <v>204.24466343490923</v>
      </c>
      <c r="AD38">
        <f>'Intermediate calculations'!AN19/1000</f>
        <v>206.31322882109995</v>
      </c>
      <c r="AE38">
        <f>'Intermediate calculations'!AO19/1000</f>
        <v>208.39511570018118</v>
      </c>
      <c r="AF38">
        <f>'Intermediate calculations'!AP19/1000</f>
        <v>210.50610811164466</v>
      </c>
      <c r="AG38">
        <f>'Intermediate calculations'!AQ19/1000</f>
        <v>212.64860446340964</v>
      </c>
      <c r="AH38">
        <f>'Intermediate calculations'!AR19/1000</f>
        <v>214.53411048659729</v>
      </c>
      <c r="AI38">
        <f>'Intermediate calculations'!AS19/1000</f>
        <v>216.43942273312007</v>
      </c>
      <c r="AJ38">
        <f>'Intermediate calculations'!AT19/1000</f>
        <v>218.36304941127216</v>
      </c>
      <c r="AK38">
        <f>'Intermediate calculations'!AU19/1000</f>
        <v>220.3126602791061</v>
      </c>
      <c r="AL38">
        <f>'Intermediate calculations'!AV19/1000</f>
        <v>222.26877310676178</v>
      </c>
      <c r="AM38">
        <f>'Intermediate calculations'!AW19/1000</f>
        <v>223.98006128631613</v>
      </c>
      <c r="AN38">
        <f>'Intermediate calculations'!AX19/1000</f>
        <v>225.7058977488785</v>
      </c>
      <c r="AO38">
        <f>'Intermediate calculations'!AY19/1000</f>
        <v>227.44094797293442</v>
      </c>
      <c r="AP38">
        <f>'Intermediate calculations'!AZ19/1000</f>
        <v>229.18893840910084</v>
      </c>
      <c r="AQ38">
        <f>'Intermediate calculations'!BA19/1000</f>
        <v>230.95333926955405</v>
      </c>
      <c r="AR38">
        <f>'Intermediate calculations'!BB19/1000</f>
        <v>232.48245884647713</v>
      </c>
      <c r="AS38">
        <f>'Intermediate calculations'!BC19/1000</f>
        <v>234.01599097010941</v>
      </c>
      <c r="AT38">
        <f>'Intermediate calculations'!BD19/1000</f>
        <v>235.56079301037931</v>
      </c>
      <c r="AU38">
        <f>'Intermediate calculations'!BE19/1000</f>
        <v>237.11712285332982</v>
      </c>
      <c r="AV38">
        <f>'Intermediate calculations'!BF19/1000</f>
        <v>238.69006709700651</v>
      </c>
      <c r="AW38">
        <f>'Intermediate calculations'!BG19/1000</f>
        <v>240.01565381638758</v>
      </c>
      <c r="AX38">
        <f>'Intermediate calculations'!BH19/1000</f>
        <v>241.30156380359654</v>
      </c>
      <c r="AY38">
        <f>'Intermediate calculations'!BI19/1000</f>
        <v>242.59104494838192</v>
      </c>
      <c r="AZ38">
        <f>'Intermediate calculations'!BJ19/1000</f>
        <v>243.89388016993121</v>
      </c>
      <c r="BA38">
        <f>'Intermediate calculations'!BK19/1000</f>
        <v>245.2009312207949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83"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50" customFormat="1" ht="15.75" x14ac:dyDescent="0.25">
      <c r="A4" s="49" t="s">
        <v>712</v>
      </c>
      <c r="B4" s="52" t="s">
        <v>711</v>
      </c>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40" x14ac:dyDescent="0.25">
      <c r="A5" t="s">
        <v>662</v>
      </c>
      <c r="B5" t="s">
        <v>361</v>
      </c>
      <c r="C5" s="78"/>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row>
    <row r="6" spans="1:40" x14ac:dyDescent="0.25">
      <c r="A6" t="s">
        <v>384</v>
      </c>
      <c r="B6" t="s">
        <v>321</v>
      </c>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row>
    <row r="7" spans="1:40" x14ac:dyDescent="0.25">
      <c r="A7" t="s">
        <v>659</v>
      </c>
      <c r="B7" t="s">
        <v>321</v>
      </c>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40" x14ac:dyDescent="0.25">
      <c r="A8" t="s">
        <v>660</v>
      </c>
      <c r="B8" t="s">
        <v>321</v>
      </c>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10" spans="1:40" s="50" customFormat="1" ht="15.75" x14ac:dyDescent="0.25">
      <c r="A10" s="49" t="s">
        <v>713</v>
      </c>
      <c r="B10" s="52" t="s">
        <v>778</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1" spans="1:40" s="74" customFormat="1" ht="15.75" x14ac:dyDescent="0.25">
      <c r="A11" s="72" t="s">
        <v>771</v>
      </c>
      <c r="B11" s="73" t="s">
        <v>779</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row>
    <row r="12" spans="1:40" x14ac:dyDescent="0.25">
      <c r="A12" s="75" t="s">
        <v>449</v>
      </c>
      <c r="B12" t="s">
        <v>305</v>
      </c>
      <c r="C12" s="25">
        <v>95</v>
      </c>
      <c r="D12" s="25">
        <v>95</v>
      </c>
      <c r="E12" s="25">
        <v>95</v>
      </c>
      <c r="F12" s="25">
        <v>95</v>
      </c>
      <c r="G12" s="25">
        <v>95</v>
      </c>
      <c r="H12" s="25">
        <v>95</v>
      </c>
      <c r="I12" s="25">
        <v>95</v>
      </c>
      <c r="J12" s="25">
        <v>95</v>
      </c>
      <c r="K12" s="25">
        <v>95</v>
      </c>
      <c r="L12" s="25">
        <v>95</v>
      </c>
      <c r="M12" s="25">
        <v>95</v>
      </c>
      <c r="N12" s="25">
        <v>95</v>
      </c>
      <c r="O12" s="25">
        <v>95</v>
      </c>
      <c r="P12" s="25">
        <v>95</v>
      </c>
      <c r="Q12" s="25">
        <v>95</v>
      </c>
      <c r="R12" s="25">
        <v>95</v>
      </c>
      <c r="S12" s="25">
        <v>95</v>
      </c>
      <c r="T12" s="25">
        <v>95</v>
      </c>
      <c r="U12" s="25">
        <v>95</v>
      </c>
      <c r="V12" s="25">
        <v>95</v>
      </c>
      <c r="W12" s="25">
        <v>95</v>
      </c>
      <c r="X12" s="25">
        <v>95</v>
      </c>
      <c r="Y12" s="25">
        <v>95</v>
      </c>
      <c r="Z12" s="25">
        <v>95</v>
      </c>
      <c r="AA12" s="25">
        <v>95</v>
      </c>
      <c r="AB12" s="25">
        <v>95</v>
      </c>
      <c r="AC12" s="25">
        <v>95</v>
      </c>
      <c r="AD12" s="25">
        <v>95</v>
      </c>
      <c r="AE12" s="25">
        <v>95</v>
      </c>
      <c r="AF12" s="25">
        <v>95</v>
      </c>
      <c r="AG12" s="25">
        <v>95</v>
      </c>
      <c r="AH12" s="25">
        <v>95</v>
      </c>
      <c r="AI12" s="25">
        <v>95</v>
      </c>
      <c r="AJ12" s="25">
        <v>95</v>
      </c>
    </row>
    <row r="13" spans="1:40" x14ac:dyDescent="0.25">
      <c r="A13" s="75" t="s">
        <v>450</v>
      </c>
      <c r="B13" t="s">
        <v>305</v>
      </c>
      <c r="C13" s="25">
        <v>0</v>
      </c>
      <c r="D13" s="25">
        <v>0</v>
      </c>
      <c r="E13" s="25">
        <v>0</v>
      </c>
      <c r="F13" s="25">
        <v>0</v>
      </c>
      <c r="G13" s="25">
        <v>0</v>
      </c>
      <c r="H13" s="25">
        <v>0</v>
      </c>
      <c r="I13" s="25">
        <v>0</v>
      </c>
      <c r="J13" s="25">
        <v>0</v>
      </c>
      <c r="K13" s="25">
        <v>0</v>
      </c>
      <c r="L13" s="25">
        <v>0</v>
      </c>
      <c r="M13" s="25">
        <v>0</v>
      </c>
      <c r="N13" s="25">
        <v>0</v>
      </c>
      <c r="O13" s="25">
        <v>0</v>
      </c>
      <c r="P13" s="25">
        <v>0</v>
      </c>
      <c r="Q13" s="25">
        <v>0</v>
      </c>
      <c r="R13" s="25">
        <v>0</v>
      </c>
      <c r="S13" s="25">
        <v>0</v>
      </c>
      <c r="T13" s="25">
        <v>0</v>
      </c>
      <c r="U13" s="25">
        <v>0</v>
      </c>
      <c r="V13" s="25">
        <v>0</v>
      </c>
      <c r="W13" s="25">
        <v>0</v>
      </c>
      <c r="X13" s="25">
        <v>0</v>
      </c>
      <c r="Y13" s="25">
        <v>0</v>
      </c>
      <c r="Z13" s="25">
        <v>0</v>
      </c>
      <c r="AA13" s="25">
        <v>0</v>
      </c>
      <c r="AB13" s="25">
        <v>0</v>
      </c>
      <c r="AC13" s="25">
        <v>0</v>
      </c>
      <c r="AD13" s="25">
        <v>0</v>
      </c>
      <c r="AE13" s="25">
        <v>0</v>
      </c>
      <c r="AF13" s="25">
        <v>0</v>
      </c>
      <c r="AG13" s="25">
        <v>0</v>
      </c>
      <c r="AH13" s="25">
        <v>0</v>
      </c>
      <c r="AI13" s="25">
        <v>0</v>
      </c>
      <c r="AJ13" s="25">
        <v>0</v>
      </c>
    </row>
    <row r="14" spans="1:40" x14ac:dyDescent="0.25">
      <c r="A14" s="75" t="s">
        <v>451</v>
      </c>
      <c r="B14" t="s">
        <v>305</v>
      </c>
      <c r="C14" s="25">
        <v>0</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row>
    <row r="15" spans="1:40" x14ac:dyDescent="0.25">
      <c r="A15" s="75" t="s">
        <v>452</v>
      </c>
      <c r="B15" t="s">
        <v>305</v>
      </c>
      <c r="C15" s="25">
        <v>0</v>
      </c>
      <c r="D15" s="25">
        <v>0</v>
      </c>
      <c r="E15" s="25">
        <v>0</v>
      </c>
      <c r="F15" s="25">
        <v>0</v>
      </c>
      <c r="G15" s="25">
        <v>0</v>
      </c>
      <c r="H15" s="25">
        <v>0</v>
      </c>
      <c r="I15" s="25">
        <v>0</v>
      </c>
      <c r="J15" s="25">
        <v>0</v>
      </c>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row>
    <row r="16" spans="1:40" x14ac:dyDescent="0.25">
      <c r="A16" s="75" t="s">
        <v>453</v>
      </c>
      <c r="B16" t="s">
        <v>305</v>
      </c>
      <c r="C16" s="25">
        <v>0</v>
      </c>
      <c r="D16" s="25">
        <v>0</v>
      </c>
      <c r="E16" s="25">
        <v>0</v>
      </c>
      <c r="F16" s="25">
        <v>0</v>
      </c>
      <c r="G16" s="25">
        <v>0</v>
      </c>
      <c r="H16" s="25">
        <v>0</v>
      </c>
      <c r="I16" s="25">
        <v>0</v>
      </c>
      <c r="J16" s="25">
        <v>0</v>
      </c>
      <c r="K16" s="25">
        <v>0</v>
      </c>
      <c r="L16" s="25">
        <v>0</v>
      </c>
      <c r="M16" s="25">
        <v>0</v>
      </c>
      <c r="N16" s="25">
        <v>0</v>
      </c>
      <c r="O16" s="25">
        <v>0</v>
      </c>
      <c r="P16" s="25">
        <v>0</v>
      </c>
      <c r="Q16" s="25">
        <v>0</v>
      </c>
      <c r="R16" s="25">
        <v>0</v>
      </c>
      <c r="S16" s="25">
        <v>0</v>
      </c>
      <c r="T16" s="25">
        <v>0</v>
      </c>
      <c r="U16" s="25">
        <v>0</v>
      </c>
      <c r="V16" s="25">
        <v>0</v>
      </c>
      <c r="W16" s="25">
        <v>0</v>
      </c>
      <c r="X16" s="25">
        <v>0</v>
      </c>
      <c r="Y16" s="25">
        <v>0</v>
      </c>
      <c r="Z16" s="25">
        <v>0</v>
      </c>
      <c r="AA16" s="25">
        <v>0</v>
      </c>
      <c r="AB16" s="25">
        <v>0</v>
      </c>
      <c r="AC16" s="25">
        <v>0</v>
      </c>
      <c r="AD16" s="25">
        <v>0</v>
      </c>
      <c r="AE16" s="25">
        <v>0</v>
      </c>
      <c r="AF16" s="25">
        <v>0</v>
      </c>
      <c r="AG16" s="25">
        <v>0</v>
      </c>
      <c r="AH16" s="25">
        <v>0</v>
      </c>
      <c r="AI16" s="25">
        <v>0</v>
      </c>
      <c r="AJ16" s="25">
        <v>0</v>
      </c>
    </row>
    <row r="17" spans="1:36" x14ac:dyDescent="0.25">
      <c r="A17" s="75" t="s">
        <v>454</v>
      </c>
      <c r="B17" t="s">
        <v>305</v>
      </c>
      <c r="C17" s="25">
        <v>0</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x14ac:dyDescent="0.25">
      <c r="A18" s="75" t="s">
        <v>455</v>
      </c>
      <c r="B18" t="s">
        <v>305</v>
      </c>
      <c r="C18" s="25">
        <v>5</v>
      </c>
      <c r="D18" s="25">
        <v>5</v>
      </c>
      <c r="E18" s="25">
        <v>5</v>
      </c>
      <c r="F18" s="25">
        <v>5</v>
      </c>
      <c r="G18" s="25">
        <v>5</v>
      </c>
      <c r="H18" s="25">
        <v>5</v>
      </c>
      <c r="I18" s="25">
        <v>5</v>
      </c>
      <c r="J18" s="25">
        <v>5</v>
      </c>
      <c r="K18" s="25">
        <v>5</v>
      </c>
      <c r="L18" s="25">
        <v>5</v>
      </c>
      <c r="M18" s="25">
        <v>5</v>
      </c>
      <c r="N18" s="25">
        <v>5</v>
      </c>
      <c r="O18" s="25">
        <v>5</v>
      </c>
      <c r="P18" s="25">
        <v>5</v>
      </c>
      <c r="Q18" s="25">
        <v>5</v>
      </c>
      <c r="R18" s="25">
        <v>5</v>
      </c>
      <c r="S18" s="25">
        <v>5</v>
      </c>
      <c r="T18" s="25">
        <v>5</v>
      </c>
      <c r="U18" s="25">
        <v>5</v>
      </c>
      <c r="V18" s="25">
        <v>5</v>
      </c>
      <c r="W18" s="25">
        <v>5</v>
      </c>
      <c r="X18" s="25">
        <v>5</v>
      </c>
      <c r="Y18" s="25">
        <v>5</v>
      </c>
      <c r="Z18" s="25">
        <v>5</v>
      </c>
      <c r="AA18" s="25">
        <v>5</v>
      </c>
      <c r="AB18" s="25">
        <v>5</v>
      </c>
      <c r="AC18" s="25">
        <v>5</v>
      </c>
      <c r="AD18" s="25">
        <v>5</v>
      </c>
      <c r="AE18" s="25">
        <v>5</v>
      </c>
      <c r="AF18" s="25">
        <v>5</v>
      </c>
      <c r="AG18" s="25">
        <v>5</v>
      </c>
      <c r="AH18" s="25">
        <v>5</v>
      </c>
      <c r="AI18" s="25">
        <v>5</v>
      </c>
      <c r="AJ18" s="25">
        <v>5</v>
      </c>
    </row>
    <row r="19" spans="1:36" x14ac:dyDescent="0.25">
      <c r="A19" s="75" t="s">
        <v>456</v>
      </c>
      <c r="B19" t="s">
        <v>305</v>
      </c>
      <c r="C19" s="25">
        <v>0</v>
      </c>
      <c r="D19" s="25">
        <v>0</v>
      </c>
      <c r="E19" s="25">
        <v>0</v>
      </c>
      <c r="F19" s="25">
        <v>0</v>
      </c>
      <c r="G19" s="25">
        <v>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row>
    <row r="20" spans="1:36" x14ac:dyDescent="0.25">
      <c r="A20" s="75" t="s">
        <v>457</v>
      </c>
      <c r="B20" t="s">
        <v>305</v>
      </c>
      <c r="C20" s="25">
        <v>0</v>
      </c>
      <c r="D20" s="25">
        <v>0</v>
      </c>
      <c r="E20" s="25">
        <v>0</v>
      </c>
      <c r="F20" s="25">
        <v>0</v>
      </c>
      <c r="G20" s="25">
        <v>0</v>
      </c>
      <c r="H20" s="25">
        <v>0</v>
      </c>
      <c r="I20" s="25">
        <v>0</v>
      </c>
      <c r="J20" s="25">
        <v>0</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row>
    <row r="21" spans="1:36" x14ac:dyDescent="0.25">
      <c r="A21" s="75" t="s">
        <v>458</v>
      </c>
      <c r="B21" t="s">
        <v>305</v>
      </c>
      <c r="C21" s="25">
        <v>0</v>
      </c>
      <c r="D21" s="25">
        <v>0</v>
      </c>
      <c r="E21" s="25">
        <v>0</v>
      </c>
      <c r="F21" s="25">
        <v>0</v>
      </c>
      <c r="G21" s="25">
        <v>0</v>
      </c>
      <c r="H21" s="25">
        <v>0</v>
      </c>
      <c r="I21" s="25">
        <v>0</v>
      </c>
      <c r="J21" s="25">
        <v>0</v>
      </c>
      <c r="K21" s="25">
        <v>0</v>
      </c>
      <c r="L21" s="25">
        <v>0</v>
      </c>
      <c r="M21" s="25">
        <v>0</v>
      </c>
      <c r="N21" s="25">
        <v>0</v>
      </c>
      <c r="O21" s="25">
        <v>0</v>
      </c>
      <c r="P21" s="25">
        <v>0</v>
      </c>
      <c r="Q21" s="25">
        <v>0</v>
      </c>
      <c r="R21" s="25">
        <v>0</v>
      </c>
      <c r="S21" s="25">
        <v>0</v>
      </c>
      <c r="T21" s="25">
        <v>0</v>
      </c>
      <c r="U21" s="25">
        <v>0</v>
      </c>
      <c r="V21" s="25">
        <v>0</v>
      </c>
      <c r="W21" s="25">
        <v>0</v>
      </c>
      <c r="X21" s="25">
        <v>0</v>
      </c>
      <c r="Y21" s="25">
        <v>0</v>
      </c>
      <c r="Z21" s="25">
        <v>0</v>
      </c>
      <c r="AA21" s="25">
        <v>0</v>
      </c>
      <c r="AB21" s="25">
        <v>0</v>
      </c>
      <c r="AC21" s="25">
        <v>0</v>
      </c>
      <c r="AD21" s="25">
        <v>0</v>
      </c>
      <c r="AE21" s="25">
        <v>0</v>
      </c>
      <c r="AF21" s="25">
        <v>0</v>
      </c>
      <c r="AG21" s="25">
        <v>0</v>
      </c>
      <c r="AH21" s="25">
        <v>0</v>
      </c>
      <c r="AI21" s="25">
        <v>0</v>
      </c>
      <c r="AJ21" s="25">
        <v>0</v>
      </c>
    </row>
    <row r="22" spans="1:36" x14ac:dyDescent="0.25">
      <c r="A22" s="75" t="s">
        <v>752</v>
      </c>
      <c r="B22" t="s">
        <v>305</v>
      </c>
      <c r="C22" s="25">
        <v>0</v>
      </c>
      <c r="D22" s="25">
        <v>0</v>
      </c>
      <c r="E22" s="25">
        <v>0</v>
      </c>
      <c r="F22" s="25">
        <v>0</v>
      </c>
      <c r="G22" s="25">
        <v>0</v>
      </c>
      <c r="H22" s="25">
        <v>0</v>
      </c>
      <c r="I22" s="25">
        <v>0</v>
      </c>
      <c r="J22" s="25">
        <v>0</v>
      </c>
      <c r="K22" s="25">
        <v>0</v>
      </c>
      <c r="L22" s="25">
        <v>0</v>
      </c>
      <c r="M22" s="25">
        <v>0</v>
      </c>
      <c r="N22" s="25">
        <v>0</v>
      </c>
      <c r="O22" s="25">
        <v>0</v>
      </c>
      <c r="P22" s="25">
        <v>0</v>
      </c>
      <c r="Q22" s="25">
        <v>0</v>
      </c>
      <c r="R22" s="25">
        <v>0</v>
      </c>
      <c r="S22" s="25">
        <v>0</v>
      </c>
      <c r="T22" s="25">
        <v>0</v>
      </c>
      <c r="U22" s="25">
        <v>0</v>
      </c>
      <c r="V22" s="25">
        <v>0</v>
      </c>
      <c r="W22" s="25">
        <v>0</v>
      </c>
      <c r="X22" s="25">
        <v>0</v>
      </c>
      <c r="Y22" s="25">
        <v>0</v>
      </c>
      <c r="Z22" s="25">
        <v>0</v>
      </c>
      <c r="AA22" s="25">
        <v>0</v>
      </c>
      <c r="AB22" s="25">
        <v>0</v>
      </c>
      <c r="AC22" s="25">
        <v>0</v>
      </c>
      <c r="AD22" s="25">
        <v>0</v>
      </c>
      <c r="AE22" s="25">
        <v>0</v>
      </c>
      <c r="AF22" s="25">
        <v>0</v>
      </c>
      <c r="AG22" s="25">
        <v>0</v>
      </c>
      <c r="AH22" s="25">
        <v>0</v>
      </c>
      <c r="AI22" s="25">
        <v>0</v>
      </c>
      <c r="AJ22" s="25">
        <v>0</v>
      </c>
    </row>
    <row r="23" spans="1:36" s="76" customFormat="1" x14ac:dyDescent="0.25">
      <c r="A23" s="76" t="s">
        <v>780</v>
      </c>
      <c r="C23" s="77">
        <f>+SUM(C12:C22)</f>
        <v>100</v>
      </c>
      <c r="D23" s="77">
        <f t="shared" ref="D23:AJ23" si="0">+SUM(D12:D22)</f>
        <v>100</v>
      </c>
      <c r="E23" s="77">
        <f t="shared" si="0"/>
        <v>100</v>
      </c>
      <c r="F23" s="77">
        <f t="shared" si="0"/>
        <v>100</v>
      </c>
      <c r="G23" s="77">
        <f t="shared" si="0"/>
        <v>100</v>
      </c>
      <c r="H23" s="77">
        <f t="shared" si="0"/>
        <v>100</v>
      </c>
      <c r="I23" s="77">
        <f t="shared" si="0"/>
        <v>100</v>
      </c>
      <c r="J23" s="77">
        <f t="shared" si="0"/>
        <v>100</v>
      </c>
      <c r="K23" s="77">
        <f t="shared" si="0"/>
        <v>100</v>
      </c>
      <c r="L23" s="77">
        <f t="shared" si="0"/>
        <v>100</v>
      </c>
      <c r="M23" s="77">
        <f t="shared" si="0"/>
        <v>100</v>
      </c>
      <c r="N23" s="77">
        <f t="shared" si="0"/>
        <v>100</v>
      </c>
      <c r="O23" s="77">
        <f t="shared" si="0"/>
        <v>100</v>
      </c>
      <c r="P23" s="77">
        <f t="shared" si="0"/>
        <v>100</v>
      </c>
      <c r="Q23" s="77">
        <f t="shared" si="0"/>
        <v>100</v>
      </c>
      <c r="R23" s="77">
        <f t="shared" si="0"/>
        <v>100</v>
      </c>
      <c r="S23" s="77">
        <f t="shared" si="0"/>
        <v>100</v>
      </c>
      <c r="T23" s="77">
        <f t="shared" si="0"/>
        <v>100</v>
      </c>
      <c r="U23" s="77">
        <f t="shared" si="0"/>
        <v>100</v>
      </c>
      <c r="V23" s="77">
        <f t="shared" si="0"/>
        <v>100</v>
      </c>
      <c r="W23" s="77">
        <f t="shared" si="0"/>
        <v>100</v>
      </c>
      <c r="X23" s="77">
        <f t="shared" si="0"/>
        <v>100</v>
      </c>
      <c r="Y23" s="77">
        <f t="shared" si="0"/>
        <v>100</v>
      </c>
      <c r="Z23" s="77">
        <f t="shared" si="0"/>
        <v>100</v>
      </c>
      <c r="AA23" s="77">
        <f t="shared" si="0"/>
        <v>100</v>
      </c>
      <c r="AB23" s="77">
        <f t="shared" si="0"/>
        <v>100</v>
      </c>
      <c r="AC23" s="77">
        <f t="shared" si="0"/>
        <v>100</v>
      </c>
      <c r="AD23" s="77">
        <f t="shared" si="0"/>
        <v>100</v>
      </c>
      <c r="AE23" s="77">
        <f t="shared" si="0"/>
        <v>100</v>
      </c>
      <c r="AF23" s="77">
        <f t="shared" si="0"/>
        <v>100</v>
      </c>
      <c r="AG23" s="77">
        <f t="shared" si="0"/>
        <v>100</v>
      </c>
      <c r="AH23" s="77">
        <f t="shared" si="0"/>
        <v>100</v>
      </c>
      <c r="AI23" s="77">
        <f t="shared" si="0"/>
        <v>100</v>
      </c>
      <c r="AJ23" s="77">
        <f t="shared" si="0"/>
        <v>100</v>
      </c>
    </row>
    <row r="24" spans="1:36" x14ac:dyDescent="0.25">
      <c r="A24" t="s">
        <v>459</v>
      </c>
      <c r="B24" t="s">
        <v>305</v>
      </c>
      <c r="C24" s="25">
        <v>11</v>
      </c>
      <c r="D24" s="25">
        <v>11</v>
      </c>
      <c r="E24" s="25">
        <v>11</v>
      </c>
      <c r="F24" s="25">
        <v>11</v>
      </c>
      <c r="G24" s="25">
        <v>11</v>
      </c>
      <c r="H24" s="25">
        <v>11</v>
      </c>
      <c r="I24" s="25">
        <v>11</v>
      </c>
      <c r="J24" s="25">
        <v>11</v>
      </c>
      <c r="K24" s="25">
        <v>11</v>
      </c>
      <c r="L24" s="25">
        <v>11</v>
      </c>
      <c r="M24" s="25">
        <v>11</v>
      </c>
      <c r="N24" s="25">
        <v>11</v>
      </c>
      <c r="O24" s="25">
        <v>11</v>
      </c>
      <c r="P24" s="25">
        <v>11</v>
      </c>
      <c r="Q24" s="25">
        <v>11</v>
      </c>
      <c r="R24" s="25">
        <v>11</v>
      </c>
      <c r="S24" s="25">
        <v>11</v>
      </c>
      <c r="T24" s="25">
        <v>11</v>
      </c>
      <c r="U24" s="25">
        <v>11</v>
      </c>
      <c r="V24" s="25">
        <v>11</v>
      </c>
      <c r="W24" s="25">
        <v>11</v>
      </c>
      <c r="X24" s="25">
        <v>11</v>
      </c>
      <c r="Y24" s="25">
        <v>11</v>
      </c>
      <c r="Z24" s="25">
        <v>11</v>
      </c>
      <c r="AA24" s="25">
        <v>11</v>
      </c>
      <c r="AB24" s="25">
        <v>11</v>
      </c>
      <c r="AC24" s="25">
        <v>11</v>
      </c>
      <c r="AD24" s="25">
        <v>11</v>
      </c>
      <c r="AE24" s="25">
        <v>11</v>
      </c>
      <c r="AF24" s="25">
        <v>11</v>
      </c>
      <c r="AG24" s="25">
        <v>11</v>
      </c>
      <c r="AH24" s="25">
        <v>11</v>
      </c>
      <c r="AI24" s="25">
        <v>11</v>
      </c>
      <c r="AJ24" s="25">
        <v>11</v>
      </c>
    </row>
    <row r="25" spans="1:36" x14ac:dyDescent="0.25">
      <c r="A25" t="s">
        <v>460</v>
      </c>
      <c r="B25" t="s">
        <v>305</v>
      </c>
      <c r="C25" s="25">
        <v>0</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row>
    <row r="26" spans="1:36" x14ac:dyDescent="0.25">
      <c r="A26" t="s">
        <v>461</v>
      </c>
      <c r="B26" t="s">
        <v>305</v>
      </c>
      <c r="C26" s="25">
        <v>8</v>
      </c>
      <c r="D26" s="25">
        <v>8</v>
      </c>
      <c r="E26" s="25">
        <v>8</v>
      </c>
      <c r="F26" s="25">
        <v>8</v>
      </c>
      <c r="G26" s="25">
        <v>8</v>
      </c>
      <c r="H26" s="25">
        <v>8</v>
      </c>
      <c r="I26" s="25">
        <v>8</v>
      </c>
      <c r="J26" s="25">
        <v>8</v>
      </c>
      <c r="K26" s="25">
        <v>8</v>
      </c>
      <c r="L26" s="25">
        <v>8</v>
      </c>
      <c r="M26" s="25">
        <v>8</v>
      </c>
      <c r="N26" s="25">
        <v>8</v>
      </c>
      <c r="O26" s="25">
        <v>8</v>
      </c>
      <c r="P26" s="25">
        <v>8</v>
      </c>
      <c r="Q26" s="25">
        <v>8</v>
      </c>
      <c r="R26" s="25">
        <v>8</v>
      </c>
      <c r="S26" s="25">
        <v>8</v>
      </c>
      <c r="T26" s="25">
        <v>8</v>
      </c>
      <c r="U26" s="25">
        <v>8</v>
      </c>
      <c r="V26" s="25">
        <v>8</v>
      </c>
      <c r="W26" s="25">
        <v>8</v>
      </c>
      <c r="X26" s="25">
        <v>8</v>
      </c>
      <c r="Y26" s="25">
        <v>8</v>
      </c>
      <c r="Z26" s="25">
        <v>8</v>
      </c>
      <c r="AA26" s="25">
        <v>8</v>
      </c>
      <c r="AB26" s="25">
        <v>8</v>
      </c>
      <c r="AC26" s="25">
        <v>8</v>
      </c>
      <c r="AD26" s="25">
        <v>8</v>
      </c>
      <c r="AE26" s="25">
        <v>8</v>
      </c>
      <c r="AF26" s="25">
        <v>8</v>
      </c>
      <c r="AG26" s="25">
        <v>8</v>
      </c>
      <c r="AH26" s="25">
        <v>8</v>
      </c>
      <c r="AI26" s="25">
        <v>8</v>
      </c>
      <c r="AJ26" s="25">
        <v>8</v>
      </c>
    </row>
    <row r="27" spans="1:36" x14ac:dyDescent="0.25">
      <c r="A27" t="s">
        <v>462</v>
      </c>
      <c r="B27" t="s">
        <v>305</v>
      </c>
      <c r="C27" s="25">
        <v>10</v>
      </c>
      <c r="D27" s="25">
        <v>10</v>
      </c>
      <c r="E27" s="25">
        <v>10</v>
      </c>
      <c r="F27" s="25">
        <v>10</v>
      </c>
      <c r="G27" s="25">
        <v>10</v>
      </c>
      <c r="H27" s="25">
        <v>10</v>
      </c>
      <c r="I27" s="25">
        <v>10</v>
      </c>
      <c r="J27" s="25">
        <v>10</v>
      </c>
      <c r="K27" s="25">
        <v>10</v>
      </c>
      <c r="L27" s="25">
        <v>10</v>
      </c>
      <c r="M27" s="25">
        <v>10</v>
      </c>
      <c r="N27" s="25">
        <v>10</v>
      </c>
      <c r="O27" s="25">
        <v>10</v>
      </c>
      <c r="P27" s="25">
        <v>10</v>
      </c>
      <c r="Q27" s="25">
        <v>10</v>
      </c>
      <c r="R27" s="25">
        <v>10</v>
      </c>
      <c r="S27" s="25">
        <v>10</v>
      </c>
      <c r="T27" s="25">
        <v>10</v>
      </c>
      <c r="U27" s="25">
        <v>10</v>
      </c>
      <c r="V27" s="25">
        <v>10</v>
      </c>
      <c r="W27" s="25">
        <v>10</v>
      </c>
      <c r="X27" s="25">
        <v>10</v>
      </c>
      <c r="Y27" s="25">
        <v>10</v>
      </c>
      <c r="Z27" s="25">
        <v>10</v>
      </c>
      <c r="AA27" s="25">
        <v>10</v>
      </c>
      <c r="AB27" s="25">
        <v>10</v>
      </c>
      <c r="AC27" s="25">
        <v>10</v>
      </c>
      <c r="AD27" s="25">
        <v>10</v>
      </c>
      <c r="AE27" s="25">
        <v>10</v>
      </c>
      <c r="AF27" s="25">
        <v>10</v>
      </c>
      <c r="AG27" s="25">
        <v>10</v>
      </c>
      <c r="AH27" s="25">
        <v>10</v>
      </c>
      <c r="AI27" s="25">
        <v>10</v>
      </c>
      <c r="AJ27" s="25">
        <v>10</v>
      </c>
    </row>
    <row r="28" spans="1:36" x14ac:dyDescent="0.25">
      <c r="A28" t="s">
        <v>463</v>
      </c>
      <c r="B28" t="s">
        <v>305</v>
      </c>
      <c r="C28" s="25">
        <v>3</v>
      </c>
      <c r="D28" s="25">
        <v>3</v>
      </c>
      <c r="E28" s="25">
        <v>3</v>
      </c>
      <c r="F28" s="25">
        <v>3</v>
      </c>
      <c r="G28" s="25">
        <v>3</v>
      </c>
      <c r="H28" s="25">
        <v>3</v>
      </c>
      <c r="I28" s="25">
        <v>3</v>
      </c>
      <c r="J28" s="25">
        <v>3</v>
      </c>
      <c r="K28" s="25">
        <v>3</v>
      </c>
      <c r="L28" s="25">
        <v>3</v>
      </c>
      <c r="M28" s="25">
        <v>3</v>
      </c>
      <c r="N28" s="25">
        <v>3</v>
      </c>
      <c r="O28" s="25">
        <v>3</v>
      </c>
      <c r="P28" s="25">
        <v>3</v>
      </c>
      <c r="Q28" s="25">
        <v>3</v>
      </c>
      <c r="R28" s="25">
        <v>3</v>
      </c>
      <c r="S28" s="25">
        <v>3</v>
      </c>
      <c r="T28" s="25">
        <v>3</v>
      </c>
      <c r="U28" s="25">
        <v>3</v>
      </c>
      <c r="V28" s="25">
        <v>3</v>
      </c>
      <c r="W28" s="25">
        <v>3</v>
      </c>
      <c r="X28" s="25">
        <v>3</v>
      </c>
      <c r="Y28" s="25">
        <v>3</v>
      </c>
      <c r="Z28" s="25">
        <v>3</v>
      </c>
      <c r="AA28" s="25">
        <v>3</v>
      </c>
      <c r="AB28" s="25">
        <v>3</v>
      </c>
      <c r="AC28" s="25">
        <v>3</v>
      </c>
      <c r="AD28" s="25">
        <v>3</v>
      </c>
      <c r="AE28" s="25">
        <v>3</v>
      </c>
      <c r="AF28" s="25">
        <v>3</v>
      </c>
      <c r="AG28" s="25">
        <v>3</v>
      </c>
      <c r="AH28" s="25">
        <v>3</v>
      </c>
      <c r="AI28" s="25">
        <v>3</v>
      </c>
      <c r="AJ28" s="25">
        <v>3</v>
      </c>
    </row>
    <row r="29" spans="1:36" x14ac:dyDescent="0.25">
      <c r="A29" t="s">
        <v>464</v>
      </c>
      <c r="B29" t="s">
        <v>305</v>
      </c>
      <c r="C29" s="25">
        <v>0</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0</v>
      </c>
      <c r="U29" s="25">
        <v>0</v>
      </c>
      <c r="V29" s="25">
        <v>0</v>
      </c>
      <c r="W29" s="25">
        <v>0</v>
      </c>
      <c r="X29" s="25">
        <v>0</v>
      </c>
      <c r="Y29" s="25">
        <v>0</v>
      </c>
      <c r="Z29" s="25">
        <v>0</v>
      </c>
      <c r="AA29" s="25">
        <v>0</v>
      </c>
      <c r="AB29" s="25">
        <v>0</v>
      </c>
      <c r="AC29" s="25">
        <v>0</v>
      </c>
      <c r="AD29" s="25">
        <v>0</v>
      </c>
      <c r="AE29" s="25">
        <v>0</v>
      </c>
      <c r="AF29" s="25">
        <v>0</v>
      </c>
      <c r="AG29" s="25">
        <v>0</v>
      </c>
      <c r="AH29" s="25">
        <v>0</v>
      </c>
      <c r="AI29" s="25">
        <v>0</v>
      </c>
      <c r="AJ29" s="25">
        <v>0</v>
      </c>
    </row>
    <row r="30" spans="1:36" x14ac:dyDescent="0.25">
      <c r="A30" t="s">
        <v>465</v>
      </c>
      <c r="B30" t="s">
        <v>305</v>
      </c>
      <c r="C30" s="25">
        <v>8</v>
      </c>
      <c r="D30" s="25">
        <v>8</v>
      </c>
      <c r="E30" s="25">
        <v>8</v>
      </c>
      <c r="F30" s="25">
        <v>8</v>
      </c>
      <c r="G30" s="25">
        <v>8</v>
      </c>
      <c r="H30" s="25">
        <v>8</v>
      </c>
      <c r="I30" s="25">
        <v>8</v>
      </c>
      <c r="J30" s="25">
        <v>8</v>
      </c>
      <c r="K30" s="25">
        <v>8</v>
      </c>
      <c r="L30" s="25">
        <v>8</v>
      </c>
      <c r="M30" s="25">
        <v>8</v>
      </c>
      <c r="N30" s="25">
        <v>8</v>
      </c>
      <c r="O30" s="25">
        <v>8</v>
      </c>
      <c r="P30" s="25">
        <v>8</v>
      </c>
      <c r="Q30" s="25">
        <v>8</v>
      </c>
      <c r="R30" s="25">
        <v>8</v>
      </c>
      <c r="S30" s="25">
        <v>8</v>
      </c>
      <c r="T30" s="25">
        <v>8</v>
      </c>
      <c r="U30" s="25">
        <v>8</v>
      </c>
      <c r="V30" s="25">
        <v>8</v>
      </c>
      <c r="W30" s="25">
        <v>8</v>
      </c>
      <c r="X30" s="25">
        <v>8</v>
      </c>
      <c r="Y30" s="25">
        <v>8</v>
      </c>
      <c r="Z30" s="25">
        <v>8</v>
      </c>
      <c r="AA30" s="25">
        <v>8</v>
      </c>
      <c r="AB30" s="25">
        <v>8</v>
      </c>
      <c r="AC30" s="25">
        <v>8</v>
      </c>
      <c r="AD30" s="25">
        <v>8</v>
      </c>
      <c r="AE30" s="25">
        <v>8</v>
      </c>
      <c r="AF30" s="25">
        <v>8</v>
      </c>
      <c r="AG30" s="25">
        <v>8</v>
      </c>
      <c r="AH30" s="25">
        <v>8</v>
      </c>
      <c r="AI30" s="25">
        <v>8</v>
      </c>
      <c r="AJ30" s="25">
        <v>8</v>
      </c>
    </row>
    <row r="31" spans="1:36" x14ac:dyDescent="0.25">
      <c r="A31" t="s">
        <v>466</v>
      </c>
      <c r="B31" t="s">
        <v>305</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row>
    <row r="32" spans="1:36" x14ac:dyDescent="0.25">
      <c r="A32" t="s">
        <v>467</v>
      </c>
      <c r="B32" t="s">
        <v>305</v>
      </c>
      <c r="C32" s="25">
        <v>0</v>
      </c>
      <c r="D32" s="25">
        <v>0</v>
      </c>
      <c r="E32" s="25">
        <v>0</v>
      </c>
      <c r="F32" s="25">
        <v>0</v>
      </c>
      <c r="G32" s="25">
        <v>0</v>
      </c>
      <c r="H32" s="25">
        <v>0</v>
      </c>
      <c r="I32" s="25">
        <v>0</v>
      </c>
      <c r="J32" s="25">
        <v>0</v>
      </c>
      <c r="K32" s="25">
        <v>0</v>
      </c>
      <c r="L32" s="25">
        <v>0</v>
      </c>
      <c r="M32" s="25">
        <v>0</v>
      </c>
      <c r="N32" s="25">
        <v>0</v>
      </c>
      <c r="O32" s="25">
        <v>0</v>
      </c>
      <c r="P32" s="25">
        <v>0</v>
      </c>
      <c r="Q32" s="25">
        <v>0</v>
      </c>
      <c r="R32" s="25">
        <v>0</v>
      </c>
      <c r="S32" s="25">
        <v>0</v>
      </c>
      <c r="T32" s="25">
        <v>0</v>
      </c>
      <c r="U32" s="25">
        <v>0</v>
      </c>
      <c r="V32" s="25">
        <v>0</v>
      </c>
      <c r="W32" s="25">
        <v>0</v>
      </c>
      <c r="X32" s="25">
        <v>0</v>
      </c>
      <c r="Y32" s="25">
        <v>0</v>
      </c>
      <c r="Z32" s="25">
        <v>0</v>
      </c>
      <c r="AA32" s="25">
        <v>0</v>
      </c>
      <c r="AB32" s="25">
        <v>0</v>
      </c>
      <c r="AC32" s="25">
        <v>0</v>
      </c>
      <c r="AD32" s="25">
        <v>0</v>
      </c>
      <c r="AE32" s="25">
        <v>0</v>
      </c>
      <c r="AF32" s="25">
        <v>0</v>
      </c>
      <c r="AG32" s="25">
        <v>0</v>
      </c>
      <c r="AH32" s="25">
        <v>0</v>
      </c>
      <c r="AI32" s="25">
        <v>0</v>
      </c>
      <c r="AJ32" s="25">
        <v>0</v>
      </c>
    </row>
    <row r="33" spans="1:36" x14ac:dyDescent="0.25">
      <c r="A33" t="s">
        <v>468</v>
      </c>
      <c r="B33" t="s">
        <v>305</v>
      </c>
      <c r="C33" s="25">
        <v>60</v>
      </c>
      <c r="D33" s="25">
        <v>60</v>
      </c>
      <c r="E33" s="25">
        <v>60</v>
      </c>
      <c r="F33" s="25">
        <v>60</v>
      </c>
      <c r="G33" s="25">
        <v>60</v>
      </c>
      <c r="H33" s="25">
        <v>60</v>
      </c>
      <c r="I33" s="25">
        <v>60</v>
      </c>
      <c r="J33" s="25">
        <v>60</v>
      </c>
      <c r="K33" s="25">
        <v>60</v>
      </c>
      <c r="L33" s="25">
        <v>60</v>
      </c>
      <c r="M33" s="25">
        <v>60</v>
      </c>
      <c r="N33" s="25">
        <v>60</v>
      </c>
      <c r="O33" s="25">
        <v>60</v>
      </c>
      <c r="P33" s="25">
        <v>60</v>
      </c>
      <c r="Q33" s="25">
        <v>60</v>
      </c>
      <c r="R33" s="25">
        <v>60</v>
      </c>
      <c r="S33" s="25">
        <v>60</v>
      </c>
      <c r="T33" s="25">
        <v>60</v>
      </c>
      <c r="U33" s="25">
        <v>60</v>
      </c>
      <c r="V33" s="25">
        <v>60</v>
      </c>
      <c r="W33" s="25">
        <v>60</v>
      </c>
      <c r="X33" s="25">
        <v>60</v>
      </c>
      <c r="Y33" s="25">
        <v>60</v>
      </c>
      <c r="Z33" s="25">
        <v>60</v>
      </c>
      <c r="AA33" s="25">
        <v>60</v>
      </c>
      <c r="AB33" s="25">
        <v>60</v>
      </c>
      <c r="AC33" s="25">
        <v>60</v>
      </c>
      <c r="AD33" s="25">
        <v>60</v>
      </c>
      <c r="AE33" s="25">
        <v>60</v>
      </c>
      <c r="AF33" s="25">
        <v>60</v>
      </c>
      <c r="AG33" s="25">
        <v>60</v>
      </c>
      <c r="AH33" s="25">
        <v>60</v>
      </c>
      <c r="AI33" s="25">
        <v>60</v>
      </c>
      <c r="AJ33" s="25">
        <v>60</v>
      </c>
    </row>
    <row r="34" spans="1:36" x14ac:dyDescent="0.25">
      <c r="A34" t="s">
        <v>753</v>
      </c>
      <c r="B34" t="s">
        <v>305</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row>
    <row r="35" spans="1:36" s="76" customFormat="1" x14ac:dyDescent="0.25">
      <c r="A35" s="76" t="s">
        <v>780</v>
      </c>
      <c r="C35" s="77">
        <f>+SUM(C24:C34)</f>
        <v>100</v>
      </c>
      <c r="D35" s="77">
        <f t="shared" ref="D35" si="1">+SUM(D24:D34)</f>
        <v>100</v>
      </c>
      <c r="E35" s="77">
        <f t="shared" ref="E35" si="2">+SUM(E24:E34)</f>
        <v>100</v>
      </c>
      <c r="F35" s="77">
        <f t="shared" ref="F35" si="3">+SUM(F24:F34)</f>
        <v>100</v>
      </c>
      <c r="G35" s="77">
        <f t="shared" ref="G35" si="4">+SUM(G24:G34)</f>
        <v>100</v>
      </c>
      <c r="H35" s="77">
        <f t="shared" ref="H35" si="5">+SUM(H24:H34)</f>
        <v>100</v>
      </c>
      <c r="I35" s="77">
        <f t="shared" ref="I35" si="6">+SUM(I24:I34)</f>
        <v>100</v>
      </c>
      <c r="J35" s="77">
        <f t="shared" ref="J35" si="7">+SUM(J24:J34)</f>
        <v>100</v>
      </c>
      <c r="K35" s="77">
        <f t="shared" ref="K35" si="8">+SUM(K24:K34)</f>
        <v>100</v>
      </c>
      <c r="L35" s="77">
        <f t="shared" ref="L35" si="9">+SUM(L24:L34)</f>
        <v>100</v>
      </c>
      <c r="M35" s="77">
        <f t="shared" ref="M35" si="10">+SUM(M24:M34)</f>
        <v>100</v>
      </c>
      <c r="N35" s="77">
        <f t="shared" ref="N35" si="11">+SUM(N24:N34)</f>
        <v>100</v>
      </c>
      <c r="O35" s="77">
        <f t="shared" ref="O35" si="12">+SUM(O24:O34)</f>
        <v>100</v>
      </c>
      <c r="P35" s="77">
        <f t="shared" ref="P35" si="13">+SUM(P24:P34)</f>
        <v>100</v>
      </c>
      <c r="Q35" s="77">
        <f t="shared" ref="Q35" si="14">+SUM(Q24:Q34)</f>
        <v>100</v>
      </c>
      <c r="R35" s="77">
        <f t="shared" ref="R35" si="15">+SUM(R24:R34)</f>
        <v>100</v>
      </c>
      <c r="S35" s="77">
        <f t="shared" ref="S35" si="16">+SUM(S24:S34)</f>
        <v>100</v>
      </c>
      <c r="T35" s="77">
        <f t="shared" ref="T35" si="17">+SUM(T24:T34)</f>
        <v>100</v>
      </c>
      <c r="U35" s="77">
        <f t="shared" ref="U35" si="18">+SUM(U24:U34)</f>
        <v>100</v>
      </c>
      <c r="V35" s="77">
        <f t="shared" ref="V35" si="19">+SUM(V24:V34)</f>
        <v>100</v>
      </c>
      <c r="W35" s="77">
        <f t="shared" ref="W35" si="20">+SUM(W24:W34)</f>
        <v>100</v>
      </c>
      <c r="X35" s="77">
        <f t="shared" ref="X35" si="21">+SUM(X24:X34)</f>
        <v>100</v>
      </c>
      <c r="Y35" s="77">
        <f t="shared" ref="Y35" si="22">+SUM(Y24:Y34)</f>
        <v>100</v>
      </c>
      <c r="Z35" s="77">
        <f t="shared" ref="Z35" si="23">+SUM(Z24:Z34)</f>
        <v>100</v>
      </c>
      <c r="AA35" s="77">
        <f t="shared" ref="AA35" si="24">+SUM(AA24:AA34)</f>
        <v>100</v>
      </c>
      <c r="AB35" s="77">
        <f t="shared" ref="AB35" si="25">+SUM(AB24:AB34)</f>
        <v>100</v>
      </c>
      <c r="AC35" s="77">
        <f t="shared" ref="AC35" si="26">+SUM(AC24:AC34)</f>
        <v>100</v>
      </c>
      <c r="AD35" s="77">
        <f t="shared" ref="AD35" si="27">+SUM(AD24:AD34)</f>
        <v>100</v>
      </c>
      <c r="AE35" s="77">
        <f t="shared" ref="AE35" si="28">+SUM(AE24:AE34)</f>
        <v>100</v>
      </c>
      <c r="AF35" s="77">
        <f t="shared" ref="AF35" si="29">+SUM(AF24:AF34)</f>
        <v>100</v>
      </c>
      <c r="AG35" s="77">
        <f t="shared" ref="AG35" si="30">+SUM(AG24:AG34)</f>
        <v>100</v>
      </c>
      <c r="AH35" s="77">
        <f t="shared" ref="AH35" si="31">+SUM(AH24:AH34)</f>
        <v>100</v>
      </c>
      <c r="AI35" s="77">
        <f t="shared" ref="AI35" si="32">+SUM(AI24:AI34)</f>
        <v>100</v>
      </c>
      <c r="AJ35" s="77">
        <f t="shared" ref="AJ35" si="33">+SUM(AJ24:AJ34)</f>
        <v>100</v>
      </c>
    </row>
    <row r="36" spans="1:36" x14ac:dyDescent="0.25">
      <c r="A36" t="s">
        <v>469</v>
      </c>
      <c r="B36" t="s">
        <v>305</v>
      </c>
      <c r="C36" s="25">
        <v>0</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row>
    <row r="37" spans="1:36" x14ac:dyDescent="0.25">
      <c r="A37" t="s">
        <v>470</v>
      </c>
      <c r="B37" t="s">
        <v>305</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row>
    <row r="38" spans="1:36" x14ac:dyDescent="0.25">
      <c r="A38" t="s">
        <v>471</v>
      </c>
      <c r="B38" t="s">
        <v>305</v>
      </c>
      <c r="C38" s="25">
        <v>0</v>
      </c>
      <c r="D38" s="25">
        <v>0</v>
      </c>
      <c r="E38" s="25">
        <v>0</v>
      </c>
      <c r="F38" s="25">
        <v>0</v>
      </c>
      <c r="G38" s="25">
        <v>0</v>
      </c>
      <c r="H38" s="25">
        <v>0</v>
      </c>
      <c r="I38" s="25">
        <v>0</v>
      </c>
      <c r="J38" s="25">
        <v>0</v>
      </c>
      <c r="K38" s="25">
        <v>0</v>
      </c>
      <c r="L38" s="25">
        <v>0</v>
      </c>
      <c r="M38" s="25">
        <v>0</v>
      </c>
      <c r="N38" s="25">
        <v>0</v>
      </c>
      <c r="O38" s="25">
        <v>0</v>
      </c>
      <c r="P38" s="25">
        <v>0</v>
      </c>
      <c r="Q38" s="25">
        <v>0</v>
      </c>
      <c r="R38" s="25">
        <v>0</v>
      </c>
      <c r="S38" s="25">
        <v>0</v>
      </c>
      <c r="T38" s="25">
        <v>0</v>
      </c>
      <c r="U38" s="25">
        <v>0</v>
      </c>
      <c r="V38" s="25">
        <v>0</v>
      </c>
      <c r="W38" s="25">
        <v>0</v>
      </c>
      <c r="X38" s="25">
        <v>0</v>
      </c>
      <c r="Y38" s="25">
        <v>0</v>
      </c>
      <c r="Z38" s="25">
        <v>0</v>
      </c>
      <c r="AA38" s="25">
        <v>0</v>
      </c>
      <c r="AB38" s="25">
        <v>0</v>
      </c>
      <c r="AC38" s="25">
        <v>0</v>
      </c>
      <c r="AD38" s="25">
        <v>0</v>
      </c>
      <c r="AE38" s="25">
        <v>0</v>
      </c>
      <c r="AF38" s="25">
        <v>0</v>
      </c>
      <c r="AG38" s="25">
        <v>0</v>
      </c>
      <c r="AH38" s="25">
        <v>0</v>
      </c>
      <c r="AI38" s="25">
        <v>0</v>
      </c>
      <c r="AJ38" s="25">
        <v>0</v>
      </c>
    </row>
    <row r="39" spans="1:36" x14ac:dyDescent="0.25">
      <c r="A39" t="s">
        <v>472</v>
      </c>
      <c r="B39" t="s">
        <v>305</v>
      </c>
      <c r="C39" s="25">
        <v>2</v>
      </c>
      <c r="D39" s="25">
        <v>2</v>
      </c>
      <c r="E39" s="25">
        <v>2</v>
      </c>
      <c r="F39" s="25">
        <v>2</v>
      </c>
      <c r="G39" s="25">
        <v>2</v>
      </c>
      <c r="H39" s="25">
        <v>2</v>
      </c>
      <c r="I39" s="25">
        <v>2</v>
      </c>
      <c r="J39" s="25">
        <v>2</v>
      </c>
      <c r="K39" s="25">
        <v>2</v>
      </c>
      <c r="L39" s="25">
        <v>2</v>
      </c>
      <c r="M39" s="25">
        <v>2</v>
      </c>
      <c r="N39" s="25">
        <v>2</v>
      </c>
      <c r="O39" s="25">
        <v>2</v>
      </c>
      <c r="P39" s="25">
        <v>2</v>
      </c>
      <c r="Q39" s="25">
        <v>2</v>
      </c>
      <c r="R39" s="25">
        <v>2</v>
      </c>
      <c r="S39" s="25">
        <v>2</v>
      </c>
      <c r="T39" s="25">
        <v>2</v>
      </c>
      <c r="U39" s="25">
        <v>2</v>
      </c>
      <c r="V39" s="25">
        <v>2</v>
      </c>
      <c r="W39" s="25">
        <v>2</v>
      </c>
      <c r="X39" s="25">
        <v>2</v>
      </c>
      <c r="Y39" s="25">
        <v>2</v>
      </c>
      <c r="Z39" s="25">
        <v>2</v>
      </c>
      <c r="AA39" s="25">
        <v>2</v>
      </c>
      <c r="AB39" s="25">
        <v>2</v>
      </c>
      <c r="AC39" s="25">
        <v>2</v>
      </c>
      <c r="AD39" s="25">
        <v>2</v>
      </c>
      <c r="AE39" s="25">
        <v>2</v>
      </c>
      <c r="AF39" s="25">
        <v>2</v>
      </c>
      <c r="AG39" s="25">
        <v>2</v>
      </c>
      <c r="AH39" s="25">
        <v>2</v>
      </c>
      <c r="AI39" s="25">
        <v>2</v>
      </c>
      <c r="AJ39" s="25">
        <v>2</v>
      </c>
    </row>
    <row r="40" spans="1:36" x14ac:dyDescent="0.25">
      <c r="A40" t="s">
        <v>473</v>
      </c>
      <c r="B40" t="s">
        <v>305</v>
      </c>
      <c r="C40" s="25">
        <v>1</v>
      </c>
      <c r="D40" s="25">
        <v>1</v>
      </c>
      <c r="E40" s="25">
        <v>1</v>
      </c>
      <c r="F40" s="25">
        <v>1</v>
      </c>
      <c r="G40" s="25">
        <v>1</v>
      </c>
      <c r="H40" s="25">
        <v>1</v>
      </c>
      <c r="I40" s="25">
        <v>1</v>
      </c>
      <c r="J40" s="25">
        <v>1</v>
      </c>
      <c r="K40" s="25">
        <v>1</v>
      </c>
      <c r="L40" s="25">
        <v>1</v>
      </c>
      <c r="M40" s="25">
        <v>1</v>
      </c>
      <c r="N40" s="25">
        <v>1</v>
      </c>
      <c r="O40" s="25">
        <v>1</v>
      </c>
      <c r="P40" s="25">
        <v>1</v>
      </c>
      <c r="Q40" s="25">
        <v>1</v>
      </c>
      <c r="R40" s="25">
        <v>1</v>
      </c>
      <c r="S40" s="25">
        <v>1</v>
      </c>
      <c r="T40" s="25">
        <v>1</v>
      </c>
      <c r="U40" s="25">
        <v>1</v>
      </c>
      <c r="V40" s="25">
        <v>1</v>
      </c>
      <c r="W40" s="25">
        <v>1</v>
      </c>
      <c r="X40" s="25">
        <v>1</v>
      </c>
      <c r="Y40" s="25">
        <v>1</v>
      </c>
      <c r="Z40" s="25">
        <v>1</v>
      </c>
      <c r="AA40" s="25">
        <v>1</v>
      </c>
      <c r="AB40" s="25">
        <v>1</v>
      </c>
      <c r="AC40" s="25">
        <v>1</v>
      </c>
      <c r="AD40" s="25">
        <v>1</v>
      </c>
      <c r="AE40" s="25">
        <v>1</v>
      </c>
      <c r="AF40" s="25">
        <v>1</v>
      </c>
      <c r="AG40" s="25">
        <v>1</v>
      </c>
      <c r="AH40" s="25">
        <v>1</v>
      </c>
      <c r="AI40" s="25">
        <v>1</v>
      </c>
      <c r="AJ40" s="25">
        <v>1</v>
      </c>
    </row>
    <row r="41" spans="1:36" x14ac:dyDescent="0.25">
      <c r="A41" t="s">
        <v>474</v>
      </c>
      <c r="B41" t="s">
        <v>305</v>
      </c>
      <c r="C41" s="25">
        <v>0</v>
      </c>
      <c r="D41" s="25">
        <v>0</v>
      </c>
      <c r="E41" s="25">
        <v>0</v>
      </c>
      <c r="F41" s="25">
        <v>0</v>
      </c>
      <c r="G41" s="25">
        <v>0</v>
      </c>
      <c r="H41" s="25">
        <v>0</v>
      </c>
      <c r="I41" s="25">
        <v>0</v>
      </c>
      <c r="J41" s="25">
        <v>0</v>
      </c>
      <c r="K41" s="25">
        <v>0</v>
      </c>
      <c r="L41" s="25">
        <v>0</v>
      </c>
      <c r="M41" s="25">
        <v>0</v>
      </c>
      <c r="N41" s="25">
        <v>0</v>
      </c>
      <c r="O41" s="25">
        <v>0</v>
      </c>
      <c r="P41" s="25">
        <v>0</v>
      </c>
      <c r="Q41" s="25">
        <v>0</v>
      </c>
      <c r="R41" s="25">
        <v>0</v>
      </c>
      <c r="S41" s="25">
        <v>0</v>
      </c>
      <c r="T41" s="25">
        <v>0</v>
      </c>
      <c r="U41" s="25">
        <v>0</v>
      </c>
      <c r="V41" s="25">
        <v>0</v>
      </c>
      <c r="W41" s="25">
        <v>0</v>
      </c>
      <c r="X41" s="25">
        <v>0</v>
      </c>
      <c r="Y41" s="25">
        <v>0</v>
      </c>
      <c r="Z41" s="25">
        <v>0</v>
      </c>
      <c r="AA41" s="25">
        <v>0</v>
      </c>
      <c r="AB41" s="25">
        <v>0</v>
      </c>
      <c r="AC41" s="25">
        <v>0</v>
      </c>
      <c r="AD41" s="25">
        <v>0</v>
      </c>
      <c r="AE41" s="25">
        <v>0</v>
      </c>
      <c r="AF41" s="25">
        <v>0</v>
      </c>
      <c r="AG41" s="25">
        <v>0</v>
      </c>
      <c r="AH41" s="25">
        <v>0</v>
      </c>
      <c r="AI41" s="25">
        <v>0</v>
      </c>
      <c r="AJ41" s="25">
        <v>0</v>
      </c>
    </row>
    <row r="42" spans="1:36" x14ac:dyDescent="0.25">
      <c r="A42" t="s">
        <v>475</v>
      </c>
      <c r="B42" t="s">
        <v>305</v>
      </c>
      <c r="C42" s="25">
        <v>2</v>
      </c>
      <c r="D42" s="25">
        <v>2</v>
      </c>
      <c r="E42" s="25">
        <v>2</v>
      </c>
      <c r="F42" s="25">
        <v>2</v>
      </c>
      <c r="G42" s="25">
        <v>2</v>
      </c>
      <c r="H42" s="25">
        <v>2</v>
      </c>
      <c r="I42" s="25">
        <v>2</v>
      </c>
      <c r="J42" s="25">
        <v>2</v>
      </c>
      <c r="K42" s="25">
        <v>2</v>
      </c>
      <c r="L42" s="25">
        <v>2</v>
      </c>
      <c r="M42" s="25">
        <v>2</v>
      </c>
      <c r="N42" s="25">
        <v>2</v>
      </c>
      <c r="O42" s="25">
        <v>2</v>
      </c>
      <c r="P42" s="25">
        <v>2</v>
      </c>
      <c r="Q42" s="25">
        <v>2</v>
      </c>
      <c r="R42" s="25">
        <v>2</v>
      </c>
      <c r="S42" s="25">
        <v>2</v>
      </c>
      <c r="T42" s="25">
        <v>2</v>
      </c>
      <c r="U42" s="25">
        <v>2</v>
      </c>
      <c r="V42" s="25">
        <v>2</v>
      </c>
      <c r="W42" s="25">
        <v>2</v>
      </c>
      <c r="X42" s="25">
        <v>2</v>
      </c>
      <c r="Y42" s="25">
        <v>2</v>
      </c>
      <c r="Z42" s="25">
        <v>2</v>
      </c>
      <c r="AA42" s="25">
        <v>2</v>
      </c>
      <c r="AB42" s="25">
        <v>2</v>
      </c>
      <c r="AC42" s="25">
        <v>2</v>
      </c>
      <c r="AD42" s="25">
        <v>2</v>
      </c>
      <c r="AE42" s="25">
        <v>2</v>
      </c>
      <c r="AF42" s="25">
        <v>2</v>
      </c>
      <c r="AG42" s="25">
        <v>2</v>
      </c>
      <c r="AH42" s="25">
        <v>2</v>
      </c>
      <c r="AI42" s="25">
        <v>2</v>
      </c>
      <c r="AJ42" s="25">
        <v>2</v>
      </c>
    </row>
    <row r="43" spans="1:36" x14ac:dyDescent="0.25">
      <c r="A43" t="s">
        <v>476</v>
      </c>
      <c r="B43" t="s">
        <v>305</v>
      </c>
      <c r="C43" s="25">
        <v>0</v>
      </c>
      <c r="D43" s="25">
        <v>0</v>
      </c>
      <c r="E43" s="25">
        <v>0</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5">
        <v>0</v>
      </c>
      <c r="AA43" s="25">
        <v>0</v>
      </c>
      <c r="AB43" s="25">
        <v>0</v>
      </c>
      <c r="AC43" s="25">
        <v>0</v>
      </c>
      <c r="AD43" s="25">
        <v>0</v>
      </c>
      <c r="AE43" s="25">
        <v>0</v>
      </c>
      <c r="AF43" s="25">
        <v>0</v>
      </c>
      <c r="AG43" s="25">
        <v>0</v>
      </c>
      <c r="AH43" s="25">
        <v>0</v>
      </c>
      <c r="AI43" s="25">
        <v>0</v>
      </c>
      <c r="AJ43" s="25">
        <v>0</v>
      </c>
    </row>
    <row r="44" spans="1:36" x14ac:dyDescent="0.25">
      <c r="A44" t="s">
        <v>477</v>
      </c>
      <c r="B44" t="s">
        <v>305</v>
      </c>
      <c r="C44" s="25">
        <v>0</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5">
        <v>0</v>
      </c>
      <c r="AA44" s="25">
        <v>0</v>
      </c>
      <c r="AB44" s="25">
        <v>0</v>
      </c>
      <c r="AC44" s="25">
        <v>0</v>
      </c>
      <c r="AD44" s="25">
        <v>0</v>
      </c>
      <c r="AE44" s="25">
        <v>0</v>
      </c>
      <c r="AF44" s="25">
        <v>0</v>
      </c>
      <c r="AG44" s="25">
        <v>0</v>
      </c>
      <c r="AH44" s="25">
        <v>0</v>
      </c>
      <c r="AI44" s="25">
        <v>0</v>
      </c>
      <c r="AJ44" s="25">
        <v>0</v>
      </c>
    </row>
    <row r="45" spans="1:36" x14ac:dyDescent="0.25">
      <c r="A45" t="s">
        <v>478</v>
      </c>
      <c r="B45" t="s">
        <v>305</v>
      </c>
      <c r="C45" s="25">
        <v>95</v>
      </c>
      <c r="D45" s="25">
        <v>95</v>
      </c>
      <c r="E45" s="25">
        <v>95</v>
      </c>
      <c r="F45" s="25">
        <v>95</v>
      </c>
      <c r="G45" s="25">
        <v>95</v>
      </c>
      <c r="H45" s="25">
        <v>95</v>
      </c>
      <c r="I45" s="25">
        <v>95</v>
      </c>
      <c r="J45" s="25">
        <v>95</v>
      </c>
      <c r="K45" s="25">
        <v>95</v>
      </c>
      <c r="L45" s="25">
        <v>95</v>
      </c>
      <c r="M45" s="25">
        <v>95</v>
      </c>
      <c r="N45" s="25">
        <v>95</v>
      </c>
      <c r="O45" s="25">
        <v>95</v>
      </c>
      <c r="P45" s="25">
        <v>95</v>
      </c>
      <c r="Q45" s="25">
        <v>95</v>
      </c>
      <c r="R45" s="25">
        <v>95</v>
      </c>
      <c r="S45" s="25">
        <v>95</v>
      </c>
      <c r="T45" s="25">
        <v>95</v>
      </c>
      <c r="U45" s="25">
        <v>95</v>
      </c>
      <c r="V45" s="25">
        <v>95</v>
      </c>
      <c r="W45" s="25">
        <v>95</v>
      </c>
      <c r="X45" s="25">
        <v>95</v>
      </c>
      <c r="Y45" s="25">
        <v>95</v>
      </c>
      <c r="Z45" s="25">
        <v>95</v>
      </c>
      <c r="AA45" s="25">
        <v>95</v>
      </c>
      <c r="AB45" s="25">
        <v>95</v>
      </c>
      <c r="AC45" s="25">
        <v>95</v>
      </c>
      <c r="AD45" s="25">
        <v>95</v>
      </c>
      <c r="AE45" s="25">
        <v>95</v>
      </c>
      <c r="AF45" s="25">
        <v>95</v>
      </c>
      <c r="AG45" s="25">
        <v>95</v>
      </c>
      <c r="AH45" s="25">
        <v>95</v>
      </c>
      <c r="AI45" s="25">
        <v>95</v>
      </c>
      <c r="AJ45" s="25">
        <v>95</v>
      </c>
    </row>
    <row r="46" spans="1:36" x14ac:dyDescent="0.25">
      <c r="A46" t="s">
        <v>754</v>
      </c>
      <c r="B46" t="s">
        <v>305</v>
      </c>
      <c r="C46" s="25">
        <v>0</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v>
      </c>
      <c r="AI46" s="25">
        <v>0</v>
      </c>
      <c r="AJ46" s="25">
        <v>0</v>
      </c>
    </row>
    <row r="47" spans="1:36" s="76" customFormat="1" x14ac:dyDescent="0.25">
      <c r="A47" s="76" t="s">
        <v>780</v>
      </c>
      <c r="C47" s="77">
        <f>+SUM(C36:C46)</f>
        <v>100</v>
      </c>
      <c r="D47" s="77">
        <f t="shared" ref="D47" si="34">+SUM(D36:D46)</f>
        <v>100</v>
      </c>
      <c r="E47" s="77">
        <f t="shared" ref="E47" si="35">+SUM(E36:E46)</f>
        <v>100</v>
      </c>
      <c r="F47" s="77">
        <f t="shared" ref="F47" si="36">+SUM(F36:F46)</f>
        <v>100</v>
      </c>
      <c r="G47" s="77">
        <f t="shared" ref="G47" si="37">+SUM(G36:G46)</f>
        <v>100</v>
      </c>
      <c r="H47" s="77">
        <f t="shared" ref="H47" si="38">+SUM(H36:H46)</f>
        <v>100</v>
      </c>
      <c r="I47" s="77">
        <f t="shared" ref="I47" si="39">+SUM(I36:I46)</f>
        <v>100</v>
      </c>
      <c r="J47" s="77">
        <f t="shared" ref="J47" si="40">+SUM(J36:J46)</f>
        <v>100</v>
      </c>
      <c r="K47" s="77">
        <f t="shared" ref="K47" si="41">+SUM(K36:K46)</f>
        <v>100</v>
      </c>
      <c r="L47" s="77">
        <f t="shared" ref="L47" si="42">+SUM(L36:L46)</f>
        <v>100</v>
      </c>
      <c r="M47" s="77">
        <f t="shared" ref="M47" si="43">+SUM(M36:M46)</f>
        <v>100</v>
      </c>
      <c r="N47" s="77">
        <f t="shared" ref="N47" si="44">+SUM(N36:N46)</f>
        <v>100</v>
      </c>
      <c r="O47" s="77">
        <f t="shared" ref="O47" si="45">+SUM(O36:O46)</f>
        <v>100</v>
      </c>
      <c r="P47" s="77">
        <f t="shared" ref="P47" si="46">+SUM(P36:P46)</f>
        <v>100</v>
      </c>
      <c r="Q47" s="77">
        <f t="shared" ref="Q47" si="47">+SUM(Q36:Q46)</f>
        <v>100</v>
      </c>
      <c r="R47" s="77">
        <f t="shared" ref="R47" si="48">+SUM(R36:R46)</f>
        <v>100</v>
      </c>
      <c r="S47" s="77">
        <f t="shared" ref="S47" si="49">+SUM(S36:S46)</f>
        <v>100</v>
      </c>
      <c r="T47" s="77">
        <f t="shared" ref="T47" si="50">+SUM(T36:T46)</f>
        <v>100</v>
      </c>
      <c r="U47" s="77">
        <f t="shared" ref="U47" si="51">+SUM(U36:U46)</f>
        <v>100</v>
      </c>
      <c r="V47" s="77">
        <f t="shared" ref="V47" si="52">+SUM(V36:V46)</f>
        <v>100</v>
      </c>
      <c r="W47" s="77">
        <f t="shared" ref="W47" si="53">+SUM(W36:W46)</f>
        <v>100</v>
      </c>
      <c r="X47" s="77">
        <f t="shared" ref="X47" si="54">+SUM(X36:X46)</f>
        <v>100</v>
      </c>
      <c r="Y47" s="77">
        <f t="shared" ref="Y47" si="55">+SUM(Y36:Y46)</f>
        <v>100</v>
      </c>
      <c r="Z47" s="77">
        <f t="shared" ref="Z47" si="56">+SUM(Z36:Z46)</f>
        <v>100</v>
      </c>
      <c r="AA47" s="77">
        <f t="shared" ref="AA47" si="57">+SUM(AA36:AA46)</f>
        <v>100</v>
      </c>
      <c r="AB47" s="77">
        <f t="shared" ref="AB47" si="58">+SUM(AB36:AB46)</f>
        <v>100</v>
      </c>
      <c r="AC47" s="77">
        <f t="shared" ref="AC47" si="59">+SUM(AC36:AC46)</f>
        <v>100</v>
      </c>
      <c r="AD47" s="77">
        <f t="shared" ref="AD47" si="60">+SUM(AD36:AD46)</f>
        <v>100</v>
      </c>
      <c r="AE47" s="77">
        <f t="shared" ref="AE47" si="61">+SUM(AE36:AE46)</f>
        <v>100</v>
      </c>
      <c r="AF47" s="77">
        <f t="shared" ref="AF47" si="62">+SUM(AF36:AF46)</f>
        <v>100</v>
      </c>
      <c r="AG47" s="77">
        <f t="shared" ref="AG47" si="63">+SUM(AG36:AG46)</f>
        <v>100</v>
      </c>
      <c r="AH47" s="77">
        <f t="shared" ref="AH47" si="64">+SUM(AH36:AH46)</f>
        <v>100</v>
      </c>
      <c r="AI47" s="77">
        <f t="shared" ref="AI47" si="65">+SUM(AI36:AI46)</f>
        <v>100</v>
      </c>
      <c r="AJ47" s="77">
        <f t="shared" ref="AJ47" si="66">+SUM(AJ36:AJ46)</f>
        <v>100</v>
      </c>
    </row>
    <row r="48" spans="1:36" s="74" customFormat="1" ht="15.75" x14ac:dyDescent="0.25">
      <c r="A48" s="72" t="s">
        <v>772</v>
      </c>
      <c r="B48" s="73"/>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row>
    <row r="49" spans="1:36" x14ac:dyDescent="0.25">
      <c r="A49" t="s">
        <v>479</v>
      </c>
      <c r="B49" t="s">
        <v>305</v>
      </c>
      <c r="C49" s="25">
        <v>0</v>
      </c>
      <c r="D49" s="25">
        <v>0</v>
      </c>
      <c r="E49" s="25">
        <v>0</v>
      </c>
      <c r="F49" s="25">
        <v>0</v>
      </c>
      <c r="G49" s="25">
        <v>0</v>
      </c>
      <c r="H49" s="25">
        <v>0</v>
      </c>
      <c r="I49" s="25">
        <v>0</v>
      </c>
      <c r="J49" s="25">
        <v>0</v>
      </c>
      <c r="K49" s="25">
        <v>0</v>
      </c>
      <c r="L49" s="25">
        <v>0</v>
      </c>
      <c r="M49" s="25">
        <v>0</v>
      </c>
      <c r="N49" s="25">
        <v>0</v>
      </c>
      <c r="O49" s="25">
        <v>0</v>
      </c>
      <c r="P49" s="25">
        <v>0</v>
      </c>
      <c r="Q49" s="25">
        <v>0</v>
      </c>
      <c r="R49" s="25">
        <v>0</v>
      </c>
      <c r="S49" s="25">
        <v>0</v>
      </c>
      <c r="T49" s="25">
        <v>0</v>
      </c>
      <c r="U49" s="25">
        <v>0</v>
      </c>
      <c r="V49" s="25">
        <v>0</v>
      </c>
      <c r="W49" s="25">
        <v>0</v>
      </c>
      <c r="X49" s="25">
        <v>0</v>
      </c>
      <c r="Y49" s="25">
        <v>0</v>
      </c>
      <c r="Z49" s="25">
        <v>0</v>
      </c>
      <c r="AA49" s="25">
        <v>0</v>
      </c>
      <c r="AB49" s="25">
        <v>0</v>
      </c>
      <c r="AC49" s="25">
        <v>0</v>
      </c>
      <c r="AD49" s="25">
        <v>0</v>
      </c>
      <c r="AE49" s="25">
        <v>0</v>
      </c>
      <c r="AF49" s="25">
        <v>0</v>
      </c>
      <c r="AG49" s="25">
        <v>0</v>
      </c>
      <c r="AH49" s="25">
        <v>0</v>
      </c>
      <c r="AI49" s="25">
        <v>0</v>
      </c>
      <c r="AJ49" s="25">
        <v>0</v>
      </c>
    </row>
    <row r="50" spans="1:36" x14ac:dyDescent="0.25">
      <c r="A50" t="s">
        <v>480</v>
      </c>
      <c r="B50" t="s">
        <v>305</v>
      </c>
      <c r="C50" s="25">
        <v>0</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row>
    <row r="51" spans="1:36" x14ac:dyDescent="0.25">
      <c r="A51" t="s">
        <v>481</v>
      </c>
      <c r="B51" t="s">
        <v>305</v>
      </c>
      <c r="C51" s="25">
        <v>2.5</v>
      </c>
      <c r="D51" s="25">
        <v>2.5</v>
      </c>
      <c r="E51" s="25">
        <v>2.5</v>
      </c>
      <c r="F51" s="25">
        <v>2.5</v>
      </c>
      <c r="G51" s="25">
        <v>2.5</v>
      </c>
      <c r="H51" s="25">
        <v>2.5</v>
      </c>
      <c r="I51" s="25">
        <v>2.5</v>
      </c>
      <c r="J51" s="25">
        <v>2.5</v>
      </c>
      <c r="K51" s="25">
        <v>2.5</v>
      </c>
      <c r="L51" s="25">
        <v>2.5</v>
      </c>
      <c r="M51" s="25">
        <v>2.5</v>
      </c>
      <c r="N51" s="25">
        <v>2.5</v>
      </c>
      <c r="O51" s="25">
        <v>2.5</v>
      </c>
      <c r="P51" s="25">
        <v>2.5</v>
      </c>
      <c r="Q51" s="25">
        <v>2.5</v>
      </c>
      <c r="R51" s="25">
        <v>2.5</v>
      </c>
      <c r="S51" s="25">
        <v>2.5</v>
      </c>
      <c r="T51" s="25">
        <v>2.5</v>
      </c>
      <c r="U51" s="25">
        <v>2.5</v>
      </c>
      <c r="V51" s="25">
        <v>2.5</v>
      </c>
      <c r="W51" s="25">
        <v>2.5</v>
      </c>
      <c r="X51" s="25">
        <v>2.5</v>
      </c>
      <c r="Y51" s="25">
        <v>2.5</v>
      </c>
      <c r="Z51" s="25">
        <v>2.5</v>
      </c>
      <c r="AA51" s="25">
        <v>2.5</v>
      </c>
      <c r="AB51" s="25">
        <v>2.5</v>
      </c>
      <c r="AC51" s="25">
        <v>2.5</v>
      </c>
      <c r="AD51" s="25">
        <v>2.5</v>
      </c>
      <c r="AE51" s="25">
        <v>2.5</v>
      </c>
      <c r="AF51" s="25">
        <v>2.5</v>
      </c>
      <c r="AG51" s="25">
        <v>2.5</v>
      </c>
      <c r="AH51" s="25">
        <v>2.5</v>
      </c>
      <c r="AI51" s="25">
        <v>2.5</v>
      </c>
      <c r="AJ51" s="25">
        <v>2.5</v>
      </c>
    </row>
    <row r="52" spans="1:36" x14ac:dyDescent="0.25">
      <c r="A52" t="s">
        <v>482</v>
      </c>
      <c r="B52" t="s">
        <v>305</v>
      </c>
      <c r="C52" s="25">
        <v>0</v>
      </c>
      <c r="D52" s="25">
        <v>0</v>
      </c>
      <c r="E52" s="25">
        <v>0</v>
      </c>
      <c r="F52" s="25">
        <v>0</v>
      </c>
      <c r="G52" s="25">
        <v>0</v>
      </c>
      <c r="H52" s="25">
        <v>0</v>
      </c>
      <c r="I52" s="25">
        <v>0</v>
      </c>
      <c r="J52" s="25">
        <v>0</v>
      </c>
      <c r="K52" s="25">
        <v>0</v>
      </c>
      <c r="L52" s="25">
        <v>0</v>
      </c>
      <c r="M52" s="25">
        <v>0</v>
      </c>
      <c r="N52" s="25">
        <v>0</v>
      </c>
      <c r="O52" s="25">
        <v>0</v>
      </c>
      <c r="P52" s="25">
        <v>0</v>
      </c>
      <c r="Q52" s="25">
        <v>0</v>
      </c>
      <c r="R52" s="25">
        <v>0</v>
      </c>
      <c r="S52" s="25">
        <v>0</v>
      </c>
      <c r="T52" s="25">
        <v>0</v>
      </c>
      <c r="U52" s="25">
        <v>0</v>
      </c>
      <c r="V52" s="25">
        <v>0</v>
      </c>
      <c r="W52" s="25">
        <v>0</v>
      </c>
      <c r="X52" s="25">
        <v>0</v>
      </c>
      <c r="Y52" s="25">
        <v>0</v>
      </c>
      <c r="Z52" s="25">
        <v>0</v>
      </c>
      <c r="AA52" s="25">
        <v>0</v>
      </c>
      <c r="AB52" s="25">
        <v>0</v>
      </c>
      <c r="AC52" s="25">
        <v>0</v>
      </c>
      <c r="AD52" s="25">
        <v>0</v>
      </c>
      <c r="AE52" s="25">
        <v>0</v>
      </c>
      <c r="AF52" s="25">
        <v>0</v>
      </c>
      <c r="AG52" s="25">
        <v>0</v>
      </c>
      <c r="AH52" s="25">
        <v>0</v>
      </c>
      <c r="AI52" s="25">
        <v>0</v>
      </c>
      <c r="AJ52" s="25">
        <v>0</v>
      </c>
    </row>
    <row r="53" spans="1:36" x14ac:dyDescent="0.25">
      <c r="A53" t="s">
        <v>483</v>
      </c>
      <c r="B53" t="s">
        <v>305</v>
      </c>
      <c r="C53" s="25">
        <v>0</v>
      </c>
      <c r="D53" s="25">
        <v>0</v>
      </c>
      <c r="E53" s="25">
        <v>0</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0</v>
      </c>
      <c r="AA53" s="25">
        <v>0</v>
      </c>
      <c r="AB53" s="25">
        <v>0</v>
      </c>
      <c r="AC53" s="25">
        <v>0</v>
      </c>
      <c r="AD53" s="25">
        <v>0</v>
      </c>
      <c r="AE53" s="25">
        <v>0</v>
      </c>
      <c r="AF53" s="25">
        <v>0</v>
      </c>
      <c r="AG53" s="25">
        <v>0</v>
      </c>
      <c r="AH53" s="25">
        <v>0</v>
      </c>
      <c r="AI53" s="25">
        <v>0</v>
      </c>
      <c r="AJ53" s="25">
        <v>0</v>
      </c>
    </row>
    <row r="54" spans="1:36" x14ac:dyDescent="0.25">
      <c r="A54" t="s">
        <v>484</v>
      </c>
      <c r="B54" t="s">
        <v>305</v>
      </c>
      <c r="C54" s="25">
        <v>2.5</v>
      </c>
      <c r="D54" s="25">
        <v>2.5</v>
      </c>
      <c r="E54" s="25">
        <v>2.5</v>
      </c>
      <c r="F54" s="25">
        <v>2.5</v>
      </c>
      <c r="G54" s="25">
        <v>2.5</v>
      </c>
      <c r="H54" s="25">
        <v>2.5</v>
      </c>
      <c r="I54" s="25">
        <v>2.5</v>
      </c>
      <c r="J54" s="25">
        <v>2.5</v>
      </c>
      <c r="K54" s="25">
        <v>2.5</v>
      </c>
      <c r="L54" s="25">
        <v>2.5</v>
      </c>
      <c r="M54" s="25">
        <v>2.5</v>
      </c>
      <c r="N54" s="25">
        <v>2.5</v>
      </c>
      <c r="O54" s="25">
        <v>2.5</v>
      </c>
      <c r="P54" s="25">
        <v>2.5</v>
      </c>
      <c r="Q54" s="25">
        <v>2.5</v>
      </c>
      <c r="R54" s="25">
        <v>2.5</v>
      </c>
      <c r="S54" s="25">
        <v>2.5</v>
      </c>
      <c r="T54" s="25">
        <v>2.5</v>
      </c>
      <c r="U54" s="25">
        <v>2.5</v>
      </c>
      <c r="V54" s="25">
        <v>2.5</v>
      </c>
      <c r="W54" s="25">
        <v>2.5</v>
      </c>
      <c r="X54" s="25">
        <v>2.5</v>
      </c>
      <c r="Y54" s="25">
        <v>2.5</v>
      </c>
      <c r="Z54" s="25">
        <v>2.5</v>
      </c>
      <c r="AA54" s="25">
        <v>2.5</v>
      </c>
      <c r="AB54" s="25">
        <v>2.5</v>
      </c>
      <c r="AC54" s="25">
        <v>2.5</v>
      </c>
      <c r="AD54" s="25">
        <v>2.5</v>
      </c>
      <c r="AE54" s="25">
        <v>2.5</v>
      </c>
      <c r="AF54" s="25">
        <v>2.5</v>
      </c>
      <c r="AG54" s="25">
        <v>2.5</v>
      </c>
      <c r="AH54" s="25">
        <v>2.5</v>
      </c>
      <c r="AI54" s="25">
        <v>2.5</v>
      </c>
      <c r="AJ54" s="25">
        <v>2.5</v>
      </c>
    </row>
    <row r="55" spans="1:36" x14ac:dyDescent="0.25">
      <c r="A55" t="s">
        <v>485</v>
      </c>
      <c r="B55" t="s">
        <v>305</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v>0</v>
      </c>
      <c r="Y55" s="25">
        <v>0</v>
      </c>
      <c r="Z55" s="25">
        <v>0</v>
      </c>
      <c r="AA55" s="25">
        <v>0</v>
      </c>
      <c r="AB55" s="25">
        <v>0</v>
      </c>
      <c r="AC55" s="25">
        <v>0</v>
      </c>
      <c r="AD55" s="25">
        <v>0</v>
      </c>
      <c r="AE55" s="25">
        <v>0</v>
      </c>
      <c r="AF55" s="25">
        <v>0</v>
      </c>
      <c r="AG55" s="25">
        <v>0</v>
      </c>
      <c r="AH55" s="25">
        <v>0</v>
      </c>
      <c r="AI55" s="25">
        <v>0</v>
      </c>
      <c r="AJ55" s="25">
        <v>0</v>
      </c>
    </row>
    <row r="56" spans="1:36" x14ac:dyDescent="0.25">
      <c r="A56" t="s">
        <v>486</v>
      </c>
      <c r="B56" t="s">
        <v>305</v>
      </c>
      <c r="C56" s="25">
        <v>0</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0</v>
      </c>
      <c r="AE56" s="25">
        <v>0</v>
      </c>
      <c r="AF56" s="25">
        <v>0</v>
      </c>
      <c r="AG56" s="25">
        <v>0</v>
      </c>
      <c r="AH56" s="25">
        <v>0</v>
      </c>
      <c r="AI56" s="25">
        <v>0</v>
      </c>
      <c r="AJ56" s="25">
        <v>0</v>
      </c>
    </row>
    <row r="57" spans="1:36" x14ac:dyDescent="0.25">
      <c r="A57" t="s">
        <v>487</v>
      </c>
      <c r="B57" t="s">
        <v>305</v>
      </c>
      <c r="C57" s="25">
        <v>0</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row>
    <row r="58" spans="1:36" s="53" customFormat="1" x14ac:dyDescent="0.25">
      <c r="A58" t="s">
        <v>488</v>
      </c>
      <c r="B58" t="s">
        <v>305</v>
      </c>
      <c r="C58" s="25">
        <v>95</v>
      </c>
      <c r="D58" s="25">
        <v>95</v>
      </c>
      <c r="E58" s="25">
        <v>95</v>
      </c>
      <c r="F58" s="25">
        <v>95</v>
      </c>
      <c r="G58" s="25">
        <v>95</v>
      </c>
      <c r="H58" s="25">
        <v>95</v>
      </c>
      <c r="I58" s="25">
        <v>95</v>
      </c>
      <c r="J58" s="25">
        <v>95</v>
      </c>
      <c r="K58" s="25">
        <v>95</v>
      </c>
      <c r="L58" s="25">
        <v>95</v>
      </c>
      <c r="M58" s="25">
        <v>95</v>
      </c>
      <c r="N58" s="25">
        <v>95</v>
      </c>
      <c r="O58" s="25">
        <v>95</v>
      </c>
      <c r="P58" s="25">
        <v>95</v>
      </c>
      <c r="Q58" s="25">
        <v>95</v>
      </c>
      <c r="R58" s="25">
        <v>95</v>
      </c>
      <c r="S58" s="25">
        <v>95</v>
      </c>
      <c r="T58" s="25">
        <v>95</v>
      </c>
      <c r="U58" s="25">
        <v>95</v>
      </c>
      <c r="V58" s="25">
        <v>95</v>
      </c>
      <c r="W58" s="25">
        <v>95</v>
      </c>
      <c r="X58" s="25">
        <v>95</v>
      </c>
      <c r="Y58" s="25">
        <v>95</v>
      </c>
      <c r="Z58" s="25">
        <v>95</v>
      </c>
      <c r="AA58" s="25">
        <v>95</v>
      </c>
      <c r="AB58" s="25">
        <v>95</v>
      </c>
      <c r="AC58" s="25">
        <v>95</v>
      </c>
      <c r="AD58" s="25">
        <v>95</v>
      </c>
      <c r="AE58" s="25">
        <v>95</v>
      </c>
      <c r="AF58" s="25">
        <v>95</v>
      </c>
      <c r="AG58" s="25">
        <v>95</v>
      </c>
      <c r="AH58" s="25">
        <v>95</v>
      </c>
      <c r="AI58" s="25">
        <v>95</v>
      </c>
      <c r="AJ58" s="25">
        <v>95</v>
      </c>
    </row>
    <row r="59" spans="1:36" s="53" customFormat="1" x14ac:dyDescent="0.25">
      <c r="A59" t="s">
        <v>770</v>
      </c>
      <c r="B59" t="s">
        <v>305</v>
      </c>
      <c r="C59" s="25">
        <v>0</v>
      </c>
      <c r="D59" s="25">
        <v>0</v>
      </c>
      <c r="E59" s="25">
        <v>0</v>
      </c>
      <c r="F59" s="25">
        <v>0</v>
      </c>
      <c r="G59" s="25">
        <v>0</v>
      </c>
      <c r="H59" s="25">
        <v>0</v>
      </c>
      <c r="I59" s="25">
        <v>0</v>
      </c>
      <c r="J59" s="25">
        <v>0</v>
      </c>
      <c r="K59" s="25">
        <v>0</v>
      </c>
      <c r="L59" s="25">
        <v>0</v>
      </c>
      <c r="M59" s="25">
        <v>0</v>
      </c>
      <c r="N59" s="25">
        <v>0</v>
      </c>
      <c r="O59" s="25">
        <v>0</v>
      </c>
      <c r="P59" s="25">
        <v>0</v>
      </c>
      <c r="Q59" s="25">
        <v>0</v>
      </c>
      <c r="R59" s="25">
        <v>0</v>
      </c>
      <c r="S59" s="25">
        <v>0</v>
      </c>
      <c r="T59" s="25">
        <v>0</v>
      </c>
      <c r="U59" s="25">
        <v>0</v>
      </c>
      <c r="V59" s="25">
        <v>0</v>
      </c>
      <c r="W59" s="25">
        <v>0</v>
      </c>
      <c r="X59" s="25">
        <v>0</v>
      </c>
      <c r="Y59" s="25">
        <v>0</v>
      </c>
      <c r="Z59" s="25">
        <v>0</v>
      </c>
      <c r="AA59" s="25">
        <v>0</v>
      </c>
      <c r="AB59" s="25">
        <v>0</v>
      </c>
      <c r="AC59" s="25">
        <v>0</v>
      </c>
      <c r="AD59" s="25">
        <v>0</v>
      </c>
      <c r="AE59" s="25">
        <v>0</v>
      </c>
      <c r="AF59" s="25">
        <v>0</v>
      </c>
      <c r="AG59" s="25">
        <v>0</v>
      </c>
      <c r="AH59" s="25">
        <v>0</v>
      </c>
      <c r="AI59" s="25">
        <v>0</v>
      </c>
      <c r="AJ59" s="25">
        <v>0</v>
      </c>
    </row>
    <row r="60" spans="1:36" s="76" customFormat="1" x14ac:dyDescent="0.25">
      <c r="A60" s="76" t="s">
        <v>780</v>
      </c>
      <c r="C60" s="77">
        <f>+SUM(C49:C59)</f>
        <v>100</v>
      </c>
      <c r="D60" s="77">
        <f t="shared" ref="D60" si="67">+SUM(D49:D59)</f>
        <v>100</v>
      </c>
      <c r="E60" s="77">
        <f t="shared" ref="E60" si="68">+SUM(E49:E59)</f>
        <v>100</v>
      </c>
      <c r="F60" s="77">
        <f t="shared" ref="F60" si="69">+SUM(F49:F59)</f>
        <v>100</v>
      </c>
      <c r="G60" s="77">
        <f t="shared" ref="G60" si="70">+SUM(G49:G59)</f>
        <v>100</v>
      </c>
      <c r="H60" s="77">
        <f t="shared" ref="H60" si="71">+SUM(H49:H59)</f>
        <v>100</v>
      </c>
      <c r="I60" s="77">
        <f t="shared" ref="I60" si="72">+SUM(I49:I59)</f>
        <v>100</v>
      </c>
      <c r="J60" s="77">
        <f t="shared" ref="J60" si="73">+SUM(J49:J59)</f>
        <v>100</v>
      </c>
      <c r="K60" s="77">
        <f t="shared" ref="K60" si="74">+SUM(K49:K59)</f>
        <v>100</v>
      </c>
      <c r="L60" s="77">
        <f t="shared" ref="L60" si="75">+SUM(L49:L59)</f>
        <v>100</v>
      </c>
      <c r="M60" s="77">
        <f t="shared" ref="M60" si="76">+SUM(M49:M59)</f>
        <v>100</v>
      </c>
      <c r="N60" s="77">
        <f t="shared" ref="N60" si="77">+SUM(N49:N59)</f>
        <v>100</v>
      </c>
      <c r="O60" s="77">
        <f t="shared" ref="O60" si="78">+SUM(O49:O59)</f>
        <v>100</v>
      </c>
      <c r="P60" s="77">
        <f t="shared" ref="P60" si="79">+SUM(P49:P59)</f>
        <v>100</v>
      </c>
      <c r="Q60" s="77">
        <f t="shared" ref="Q60" si="80">+SUM(Q49:Q59)</f>
        <v>100</v>
      </c>
      <c r="R60" s="77">
        <f t="shared" ref="R60" si="81">+SUM(R49:R59)</f>
        <v>100</v>
      </c>
      <c r="S60" s="77">
        <f t="shared" ref="S60" si="82">+SUM(S49:S59)</f>
        <v>100</v>
      </c>
      <c r="T60" s="77">
        <f t="shared" ref="T60" si="83">+SUM(T49:T59)</f>
        <v>100</v>
      </c>
      <c r="U60" s="77">
        <f t="shared" ref="U60" si="84">+SUM(U49:U59)</f>
        <v>100</v>
      </c>
      <c r="V60" s="77">
        <f t="shared" ref="V60" si="85">+SUM(V49:V59)</f>
        <v>100</v>
      </c>
      <c r="W60" s="77">
        <f t="shared" ref="W60" si="86">+SUM(W49:W59)</f>
        <v>100</v>
      </c>
      <c r="X60" s="77">
        <f t="shared" ref="X60" si="87">+SUM(X49:X59)</f>
        <v>100</v>
      </c>
      <c r="Y60" s="77">
        <f t="shared" ref="Y60" si="88">+SUM(Y49:Y59)</f>
        <v>100</v>
      </c>
      <c r="Z60" s="77">
        <f t="shared" ref="Z60" si="89">+SUM(Z49:Z59)</f>
        <v>100</v>
      </c>
      <c r="AA60" s="77">
        <f t="shared" ref="AA60" si="90">+SUM(AA49:AA59)</f>
        <v>100</v>
      </c>
      <c r="AB60" s="77">
        <f t="shared" ref="AB60" si="91">+SUM(AB49:AB59)</f>
        <v>100</v>
      </c>
      <c r="AC60" s="77">
        <f t="shared" ref="AC60" si="92">+SUM(AC49:AC59)</f>
        <v>100</v>
      </c>
      <c r="AD60" s="77">
        <f t="shared" ref="AD60" si="93">+SUM(AD49:AD59)</f>
        <v>100</v>
      </c>
      <c r="AE60" s="77">
        <f t="shared" ref="AE60" si="94">+SUM(AE49:AE59)</f>
        <v>100</v>
      </c>
      <c r="AF60" s="77">
        <f t="shared" ref="AF60" si="95">+SUM(AF49:AF59)</f>
        <v>100</v>
      </c>
      <c r="AG60" s="77">
        <f t="shared" ref="AG60" si="96">+SUM(AG49:AG59)</f>
        <v>100</v>
      </c>
      <c r="AH60" s="77">
        <f t="shared" ref="AH60" si="97">+SUM(AH49:AH59)</f>
        <v>100</v>
      </c>
      <c r="AI60" s="77">
        <f t="shared" ref="AI60" si="98">+SUM(AI49:AI59)</f>
        <v>100</v>
      </c>
      <c r="AJ60" s="77">
        <f t="shared" ref="AJ60" si="99">+SUM(AJ49:AJ59)</f>
        <v>100</v>
      </c>
    </row>
    <row r="61" spans="1:36" s="50" customFormat="1" x14ac:dyDescent="0.25">
      <c r="A61" t="s">
        <v>489</v>
      </c>
      <c r="B61" t="s">
        <v>305</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0</v>
      </c>
      <c r="W61" s="25">
        <v>0</v>
      </c>
      <c r="X61" s="25">
        <v>0</v>
      </c>
      <c r="Y61" s="25">
        <v>0</v>
      </c>
      <c r="Z61" s="25">
        <v>0</v>
      </c>
      <c r="AA61" s="25">
        <v>0</v>
      </c>
      <c r="AB61" s="25">
        <v>0</v>
      </c>
      <c r="AC61" s="25">
        <v>0</v>
      </c>
      <c r="AD61" s="25">
        <v>0</v>
      </c>
      <c r="AE61" s="25">
        <v>0</v>
      </c>
      <c r="AF61" s="25">
        <v>0</v>
      </c>
      <c r="AG61" s="25">
        <v>0</v>
      </c>
      <c r="AH61" s="25">
        <v>0</v>
      </c>
      <c r="AI61" s="25">
        <v>0</v>
      </c>
      <c r="AJ61" s="25">
        <v>0</v>
      </c>
    </row>
    <row r="62" spans="1:36" x14ac:dyDescent="0.25">
      <c r="A62" t="s">
        <v>490</v>
      </c>
      <c r="B62" t="s">
        <v>305</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v>0</v>
      </c>
      <c r="Y62" s="25">
        <v>0</v>
      </c>
      <c r="Z62" s="25">
        <v>0</v>
      </c>
      <c r="AA62" s="25">
        <v>0</v>
      </c>
      <c r="AB62" s="25">
        <v>0</v>
      </c>
      <c r="AC62" s="25">
        <v>0</v>
      </c>
      <c r="AD62" s="25">
        <v>0</v>
      </c>
      <c r="AE62" s="25">
        <v>0</v>
      </c>
      <c r="AF62" s="25">
        <v>0</v>
      </c>
      <c r="AG62" s="25">
        <v>0</v>
      </c>
      <c r="AH62" s="25">
        <v>0</v>
      </c>
      <c r="AI62" s="25">
        <v>0</v>
      </c>
      <c r="AJ62" s="25">
        <v>0</v>
      </c>
    </row>
    <row r="63" spans="1:36" x14ac:dyDescent="0.25">
      <c r="A63" t="s">
        <v>491</v>
      </c>
      <c r="B63" t="s">
        <v>305</v>
      </c>
      <c r="C63" s="25">
        <v>5</v>
      </c>
      <c r="D63" s="25">
        <v>5</v>
      </c>
      <c r="E63" s="25">
        <v>5</v>
      </c>
      <c r="F63" s="25">
        <v>5</v>
      </c>
      <c r="G63" s="25">
        <v>5</v>
      </c>
      <c r="H63" s="25">
        <v>5</v>
      </c>
      <c r="I63" s="25">
        <v>5</v>
      </c>
      <c r="J63" s="25">
        <v>5</v>
      </c>
      <c r="K63" s="25">
        <v>5</v>
      </c>
      <c r="L63" s="25">
        <v>5</v>
      </c>
      <c r="M63" s="25">
        <v>5</v>
      </c>
      <c r="N63" s="25">
        <v>5</v>
      </c>
      <c r="O63" s="25">
        <v>5</v>
      </c>
      <c r="P63" s="25">
        <v>5</v>
      </c>
      <c r="Q63" s="25">
        <v>5</v>
      </c>
      <c r="R63" s="25">
        <v>5</v>
      </c>
      <c r="S63" s="25">
        <v>5</v>
      </c>
      <c r="T63" s="25">
        <v>5</v>
      </c>
      <c r="U63" s="25">
        <v>5</v>
      </c>
      <c r="V63" s="25">
        <v>5</v>
      </c>
      <c r="W63" s="25">
        <v>5</v>
      </c>
      <c r="X63" s="25">
        <v>5</v>
      </c>
      <c r="Y63" s="25">
        <v>5</v>
      </c>
      <c r="Z63" s="25">
        <v>5</v>
      </c>
      <c r="AA63" s="25">
        <v>5</v>
      </c>
      <c r="AB63" s="25">
        <v>5</v>
      </c>
      <c r="AC63" s="25">
        <v>5</v>
      </c>
      <c r="AD63" s="25">
        <v>5</v>
      </c>
      <c r="AE63" s="25">
        <v>5</v>
      </c>
      <c r="AF63" s="25">
        <v>5</v>
      </c>
      <c r="AG63" s="25">
        <v>5</v>
      </c>
      <c r="AH63" s="25">
        <v>5</v>
      </c>
      <c r="AI63" s="25">
        <v>5</v>
      </c>
      <c r="AJ63" s="25">
        <v>5</v>
      </c>
    </row>
    <row r="64" spans="1:36" s="50" customFormat="1" x14ac:dyDescent="0.25">
      <c r="A64" t="s">
        <v>492</v>
      </c>
      <c r="B64" t="s">
        <v>305</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v>0</v>
      </c>
      <c r="Y64" s="25">
        <v>0</v>
      </c>
      <c r="Z64" s="25">
        <v>0</v>
      </c>
      <c r="AA64" s="25">
        <v>0</v>
      </c>
      <c r="AB64" s="25">
        <v>0</v>
      </c>
      <c r="AC64" s="25">
        <v>0</v>
      </c>
      <c r="AD64" s="25">
        <v>0</v>
      </c>
      <c r="AE64" s="25">
        <v>0</v>
      </c>
      <c r="AF64" s="25">
        <v>0</v>
      </c>
      <c r="AG64" s="25">
        <v>0</v>
      </c>
      <c r="AH64" s="25">
        <v>0</v>
      </c>
      <c r="AI64" s="25">
        <v>0</v>
      </c>
      <c r="AJ64" s="25">
        <v>0</v>
      </c>
    </row>
    <row r="65" spans="1:36" x14ac:dyDescent="0.25">
      <c r="A65" t="s">
        <v>493</v>
      </c>
      <c r="B65" t="s">
        <v>305</v>
      </c>
      <c r="C65" s="25">
        <v>0</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v>0</v>
      </c>
      <c r="Y65" s="25">
        <v>0</v>
      </c>
      <c r="Z65" s="25">
        <v>0</v>
      </c>
      <c r="AA65" s="25">
        <v>0</v>
      </c>
      <c r="AB65" s="25">
        <v>0</v>
      </c>
      <c r="AC65" s="25">
        <v>0</v>
      </c>
      <c r="AD65" s="25">
        <v>0</v>
      </c>
      <c r="AE65" s="25">
        <v>0</v>
      </c>
      <c r="AF65" s="25">
        <v>0</v>
      </c>
      <c r="AG65" s="25">
        <v>0</v>
      </c>
      <c r="AH65" s="25">
        <v>0</v>
      </c>
      <c r="AI65" s="25">
        <v>0</v>
      </c>
      <c r="AJ65" s="25">
        <v>0</v>
      </c>
    </row>
    <row r="66" spans="1:36" x14ac:dyDescent="0.25">
      <c r="A66" t="s">
        <v>494</v>
      </c>
      <c r="B66" t="s">
        <v>305</v>
      </c>
      <c r="C66" s="25">
        <v>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v>0</v>
      </c>
      <c r="Y66" s="25">
        <v>0</v>
      </c>
      <c r="Z66" s="25">
        <v>0</v>
      </c>
      <c r="AA66" s="25">
        <v>0</v>
      </c>
      <c r="AB66" s="25">
        <v>0</v>
      </c>
      <c r="AC66" s="25">
        <v>0</v>
      </c>
      <c r="AD66" s="25">
        <v>0</v>
      </c>
      <c r="AE66" s="25">
        <v>0</v>
      </c>
      <c r="AF66" s="25">
        <v>0</v>
      </c>
      <c r="AG66" s="25">
        <v>0</v>
      </c>
      <c r="AH66" s="25">
        <v>0</v>
      </c>
      <c r="AI66" s="25">
        <v>0</v>
      </c>
      <c r="AJ66" s="25">
        <v>0</v>
      </c>
    </row>
    <row r="67" spans="1:36" s="53" customFormat="1" x14ac:dyDescent="0.25">
      <c r="A67" t="s">
        <v>495</v>
      </c>
      <c r="B67" t="s">
        <v>305</v>
      </c>
      <c r="C67" s="25">
        <v>5</v>
      </c>
      <c r="D67" s="25">
        <v>5</v>
      </c>
      <c r="E67" s="25">
        <v>5</v>
      </c>
      <c r="F67" s="25">
        <v>5</v>
      </c>
      <c r="G67" s="25">
        <v>5</v>
      </c>
      <c r="H67" s="25">
        <v>5</v>
      </c>
      <c r="I67" s="25">
        <v>5</v>
      </c>
      <c r="J67" s="25">
        <v>5</v>
      </c>
      <c r="K67" s="25">
        <v>5</v>
      </c>
      <c r="L67" s="25">
        <v>5</v>
      </c>
      <c r="M67" s="25">
        <v>5</v>
      </c>
      <c r="N67" s="25">
        <v>5</v>
      </c>
      <c r="O67" s="25">
        <v>5</v>
      </c>
      <c r="P67" s="25">
        <v>5</v>
      </c>
      <c r="Q67" s="25">
        <v>5</v>
      </c>
      <c r="R67" s="25">
        <v>5</v>
      </c>
      <c r="S67" s="25">
        <v>5</v>
      </c>
      <c r="T67" s="25">
        <v>5</v>
      </c>
      <c r="U67" s="25">
        <v>5</v>
      </c>
      <c r="V67" s="25">
        <v>5</v>
      </c>
      <c r="W67" s="25">
        <v>5</v>
      </c>
      <c r="X67" s="25">
        <v>5</v>
      </c>
      <c r="Y67" s="25">
        <v>5</v>
      </c>
      <c r="Z67" s="25">
        <v>5</v>
      </c>
      <c r="AA67" s="25">
        <v>5</v>
      </c>
      <c r="AB67" s="25">
        <v>5</v>
      </c>
      <c r="AC67" s="25">
        <v>5</v>
      </c>
      <c r="AD67" s="25">
        <v>5</v>
      </c>
      <c r="AE67" s="25">
        <v>5</v>
      </c>
      <c r="AF67" s="25">
        <v>5</v>
      </c>
      <c r="AG67" s="25">
        <v>5</v>
      </c>
      <c r="AH67" s="25">
        <v>5</v>
      </c>
      <c r="AI67" s="25">
        <v>5</v>
      </c>
      <c r="AJ67" s="25">
        <v>5</v>
      </c>
    </row>
    <row r="68" spans="1:36" x14ac:dyDescent="0.25">
      <c r="A68" t="s">
        <v>496</v>
      </c>
      <c r="B68" t="s">
        <v>305</v>
      </c>
      <c r="C68" s="25">
        <v>0</v>
      </c>
      <c r="D68" s="25">
        <v>0</v>
      </c>
      <c r="E68" s="25">
        <v>0</v>
      </c>
      <c r="F68" s="25">
        <v>0</v>
      </c>
      <c r="G68" s="25">
        <v>0</v>
      </c>
      <c r="H68" s="25">
        <v>0</v>
      </c>
      <c r="I68" s="25">
        <v>0</v>
      </c>
      <c r="J68" s="25">
        <v>0</v>
      </c>
      <c r="K68" s="25">
        <v>0</v>
      </c>
      <c r="L68" s="25">
        <v>0</v>
      </c>
      <c r="M68" s="25">
        <v>0</v>
      </c>
      <c r="N68" s="25">
        <v>0</v>
      </c>
      <c r="O68" s="25">
        <v>0</v>
      </c>
      <c r="P68" s="25">
        <v>0</v>
      </c>
      <c r="Q68" s="25">
        <v>0</v>
      </c>
      <c r="R68" s="25">
        <v>0</v>
      </c>
      <c r="S68" s="25">
        <v>0</v>
      </c>
      <c r="T68" s="25">
        <v>0</v>
      </c>
      <c r="U68" s="25">
        <v>0</v>
      </c>
      <c r="V68" s="25">
        <v>0</v>
      </c>
      <c r="W68" s="25">
        <v>0</v>
      </c>
      <c r="X68" s="25">
        <v>0</v>
      </c>
      <c r="Y68" s="25">
        <v>0</v>
      </c>
      <c r="Z68" s="25">
        <v>0</v>
      </c>
      <c r="AA68" s="25">
        <v>0</v>
      </c>
      <c r="AB68" s="25">
        <v>0</v>
      </c>
      <c r="AC68" s="25">
        <v>0</v>
      </c>
      <c r="AD68" s="25">
        <v>0</v>
      </c>
      <c r="AE68" s="25">
        <v>0</v>
      </c>
      <c r="AF68" s="25">
        <v>0</v>
      </c>
      <c r="AG68" s="25">
        <v>0</v>
      </c>
      <c r="AH68" s="25">
        <v>0</v>
      </c>
      <c r="AI68" s="25">
        <v>0</v>
      </c>
      <c r="AJ68" s="25">
        <v>0</v>
      </c>
    </row>
    <row r="69" spans="1:36" x14ac:dyDescent="0.25">
      <c r="A69" t="s">
        <v>497</v>
      </c>
      <c r="B69" t="s">
        <v>305</v>
      </c>
      <c r="C69" s="25">
        <v>0</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0</v>
      </c>
    </row>
    <row r="70" spans="1:36" s="53" customFormat="1" x14ac:dyDescent="0.25">
      <c r="A70" t="s">
        <v>498</v>
      </c>
      <c r="B70" t="s">
        <v>305</v>
      </c>
      <c r="C70" s="25">
        <v>90</v>
      </c>
      <c r="D70" s="25">
        <v>90</v>
      </c>
      <c r="E70" s="25">
        <v>90</v>
      </c>
      <c r="F70" s="25">
        <v>90</v>
      </c>
      <c r="G70" s="25">
        <v>90</v>
      </c>
      <c r="H70" s="25">
        <v>90</v>
      </c>
      <c r="I70" s="25">
        <v>90</v>
      </c>
      <c r="J70" s="25">
        <v>90</v>
      </c>
      <c r="K70" s="25">
        <v>90</v>
      </c>
      <c r="L70" s="25">
        <v>90</v>
      </c>
      <c r="M70" s="25">
        <v>90</v>
      </c>
      <c r="N70" s="25">
        <v>90</v>
      </c>
      <c r="O70" s="25">
        <v>90</v>
      </c>
      <c r="P70" s="25">
        <v>90</v>
      </c>
      <c r="Q70" s="25">
        <v>90</v>
      </c>
      <c r="R70" s="25">
        <v>90</v>
      </c>
      <c r="S70" s="25">
        <v>90</v>
      </c>
      <c r="T70" s="25">
        <v>90</v>
      </c>
      <c r="U70" s="25">
        <v>90</v>
      </c>
      <c r="V70" s="25">
        <v>90</v>
      </c>
      <c r="W70" s="25">
        <v>90</v>
      </c>
      <c r="X70" s="25">
        <v>90</v>
      </c>
      <c r="Y70" s="25">
        <v>90</v>
      </c>
      <c r="Z70" s="25">
        <v>90</v>
      </c>
      <c r="AA70" s="25">
        <v>90</v>
      </c>
      <c r="AB70" s="25">
        <v>90</v>
      </c>
      <c r="AC70" s="25">
        <v>90</v>
      </c>
      <c r="AD70" s="25">
        <v>90</v>
      </c>
      <c r="AE70" s="25">
        <v>90</v>
      </c>
      <c r="AF70" s="25">
        <v>90</v>
      </c>
      <c r="AG70" s="25">
        <v>90</v>
      </c>
      <c r="AH70" s="25">
        <v>90</v>
      </c>
      <c r="AI70" s="25">
        <v>90</v>
      </c>
      <c r="AJ70" s="25">
        <v>90</v>
      </c>
    </row>
    <row r="71" spans="1:36" x14ac:dyDescent="0.25">
      <c r="A71" t="s">
        <v>755</v>
      </c>
      <c r="B71" t="s">
        <v>305</v>
      </c>
      <c r="C71" s="25">
        <v>0</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row>
    <row r="72" spans="1:36" s="76" customFormat="1" x14ac:dyDescent="0.25">
      <c r="A72" s="76" t="s">
        <v>780</v>
      </c>
      <c r="C72" s="77">
        <f>+SUM(C61:C71)</f>
        <v>100</v>
      </c>
      <c r="D72" s="77">
        <f t="shared" ref="D72" si="100">+SUM(D61:D71)</f>
        <v>100</v>
      </c>
      <c r="E72" s="77">
        <f t="shared" ref="E72" si="101">+SUM(E61:E71)</f>
        <v>100</v>
      </c>
      <c r="F72" s="77">
        <f t="shared" ref="F72" si="102">+SUM(F61:F71)</f>
        <v>100</v>
      </c>
      <c r="G72" s="77">
        <f t="shared" ref="G72" si="103">+SUM(G61:G71)</f>
        <v>100</v>
      </c>
      <c r="H72" s="77">
        <f t="shared" ref="H72" si="104">+SUM(H61:H71)</f>
        <v>100</v>
      </c>
      <c r="I72" s="77">
        <f t="shared" ref="I72" si="105">+SUM(I61:I71)</f>
        <v>100</v>
      </c>
      <c r="J72" s="77">
        <f t="shared" ref="J72" si="106">+SUM(J61:J71)</f>
        <v>100</v>
      </c>
      <c r="K72" s="77">
        <f t="shared" ref="K72" si="107">+SUM(K61:K71)</f>
        <v>100</v>
      </c>
      <c r="L72" s="77">
        <f t="shared" ref="L72" si="108">+SUM(L61:L71)</f>
        <v>100</v>
      </c>
      <c r="M72" s="77">
        <f t="shared" ref="M72" si="109">+SUM(M61:M71)</f>
        <v>100</v>
      </c>
      <c r="N72" s="77">
        <f t="shared" ref="N72" si="110">+SUM(N61:N71)</f>
        <v>100</v>
      </c>
      <c r="O72" s="77">
        <f t="shared" ref="O72" si="111">+SUM(O61:O71)</f>
        <v>100</v>
      </c>
      <c r="P72" s="77">
        <f t="shared" ref="P72" si="112">+SUM(P61:P71)</f>
        <v>100</v>
      </c>
      <c r="Q72" s="77">
        <f t="shared" ref="Q72" si="113">+SUM(Q61:Q71)</f>
        <v>100</v>
      </c>
      <c r="R72" s="77">
        <f t="shared" ref="R72" si="114">+SUM(R61:R71)</f>
        <v>100</v>
      </c>
      <c r="S72" s="77">
        <f t="shared" ref="S72" si="115">+SUM(S61:S71)</f>
        <v>100</v>
      </c>
      <c r="T72" s="77">
        <f t="shared" ref="T72" si="116">+SUM(T61:T71)</f>
        <v>100</v>
      </c>
      <c r="U72" s="77">
        <f t="shared" ref="U72" si="117">+SUM(U61:U71)</f>
        <v>100</v>
      </c>
      <c r="V72" s="77">
        <f t="shared" ref="V72" si="118">+SUM(V61:V71)</f>
        <v>100</v>
      </c>
      <c r="W72" s="77">
        <f t="shared" ref="W72" si="119">+SUM(W61:W71)</f>
        <v>100</v>
      </c>
      <c r="X72" s="77">
        <f t="shared" ref="X72" si="120">+SUM(X61:X71)</f>
        <v>100</v>
      </c>
      <c r="Y72" s="77">
        <f t="shared" ref="Y72" si="121">+SUM(Y61:Y71)</f>
        <v>100</v>
      </c>
      <c r="Z72" s="77">
        <f t="shared" ref="Z72" si="122">+SUM(Z61:Z71)</f>
        <v>100</v>
      </c>
      <c r="AA72" s="77">
        <f t="shared" ref="AA72" si="123">+SUM(AA61:AA71)</f>
        <v>100</v>
      </c>
      <c r="AB72" s="77">
        <f t="shared" ref="AB72" si="124">+SUM(AB61:AB71)</f>
        <v>100</v>
      </c>
      <c r="AC72" s="77">
        <f t="shared" ref="AC72" si="125">+SUM(AC61:AC71)</f>
        <v>100</v>
      </c>
      <c r="AD72" s="77">
        <f t="shared" ref="AD72" si="126">+SUM(AD61:AD71)</f>
        <v>100</v>
      </c>
      <c r="AE72" s="77">
        <f t="shared" ref="AE72" si="127">+SUM(AE61:AE71)</f>
        <v>100</v>
      </c>
      <c r="AF72" s="77">
        <f t="shared" ref="AF72" si="128">+SUM(AF61:AF71)</f>
        <v>100</v>
      </c>
      <c r="AG72" s="77">
        <f t="shared" ref="AG72" si="129">+SUM(AG61:AG71)</f>
        <v>100</v>
      </c>
      <c r="AH72" s="77">
        <f t="shared" ref="AH72" si="130">+SUM(AH61:AH71)</f>
        <v>100</v>
      </c>
      <c r="AI72" s="77">
        <f t="shared" ref="AI72" si="131">+SUM(AI61:AI71)</f>
        <v>100</v>
      </c>
      <c r="AJ72" s="77">
        <f t="shared" ref="AJ72" si="132">+SUM(AJ61:AJ71)</f>
        <v>100</v>
      </c>
    </row>
    <row r="73" spans="1:36" x14ac:dyDescent="0.25">
      <c r="A73" s="75" t="s">
        <v>499</v>
      </c>
      <c r="B73" t="s">
        <v>305</v>
      </c>
      <c r="C73" s="25">
        <v>3</v>
      </c>
      <c r="D73" s="25">
        <v>3</v>
      </c>
      <c r="E73" s="25">
        <v>3</v>
      </c>
      <c r="F73" s="25">
        <v>3</v>
      </c>
      <c r="G73" s="25">
        <v>3</v>
      </c>
      <c r="H73" s="25">
        <v>3</v>
      </c>
      <c r="I73" s="25">
        <v>3</v>
      </c>
      <c r="J73" s="25">
        <v>3</v>
      </c>
      <c r="K73" s="25">
        <v>3</v>
      </c>
      <c r="L73" s="25">
        <v>3</v>
      </c>
      <c r="M73" s="25">
        <v>3</v>
      </c>
      <c r="N73" s="25">
        <v>3</v>
      </c>
      <c r="O73" s="25">
        <v>3</v>
      </c>
      <c r="P73" s="25">
        <v>3</v>
      </c>
      <c r="Q73" s="25">
        <v>3</v>
      </c>
      <c r="R73" s="25">
        <v>3</v>
      </c>
      <c r="S73" s="25">
        <v>3</v>
      </c>
      <c r="T73" s="25">
        <v>3</v>
      </c>
      <c r="U73" s="25">
        <v>3</v>
      </c>
      <c r="V73" s="25">
        <v>3</v>
      </c>
      <c r="W73" s="25">
        <v>3</v>
      </c>
      <c r="X73" s="25">
        <v>3</v>
      </c>
      <c r="Y73" s="25">
        <v>3</v>
      </c>
      <c r="Z73" s="25">
        <v>3</v>
      </c>
      <c r="AA73" s="25">
        <v>3</v>
      </c>
      <c r="AB73" s="25">
        <v>3</v>
      </c>
      <c r="AC73" s="25">
        <v>3</v>
      </c>
      <c r="AD73" s="25">
        <v>3</v>
      </c>
      <c r="AE73" s="25">
        <v>3</v>
      </c>
      <c r="AF73" s="25">
        <v>3</v>
      </c>
      <c r="AG73" s="25">
        <v>3</v>
      </c>
      <c r="AH73" s="25">
        <v>3</v>
      </c>
      <c r="AI73" s="25">
        <v>3</v>
      </c>
      <c r="AJ73" s="25">
        <v>3</v>
      </c>
    </row>
    <row r="74" spans="1:36" x14ac:dyDescent="0.25">
      <c r="A74" s="75" t="s">
        <v>500</v>
      </c>
      <c r="B74" t="s">
        <v>305</v>
      </c>
      <c r="C74" s="25">
        <v>3</v>
      </c>
      <c r="D74" s="25">
        <v>3</v>
      </c>
      <c r="E74" s="25">
        <v>3</v>
      </c>
      <c r="F74" s="25">
        <v>3</v>
      </c>
      <c r="G74" s="25">
        <v>3</v>
      </c>
      <c r="H74" s="25">
        <v>3</v>
      </c>
      <c r="I74" s="25">
        <v>3</v>
      </c>
      <c r="J74" s="25">
        <v>3</v>
      </c>
      <c r="K74" s="25">
        <v>3</v>
      </c>
      <c r="L74" s="25">
        <v>3</v>
      </c>
      <c r="M74" s="25">
        <v>3</v>
      </c>
      <c r="N74" s="25">
        <v>3</v>
      </c>
      <c r="O74" s="25">
        <v>3</v>
      </c>
      <c r="P74" s="25">
        <v>3</v>
      </c>
      <c r="Q74" s="25">
        <v>3</v>
      </c>
      <c r="R74" s="25">
        <v>3</v>
      </c>
      <c r="S74" s="25">
        <v>3</v>
      </c>
      <c r="T74" s="25">
        <v>3</v>
      </c>
      <c r="U74" s="25">
        <v>3</v>
      </c>
      <c r="V74" s="25">
        <v>3</v>
      </c>
      <c r="W74" s="25">
        <v>3</v>
      </c>
      <c r="X74" s="25">
        <v>3</v>
      </c>
      <c r="Y74" s="25">
        <v>3</v>
      </c>
      <c r="Z74" s="25">
        <v>3</v>
      </c>
      <c r="AA74" s="25">
        <v>3</v>
      </c>
      <c r="AB74" s="25">
        <v>3</v>
      </c>
      <c r="AC74" s="25">
        <v>3</v>
      </c>
      <c r="AD74" s="25">
        <v>3</v>
      </c>
      <c r="AE74" s="25">
        <v>3</v>
      </c>
      <c r="AF74" s="25">
        <v>3</v>
      </c>
      <c r="AG74" s="25">
        <v>3</v>
      </c>
      <c r="AH74" s="25">
        <v>3</v>
      </c>
      <c r="AI74" s="25">
        <v>3</v>
      </c>
      <c r="AJ74" s="25">
        <v>3</v>
      </c>
    </row>
    <row r="75" spans="1:36" x14ac:dyDescent="0.25">
      <c r="A75" s="75" t="s">
        <v>501</v>
      </c>
      <c r="B75" t="s">
        <v>305</v>
      </c>
      <c r="C75" s="25">
        <v>86</v>
      </c>
      <c r="D75" s="25">
        <v>86</v>
      </c>
      <c r="E75" s="25">
        <v>86</v>
      </c>
      <c r="F75" s="25">
        <v>86</v>
      </c>
      <c r="G75" s="25">
        <v>86</v>
      </c>
      <c r="H75" s="25">
        <v>86</v>
      </c>
      <c r="I75" s="25">
        <v>86</v>
      </c>
      <c r="J75" s="25">
        <v>86</v>
      </c>
      <c r="K75" s="25">
        <v>86</v>
      </c>
      <c r="L75" s="25">
        <v>86</v>
      </c>
      <c r="M75" s="25">
        <v>86</v>
      </c>
      <c r="N75" s="25">
        <v>86</v>
      </c>
      <c r="O75" s="25">
        <v>86</v>
      </c>
      <c r="P75" s="25">
        <v>86</v>
      </c>
      <c r="Q75" s="25">
        <v>86</v>
      </c>
      <c r="R75" s="25">
        <v>86</v>
      </c>
      <c r="S75" s="25">
        <v>86</v>
      </c>
      <c r="T75" s="25">
        <v>86</v>
      </c>
      <c r="U75" s="25">
        <v>86</v>
      </c>
      <c r="V75" s="25">
        <v>86</v>
      </c>
      <c r="W75" s="25">
        <v>86</v>
      </c>
      <c r="X75" s="25">
        <v>86</v>
      </c>
      <c r="Y75" s="25">
        <v>86</v>
      </c>
      <c r="Z75" s="25">
        <v>86</v>
      </c>
      <c r="AA75" s="25">
        <v>86</v>
      </c>
      <c r="AB75" s="25">
        <v>86</v>
      </c>
      <c r="AC75" s="25">
        <v>86</v>
      </c>
      <c r="AD75" s="25">
        <v>86</v>
      </c>
      <c r="AE75" s="25">
        <v>86</v>
      </c>
      <c r="AF75" s="25">
        <v>86</v>
      </c>
      <c r="AG75" s="25">
        <v>86</v>
      </c>
      <c r="AH75" s="25">
        <v>86</v>
      </c>
      <c r="AI75" s="25">
        <v>86</v>
      </c>
      <c r="AJ75" s="25">
        <v>86</v>
      </c>
    </row>
    <row r="76" spans="1:36" x14ac:dyDescent="0.25">
      <c r="A76" s="75" t="s">
        <v>502</v>
      </c>
      <c r="B76" t="s">
        <v>305</v>
      </c>
      <c r="C76" s="25">
        <v>0</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row>
    <row r="77" spans="1:36" x14ac:dyDescent="0.25">
      <c r="A77" s="75" t="s">
        <v>503</v>
      </c>
      <c r="B77" t="s">
        <v>305</v>
      </c>
      <c r="C77" s="25">
        <v>3</v>
      </c>
      <c r="D77" s="25">
        <v>3</v>
      </c>
      <c r="E77" s="25">
        <v>3</v>
      </c>
      <c r="F77" s="25">
        <v>3</v>
      </c>
      <c r="G77" s="25">
        <v>3</v>
      </c>
      <c r="H77" s="25">
        <v>3</v>
      </c>
      <c r="I77" s="25">
        <v>3</v>
      </c>
      <c r="J77" s="25">
        <v>3</v>
      </c>
      <c r="K77" s="25">
        <v>3</v>
      </c>
      <c r="L77" s="25">
        <v>3</v>
      </c>
      <c r="M77" s="25">
        <v>3</v>
      </c>
      <c r="N77" s="25">
        <v>3</v>
      </c>
      <c r="O77" s="25">
        <v>3</v>
      </c>
      <c r="P77" s="25">
        <v>3</v>
      </c>
      <c r="Q77" s="25">
        <v>3</v>
      </c>
      <c r="R77" s="25">
        <v>3</v>
      </c>
      <c r="S77" s="25">
        <v>3</v>
      </c>
      <c r="T77" s="25">
        <v>3</v>
      </c>
      <c r="U77" s="25">
        <v>3</v>
      </c>
      <c r="V77" s="25">
        <v>3</v>
      </c>
      <c r="W77" s="25">
        <v>3</v>
      </c>
      <c r="X77" s="25">
        <v>3</v>
      </c>
      <c r="Y77" s="25">
        <v>3</v>
      </c>
      <c r="Z77" s="25">
        <v>3</v>
      </c>
      <c r="AA77" s="25">
        <v>3</v>
      </c>
      <c r="AB77" s="25">
        <v>3</v>
      </c>
      <c r="AC77" s="25">
        <v>3</v>
      </c>
      <c r="AD77" s="25">
        <v>3</v>
      </c>
      <c r="AE77" s="25">
        <v>3</v>
      </c>
      <c r="AF77" s="25">
        <v>3</v>
      </c>
      <c r="AG77" s="25">
        <v>3</v>
      </c>
      <c r="AH77" s="25">
        <v>3</v>
      </c>
      <c r="AI77" s="25">
        <v>3</v>
      </c>
      <c r="AJ77" s="25">
        <v>3</v>
      </c>
    </row>
    <row r="78" spans="1:36" x14ac:dyDescent="0.25">
      <c r="A78" s="75" t="s">
        <v>504</v>
      </c>
      <c r="B78" t="s">
        <v>305</v>
      </c>
      <c r="C78" s="25">
        <v>5</v>
      </c>
      <c r="D78" s="25">
        <v>5</v>
      </c>
      <c r="E78" s="25">
        <v>5</v>
      </c>
      <c r="F78" s="25">
        <v>5</v>
      </c>
      <c r="G78" s="25">
        <v>5</v>
      </c>
      <c r="H78" s="25">
        <v>5</v>
      </c>
      <c r="I78" s="25">
        <v>5</v>
      </c>
      <c r="J78" s="25">
        <v>5</v>
      </c>
      <c r="K78" s="25">
        <v>5</v>
      </c>
      <c r="L78" s="25">
        <v>5</v>
      </c>
      <c r="M78" s="25">
        <v>5</v>
      </c>
      <c r="N78" s="25">
        <v>5</v>
      </c>
      <c r="O78" s="25">
        <v>5</v>
      </c>
      <c r="P78" s="25">
        <v>5</v>
      </c>
      <c r="Q78" s="25">
        <v>5</v>
      </c>
      <c r="R78" s="25">
        <v>5</v>
      </c>
      <c r="S78" s="25">
        <v>5</v>
      </c>
      <c r="T78" s="25">
        <v>5</v>
      </c>
      <c r="U78" s="25">
        <v>5</v>
      </c>
      <c r="V78" s="25">
        <v>5</v>
      </c>
      <c r="W78" s="25">
        <v>5</v>
      </c>
      <c r="X78" s="25">
        <v>5</v>
      </c>
      <c r="Y78" s="25">
        <v>5</v>
      </c>
      <c r="Z78" s="25">
        <v>5</v>
      </c>
      <c r="AA78" s="25">
        <v>5</v>
      </c>
      <c r="AB78" s="25">
        <v>5</v>
      </c>
      <c r="AC78" s="25">
        <v>5</v>
      </c>
      <c r="AD78" s="25">
        <v>5</v>
      </c>
      <c r="AE78" s="25">
        <v>5</v>
      </c>
      <c r="AF78" s="25">
        <v>5</v>
      </c>
      <c r="AG78" s="25">
        <v>5</v>
      </c>
      <c r="AH78" s="25">
        <v>5</v>
      </c>
      <c r="AI78" s="25">
        <v>5</v>
      </c>
      <c r="AJ78" s="25">
        <v>5</v>
      </c>
    </row>
    <row r="79" spans="1:36" x14ac:dyDescent="0.25">
      <c r="A79" s="75" t="s">
        <v>505</v>
      </c>
      <c r="B79" t="s">
        <v>305</v>
      </c>
      <c r="C79" s="25">
        <v>0</v>
      </c>
      <c r="D79" s="25">
        <v>0</v>
      </c>
      <c r="E79" s="25">
        <v>0</v>
      </c>
      <c r="F79" s="25">
        <v>0</v>
      </c>
      <c r="G79" s="25">
        <v>0</v>
      </c>
      <c r="H79" s="25">
        <v>0</v>
      </c>
      <c r="I79" s="25">
        <v>0</v>
      </c>
      <c r="J79" s="25">
        <v>0</v>
      </c>
      <c r="K79" s="25">
        <v>0</v>
      </c>
      <c r="L79" s="25">
        <v>0</v>
      </c>
      <c r="M79" s="25">
        <v>0</v>
      </c>
      <c r="N79" s="25">
        <v>0</v>
      </c>
      <c r="O79" s="25">
        <v>0</v>
      </c>
      <c r="P79" s="25">
        <v>0</v>
      </c>
      <c r="Q79" s="25">
        <v>0</v>
      </c>
      <c r="R79" s="25">
        <v>0</v>
      </c>
      <c r="S79" s="25">
        <v>0</v>
      </c>
      <c r="T79" s="25">
        <v>0</v>
      </c>
      <c r="U79" s="25">
        <v>0</v>
      </c>
      <c r="V79" s="25">
        <v>0</v>
      </c>
      <c r="W79" s="25">
        <v>0</v>
      </c>
      <c r="X79" s="25">
        <v>0</v>
      </c>
      <c r="Y79" s="25">
        <v>0</v>
      </c>
      <c r="Z79" s="25">
        <v>0</v>
      </c>
      <c r="AA79" s="25">
        <v>0</v>
      </c>
      <c r="AB79" s="25">
        <v>0</v>
      </c>
      <c r="AC79" s="25">
        <v>0</v>
      </c>
      <c r="AD79" s="25">
        <v>0</v>
      </c>
      <c r="AE79" s="25">
        <v>0</v>
      </c>
      <c r="AF79" s="25">
        <v>0</v>
      </c>
      <c r="AG79" s="25">
        <v>0</v>
      </c>
      <c r="AH79" s="25">
        <v>0</v>
      </c>
      <c r="AI79" s="25">
        <v>0</v>
      </c>
      <c r="AJ79" s="25">
        <v>0</v>
      </c>
    </row>
    <row r="80" spans="1:36" x14ac:dyDescent="0.25">
      <c r="A80" s="75" t="s">
        <v>506</v>
      </c>
      <c r="B80" t="s">
        <v>305</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row>
    <row r="81" spans="1:36" x14ac:dyDescent="0.25">
      <c r="A81" s="75" t="s">
        <v>507</v>
      </c>
      <c r="B81" t="s">
        <v>305</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0</v>
      </c>
    </row>
    <row r="82" spans="1:36" x14ac:dyDescent="0.25">
      <c r="A82" s="75" t="s">
        <v>508</v>
      </c>
      <c r="B82" t="s">
        <v>305</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row>
    <row r="83" spans="1:36" x14ac:dyDescent="0.25">
      <c r="A83" s="75" t="s">
        <v>756</v>
      </c>
      <c r="B83" t="s">
        <v>305</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row>
    <row r="84" spans="1:36" s="76" customFormat="1" x14ac:dyDescent="0.25">
      <c r="A84" s="76" t="s">
        <v>780</v>
      </c>
      <c r="C84" s="77">
        <f>+SUM(C73:C83)</f>
        <v>100</v>
      </c>
      <c r="D84" s="77">
        <f t="shared" ref="D84" si="133">+SUM(D73:D83)</f>
        <v>100</v>
      </c>
      <c r="E84" s="77">
        <f t="shared" ref="E84" si="134">+SUM(E73:E83)</f>
        <v>100</v>
      </c>
      <c r="F84" s="77">
        <f t="shared" ref="F84" si="135">+SUM(F73:F83)</f>
        <v>100</v>
      </c>
      <c r="G84" s="77">
        <f t="shared" ref="G84" si="136">+SUM(G73:G83)</f>
        <v>100</v>
      </c>
      <c r="H84" s="77">
        <f t="shared" ref="H84" si="137">+SUM(H73:H83)</f>
        <v>100</v>
      </c>
      <c r="I84" s="77">
        <f t="shared" ref="I84" si="138">+SUM(I73:I83)</f>
        <v>100</v>
      </c>
      <c r="J84" s="77">
        <f t="shared" ref="J84" si="139">+SUM(J73:J83)</f>
        <v>100</v>
      </c>
      <c r="K84" s="77">
        <f t="shared" ref="K84" si="140">+SUM(K73:K83)</f>
        <v>100</v>
      </c>
      <c r="L84" s="77">
        <f t="shared" ref="L84" si="141">+SUM(L73:L83)</f>
        <v>100</v>
      </c>
      <c r="M84" s="77">
        <f t="shared" ref="M84" si="142">+SUM(M73:M83)</f>
        <v>100</v>
      </c>
      <c r="N84" s="77">
        <f t="shared" ref="N84" si="143">+SUM(N73:N83)</f>
        <v>100</v>
      </c>
      <c r="O84" s="77">
        <f t="shared" ref="O84" si="144">+SUM(O73:O83)</f>
        <v>100</v>
      </c>
      <c r="P84" s="77">
        <f t="shared" ref="P84" si="145">+SUM(P73:P83)</f>
        <v>100</v>
      </c>
      <c r="Q84" s="77">
        <f t="shared" ref="Q84" si="146">+SUM(Q73:Q83)</f>
        <v>100</v>
      </c>
      <c r="R84" s="77">
        <f t="shared" ref="R84" si="147">+SUM(R73:R83)</f>
        <v>100</v>
      </c>
      <c r="S84" s="77">
        <f t="shared" ref="S84" si="148">+SUM(S73:S83)</f>
        <v>100</v>
      </c>
      <c r="T84" s="77">
        <f t="shared" ref="T84" si="149">+SUM(T73:T83)</f>
        <v>100</v>
      </c>
      <c r="U84" s="77">
        <f t="shared" ref="U84" si="150">+SUM(U73:U83)</f>
        <v>100</v>
      </c>
      <c r="V84" s="77">
        <f t="shared" ref="V84" si="151">+SUM(V73:V83)</f>
        <v>100</v>
      </c>
      <c r="W84" s="77">
        <f t="shared" ref="W84" si="152">+SUM(W73:W83)</f>
        <v>100</v>
      </c>
      <c r="X84" s="77">
        <f t="shared" ref="X84" si="153">+SUM(X73:X83)</f>
        <v>100</v>
      </c>
      <c r="Y84" s="77">
        <f t="shared" ref="Y84" si="154">+SUM(Y73:Y83)</f>
        <v>100</v>
      </c>
      <c r="Z84" s="77">
        <f t="shared" ref="Z84" si="155">+SUM(Z73:Z83)</f>
        <v>100</v>
      </c>
      <c r="AA84" s="77">
        <f t="shared" ref="AA84" si="156">+SUM(AA73:AA83)</f>
        <v>100</v>
      </c>
      <c r="AB84" s="77">
        <f t="shared" ref="AB84" si="157">+SUM(AB73:AB83)</f>
        <v>100</v>
      </c>
      <c r="AC84" s="77">
        <f t="shared" ref="AC84" si="158">+SUM(AC73:AC83)</f>
        <v>100</v>
      </c>
      <c r="AD84" s="77">
        <f t="shared" ref="AD84" si="159">+SUM(AD73:AD83)</f>
        <v>100</v>
      </c>
      <c r="AE84" s="77">
        <f t="shared" ref="AE84" si="160">+SUM(AE73:AE83)</f>
        <v>100</v>
      </c>
      <c r="AF84" s="77">
        <f t="shared" ref="AF84" si="161">+SUM(AF73:AF83)</f>
        <v>100</v>
      </c>
      <c r="AG84" s="77">
        <f t="shared" ref="AG84" si="162">+SUM(AG73:AG83)</f>
        <v>100</v>
      </c>
      <c r="AH84" s="77">
        <f t="shared" ref="AH84" si="163">+SUM(AH73:AH83)</f>
        <v>100</v>
      </c>
      <c r="AI84" s="77">
        <f t="shared" ref="AI84" si="164">+SUM(AI73:AI83)</f>
        <v>100</v>
      </c>
      <c r="AJ84" s="77">
        <f t="shared" ref="AJ84" si="165">+SUM(AJ73:AJ83)</f>
        <v>100</v>
      </c>
    </row>
    <row r="85" spans="1:36" s="74" customFormat="1" ht="15.75" x14ac:dyDescent="0.25">
      <c r="A85" s="72" t="s">
        <v>773</v>
      </c>
      <c r="B85" s="73"/>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row>
    <row r="86" spans="1:36" x14ac:dyDescent="0.25">
      <c r="A86" t="s">
        <v>509</v>
      </c>
      <c r="B86" t="s">
        <v>305</v>
      </c>
      <c r="C86" s="25">
        <v>0</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v>0</v>
      </c>
      <c r="AI86" s="25">
        <v>0</v>
      </c>
      <c r="AJ86" s="25">
        <v>0</v>
      </c>
    </row>
    <row r="87" spans="1:36" x14ac:dyDescent="0.25">
      <c r="A87" t="s">
        <v>510</v>
      </c>
      <c r="B87" t="s">
        <v>305</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row>
    <row r="88" spans="1:36" x14ac:dyDescent="0.25">
      <c r="A88" t="s">
        <v>511</v>
      </c>
      <c r="B88" t="s">
        <v>305</v>
      </c>
      <c r="C88" s="25">
        <v>1</v>
      </c>
      <c r="D88" s="25">
        <v>1</v>
      </c>
      <c r="E88" s="25">
        <v>1</v>
      </c>
      <c r="F88" s="25">
        <v>1</v>
      </c>
      <c r="G88" s="25">
        <v>1</v>
      </c>
      <c r="H88" s="25">
        <v>1</v>
      </c>
      <c r="I88" s="25">
        <v>1</v>
      </c>
      <c r="J88" s="25">
        <v>1</v>
      </c>
      <c r="K88" s="25">
        <v>1</v>
      </c>
      <c r="L88" s="25">
        <v>1</v>
      </c>
      <c r="M88" s="25">
        <v>1</v>
      </c>
      <c r="N88" s="25">
        <v>1</v>
      </c>
      <c r="O88" s="25">
        <v>1</v>
      </c>
      <c r="P88" s="25">
        <v>1</v>
      </c>
      <c r="Q88" s="25">
        <v>1</v>
      </c>
      <c r="R88" s="25">
        <v>1</v>
      </c>
      <c r="S88" s="25">
        <v>1</v>
      </c>
      <c r="T88" s="25">
        <v>1</v>
      </c>
      <c r="U88" s="25">
        <v>1</v>
      </c>
      <c r="V88" s="25">
        <v>1</v>
      </c>
      <c r="W88" s="25">
        <v>1</v>
      </c>
      <c r="X88" s="25">
        <v>1</v>
      </c>
      <c r="Y88" s="25">
        <v>1</v>
      </c>
      <c r="Z88" s="25">
        <v>1</v>
      </c>
      <c r="AA88" s="25">
        <v>1</v>
      </c>
      <c r="AB88" s="25">
        <v>1</v>
      </c>
      <c r="AC88" s="25">
        <v>1</v>
      </c>
      <c r="AD88" s="25">
        <v>1</v>
      </c>
      <c r="AE88" s="25">
        <v>1</v>
      </c>
      <c r="AF88" s="25">
        <v>1</v>
      </c>
      <c r="AG88" s="25">
        <v>1</v>
      </c>
      <c r="AH88" s="25">
        <v>1</v>
      </c>
      <c r="AI88" s="25">
        <v>1</v>
      </c>
      <c r="AJ88" s="25">
        <v>1</v>
      </c>
    </row>
    <row r="89" spans="1:36" x14ac:dyDescent="0.25">
      <c r="A89" t="s">
        <v>512</v>
      </c>
      <c r="B89" t="s">
        <v>305</v>
      </c>
      <c r="C89" s="25">
        <v>0</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v>0</v>
      </c>
      <c r="Y89" s="25">
        <v>0</v>
      </c>
      <c r="Z89" s="25">
        <v>0</v>
      </c>
      <c r="AA89" s="25">
        <v>0</v>
      </c>
      <c r="AB89" s="25">
        <v>0</v>
      </c>
      <c r="AC89" s="25">
        <v>0</v>
      </c>
      <c r="AD89" s="25">
        <v>0</v>
      </c>
      <c r="AE89" s="25">
        <v>0</v>
      </c>
      <c r="AF89" s="25">
        <v>0</v>
      </c>
      <c r="AG89" s="25">
        <v>0</v>
      </c>
      <c r="AH89" s="25">
        <v>0</v>
      </c>
      <c r="AI89" s="25">
        <v>0</v>
      </c>
      <c r="AJ89" s="25">
        <v>0</v>
      </c>
    </row>
    <row r="90" spans="1:36" x14ac:dyDescent="0.25">
      <c r="A90" t="s">
        <v>513</v>
      </c>
      <c r="B90" t="s">
        <v>305</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v>0</v>
      </c>
      <c r="AI90" s="25">
        <v>0</v>
      </c>
      <c r="AJ90" s="25">
        <v>0</v>
      </c>
    </row>
    <row r="91" spans="1:36" x14ac:dyDescent="0.25">
      <c r="A91" t="s">
        <v>514</v>
      </c>
      <c r="B91" t="s">
        <v>305</v>
      </c>
      <c r="C91" s="25">
        <v>0</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v>0</v>
      </c>
      <c r="AI91" s="25">
        <v>0</v>
      </c>
      <c r="AJ91" s="25">
        <v>0</v>
      </c>
    </row>
    <row r="92" spans="1:36" x14ac:dyDescent="0.25">
      <c r="A92" t="s">
        <v>515</v>
      </c>
      <c r="B92" t="s">
        <v>305</v>
      </c>
      <c r="C92" s="25">
        <v>0</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row>
    <row r="93" spans="1:36" x14ac:dyDescent="0.25">
      <c r="A93" t="s">
        <v>516</v>
      </c>
      <c r="B93" t="s">
        <v>305</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v>0</v>
      </c>
      <c r="AI93" s="25">
        <v>0</v>
      </c>
      <c r="AJ93" s="25">
        <v>0</v>
      </c>
    </row>
    <row r="94" spans="1:36" x14ac:dyDescent="0.25">
      <c r="A94" t="s">
        <v>517</v>
      </c>
      <c r="B94" t="s">
        <v>305</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row>
    <row r="95" spans="1:36" x14ac:dyDescent="0.25">
      <c r="A95" t="s">
        <v>518</v>
      </c>
      <c r="B95" t="s">
        <v>305</v>
      </c>
      <c r="C95" s="25">
        <v>99</v>
      </c>
      <c r="D95" s="25">
        <v>99</v>
      </c>
      <c r="E95" s="25">
        <v>99</v>
      </c>
      <c r="F95" s="25">
        <v>99</v>
      </c>
      <c r="G95" s="25">
        <v>99</v>
      </c>
      <c r="H95" s="25">
        <v>99</v>
      </c>
      <c r="I95" s="25">
        <v>99</v>
      </c>
      <c r="J95" s="25">
        <v>99</v>
      </c>
      <c r="K95" s="25">
        <v>99</v>
      </c>
      <c r="L95" s="25">
        <v>99</v>
      </c>
      <c r="M95" s="25">
        <v>99</v>
      </c>
      <c r="N95" s="25">
        <v>99</v>
      </c>
      <c r="O95" s="25">
        <v>99</v>
      </c>
      <c r="P95" s="25">
        <v>99</v>
      </c>
      <c r="Q95" s="25">
        <v>99</v>
      </c>
      <c r="R95" s="25">
        <v>99</v>
      </c>
      <c r="S95" s="25">
        <v>99</v>
      </c>
      <c r="T95" s="25">
        <v>99</v>
      </c>
      <c r="U95" s="25">
        <v>99</v>
      </c>
      <c r="V95" s="25">
        <v>99</v>
      </c>
      <c r="W95" s="25">
        <v>99</v>
      </c>
      <c r="X95" s="25">
        <v>99</v>
      </c>
      <c r="Y95" s="25">
        <v>99</v>
      </c>
      <c r="Z95" s="25">
        <v>99</v>
      </c>
      <c r="AA95" s="25">
        <v>99</v>
      </c>
      <c r="AB95" s="25">
        <v>99</v>
      </c>
      <c r="AC95" s="25">
        <v>99</v>
      </c>
      <c r="AD95" s="25">
        <v>99</v>
      </c>
      <c r="AE95" s="25">
        <v>99</v>
      </c>
      <c r="AF95" s="25">
        <v>99</v>
      </c>
      <c r="AG95" s="25">
        <v>99</v>
      </c>
      <c r="AH95" s="25">
        <v>99</v>
      </c>
      <c r="AI95" s="25">
        <v>99</v>
      </c>
      <c r="AJ95" s="25">
        <v>99</v>
      </c>
    </row>
    <row r="96" spans="1:36" x14ac:dyDescent="0.25">
      <c r="A96" t="s">
        <v>757</v>
      </c>
      <c r="B96" t="s">
        <v>305</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v>0</v>
      </c>
      <c r="AI96" s="25">
        <v>0</v>
      </c>
      <c r="AJ96" s="25">
        <v>0</v>
      </c>
    </row>
    <row r="97" spans="1:36" x14ac:dyDescent="0.25">
      <c r="A97" t="s">
        <v>519</v>
      </c>
      <c r="B97" t="s">
        <v>305</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row>
    <row r="98" spans="1:36" x14ac:dyDescent="0.25">
      <c r="A98" t="s">
        <v>520</v>
      </c>
      <c r="B98" t="s">
        <v>305</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row>
    <row r="99" spans="1:36" x14ac:dyDescent="0.25">
      <c r="A99" t="s">
        <v>521</v>
      </c>
      <c r="B99" t="s">
        <v>305</v>
      </c>
      <c r="C99" s="25">
        <v>2</v>
      </c>
      <c r="D99" s="25">
        <v>2</v>
      </c>
      <c r="E99" s="25">
        <v>2</v>
      </c>
      <c r="F99" s="25">
        <v>2</v>
      </c>
      <c r="G99" s="25">
        <v>2</v>
      </c>
      <c r="H99" s="25">
        <v>2</v>
      </c>
      <c r="I99" s="25">
        <v>2</v>
      </c>
      <c r="J99" s="25">
        <v>2</v>
      </c>
      <c r="K99" s="25">
        <v>2</v>
      </c>
      <c r="L99" s="25">
        <v>2</v>
      </c>
      <c r="M99" s="25">
        <v>2</v>
      </c>
      <c r="N99" s="25">
        <v>2</v>
      </c>
      <c r="O99" s="25">
        <v>2</v>
      </c>
      <c r="P99" s="25">
        <v>2</v>
      </c>
      <c r="Q99" s="25">
        <v>2</v>
      </c>
      <c r="R99" s="25">
        <v>2</v>
      </c>
      <c r="S99" s="25">
        <v>2</v>
      </c>
      <c r="T99" s="25">
        <v>2</v>
      </c>
      <c r="U99" s="25">
        <v>2</v>
      </c>
      <c r="V99" s="25">
        <v>2</v>
      </c>
      <c r="W99" s="25">
        <v>2</v>
      </c>
      <c r="X99" s="25">
        <v>2</v>
      </c>
      <c r="Y99" s="25">
        <v>2</v>
      </c>
      <c r="Z99" s="25">
        <v>2</v>
      </c>
      <c r="AA99" s="25">
        <v>2</v>
      </c>
      <c r="AB99" s="25">
        <v>2</v>
      </c>
      <c r="AC99" s="25">
        <v>2</v>
      </c>
      <c r="AD99" s="25">
        <v>2</v>
      </c>
      <c r="AE99" s="25">
        <v>2</v>
      </c>
      <c r="AF99" s="25">
        <v>2</v>
      </c>
      <c r="AG99" s="25">
        <v>2</v>
      </c>
      <c r="AH99" s="25">
        <v>2</v>
      </c>
      <c r="AI99" s="25">
        <v>2</v>
      </c>
      <c r="AJ99" s="25">
        <v>2</v>
      </c>
    </row>
    <row r="100" spans="1:36" x14ac:dyDescent="0.25">
      <c r="A100" t="s">
        <v>522</v>
      </c>
      <c r="B100" t="s">
        <v>305</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row>
    <row r="101" spans="1:36" x14ac:dyDescent="0.25">
      <c r="A101" t="s">
        <v>523</v>
      </c>
      <c r="B101" t="s">
        <v>305</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row>
    <row r="102" spans="1:36" x14ac:dyDescent="0.25">
      <c r="A102" t="s">
        <v>524</v>
      </c>
      <c r="B102" t="s">
        <v>305</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row>
    <row r="103" spans="1:36" x14ac:dyDescent="0.25">
      <c r="A103" t="s">
        <v>525</v>
      </c>
      <c r="B103" t="s">
        <v>305</v>
      </c>
      <c r="C103" s="25">
        <v>5</v>
      </c>
      <c r="D103" s="25">
        <v>5</v>
      </c>
      <c r="E103" s="25">
        <v>5</v>
      </c>
      <c r="F103" s="25">
        <v>5</v>
      </c>
      <c r="G103" s="25">
        <v>5</v>
      </c>
      <c r="H103" s="25">
        <v>5</v>
      </c>
      <c r="I103" s="25">
        <v>5</v>
      </c>
      <c r="J103" s="25">
        <v>5</v>
      </c>
      <c r="K103" s="25">
        <v>5</v>
      </c>
      <c r="L103" s="25">
        <v>5</v>
      </c>
      <c r="M103" s="25">
        <v>5</v>
      </c>
      <c r="N103" s="25">
        <v>5</v>
      </c>
      <c r="O103" s="25">
        <v>5</v>
      </c>
      <c r="P103" s="25">
        <v>5</v>
      </c>
      <c r="Q103" s="25">
        <v>5</v>
      </c>
      <c r="R103" s="25">
        <v>5</v>
      </c>
      <c r="S103" s="25">
        <v>5</v>
      </c>
      <c r="T103" s="25">
        <v>5</v>
      </c>
      <c r="U103" s="25">
        <v>5</v>
      </c>
      <c r="V103" s="25">
        <v>5</v>
      </c>
      <c r="W103" s="25">
        <v>5</v>
      </c>
      <c r="X103" s="25">
        <v>5</v>
      </c>
      <c r="Y103" s="25">
        <v>5</v>
      </c>
      <c r="Z103" s="25">
        <v>5</v>
      </c>
      <c r="AA103" s="25">
        <v>5</v>
      </c>
      <c r="AB103" s="25">
        <v>5</v>
      </c>
      <c r="AC103" s="25">
        <v>5</v>
      </c>
      <c r="AD103" s="25">
        <v>5</v>
      </c>
      <c r="AE103" s="25">
        <v>5</v>
      </c>
      <c r="AF103" s="25">
        <v>5</v>
      </c>
      <c r="AG103" s="25">
        <v>5</v>
      </c>
      <c r="AH103" s="25">
        <v>5</v>
      </c>
      <c r="AI103" s="25">
        <v>5</v>
      </c>
      <c r="AJ103" s="25">
        <v>5</v>
      </c>
    </row>
    <row r="104" spans="1:36" x14ac:dyDescent="0.25">
      <c r="A104" t="s">
        <v>526</v>
      </c>
      <c r="B104" t="s">
        <v>305</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row>
    <row r="105" spans="1:36" x14ac:dyDescent="0.25">
      <c r="A105" t="s">
        <v>527</v>
      </c>
      <c r="B105" t="s">
        <v>305</v>
      </c>
      <c r="C105" s="25">
        <v>0</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row>
    <row r="106" spans="1:36" x14ac:dyDescent="0.25">
      <c r="A106" t="s">
        <v>528</v>
      </c>
      <c r="B106" t="s">
        <v>305</v>
      </c>
      <c r="C106" s="25">
        <v>93</v>
      </c>
      <c r="D106" s="25">
        <v>93</v>
      </c>
      <c r="E106" s="25">
        <v>93</v>
      </c>
      <c r="F106" s="25">
        <v>93</v>
      </c>
      <c r="G106" s="25">
        <v>93</v>
      </c>
      <c r="H106" s="25">
        <v>93</v>
      </c>
      <c r="I106" s="25">
        <v>93</v>
      </c>
      <c r="J106" s="25">
        <v>93</v>
      </c>
      <c r="K106" s="25">
        <v>93</v>
      </c>
      <c r="L106" s="25">
        <v>93</v>
      </c>
      <c r="M106" s="25">
        <v>93</v>
      </c>
      <c r="N106" s="25">
        <v>93</v>
      </c>
      <c r="O106" s="25">
        <v>93</v>
      </c>
      <c r="P106" s="25">
        <v>93</v>
      </c>
      <c r="Q106" s="25">
        <v>93</v>
      </c>
      <c r="R106" s="25">
        <v>93</v>
      </c>
      <c r="S106" s="25">
        <v>93</v>
      </c>
      <c r="T106" s="25">
        <v>93</v>
      </c>
      <c r="U106" s="25">
        <v>93</v>
      </c>
      <c r="V106" s="25">
        <v>93</v>
      </c>
      <c r="W106" s="25">
        <v>93</v>
      </c>
      <c r="X106" s="25">
        <v>93</v>
      </c>
      <c r="Y106" s="25">
        <v>93</v>
      </c>
      <c r="Z106" s="25">
        <v>93</v>
      </c>
      <c r="AA106" s="25">
        <v>93</v>
      </c>
      <c r="AB106" s="25">
        <v>93</v>
      </c>
      <c r="AC106" s="25">
        <v>93</v>
      </c>
      <c r="AD106" s="25">
        <v>93</v>
      </c>
      <c r="AE106" s="25">
        <v>93</v>
      </c>
      <c r="AF106" s="25">
        <v>93</v>
      </c>
      <c r="AG106" s="25">
        <v>93</v>
      </c>
      <c r="AH106" s="25">
        <v>93</v>
      </c>
      <c r="AI106" s="25">
        <v>93</v>
      </c>
      <c r="AJ106" s="25">
        <v>93</v>
      </c>
    </row>
    <row r="107" spans="1:36" x14ac:dyDescent="0.25">
      <c r="A107" t="s">
        <v>758</v>
      </c>
      <c r="B107" t="s">
        <v>305</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row>
    <row r="108" spans="1:36" s="76" customFormat="1" x14ac:dyDescent="0.25">
      <c r="A108" s="76" t="s">
        <v>780</v>
      </c>
      <c r="C108" s="77">
        <f>+SUM(C97:C107)</f>
        <v>100</v>
      </c>
      <c r="D108" s="77">
        <f t="shared" ref="D108" si="166">+SUM(D97:D107)</f>
        <v>100</v>
      </c>
      <c r="E108" s="77">
        <f t="shared" ref="E108" si="167">+SUM(E97:E107)</f>
        <v>100</v>
      </c>
      <c r="F108" s="77">
        <f t="shared" ref="F108" si="168">+SUM(F97:F107)</f>
        <v>100</v>
      </c>
      <c r="G108" s="77">
        <f t="shared" ref="G108" si="169">+SUM(G97:G107)</f>
        <v>100</v>
      </c>
      <c r="H108" s="77">
        <f t="shared" ref="H108" si="170">+SUM(H97:H107)</f>
        <v>100</v>
      </c>
      <c r="I108" s="77">
        <f t="shared" ref="I108" si="171">+SUM(I97:I107)</f>
        <v>100</v>
      </c>
      <c r="J108" s="77">
        <f t="shared" ref="J108" si="172">+SUM(J97:J107)</f>
        <v>100</v>
      </c>
      <c r="K108" s="77">
        <f t="shared" ref="K108" si="173">+SUM(K97:K107)</f>
        <v>100</v>
      </c>
      <c r="L108" s="77">
        <f t="shared" ref="L108" si="174">+SUM(L97:L107)</f>
        <v>100</v>
      </c>
      <c r="M108" s="77">
        <f t="shared" ref="M108" si="175">+SUM(M97:M107)</f>
        <v>100</v>
      </c>
      <c r="N108" s="77">
        <f t="shared" ref="N108" si="176">+SUM(N97:N107)</f>
        <v>100</v>
      </c>
      <c r="O108" s="77">
        <f t="shared" ref="O108" si="177">+SUM(O97:O107)</f>
        <v>100</v>
      </c>
      <c r="P108" s="77">
        <f t="shared" ref="P108" si="178">+SUM(P97:P107)</f>
        <v>100</v>
      </c>
      <c r="Q108" s="77">
        <f t="shared" ref="Q108" si="179">+SUM(Q97:Q107)</f>
        <v>100</v>
      </c>
      <c r="R108" s="77">
        <f t="shared" ref="R108" si="180">+SUM(R97:R107)</f>
        <v>100</v>
      </c>
      <c r="S108" s="77">
        <f t="shared" ref="S108" si="181">+SUM(S97:S107)</f>
        <v>100</v>
      </c>
      <c r="T108" s="77">
        <f t="shared" ref="T108" si="182">+SUM(T97:T107)</f>
        <v>100</v>
      </c>
      <c r="U108" s="77">
        <f t="shared" ref="U108" si="183">+SUM(U97:U107)</f>
        <v>100</v>
      </c>
      <c r="V108" s="77">
        <f t="shared" ref="V108" si="184">+SUM(V97:V107)</f>
        <v>100</v>
      </c>
      <c r="W108" s="77">
        <f t="shared" ref="W108" si="185">+SUM(W97:W107)</f>
        <v>100</v>
      </c>
      <c r="X108" s="77">
        <f t="shared" ref="X108" si="186">+SUM(X97:X107)</f>
        <v>100</v>
      </c>
      <c r="Y108" s="77">
        <f t="shared" ref="Y108" si="187">+SUM(Y97:Y107)</f>
        <v>100</v>
      </c>
      <c r="Z108" s="77">
        <f t="shared" ref="Z108" si="188">+SUM(Z97:Z107)</f>
        <v>100</v>
      </c>
      <c r="AA108" s="77">
        <f t="shared" ref="AA108" si="189">+SUM(AA97:AA107)</f>
        <v>100</v>
      </c>
      <c r="AB108" s="77">
        <f t="shared" ref="AB108" si="190">+SUM(AB97:AB107)</f>
        <v>100</v>
      </c>
      <c r="AC108" s="77">
        <f t="shared" ref="AC108" si="191">+SUM(AC97:AC107)</f>
        <v>100</v>
      </c>
      <c r="AD108" s="77">
        <f t="shared" ref="AD108" si="192">+SUM(AD97:AD107)</f>
        <v>100</v>
      </c>
      <c r="AE108" s="77">
        <f t="shared" ref="AE108" si="193">+SUM(AE97:AE107)</f>
        <v>100</v>
      </c>
      <c r="AF108" s="77">
        <f t="shared" ref="AF108" si="194">+SUM(AF97:AF107)</f>
        <v>100</v>
      </c>
      <c r="AG108" s="77">
        <f t="shared" ref="AG108" si="195">+SUM(AG97:AG107)</f>
        <v>100</v>
      </c>
      <c r="AH108" s="77">
        <f t="shared" ref="AH108" si="196">+SUM(AH97:AH107)</f>
        <v>100</v>
      </c>
      <c r="AI108" s="77">
        <f t="shared" ref="AI108" si="197">+SUM(AI97:AI107)</f>
        <v>100</v>
      </c>
      <c r="AJ108" s="77">
        <f t="shared" ref="AJ108" si="198">+SUM(AJ97:AJ107)</f>
        <v>100</v>
      </c>
    </row>
    <row r="109" spans="1:36" s="74" customFormat="1" ht="15.75" x14ac:dyDescent="0.25">
      <c r="A109" s="72" t="s">
        <v>774</v>
      </c>
      <c r="B109" s="73"/>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row>
    <row r="110" spans="1:36" x14ac:dyDescent="0.25">
      <c r="A110" t="s">
        <v>529</v>
      </c>
      <c r="B110" t="s">
        <v>305</v>
      </c>
      <c r="C110" s="25">
        <v>0</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row>
    <row r="111" spans="1:36" x14ac:dyDescent="0.25">
      <c r="A111" t="s">
        <v>530</v>
      </c>
      <c r="B111" t="s">
        <v>305</v>
      </c>
      <c r="C111" s="25">
        <v>0</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row>
    <row r="112" spans="1:36" x14ac:dyDescent="0.25">
      <c r="A112" t="s">
        <v>531</v>
      </c>
      <c r="B112" t="s">
        <v>305</v>
      </c>
      <c r="C112" s="25">
        <v>1</v>
      </c>
      <c r="D112" s="25">
        <v>1</v>
      </c>
      <c r="E112" s="25">
        <v>1</v>
      </c>
      <c r="F112" s="25">
        <v>1</v>
      </c>
      <c r="G112" s="25">
        <v>1</v>
      </c>
      <c r="H112" s="25">
        <v>1</v>
      </c>
      <c r="I112" s="25">
        <v>1</v>
      </c>
      <c r="J112" s="25">
        <v>1</v>
      </c>
      <c r="K112" s="25">
        <v>1</v>
      </c>
      <c r="L112" s="25">
        <v>1</v>
      </c>
      <c r="M112" s="25">
        <v>1</v>
      </c>
      <c r="N112" s="25">
        <v>1</v>
      </c>
      <c r="O112" s="25">
        <v>1</v>
      </c>
      <c r="P112" s="25">
        <v>1</v>
      </c>
      <c r="Q112" s="25">
        <v>1</v>
      </c>
      <c r="R112" s="25">
        <v>1</v>
      </c>
      <c r="S112" s="25">
        <v>1</v>
      </c>
      <c r="T112" s="25">
        <v>1</v>
      </c>
      <c r="U112" s="25">
        <v>1</v>
      </c>
      <c r="V112" s="25">
        <v>1</v>
      </c>
      <c r="W112" s="25">
        <v>1</v>
      </c>
      <c r="X112" s="25">
        <v>1</v>
      </c>
      <c r="Y112" s="25">
        <v>1</v>
      </c>
      <c r="Z112" s="25">
        <v>1</v>
      </c>
      <c r="AA112" s="25">
        <v>1</v>
      </c>
      <c r="AB112" s="25">
        <v>1</v>
      </c>
      <c r="AC112" s="25">
        <v>1</v>
      </c>
      <c r="AD112" s="25">
        <v>1</v>
      </c>
      <c r="AE112" s="25">
        <v>1</v>
      </c>
      <c r="AF112" s="25">
        <v>1</v>
      </c>
      <c r="AG112" s="25">
        <v>1</v>
      </c>
      <c r="AH112" s="25">
        <v>1</v>
      </c>
      <c r="AI112" s="25">
        <v>1</v>
      </c>
      <c r="AJ112" s="25">
        <v>1</v>
      </c>
    </row>
    <row r="113" spans="1:36" x14ac:dyDescent="0.25">
      <c r="A113" t="s">
        <v>532</v>
      </c>
      <c r="B113" t="s">
        <v>305</v>
      </c>
      <c r="C113" s="25">
        <v>0</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row>
    <row r="114" spans="1:36" x14ac:dyDescent="0.25">
      <c r="A114" t="s">
        <v>533</v>
      </c>
      <c r="B114" t="s">
        <v>305</v>
      </c>
      <c r="C114" s="25">
        <v>0</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row>
    <row r="115" spans="1:36" x14ac:dyDescent="0.25">
      <c r="A115" t="s">
        <v>534</v>
      </c>
      <c r="B115" t="s">
        <v>305</v>
      </c>
      <c r="C115" s="25">
        <v>0</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row>
    <row r="116" spans="1:36" x14ac:dyDescent="0.25">
      <c r="A116" t="s">
        <v>535</v>
      </c>
      <c r="B116" t="s">
        <v>305</v>
      </c>
      <c r="C116" s="25">
        <v>0</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row>
    <row r="117" spans="1:36" x14ac:dyDescent="0.25">
      <c r="A117" t="s">
        <v>536</v>
      </c>
      <c r="B117" t="s">
        <v>305</v>
      </c>
      <c r="C117" s="25">
        <v>0</v>
      </c>
      <c r="D117" s="25">
        <v>0</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row>
    <row r="118" spans="1:36" x14ac:dyDescent="0.25">
      <c r="A118" t="s">
        <v>537</v>
      </c>
      <c r="B118" t="s">
        <v>305</v>
      </c>
      <c r="C118" s="25">
        <v>0</v>
      </c>
      <c r="D118" s="25">
        <v>0</v>
      </c>
      <c r="E118" s="25">
        <v>0</v>
      </c>
      <c r="F118" s="25">
        <v>0</v>
      </c>
      <c r="G118" s="25">
        <v>0</v>
      </c>
      <c r="H118" s="25">
        <v>0</v>
      </c>
      <c r="I118" s="25">
        <v>0</v>
      </c>
      <c r="J118" s="25">
        <v>0</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row>
    <row r="119" spans="1:36" x14ac:dyDescent="0.25">
      <c r="A119" t="s">
        <v>538</v>
      </c>
      <c r="B119" t="s">
        <v>305</v>
      </c>
      <c r="C119" s="25">
        <v>99</v>
      </c>
      <c r="D119" s="25">
        <v>99</v>
      </c>
      <c r="E119" s="25">
        <v>99</v>
      </c>
      <c r="F119" s="25">
        <v>99</v>
      </c>
      <c r="G119" s="25">
        <v>99</v>
      </c>
      <c r="H119" s="25">
        <v>99</v>
      </c>
      <c r="I119" s="25">
        <v>99</v>
      </c>
      <c r="J119" s="25">
        <v>99</v>
      </c>
      <c r="K119" s="25">
        <v>99</v>
      </c>
      <c r="L119" s="25">
        <v>99</v>
      </c>
      <c r="M119" s="25">
        <v>99</v>
      </c>
      <c r="N119" s="25">
        <v>99</v>
      </c>
      <c r="O119" s="25">
        <v>99</v>
      </c>
      <c r="P119" s="25">
        <v>99</v>
      </c>
      <c r="Q119" s="25">
        <v>99</v>
      </c>
      <c r="R119" s="25">
        <v>99</v>
      </c>
      <c r="S119" s="25">
        <v>99</v>
      </c>
      <c r="T119" s="25">
        <v>99</v>
      </c>
      <c r="U119" s="25">
        <v>99</v>
      </c>
      <c r="V119" s="25">
        <v>99</v>
      </c>
      <c r="W119" s="25">
        <v>99</v>
      </c>
      <c r="X119" s="25">
        <v>99</v>
      </c>
      <c r="Y119" s="25">
        <v>99</v>
      </c>
      <c r="Z119" s="25">
        <v>99</v>
      </c>
      <c r="AA119" s="25">
        <v>99</v>
      </c>
      <c r="AB119" s="25">
        <v>99</v>
      </c>
      <c r="AC119" s="25">
        <v>99</v>
      </c>
      <c r="AD119" s="25">
        <v>99</v>
      </c>
      <c r="AE119" s="25">
        <v>99</v>
      </c>
      <c r="AF119" s="25">
        <v>99</v>
      </c>
      <c r="AG119" s="25">
        <v>99</v>
      </c>
      <c r="AH119" s="25">
        <v>99</v>
      </c>
      <c r="AI119" s="25">
        <v>99</v>
      </c>
      <c r="AJ119" s="25">
        <v>99</v>
      </c>
    </row>
    <row r="120" spans="1:36" x14ac:dyDescent="0.25">
      <c r="A120" t="s">
        <v>759</v>
      </c>
      <c r="B120" t="s">
        <v>305</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v>0</v>
      </c>
      <c r="AI120" s="25">
        <v>0</v>
      </c>
      <c r="AJ120" s="25">
        <v>0</v>
      </c>
    </row>
    <row r="121" spans="1:36" s="76" customFormat="1" x14ac:dyDescent="0.25">
      <c r="A121" s="76" t="s">
        <v>780</v>
      </c>
      <c r="C121" s="77">
        <f>+SUM(C110:C120)</f>
        <v>100</v>
      </c>
      <c r="D121" s="77">
        <f t="shared" ref="D121" si="199">+SUM(D110:D120)</f>
        <v>100</v>
      </c>
      <c r="E121" s="77">
        <f t="shared" ref="E121" si="200">+SUM(E110:E120)</f>
        <v>100</v>
      </c>
      <c r="F121" s="77">
        <f t="shared" ref="F121" si="201">+SUM(F110:F120)</f>
        <v>100</v>
      </c>
      <c r="G121" s="77">
        <f t="shared" ref="G121" si="202">+SUM(G110:G120)</f>
        <v>100</v>
      </c>
      <c r="H121" s="77">
        <f t="shared" ref="H121" si="203">+SUM(H110:H120)</f>
        <v>100</v>
      </c>
      <c r="I121" s="77">
        <f t="shared" ref="I121" si="204">+SUM(I110:I120)</f>
        <v>100</v>
      </c>
      <c r="J121" s="77">
        <f t="shared" ref="J121" si="205">+SUM(J110:J120)</f>
        <v>100</v>
      </c>
      <c r="K121" s="77">
        <f t="shared" ref="K121" si="206">+SUM(K110:K120)</f>
        <v>100</v>
      </c>
      <c r="L121" s="77">
        <f t="shared" ref="L121" si="207">+SUM(L110:L120)</f>
        <v>100</v>
      </c>
      <c r="M121" s="77">
        <f t="shared" ref="M121" si="208">+SUM(M110:M120)</f>
        <v>100</v>
      </c>
      <c r="N121" s="77">
        <f t="shared" ref="N121" si="209">+SUM(N110:N120)</f>
        <v>100</v>
      </c>
      <c r="O121" s="77">
        <f t="shared" ref="O121" si="210">+SUM(O110:O120)</f>
        <v>100</v>
      </c>
      <c r="P121" s="77">
        <f t="shared" ref="P121" si="211">+SUM(P110:P120)</f>
        <v>100</v>
      </c>
      <c r="Q121" s="77">
        <f t="shared" ref="Q121" si="212">+SUM(Q110:Q120)</f>
        <v>100</v>
      </c>
      <c r="R121" s="77">
        <f t="shared" ref="R121" si="213">+SUM(R110:R120)</f>
        <v>100</v>
      </c>
      <c r="S121" s="77">
        <f t="shared" ref="S121" si="214">+SUM(S110:S120)</f>
        <v>100</v>
      </c>
      <c r="T121" s="77">
        <f t="shared" ref="T121" si="215">+SUM(T110:T120)</f>
        <v>100</v>
      </c>
      <c r="U121" s="77">
        <f t="shared" ref="U121" si="216">+SUM(U110:U120)</f>
        <v>100</v>
      </c>
      <c r="V121" s="77">
        <f t="shared" ref="V121" si="217">+SUM(V110:V120)</f>
        <v>100</v>
      </c>
      <c r="W121" s="77">
        <f t="shared" ref="W121" si="218">+SUM(W110:W120)</f>
        <v>100</v>
      </c>
      <c r="X121" s="77">
        <f t="shared" ref="X121" si="219">+SUM(X110:X120)</f>
        <v>100</v>
      </c>
      <c r="Y121" s="77">
        <f t="shared" ref="Y121" si="220">+SUM(Y110:Y120)</f>
        <v>100</v>
      </c>
      <c r="Z121" s="77">
        <f t="shared" ref="Z121" si="221">+SUM(Z110:Z120)</f>
        <v>100</v>
      </c>
      <c r="AA121" s="77">
        <f t="shared" ref="AA121" si="222">+SUM(AA110:AA120)</f>
        <v>100</v>
      </c>
      <c r="AB121" s="77">
        <f t="shared" ref="AB121" si="223">+SUM(AB110:AB120)</f>
        <v>100</v>
      </c>
      <c r="AC121" s="77">
        <f t="shared" ref="AC121" si="224">+SUM(AC110:AC120)</f>
        <v>100</v>
      </c>
      <c r="AD121" s="77">
        <f t="shared" ref="AD121" si="225">+SUM(AD110:AD120)</f>
        <v>100</v>
      </c>
      <c r="AE121" s="77">
        <f t="shared" ref="AE121" si="226">+SUM(AE110:AE120)</f>
        <v>100</v>
      </c>
      <c r="AF121" s="77">
        <f t="shared" ref="AF121" si="227">+SUM(AF110:AF120)</f>
        <v>100</v>
      </c>
      <c r="AG121" s="77">
        <f t="shared" ref="AG121" si="228">+SUM(AG110:AG120)</f>
        <v>100</v>
      </c>
      <c r="AH121" s="77">
        <f t="shared" ref="AH121" si="229">+SUM(AH110:AH120)</f>
        <v>100</v>
      </c>
      <c r="AI121" s="77">
        <f t="shared" ref="AI121" si="230">+SUM(AI110:AI120)</f>
        <v>100</v>
      </c>
      <c r="AJ121" s="77">
        <f t="shared" ref="AJ121" si="231">+SUM(AJ110:AJ120)</f>
        <v>100</v>
      </c>
    </row>
    <row r="122" spans="1:36" x14ac:dyDescent="0.25">
      <c r="A122" t="s">
        <v>539</v>
      </c>
      <c r="B122" t="s">
        <v>305</v>
      </c>
      <c r="C122" s="25">
        <v>0</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row>
    <row r="123" spans="1:36" x14ac:dyDescent="0.25">
      <c r="A123" t="s">
        <v>540</v>
      </c>
      <c r="B123" t="s">
        <v>305</v>
      </c>
      <c r="C123" s="25">
        <v>0</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row>
    <row r="124" spans="1:36" x14ac:dyDescent="0.25">
      <c r="A124" t="s">
        <v>541</v>
      </c>
      <c r="B124" t="s">
        <v>305</v>
      </c>
      <c r="C124" s="25">
        <v>2</v>
      </c>
      <c r="D124" s="25">
        <v>2</v>
      </c>
      <c r="E124" s="25">
        <v>2</v>
      </c>
      <c r="F124" s="25">
        <v>2</v>
      </c>
      <c r="G124" s="25">
        <v>2</v>
      </c>
      <c r="H124" s="25">
        <v>2</v>
      </c>
      <c r="I124" s="25">
        <v>2</v>
      </c>
      <c r="J124" s="25">
        <v>2</v>
      </c>
      <c r="K124" s="25">
        <v>2</v>
      </c>
      <c r="L124" s="25">
        <v>2</v>
      </c>
      <c r="M124" s="25">
        <v>2</v>
      </c>
      <c r="N124" s="25">
        <v>2</v>
      </c>
      <c r="O124" s="25">
        <v>2</v>
      </c>
      <c r="P124" s="25">
        <v>2</v>
      </c>
      <c r="Q124" s="25">
        <v>2</v>
      </c>
      <c r="R124" s="25">
        <v>2</v>
      </c>
      <c r="S124" s="25">
        <v>2</v>
      </c>
      <c r="T124" s="25">
        <v>2</v>
      </c>
      <c r="U124" s="25">
        <v>2</v>
      </c>
      <c r="V124" s="25">
        <v>2</v>
      </c>
      <c r="W124" s="25">
        <v>2</v>
      </c>
      <c r="X124" s="25">
        <v>2</v>
      </c>
      <c r="Y124" s="25">
        <v>2</v>
      </c>
      <c r="Z124" s="25">
        <v>2</v>
      </c>
      <c r="AA124" s="25">
        <v>2</v>
      </c>
      <c r="AB124" s="25">
        <v>2</v>
      </c>
      <c r="AC124" s="25">
        <v>2</v>
      </c>
      <c r="AD124" s="25">
        <v>2</v>
      </c>
      <c r="AE124" s="25">
        <v>2</v>
      </c>
      <c r="AF124" s="25">
        <v>2</v>
      </c>
      <c r="AG124" s="25">
        <v>2</v>
      </c>
      <c r="AH124" s="25">
        <v>2</v>
      </c>
      <c r="AI124" s="25">
        <v>2</v>
      </c>
      <c r="AJ124" s="25">
        <v>2</v>
      </c>
    </row>
    <row r="125" spans="1:36" x14ac:dyDescent="0.25">
      <c r="A125" t="s">
        <v>542</v>
      </c>
      <c r="B125" t="s">
        <v>305</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row>
    <row r="126" spans="1:36" x14ac:dyDescent="0.25">
      <c r="A126" t="s">
        <v>543</v>
      </c>
      <c r="B126" t="s">
        <v>305</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row>
    <row r="127" spans="1:36" x14ac:dyDescent="0.25">
      <c r="A127" t="s">
        <v>544</v>
      </c>
      <c r="B127" t="s">
        <v>305</v>
      </c>
      <c r="C127" s="25">
        <v>0</v>
      </c>
      <c r="D127" s="25">
        <v>0</v>
      </c>
      <c r="E127" s="25">
        <v>0</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row>
    <row r="128" spans="1:36" x14ac:dyDescent="0.25">
      <c r="A128" t="s">
        <v>545</v>
      </c>
      <c r="B128" t="s">
        <v>305</v>
      </c>
      <c r="C128" s="25">
        <v>5</v>
      </c>
      <c r="D128" s="25">
        <v>5</v>
      </c>
      <c r="E128" s="25">
        <v>5</v>
      </c>
      <c r="F128" s="25">
        <v>5</v>
      </c>
      <c r="G128" s="25">
        <v>5</v>
      </c>
      <c r="H128" s="25">
        <v>5</v>
      </c>
      <c r="I128" s="25">
        <v>5</v>
      </c>
      <c r="J128" s="25">
        <v>5</v>
      </c>
      <c r="K128" s="25">
        <v>5</v>
      </c>
      <c r="L128" s="25">
        <v>5</v>
      </c>
      <c r="M128" s="25">
        <v>5</v>
      </c>
      <c r="N128" s="25">
        <v>5</v>
      </c>
      <c r="O128" s="25">
        <v>5</v>
      </c>
      <c r="P128" s="25">
        <v>5</v>
      </c>
      <c r="Q128" s="25">
        <v>5</v>
      </c>
      <c r="R128" s="25">
        <v>5</v>
      </c>
      <c r="S128" s="25">
        <v>5</v>
      </c>
      <c r="T128" s="25">
        <v>5</v>
      </c>
      <c r="U128" s="25">
        <v>5</v>
      </c>
      <c r="V128" s="25">
        <v>5</v>
      </c>
      <c r="W128" s="25">
        <v>5</v>
      </c>
      <c r="X128" s="25">
        <v>5</v>
      </c>
      <c r="Y128" s="25">
        <v>5</v>
      </c>
      <c r="Z128" s="25">
        <v>5</v>
      </c>
      <c r="AA128" s="25">
        <v>5</v>
      </c>
      <c r="AB128" s="25">
        <v>5</v>
      </c>
      <c r="AC128" s="25">
        <v>5</v>
      </c>
      <c r="AD128" s="25">
        <v>5</v>
      </c>
      <c r="AE128" s="25">
        <v>5</v>
      </c>
      <c r="AF128" s="25">
        <v>5</v>
      </c>
      <c r="AG128" s="25">
        <v>5</v>
      </c>
      <c r="AH128" s="25">
        <v>5</v>
      </c>
      <c r="AI128" s="25">
        <v>5</v>
      </c>
      <c r="AJ128" s="25">
        <v>5</v>
      </c>
    </row>
    <row r="129" spans="1:36" x14ac:dyDescent="0.25">
      <c r="A129" t="s">
        <v>546</v>
      </c>
      <c r="B129" t="s">
        <v>305</v>
      </c>
      <c r="C129" s="25">
        <v>0</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row>
    <row r="130" spans="1:36" x14ac:dyDescent="0.25">
      <c r="A130" t="s">
        <v>547</v>
      </c>
      <c r="B130" t="s">
        <v>305</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v>0</v>
      </c>
      <c r="AI130" s="25">
        <v>0</v>
      </c>
      <c r="AJ130" s="25">
        <v>0</v>
      </c>
    </row>
    <row r="131" spans="1:36" x14ac:dyDescent="0.25">
      <c r="A131" t="s">
        <v>548</v>
      </c>
      <c r="B131" t="s">
        <v>305</v>
      </c>
      <c r="C131" s="25">
        <v>93</v>
      </c>
      <c r="D131" s="25">
        <v>93</v>
      </c>
      <c r="E131" s="25">
        <v>93</v>
      </c>
      <c r="F131" s="25">
        <v>93</v>
      </c>
      <c r="G131" s="25">
        <v>93</v>
      </c>
      <c r="H131" s="25">
        <v>93</v>
      </c>
      <c r="I131" s="25">
        <v>93</v>
      </c>
      <c r="J131" s="25">
        <v>93</v>
      </c>
      <c r="K131" s="25">
        <v>93</v>
      </c>
      <c r="L131" s="25">
        <v>93</v>
      </c>
      <c r="M131" s="25">
        <v>93</v>
      </c>
      <c r="N131" s="25">
        <v>93</v>
      </c>
      <c r="O131" s="25">
        <v>93</v>
      </c>
      <c r="P131" s="25">
        <v>93</v>
      </c>
      <c r="Q131" s="25">
        <v>93</v>
      </c>
      <c r="R131" s="25">
        <v>93</v>
      </c>
      <c r="S131" s="25">
        <v>93</v>
      </c>
      <c r="T131" s="25">
        <v>93</v>
      </c>
      <c r="U131" s="25">
        <v>93</v>
      </c>
      <c r="V131" s="25">
        <v>93</v>
      </c>
      <c r="W131" s="25">
        <v>93</v>
      </c>
      <c r="X131" s="25">
        <v>93</v>
      </c>
      <c r="Y131" s="25">
        <v>93</v>
      </c>
      <c r="Z131" s="25">
        <v>93</v>
      </c>
      <c r="AA131" s="25">
        <v>93</v>
      </c>
      <c r="AB131" s="25">
        <v>93</v>
      </c>
      <c r="AC131" s="25">
        <v>93</v>
      </c>
      <c r="AD131" s="25">
        <v>93</v>
      </c>
      <c r="AE131" s="25">
        <v>93</v>
      </c>
      <c r="AF131" s="25">
        <v>93</v>
      </c>
      <c r="AG131" s="25">
        <v>93</v>
      </c>
      <c r="AH131" s="25">
        <v>93</v>
      </c>
      <c r="AI131" s="25">
        <v>93</v>
      </c>
      <c r="AJ131" s="25">
        <v>93</v>
      </c>
    </row>
    <row r="132" spans="1:36" x14ac:dyDescent="0.25">
      <c r="A132" t="s">
        <v>760</v>
      </c>
      <c r="B132" t="s">
        <v>305</v>
      </c>
      <c r="C132" s="25">
        <v>0</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row>
    <row r="133" spans="1:36" s="76" customFormat="1" x14ac:dyDescent="0.25">
      <c r="A133" s="76" t="s">
        <v>780</v>
      </c>
      <c r="C133" s="77">
        <f>+SUM(C122:C132)</f>
        <v>100</v>
      </c>
      <c r="D133" s="77">
        <f t="shared" ref="D133" si="232">+SUM(D122:D132)</f>
        <v>100</v>
      </c>
      <c r="E133" s="77">
        <f t="shared" ref="E133" si="233">+SUM(E122:E132)</f>
        <v>100</v>
      </c>
      <c r="F133" s="77">
        <f t="shared" ref="F133" si="234">+SUM(F122:F132)</f>
        <v>100</v>
      </c>
      <c r="G133" s="77">
        <f t="shared" ref="G133" si="235">+SUM(G122:G132)</f>
        <v>100</v>
      </c>
      <c r="H133" s="77">
        <f t="shared" ref="H133" si="236">+SUM(H122:H132)</f>
        <v>100</v>
      </c>
      <c r="I133" s="77">
        <f t="shared" ref="I133" si="237">+SUM(I122:I132)</f>
        <v>100</v>
      </c>
      <c r="J133" s="77">
        <f t="shared" ref="J133" si="238">+SUM(J122:J132)</f>
        <v>100</v>
      </c>
      <c r="K133" s="77">
        <f t="shared" ref="K133" si="239">+SUM(K122:K132)</f>
        <v>100</v>
      </c>
      <c r="L133" s="77">
        <f t="shared" ref="L133" si="240">+SUM(L122:L132)</f>
        <v>100</v>
      </c>
      <c r="M133" s="77">
        <f t="shared" ref="M133" si="241">+SUM(M122:M132)</f>
        <v>100</v>
      </c>
      <c r="N133" s="77">
        <f t="shared" ref="N133" si="242">+SUM(N122:N132)</f>
        <v>100</v>
      </c>
      <c r="O133" s="77">
        <f t="shared" ref="O133" si="243">+SUM(O122:O132)</f>
        <v>100</v>
      </c>
      <c r="P133" s="77">
        <f t="shared" ref="P133" si="244">+SUM(P122:P132)</f>
        <v>100</v>
      </c>
      <c r="Q133" s="77">
        <f t="shared" ref="Q133" si="245">+SUM(Q122:Q132)</f>
        <v>100</v>
      </c>
      <c r="R133" s="77">
        <f t="shared" ref="R133" si="246">+SUM(R122:R132)</f>
        <v>100</v>
      </c>
      <c r="S133" s="77">
        <f t="shared" ref="S133" si="247">+SUM(S122:S132)</f>
        <v>100</v>
      </c>
      <c r="T133" s="77">
        <f t="shared" ref="T133" si="248">+SUM(T122:T132)</f>
        <v>100</v>
      </c>
      <c r="U133" s="77">
        <f t="shared" ref="U133" si="249">+SUM(U122:U132)</f>
        <v>100</v>
      </c>
      <c r="V133" s="77">
        <f t="shared" ref="V133" si="250">+SUM(V122:V132)</f>
        <v>100</v>
      </c>
      <c r="W133" s="77">
        <f t="shared" ref="W133" si="251">+SUM(W122:W132)</f>
        <v>100</v>
      </c>
      <c r="X133" s="77">
        <f t="shared" ref="X133" si="252">+SUM(X122:X132)</f>
        <v>100</v>
      </c>
      <c r="Y133" s="77">
        <f t="shared" ref="Y133" si="253">+SUM(Y122:Y132)</f>
        <v>100</v>
      </c>
      <c r="Z133" s="77">
        <f t="shared" ref="Z133" si="254">+SUM(Z122:Z132)</f>
        <v>100</v>
      </c>
      <c r="AA133" s="77">
        <f t="shared" ref="AA133" si="255">+SUM(AA122:AA132)</f>
        <v>100</v>
      </c>
      <c r="AB133" s="77">
        <f t="shared" ref="AB133" si="256">+SUM(AB122:AB132)</f>
        <v>100</v>
      </c>
      <c r="AC133" s="77">
        <f t="shared" ref="AC133" si="257">+SUM(AC122:AC132)</f>
        <v>100</v>
      </c>
      <c r="AD133" s="77">
        <f t="shared" ref="AD133" si="258">+SUM(AD122:AD132)</f>
        <v>100</v>
      </c>
      <c r="AE133" s="77">
        <f t="shared" ref="AE133" si="259">+SUM(AE122:AE132)</f>
        <v>100</v>
      </c>
      <c r="AF133" s="77">
        <f t="shared" ref="AF133" si="260">+SUM(AF122:AF132)</f>
        <v>100</v>
      </c>
      <c r="AG133" s="77">
        <f t="shared" ref="AG133" si="261">+SUM(AG122:AG132)</f>
        <v>100</v>
      </c>
      <c r="AH133" s="77">
        <f t="shared" ref="AH133" si="262">+SUM(AH122:AH132)</f>
        <v>100</v>
      </c>
      <c r="AI133" s="77">
        <f t="shared" ref="AI133" si="263">+SUM(AI122:AI132)</f>
        <v>100</v>
      </c>
      <c r="AJ133" s="77">
        <f t="shared" ref="AJ133" si="264">+SUM(AJ122:AJ132)</f>
        <v>100</v>
      </c>
    </row>
    <row r="134" spans="1:36" s="74" customFormat="1" ht="15.75" x14ac:dyDescent="0.25">
      <c r="A134" s="72" t="s">
        <v>775</v>
      </c>
      <c r="B134" s="73"/>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row>
    <row r="135" spans="1:36" x14ac:dyDescent="0.25">
      <c r="A135" t="s">
        <v>549</v>
      </c>
      <c r="B135" t="s">
        <v>305</v>
      </c>
      <c r="C135" s="25">
        <v>0</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row>
    <row r="136" spans="1:36" x14ac:dyDescent="0.25">
      <c r="A136" t="s">
        <v>550</v>
      </c>
      <c r="B136" t="s">
        <v>305</v>
      </c>
      <c r="C136" s="25">
        <v>0</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row>
    <row r="137" spans="1:36" x14ac:dyDescent="0.25">
      <c r="A137" t="s">
        <v>551</v>
      </c>
      <c r="B137" t="s">
        <v>305</v>
      </c>
      <c r="C137" s="25">
        <v>0</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row>
    <row r="138" spans="1:36" x14ac:dyDescent="0.25">
      <c r="A138" t="s">
        <v>552</v>
      </c>
      <c r="B138" t="s">
        <v>305</v>
      </c>
      <c r="C138" s="25">
        <v>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row>
    <row r="139" spans="1:36" x14ac:dyDescent="0.25">
      <c r="A139" t="s">
        <v>553</v>
      </c>
      <c r="B139" t="s">
        <v>305</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row>
    <row r="140" spans="1:36" x14ac:dyDescent="0.25">
      <c r="A140" t="s">
        <v>554</v>
      </c>
      <c r="B140" t="s">
        <v>305</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row>
    <row r="141" spans="1:36" x14ac:dyDescent="0.25">
      <c r="A141" t="s">
        <v>555</v>
      </c>
      <c r="B141" t="s">
        <v>305</v>
      </c>
      <c r="C141" s="25">
        <v>0</v>
      </c>
      <c r="D141" s="25">
        <v>0</v>
      </c>
      <c r="E141" s="25">
        <v>0</v>
      </c>
      <c r="F141" s="25">
        <v>0</v>
      </c>
      <c r="G141" s="25">
        <v>0</v>
      </c>
      <c r="H141" s="25">
        <v>0</v>
      </c>
      <c r="I141" s="25">
        <v>0</v>
      </c>
      <c r="J141" s="25">
        <v>0</v>
      </c>
      <c r="K141" s="25">
        <v>0</v>
      </c>
      <c r="L141" s="25">
        <v>0</v>
      </c>
      <c r="M141" s="25">
        <v>0</v>
      </c>
      <c r="N141" s="25">
        <v>0</v>
      </c>
      <c r="O141" s="25">
        <v>0</v>
      </c>
      <c r="P141" s="25">
        <v>0</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row>
    <row r="142" spans="1:36" x14ac:dyDescent="0.25">
      <c r="A142" t="s">
        <v>556</v>
      </c>
      <c r="B142" t="s">
        <v>305</v>
      </c>
      <c r="C142" s="25">
        <v>0</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row>
    <row r="143" spans="1:36" x14ac:dyDescent="0.25">
      <c r="A143" t="s">
        <v>557</v>
      </c>
      <c r="B143" t="s">
        <v>305</v>
      </c>
      <c r="C143" s="25">
        <v>0</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row>
    <row r="144" spans="1:36" x14ac:dyDescent="0.25">
      <c r="A144" t="s">
        <v>558</v>
      </c>
      <c r="B144" t="s">
        <v>305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25">
        <v>100</v>
      </c>
      <c r="Z144" s="25">
        <v>100</v>
      </c>
      <c r="AA144" s="25">
        <v>100</v>
      </c>
      <c r="AB144" s="25">
        <v>100</v>
      </c>
      <c r="AC144" s="25">
        <v>100</v>
      </c>
      <c r="AD144" s="25">
        <v>100</v>
      </c>
      <c r="AE144" s="25">
        <v>100</v>
      </c>
      <c r="AF144" s="25">
        <v>100</v>
      </c>
      <c r="AG144" s="25">
        <v>100</v>
      </c>
      <c r="AH144" s="25">
        <v>100</v>
      </c>
      <c r="AI144" s="25">
        <v>100</v>
      </c>
      <c r="AJ144" s="25">
        <v>100</v>
      </c>
    </row>
    <row r="145" spans="1:36" x14ac:dyDescent="0.25">
      <c r="A145" t="s">
        <v>761</v>
      </c>
      <c r="B145" t="s">
        <v>305</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row>
    <row r="146" spans="1:36" s="76" customFormat="1" x14ac:dyDescent="0.25">
      <c r="A146" s="76" t="s">
        <v>780</v>
      </c>
      <c r="C146" s="77">
        <f>+SUM(C135:C145)</f>
        <v>100</v>
      </c>
      <c r="D146" s="77">
        <f t="shared" ref="D146" si="265">+SUM(D135:D145)</f>
        <v>100</v>
      </c>
      <c r="E146" s="77">
        <f t="shared" ref="E146" si="266">+SUM(E135:E145)</f>
        <v>100</v>
      </c>
      <c r="F146" s="77">
        <f t="shared" ref="F146" si="267">+SUM(F135:F145)</f>
        <v>100</v>
      </c>
      <c r="G146" s="77">
        <f t="shared" ref="G146" si="268">+SUM(G135:G145)</f>
        <v>100</v>
      </c>
      <c r="H146" s="77">
        <f t="shared" ref="H146" si="269">+SUM(H135:H145)</f>
        <v>100</v>
      </c>
      <c r="I146" s="77">
        <f t="shared" ref="I146" si="270">+SUM(I135:I145)</f>
        <v>100</v>
      </c>
      <c r="J146" s="77">
        <f t="shared" ref="J146" si="271">+SUM(J135:J145)</f>
        <v>100</v>
      </c>
      <c r="K146" s="77">
        <f t="shared" ref="K146" si="272">+SUM(K135:K145)</f>
        <v>100</v>
      </c>
      <c r="L146" s="77">
        <f t="shared" ref="L146" si="273">+SUM(L135:L145)</f>
        <v>100</v>
      </c>
      <c r="M146" s="77">
        <f t="shared" ref="M146" si="274">+SUM(M135:M145)</f>
        <v>100</v>
      </c>
      <c r="N146" s="77">
        <f t="shared" ref="N146" si="275">+SUM(N135:N145)</f>
        <v>100</v>
      </c>
      <c r="O146" s="77">
        <f t="shared" ref="O146" si="276">+SUM(O135:O145)</f>
        <v>100</v>
      </c>
      <c r="P146" s="77">
        <f t="shared" ref="P146" si="277">+SUM(P135:P145)</f>
        <v>100</v>
      </c>
      <c r="Q146" s="77">
        <f t="shared" ref="Q146" si="278">+SUM(Q135:Q145)</f>
        <v>100</v>
      </c>
      <c r="R146" s="77">
        <f t="shared" ref="R146" si="279">+SUM(R135:R145)</f>
        <v>100</v>
      </c>
      <c r="S146" s="77">
        <f t="shared" ref="S146" si="280">+SUM(S135:S145)</f>
        <v>100</v>
      </c>
      <c r="T146" s="77">
        <f t="shared" ref="T146" si="281">+SUM(T135:T145)</f>
        <v>100</v>
      </c>
      <c r="U146" s="77">
        <f t="shared" ref="U146" si="282">+SUM(U135:U145)</f>
        <v>100</v>
      </c>
      <c r="V146" s="77">
        <f t="shared" ref="V146" si="283">+SUM(V135:V145)</f>
        <v>100</v>
      </c>
      <c r="W146" s="77">
        <f t="shared" ref="W146" si="284">+SUM(W135:W145)</f>
        <v>100</v>
      </c>
      <c r="X146" s="77">
        <f t="shared" ref="X146" si="285">+SUM(X135:X145)</f>
        <v>100</v>
      </c>
      <c r="Y146" s="77">
        <f t="shared" ref="Y146" si="286">+SUM(Y135:Y145)</f>
        <v>100</v>
      </c>
      <c r="Z146" s="77">
        <f t="shared" ref="Z146" si="287">+SUM(Z135:Z145)</f>
        <v>100</v>
      </c>
      <c r="AA146" s="77">
        <f t="shared" ref="AA146" si="288">+SUM(AA135:AA145)</f>
        <v>100</v>
      </c>
      <c r="AB146" s="77">
        <f t="shared" ref="AB146" si="289">+SUM(AB135:AB145)</f>
        <v>100</v>
      </c>
      <c r="AC146" s="77">
        <f t="shared" ref="AC146" si="290">+SUM(AC135:AC145)</f>
        <v>100</v>
      </c>
      <c r="AD146" s="77">
        <f t="shared" ref="AD146" si="291">+SUM(AD135:AD145)</f>
        <v>100</v>
      </c>
      <c r="AE146" s="77">
        <f t="shared" ref="AE146" si="292">+SUM(AE135:AE145)</f>
        <v>100</v>
      </c>
      <c r="AF146" s="77">
        <f t="shared" ref="AF146" si="293">+SUM(AF135:AF145)</f>
        <v>100</v>
      </c>
      <c r="AG146" s="77">
        <f t="shared" ref="AG146" si="294">+SUM(AG135:AG145)</f>
        <v>100</v>
      </c>
      <c r="AH146" s="77">
        <f t="shared" ref="AH146" si="295">+SUM(AH135:AH145)</f>
        <v>100</v>
      </c>
      <c r="AI146" s="77">
        <f t="shared" ref="AI146" si="296">+SUM(AI135:AI145)</f>
        <v>100</v>
      </c>
      <c r="AJ146" s="77">
        <f t="shared" ref="AJ146" si="297">+SUM(AJ135:AJ145)</f>
        <v>100</v>
      </c>
    </row>
    <row r="147" spans="1:36" x14ac:dyDescent="0.25">
      <c r="A147" t="s">
        <v>559</v>
      </c>
      <c r="B147" t="s">
        <v>305</v>
      </c>
      <c r="C147" s="25">
        <v>0</v>
      </c>
      <c r="D147" s="25">
        <v>0</v>
      </c>
      <c r="E147" s="25">
        <v>0</v>
      </c>
      <c r="F147" s="25">
        <v>0</v>
      </c>
      <c r="G147" s="25">
        <v>0</v>
      </c>
      <c r="H147" s="25">
        <v>0</v>
      </c>
      <c r="I147" s="25">
        <v>0</v>
      </c>
      <c r="J147" s="25">
        <v>0</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row>
    <row r="148" spans="1:36" x14ac:dyDescent="0.25">
      <c r="A148" t="s">
        <v>560</v>
      </c>
      <c r="B148" t="s">
        <v>305</v>
      </c>
      <c r="C148" s="25">
        <v>0</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row>
    <row r="149" spans="1:36" x14ac:dyDescent="0.25">
      <c r="A149" t="s">
        <v>561</v>
      </c>
      <c r="B149" t="s">
        <v>305</v>
      </c>
      <c r="C149" s="25">
        <v>0</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row>
    <row r="150" spans="1:36" x14ac:dyDescent="0.25">
      <c r="A150" t="s">
        <v>562</v>
      </c>
      <c r="B150" t="s">
        <v>305</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row>
    <row r="151" spans="1:36" x14ac:dyDescent="0.25">
      <c r="A151" t="s">
        <v>563</v>
      </c>
      <c r="B151" t="s">
        <v>305</v>
      </c>
      <c r="C151" s="25">
        <v>0</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row>
    <row r="152" spans="1:36" x14ac:dyDescent="0.25">
      <c r="A152" t="s">
        <v>564</v>
      </c>
      <c r="B152" t="s">
        <v>305</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row>
    <row r="153" spans="1:36" x14ac:dyDescent="0.25">
      <c r="A153" t="s">
        <v>565</v>
      </c>
      <c r="B153" t="s">
        <v>305</v>
      </c>
      <c r="C153" s="25">
        <v>0</v>
      </c>
      <c r="D153" s="25">
        <v>0</v>
      </c>
      <c r="E153" s="25">
        <v>0</v>
      </c>
      <c r="F153" s="25">
        <v>0</v>
      </c>
      <c r="G153" s="25">
        <v>0</v>
      </c>
      <c r="H153" s="25">
        <v>0</v>
      </c>
      <c r="I153" s="25">
        <v>0</v>
      </c>
      <c r="J153" s="25">
        <v>0</v>
      </c>
      <c r="K153" s="25">
        <v>0</v>
      </c>
      <c r="L153" s="25">
        <v>0</v>
      </c>
      <c r="M153" s="25">
        <v>0</v>
      </c>
      <c r="N153" s="25">
        <v>0</v>
      </c>
      <c r="O153" s="25">
        <v>0</v>
      </c>
      <c r="P153" s="25">
        <v>0</v>
      </c>
      <c r="Q153" s="25">
        <v>0</v>
      </c>
      <c r="R153" s="25">
        <v>0</v>
      </c>
      <c r="S153" s="25">
        <v>0</v>
      </c>
      <c r="T153" s="25">
        <v>0</v>
      </c>
      <c r="U153" s="25">
        <v>0</v>
      </c>
      <c r="V153" s="25">
        <v>0</v>
      </c>
      <c r="W153" s="25">
        <v>0</v>
      </c>
      <c r="X153" s="25">
        <v>0</v>
      </c>
      <c r="Y153" s="25">
        <v>0</v>
      </c>
      <c r="Z153" s="25">
        <v>0</v>
      </c>
      <c r="AA153" s="25">
        <v>0</v>
      </c>
      <c r="AB153" s="25">
        <v>0</v>
      </c>
      <c r="AC153" s="25">
        <v>0</v>
      </c>
      <c r="AD153" s="25">
        <v>0</v>
      </c>
      <c r="AE153" s="25">
        <v>0</v>
      </c>
      <c r="AF153" s="25">
        <v>0</v>
      </c>
      <c r="AG153" s="25">
        <v>0</v>
      </c>
      <c r="AH153" s="25">
        <v>0</v>
      </c>
      <c r="AI153" s="25">
        <v>0</v>
      </c>
      <c r="AJ153" s="25">
        <v>0</v>
      </c>
    </row>
    <row r="154" spans="1:36" x14ac:dyDescent="0.25">
      <c r="A154" t="s">
        <v>566</v>
      </c>
      <c r="B154" t="s">
        <v>305</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row>
    <row r="155" spans="1:36" x14ac:dyDescent="0.25">
      <c r="A155" t="s">
        <v>567</v>
      </c>
      <c r="B155" t="s">
        <v>305</v>
      </c>
      <c r="C155" s="25">
        <v>0</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v>0</v>
      </c>
      <c r="Y155" s="25">
        <v>0</v>
      </c>
      <c r="Z155" s="25">
        <v>0</v>
      </c>
      <c r="AA155" s="25">
        <v>0</v>
      </c>
      <c r="AB155" s="25">
        <v>0</v>
      </c>
      <c r="AC155" s="25">
        <v>0</v>
      </c>
      <c r="AD155" s="25">
        <v>0</v>
      </c>
      <c r="AE155" s="25">
        <v>0</v>
      </c>
      <c r="AF155" s="25">
        <v>0</v>
      </c>
      <c r="AG155" s="25">
        <v>0</v>
      </c>
      <c r="AH155" s="25">
        <v>0</v>
      </c>
      <c r="AI155" s="25">
        <v>0</v>
      </c>
      <c r="AJ155" s="25">
        <v>0</v>
      </c>
    </row>
    <row r="156" spans="1:36" x14ac:dyDescent="0.25">
      <c r="A156" t="s">
        <v>568</v>
      </c>
      <c r="B156" t="s">
        <v>305</v>
      </c>
      <c r="C156" s="25">
        <v>100</v>
      </c>
      <c r="D156" s="25">
        <v>100</v>
      </c>
      <c r="E156" s="25">
        <v>100</v>
      </c>
      <c r="F156" s="25">
        <v>100</v>
      </c>
      <c r="G156" s="25">
        <v>100</v>
      </c>
      <c r="H156" s="25">
        <v>100</v>
      </c>
      <c r="I156" s="25">
        <v>100</v>
      </c>
      <c r="J156" s="25">
        <v>100</v>
      </c>
      <c r="K156" s="25">
        <v>100</v>
      </c>
      <c r="L156" s="25">
        <v>100</v>
      </c>
      <c r="M156" s="25">
        <v>100</v>
      </c>
      <c r="N156" s="25">
        <v>100</v>
      </c>
      <c r="O156" s="25">
        <v>100</v>
      </c>
      <c r="P156" s="25">
        <v>100</v>
      </c>
      <c r="Q156" s="25">
        <v>100</v>
      </c>
      <c r="R156" s="25">
        <v>100</v>
      </c>
      <c r="S156" s="25">
        <v>100</v>
      </c>
      <c r="T156" s="25">
        <v>100</v>
      </c>
      <c r="U156" s="25">
        <v>100</v>
      </c>
      <c r="V156" s="25">
        <v>100</v>
      </c>
      <c r="W156" s="25">
        <v>100</v>
      </c>
      <c r="X156" s="25">
        <v>100</v>
      </c>
      <c r="Y156" s="25">
        <v>100</v>
      </c>
      <c r="Z156" s="25">
        <v>100</v>
      </c>
      <c r="AA156" s="25">
        <v>100</v>
      </c>
      <c r="AB156" s="25">
        <v>100</v>
      </c>
      <c r="AC156" s="25">
        <v>100</v>
      </c>
      <c r="AD156" s="25">
        <v>100</v>
      </c>
      <c r="AE156" s="25">
        <v>100</v>
      </c>
      <c r="AF156" s="25">
        <v>100</v>
      </c>
      <c r="AG156" s="25">
        <v>100</v>
      </c>
      <c r="AH156" s="25">
        <v>100</v>
      </c>
      <c r="AI156" s="25">
        <v>100</v>
      </c>
      <c r="AJ156" s="25">
        <v>100</v>
      </c>
    </row>
    <row r="157" spans="1:36" x14ac:dyDescent="0.25">
      <c r="A157" t="s">
        <v>762</v>
      </c>
      <c r="B157" t="s">
        <v>305</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v>0</v>
      </c>
      <c r="Y157" s="25">
        <v>0</v>
      </c>
      <c r="Z157" s="25">
        <v>0</v>
      </c>
      <c r="AA157" s="25">
        <v>0</v>
      </c>
      <c r="AB157" s="25">
        <v>0</v>
      </c>
      <c r="AC157" s="25">
        <v>0</v>
      </c>
      <c r="AD157" s="25">
        <v>0</v>
      </c>
      <c r="AE157" s="25">
        <v>0</v>
      </c>
      <c r="AF157" s="25">
        <v>0</v>
      </c>
      <c r="AG157" s="25">
        <v>0</v>
      </c>
      <c r="AH157" s="25">
        <v>0</v>
      </c>
      <c r="AI157" s="25">
        <v>0</v>
      </c>
      <c r="AJ157" s="25">
        <v>0</v>
      </c>
    </row>
    <row r="158" spans="1:36" s="76" customFormat="1" x14ac:dyDescent="0.25">
      <c r="A158" s="76" t="s">
        <v>780</v>
      </c>
      <c r="C158" s="77">
        <f>+SUM(C147:C157)</f>
        <v>100</v>
      </c>
      <c r="D158" s="77">
        <f t="shared" ref="D158" si="298">+SUM(D147:D157)</f>
        <v>100</v>
      </c>
      <c r="E158" s="77">
        <f t="shared" ref="E158" si="299">+SUM(E147:E157)</f>
        <v>100</v>
      </c>
      <c r="F158" s="77">
        <f t="shared" ref="F158" si="300">+SUM(F147:F157)</f>
        <v>100</v>
      </c>
      <c r="G158" s="77">
        <f t="shared" ref="G158" si="301">+SUM(G147:G157)</f>
        <v>100</v>
      </c>
      <c r="H158" s="77">
        <f t="shared" ref="H158" si="302">+SUM(H147:H157)</f>
        <v>100</v>
      </c>
      <c r="I158" s="77">
        <f t="shared" ref="I158" si="303">+SUM(I147:I157)</f>
        <v>100</v>
      </c>
      <c r="J158" s="77">
        <f t="shared" ref="J158" si="304">+SUM(J147:J157)</f>
        <v>100</v>
      </c>
      <c r="K158" s="77">
        <f t="shared" ref="K158" si="305">+SUM(K147:K157)</f>
        <v>100</v>
      </c>
      <c r="L158" s="77">
        <f t="shared" ref="L158" si="306">+SUM(L147:L157)</f>
        <v>100</v>
      </c>
      <c r="M158" s="77">
        <f t="shared" ref="M158" si="307">+SUM(M147:M157)</f>
        <v>100</v>
      </c>
      <c r="N158" s="77">
        <f t="shared" ref="N158" si="308">+SUM(N147:N157)</f>
        <v>100</v>
      </c>
      <c r="O158" s="77">
        <f t="shared" ref="O158" si="309">+SUM(O147:O157)</f>
        <v>100</v>
      </c>
      <c r="P158" s="77">
        <f t="shared" ref="P158" si="310">+SUM(P147:P157)</f>
        <v>100</v>
      </c>
      <c r="Q158" s="77">
        <f t="shared" ref="Q158" si="311">+SUM(Q147:Q157)</f>
        <v>100</v>
      </c>
      <c r="R158" s="77">
        <f t="shared" ref="R158" si="312">+SUM(R147:R157)</f>
        <v>100</v>
      </c>
      <c r="S158" s="77">
        <f t="shared" ref="S158" si="313">+SUM(S147:S157)</f>
        <v>100</v>
      </c>
      <c r="T158" s="77">
        <f t="shared" ref="T158" si="314">+SUM(T147:T157)</f>
        <v>100</v>
      </c>
      <c r="U158" s="77">
        <f t="shared" ref="U158" si="315">+SUM(U147:U157)</f>
        <v>100</v>
      </c>
      <c r="V158" s="77">
        <f t="shared" ref="V158" si="316">+SUM(V147:V157)</f>
        <v>100</v>
      </c>
      <c r="W158" s="77">
        <f t="shared" ref="W158" si="317">+SUM(W147:W157)</f>
        <v>100</v>
      </c>
      <c r="X158" s="77">
        <f t="shared" ref="X158" si="318">+SUM(X147:X157)</f>
        <v>100</v>
      </c>
      <c r="Y158" s="77">
        <f t="shared" ref="Y158" si="319">+SUM(Y147:Y157)</f>
        <v>100</v>
      </c>
      <c r="Z158" s="77">
        <f t="shared" ref="Z158" si="320">+SUM(Z147:Z157)</f>
        <v>100</v>
      </c>
      <c r="AA158" s="77">
        <f t="shared" ref="AA158" si="321">+SUM(AA147:AA157)</f>
        <v>100</v>
      </c>
      <c r="AB158" s="77">
        <f t="shared" ref="AB158" si="322">+SUM(AB147:AB157)</f>
        <v>100</v>
      </c>
      <c r="AC158" s="77">
        <f t="shared" ref="AC158" si="323">+SUM(AC147:AC157)</f>
        <v>100</v>
      </c>
      <c r="AD158" s="77">
        <f t="shared" ref="AD158" si="324">+SUM(AD147:AD157)</f>
        <v>100</v>
      </c>
      <c r="AE158" s="77">
        <f t="shared" ref="AE158" si="325">+SUM(AE147:AE157)</f>
        <v>100</v>
      </c>
      <c r="AF158" s="77">
        <f t="shared" ref="AF158" si="326">+SUM(AF147:AF157)</f>
        <v>100</v>
      </c>
      <c r="AG158" s="77">
        <f t="shared" ref="AG158" si="327">+SUM(AG147:AG157)</f>
        <v>100</v>
      </c>
      <c r="AH158" s="77">
        <f t="shared" ref="AH158" si="328">+SUM(AH147:AH157)</f>
        <v>100</v>
      </c>
      <c r="AI158" s="77">
        <f t="shared" ref="AI158" si="329">+SUM(AI147:AI157)</f>
        <v>100</v>
      </c>
      <c r="AJ158" s="77">
        <f t="shared" ref="AJ158" si="330">+SUM(AJ147:AJ157)</f>
        <v>100</v>
      </c>
    </row>
    <row r="159" spans="1:36" s="74" customFormat="1" ht="15.75" x14ac:dyDescent="0.25">
      <c r="A159" s="72" t="s">
        <v>776</v>
      </c>
      <c r="B159" s="73"/>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row>
    <row r="160" spans="1:36" x14ac:dyDescent="0.25">
      <c r="A160" s="75" t="s">
        <v>569</v>
      </c>
      <c r="B160" t="s">
        <v>305</v>
      </c>
      <c r="C160" s="25">
        <v>71</v>
      </c>
      <c r="D160" s="25">
        <v>71</v>
      </c>
      <c r="E160" s="25">
        <v>71</v>
      </c>
      <c r="F160" s="25">
        <v>71</v>
      </c>
      <c r="G160" s="25">
        <v>71</v>
      </c>
      <c r="H160" s="25">
        <v>71</v>
      </c>
      <c r="I160" s="25">
        <v>71</v>
      </c>
      <c r="J160" s="25">
        <v>71</v>
      </c>
      <c r="K160" s="25">
        <v>71</v>
      </c>
      <c r="L160" s="25">
        <v>71</v>
      </c>
      <c r="M160" s="25">
        <v>71</v>
      </c>
      <c r="N160" s="25">
        <v>71</v>
      </c>
      <c r="O160" s="25">
        <v>71</v>
      </c>
      <c r="P160" s="25">
        <v>71</v>
      </c>
      <c r="Q160" s="25">
        <v>71</v>
      </c>
      <c r="R160" s="25">
        <v>71</v>
      </c>
      <c r="S160" s="25">
        <v>71</v>
      </c>
      <c r="T160" s="25">
        <v>71</v>
      </c>
      <c r="U160" s="25">
        <v>71</v>
      </c>
      <c r="V160" s="25">
        <v>71</v>
      </c>
      <c r="W160" s="25">
        <v>71</v>
      </c>
      <c r="X160" s="25">
        <v>71</v>
      </c>
      <c r="Y160" s="25">
        <v>71</v>
      </c>
      <c r="Z160" s="25">
        <v>71</v>
      </c>
      <c r="AA160" s="25">
        <v>71</v>
      </c>
      <c r="AB160" s="25">
        <v>71</v>
      </c>
      <c r="AC160" s="25">
        <v>71</v>
      </c>
      <c r="AD160" s="25">
        <v>71</v>
      </c>
      <c r="AE160" s="25">
        <v>71</v>
      </c>
      <c r="AF160" s="25">
        <v>71</v>
      </c>
      <c r="AG160" s="25">
        <v>71</v>
      </c>
      <c r="AH160" s="25">
        <v>71</v>
      </c>
      <c r="AI160" s="25">
        <v>71</v>
      </c>
      <c r="AJ160" s="25">
        <v>71</v>
      </c>
    </row>
    <row r="161" spans="1:36" x14ac:dyDescent="0.25">
      <c r="A161" s="75" t="s">
        <v>570</v>
      </c>
      <c r="B161" t="s">
        <v>305</v>
      </c>
      <c r="C161" s="25">
        <v>11</v>
      </c>
      <c r="D161" s="25">
        <v>11</v>
      </c>
      <c r="E161" s="25">
        <v>11</v>
      </c>
      <c r="F161" s="25">
        <v>11</v>
      </c>
      <c r="G161" s="25">
        <v>11</v>
      </c>
      <c r="H161" s="25">
        <v>11</v>
      </c>
      <c r="I161" s="25">
        <v>11</v>
      </c>
      <c r="J161" s="25">
        <v>11</v>
      </c>
      <c r="K161" s="25">
        <v>11</v>
      </c>
      <c r="L161" s="25">
        <v>11</v>
      </c>
      <c r="M161" s="25">
        <v>11</v>
      </c>
      <c r="N161" s="25">
        <v>11</v>
      </c>
      <c r="O161" s="25">
        <v>11</v>
      </c>
      <c r="P161" s="25">
        <v>11</v>
      </c>
      <c r="Q161" s="25">
        <v>11</v>
      </c>
      <c r="R161" s="25">
        <v>11</v>
      </c>
      <c r="S161" s="25">
        <v>11</v>
      </c>
      <c r="T161" s="25">
        <v>11</v>
      </c>
      <c r="U161" s="25">
        <v>11</v>
      </c>
      <c r="V161" s="25">
        <v>11</v>
      </c>
      <c r="W161" s="25">
        <v>11</v>
      </c>
      <c r="X161" s="25">
        <v>11</v>
      </c>
      <c r="Y161" s="25">
        <v>11</v>
      </c>
      <c r="Z161" s="25">
        <v>11</v>
      </c>
      <c r="AA161" s="25">
        <v>11</v>
      </c>
      <c r="AB161" s="25">
        <v>11</v>
      </c>
      <c r="AC161" s="25">
        <v>11</v>
      </c>
      <c r="AD161" s="25">
        <v>11</v>
      </c>
      <c r="AE161" s="25">
        <v>11</v>
      </c>
      <c r="AF161" s="25">
        <v>11</v>
      </c>
      <c r="AG161" s="25">
        <v>11</v>
      </c>
      <c r="AH161" s="25">
        <v>11</v>
      </c>
      <c r="AI161" s="25">
        <v>11</v>
      </c>
      <c r="AJ161" s="25">
        <v>11</v>
      </c>
    </row>
    <row r="162" spans="1:36" x14ac:dyDescent="0.25">
      <c r="A162" s="75" t="s">
        <v>571</v>
      </c>
      <c r="B162" t="s">
        <v>305</v>
      </c>
      <c r="C162" s="25">
        <v>13</v>
      </c>
      <c r="D162" s="25">
        <v>13</v>
      </c>
      <c r="E162" s="25">
        <v>13</v>
      </c>
      <c r="F162" s="25">
        <v>13</v>
      </c>
      <c r="G162" s="25">
        <v>13</v>
      </c>
      <c r="H162" s="25">
        <v>13</v>
      </c>
      <c r="I162" s="25">
        <v>13</v>
      </c>
      <c r="J162" s="25">
        <v>13</v>
      </c>
      <c r="K162" s="25">
        <v>13</v>
      </c>
      <c r="L162" s="25">
        <v>13</v>
      </c>
      <c r="M162" s="25">
        <v>13</v>
      </c>
      <c r="N162" s="25">
        <v>13</v>
      </c>
      <c r="O162" s="25">
        <v>13</v>
      </c>
      <c r="P162" s="25">
        <v>13</v>
      </c>
      <c r="Q162" s="25">
        <v>13</v>
      </c>
      <c r="R162" s="25">
        <v>13</v>
      </c>
      <c r="S162" s="25">
        <v>13</v>
      </c>
      <c r="T162" s="25">
        <v>13</v>
      </c>
      <c r="U162" s="25">
        <v>13</v>
      </c>
      <c r="V162" s="25">
        <v>13</v>
      </c>
      <c r="W162" s="25">
        <v>13</v>
      </c>
      <c r="X162" s="25">
        <v>13</v>
      </c>
      <c r="Y162" s="25">
        <v>13</v>
      </c>
      <c r="Z162" s="25">
        <v>13</v>
      </c>
      <c r="AA162" s="25">
        <v>13</v>
      </c>
      <c r="AB162" s="25">
        <v>13</v>
      </c>
      <c r="AC162" s="25">
        <v>13</v>
      </c>
      <c r="AD162" s="25">
        <v>13</v>
      </c>
      <c r="AE162" s="25">
        <v>13</v>
      </c>
      <c r="AF162" s="25">
        <v>13</v>
      </c>
      <c r="AG162" s="25">
        <v>13</v>
      </c>
      <c r="AH162" s="25">
        <v>13</v>
      </c>
      <c r="AI162" s="25">
        <v>13</v>
      </c>
      <c r="AJ162" s="25">
        <v>13</v>
      </c>
    </row>
    <row r="163" spans="1:36" x14ac:dyDescent="0.25">
      <c r="A163" s="75" t="s">
        <v>572</v>
      </c>
      <c r="B163" t="s">
        <v>305</v>
      </c>
      <c r="C163" s="25">
        <v>0</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v>0</v>
      </c>
      <c r="Y163" s="25">
        <v>0</v>
      </c>
      <c r="Z163" s="25">
        <v>0</v>
      </c>
      <c r="AA163" s="25">
        <v>0</v>
      </c>
      <c r="AB163" s="25">
        <v>0</v>
      </c>
      <c r="AC163" s="25">
        <v>0</v>
      </c>
      <c r="AD163" s="25">
        <v>0</v>
      </c>
      <c r="AE163" s="25">
        <v>0</v>
      </c>
      <c r="AF163" s="25">
        <v>0</v>
      </c>
      <c r="AG163" s="25">
        <v>0</v>
      </c>
      <c r="AH163" s="25">
        <v>0</v>
      </c>
      <c r="AI163" s="25">
        <v>0</v>
      </c>
      <c r="AJ163" s="25">
        <v>0</v>
      </c>
    </row>
    <row r="164" spans="1:36" x14ac:dyDescent="0.25">
      <c r="A164" s="75" t="s">
        <v>573</v>
      </c>
      <c r="B164" t="s">
        <v>305</v>
      </c>
      <c r="C164" s="25">
        <v>3</v>
      </c>
      <c r="D164" s="25">
        <v>3</v>
      </c>
      <c r="E164" s="25">
        <v>3</v>
      </c>
      <c r="F164" s="25">
        <v>3</v>
      </c>
      <c r="G164" s="25">
        <v>3</v>
      </c>
      <c r="H164" s="25">
        <v>3</v>
      </c>
      <c r="I164" s="25">
        <v>3</v>
      </c>
      <c r="J164" s="25">
        <v>3</v>
      </c>
      <c r="K164" s="25">
        <v>3</v>
      </c>
      <c r="L164" s="25">
        <v>3</v>
      </c>
      <c r="M164" s="25">
        <v>3</v>
      </c>
      <c r="N164" s="25">
        <v>3</v>
      </c>
      <c r="O164" s="25">
        <v>3</v>
      </c>
      <c r="P164" s="25">
        <v>3</v>
      </c>
      <c r="Q164" s="25">
        <v>3</v>
      </c>
      <c r="R164" s="25">
        <v>3</v>
      </c>
      <c r="S164" s="25">
        <v>3</v>
      </c>
      <c r="T164" s="25">
        <v>3</v>
      </c>
      <c r="U164" s="25">
        <v>3</v>
      </c>
      <c r="V164" s="25">
        <v>3</v>
      </c>
      <c r="W164" s="25">
        <v>3</v>
      </c>
      <c r="X164" s="25">
        <v>3</v>
      </c>
      <c r="Y164" s="25">
        <v>3</v>
      </c>
      <c r="Z164" s="25">
        <v>3</v>
      </c>
      <c r="AA164" s="25">
        <v>3</v>
      </c>
      <c r="AB164" s="25">
        <v>3</v>
      </c>
      <c r="AC164" s="25">
        <v>3</v>
      </c>
      <c r="AD164" s="25">
        <v>3</v>
      </c>
      <c r="AE164" s="25">
        <v>3</v>
      </c>
      <c r="AF164" s="25">
        <v>3</v>
      </c>
      <c r="AG164" s="25">
        <v>3</v>
      </c>
      <c r="AH164" s="25">
        <v>3</v>
      </c>
      <c r="AI164" s="25">
        <v>3</v>
      </c>
      <c r="AJ164" s="25">
        <v>3</v>
      </c>
    </row>
    <row r="165" spans="1:36" x14ac:dyDescent="0.25">
      <c r="A165" s="75" t="s">
        <v>574</v>
      </c>
      <c r="B165" t="s">
        <v>305</v>
      </c>
      <c r="C165" s="25">
        <v>2</v>
      </c>
      <c r="D165" s="25">
        <v>2</v>
      </c>
      <c r="E165" s="25">
        <v>2</v>
      </c>
      <c r="F165" s="25">
        <v>2</v>
      </c>
      <c r="G165" s="25">
        <v>2</v>
      </c>
      <c r="H165" s="25">
        <v>2</v>
      </c>
      <c r="I165" s="25">
        <v>2</v>
      </c>
      <c r="J165" s="25">
        <v>2</v>
      </c>
      <c r="K165" s="25">
        <v>2</v>
      </c>
      <c r="L165" s="25">
        <v>2</v>
      </c>
      <c r="M165" s="25">
        <v>2</v>
      </c>
      <c r="N165" s="25">
        <v>2</v>
      </c>
      <c r="O165" s="25">
        <v>2</v>
      </c>
      <c r="P165" s="25">
        <v>2</v>
      </c>
      <c r="Q165" s="25">
        <v>2</v>
      </c>
      <c r="R165" s="25">
        <v>2</v>
      </c>
      <c r="S165" s="25">
        <v>2</v>
      </c>
      <c r="T165" s="25">
        <v>2</v>
      </c>
      <c r="U165" s="25">
        <v>2</v>
      </c>
      <c r="V165" s="25">
        <v>2</v>
      </c>
      <c r="W165" s="25">
        <v>2</v>
      </c>
      <c r="X165" s="25">
        <v>2</v>
      </c>
      <c r="Y165" s="25">
        <v>2</v>
      </c>
      <c r="Z165" s="25">
        <v>2</v>
      </c>
      <c r="AA165" s="25">
        <v>2</v>
      </c>
      <c r="AB165" s="25">
        <v>2</v>
      </c>
      <c r="AC165" s="25">
        <v>2</v>
      </c>
      <c r="AD165" s="25">
        <v>2</v>
      </c>
      <c r="AE165" s="25">
        <v>2</v>
      </c>
      <c r="AF165" s="25">
        <v>2</v>
      </c>
      <c r="AG165" s="25">
        <v>2</v>
      </c>
      <c r="AH165" s="25">
        <v>2</v>
      </c>
      <c r="AI165" s="25">
        <v>2</v>
      </c>
      <c r="AJ165" s="25">
        <v>2</v>
      </c>
    </row>
    <row r="166" spans="1:36" x14ac:dyDescent="0.25">
      <c r="A166" s="75" t="s">
        <v>575</v>
      </c>
      <c r="B166" t="s">
        <v>305</v>
      </c>
      <c r="C166" s="25">
        <v>0</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v>0</v>
      </c>
      <c r="Y166" s="25">
        <v>0</v>
      </c>
      <c r="Z166" s="25">
        <v>0</v>
      </c>
      <c r="AA166" s="25">
        <v>0</v>
      </c>
      <c r="AB166" s="25">
        <v>0</v>
      </c>
      <c r="AC166" s="25">
        <v>0</v>
      </c>
      <c r="AD166" s="25">
        <v>0</v>
      </c>
      <c r="AE166" s="25">
        <v>0</v>
      </c>
      <c r="AF166" s="25">
        <v>0</v>
      </c>
      <c r="AG166" s="25">
        <v>0</v>
      </c>
      <c r="AH166" s="25">
        <v>0</v>
      </c>
      <c r="AI166" s="25">
        <v>0</v>
      </c>
      <c r="AJ166" s="25">
        <v>0</v>
      </c>
    </row>
    <row r="167" spans="1:36" x14ac:dyDescent="0.25">
      <c r="A167" s="75" t="s">
        <v>576</v>
      </c>
      <c r="B167" t="s">
        <v>305</v>
      </c>
      <c r="C167" s="25">
        <v>0</v>
      </c>
      <c r="D167" s="25">
        <v>0</v>
      </c>
      <c r="E167" s="25">
        <v>0</v>
      </c>
      <c r="F167" s="25">
        <v>0</v>
      </c>
      <c r="G167" s="25">
        <v>0</v>
      </c>
      <c r="H167" s="25">
        <v>0</v>
      </c>
      <c r="I167" s="25">
        <v>0</v>
      </c>
      <c r="J167" s="25">
        <v>0</v>
      </c>
      <c r="K167" s="25">
        <v>0</v>
      </c>
      <c r="L167" s="25">
        <v>0</v>
      </c>
      <c r="M167" s="25">
        <v>0</v>
      </c>
      <c r="N167" s="25">
        <v>0</v>
      </c>
      <c r="O167" s="25">
        <v>0</v>
      </c>
      <c r="P167" s="25">
        <v>0</v>
      </c>
      <c r="Q167" s="25">
        <v>0</v>
      </c>
      <c r="R167" s="25">
        <v>0</v>
      </c>
      <c r="S167" s="25">
        <v>0</v>
      </c>
      <c r="T167" s="25">
        <v>0</v>
      </c>
      <c r="U167" s="25">
        <v>0</v>
      </c>
      <c r="V167" s="25">
        <v>0</v>
      </c>
      <c r="W167" s="25">
        <v>0</v>
      </c>
      <c r="X167" s="25">
        <v>0</v>
      </c>
      <c r="Y167" s="25">
        <v>0</v>
      </c>
      <c r="Z167" s="25">
        <v>0</v>
      </c>
      <c r="AA167" s="25">
        <v>0</v>
      </c>
      <c r="AB167" s="25">
        <v>0</v>
      </c>
      <c r="AC167" s="25">
        <v>0</v>
      </c>
      <c r="AD167" s="25">
        <v>0</v>
      </c>
      <c r="AE167" s="25">
        <v>0</v>
      </c>
      <c r="AF167" s="25">
        <v>0</v>
      </c>
      <c r="AG167" s="25">
        <v>0</v>
      </c>
      <c r="AH167" s="25">
        <v>0</v>
      </c>
      <c r="AI167" s="25">
        <v>0</v>
      </c>
      <c r="AJ167" s="25">
        <v>0</v>
      </c>
    </row>
    <row r="168" spans="1:36" x14ac:dyDescent="0.25">
      <c r="A168" s="75" t="s">
        <v>577</v>
      </c>
      <c r="B168" t="s">
        <v>305</v>
      </c>
      <c r="C168" s="25">
        <v>0</v>
      </c>
      <c r="D168" s="25">
        <v>0</v>
      </c>
      <c r="E168" s="25">
        <v>0</v>
      </c>
      <c r="F168" s="25">
        <v>0</v>
      </c>
      <c r="G168" s="25">
        <v>0</v>
      </c>
      <c r="H168" s="25">
        <v>0</v>
      </c>
      <c r="I168" s="25">
        <v>0</v>
      </c>
      <c r="J168" s="25">
        <v>0</v>
      </c>
      <c r="K168" s="25">
        <v>0</v>
      </c>
      <c r="L168" s="25">
        <v>0</v>
      </c>
      <c r="M168" s="25">
        <v>0</v>
      </c>
      <c r="N168" s="25">
        <v>0</v>
      </c>
      <c r="O168" s="25">
        <v>0</v>
      </c>
      <c r="P168" s="25">
        <v>0</v>
      </c>
      <c r="Q168" s="25">
        <v>0</v>
      </c>
      <c r="R168" s="25">
        <v>0</v>
      </c>
      <c r="S168" s="25">
        <v>0</v>
      </c>
      <c r="T168" s="25">
        <v>0</v>
      </c>
      <c r="U168" s="25">
        <v>0</v>
      </c>
      <c r="V168" s="25">
        <v>0</v>
      </c>
      <c r="W168" s="25">
        <v>0</v>
      </c>
      <c r="X168" s="25">
        <v>0</v>
      </c>
      <c r="Y168" s="25">
        <v>0</v>
      </c>
      <c r="Z168" s="25">
        <v>0</v>
      </c>
      <c r="AA168" s="25">
        <v>0</v>
      </c>
      <c r="AB168" s="25">
        <v>0</v>
      </c>
      <c r="AC168" s="25">
        <v>0</v>
      </c>
      <c r="AD168" s="25">
        <v>0</v>
      </c>
      <c r="AE168" s="25">
        <v>0</v>
      </c>
      <c r="AF168" s="25">
        <v>0</v>
      </c>
      <c r="AG168" s="25">
        <v>0</v>
      </c>
      <c r="AH168" s="25">
        <v>0</v>
      </c>
      <c r="AI168" s="25">
        <v>0</v>
      </c>
      <c r="AJ168" s="25">
        <v>0</v>
      </c>
    </row>
    <row r="169" spans="1:36" x14ac:dyDescent="0.25">
      <c r="A169" s="75" t="s">
        <v>578</v>
      </c>
      <c r="B169" t="s">
        <v>305</v>
      </c>
      <c r="C169" s="25">
        <v>0</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v>0</v>
      </c>
      <c r="Y169" s="25">
        <v>0</v>
      </c>
      <c r="Z169" s="25">
        <v>0</v>
      </c>
      <c r="AA169" s="25">
        <v>0</v>
      </c>
      <c r="AB169" s="25">
        <v>0</v>
      </c>
      <c r="AC169" s="25">
        <v>0</v>
      </c>
      <c r="AD169" s="25">
        <v>0</v>
      </c>
      <c r="AE169" s="25">
        <v>0</v>
      </c>
      <c r="AF169" s="25">
        <v>0</v>
      </c>
      <c r="AG169" s="25">
        <v>0</v>
      </c>
      <c r="AH169" s="25">
        <v>0</v>
      </c>
      <c r="AI169" s="25">
        <v>0</v>
      </c>
      <c r="AJ169" s="25">
        <v>0</v>
      </c>
    </row>
    <row r="170" spans="1:36" x14ac:dyDescent="0.25">
      <c r="A170" s="75" t="s">
        <v>763</v>
      </c>
      <c r="B170" t="s">
        <v>305</v>
      </c>
      <c r="C170" s="25">
        <v>0</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v>0</v>
      </c>
      <c r="Y170" s="25">
        <v>0</v>
      </c>
      <c r="Z170" s="25">
        <v>0</v>
      </c>
      <c r="AA170" s="25">
        <v>0</v>
      </c>
      <c r="AB170" s="25">
        <v>0</v>
      </c>
      <c r="AC170" s="25">
        <v>0</v>
      </c>
      <c r="AD170" s="25">
        <v>0</v>
      </c>
      <c r="AE170" s="25">
        <v>0</v>
      </c>
      <c r="AF170" s="25">
        <v>0</v>
      </c>
      <c r="AG170" s="25">
        <v>0</v>
      </c>
      <c r="AH170" s="25">
        <v>0</v>
      </c>
      <c r="AI170" s="25">
        <v>0</v>
      </c>
      <c r="AJ170" s="25">
        <v>0</v>
      </c>
    </row>
    <row r="171" spans="1:36" s="76" customFormat="1" x14ac:dyDescent="0.25">
      <c r="A171" s="76" t="s">
        <v>780</v>
      </c>
      <c r="C171" s="77">
        <f>+SUM(C160:C170)</f>
        <v>100</v>
      </c>
      <c r="D171" s="77">
        <f t="shared" ref="D171" si="331">+SUM(D160:D170)</f>
        <v>100</v>
      </c>
      <c r="E171" s="77">
        <f t="shared" ref="E171" si="332">+SUM(E160:E170)</f>
        <v>100</v>
      </c>
      <c r="F171" s="77">
        <f t="shared" ref="F171" si="333">+SUM(F160:F170)</f>
        <v>100</v>
      </c>
      <c r="G171" s="77">
        <f t="shared" ref="G171" si="334">+SUM(G160:G170)</f>
        <v>100</v>
      </c>
      <c r="H171" s="77">
        <f t="shared" ref="H171" si="335">+SUM(H160:H170)</f>
        <v>100</v>
      </c>
      <c r="I171" s="77">
        <f t="shared" ref="I171" si="336">+SUM(I160:I170)</f>
        <v>100</v>
      </c>
      <c r="J171" s="77">
        <f t="shared" ref="J171" si="337">+SUM(J160:J170)</f>
        <v>100</v>
      </c>
      <c r="K171" s="77">
        <f t="shared" ref="K171" si="338">+SUM(K160:K170)</f>
        <v>100</v>
      </c>
      <c r="L171" s="77">
        <f t="shared" ref="L171" si="339">+SUM(L160:L170)</f>
        <v>100</v>
      </c>
      <c r="M171" s="77">
        <f t="shared" ref="M171" si="340">+SUM(M160:M170)</f>
        <v>100</v>
      </c>
      <c r="N171" s="77">
        <f t="shared" ref="N171" si="341">+SUM(N160:N170)</f>
        <v>100</v>
      </c>
      <c r="O171" s="77">
        <f t="shared" ref="O171" si="342">+SUM(O160:O170)</f>
        <v>100</v>
      </c>
      <c r="P171" s="77">
        <f t="shared" ref="P171" si="343">+SUM(P160:P170)</f>
        <v>100</v>
      </c>
      <c r="Q171" s="77">
        <f t="shared" ref="Q171" si="344">+SUM(Q160:Q170)</f>
        <v>100</v>
      </c>
      <c r="R171" s="77">
        <f t="shared" ref="R171" si="345">+SUM(R160:R170)</f>
        <v>100</v>
      </c>
      <c r="S171" s="77">
        <f t="shared" ref="S171" si="346">+SUM(S160:S170)</f>
        <v>100</v>
      </c>
      <c r="T171" s="77">
        <f t="shared" ref="T171" si="347">+SUM(T160:T170)</f>
        <v>100</v>
      </c>
      <c r="U171" s="77">
        <f t="shared" ref="U171" si="348">+SUM(U160:U170)</f>
        <v>100</v>
      </c>
      <c r="V171" s="77">
        <f t="shared" ref="V171" si="349">+SUM(V160:V170)</f>
        <v>100</v>
      </c>
      <c r="W171" s="77">
        <f t="shared" ref="W171" si="350">+SUM(W160:W170)</f>
        <v>100</v>
      </c>
      <c r="X171" s="77">
        <f t="shared" ref="X171" si="351">+SUM(X160:X170)</f>
        <v>100</v>
      </c>
      <c r="Y171" s="77">
        <f t="shared" ref="Y171" si="352">+SUM(Y160:Y170)</f>
        <v>100</v>
      </c>
      <c r="Z171" s="77">
        <f t="shared" ref="Z171" si="353">+SUM(Z160:Z170)</f>
        <v>100</v>
      </c>
      <c r="AA171" s="77">
        <f t="shared" ref="AA171" si="354">+SUM(AA160:AA170)</f>
        <v>100</v>
      </c>
      <c r="AB171" s="77">
        <f t="shared" ref="AB171" si="355">+SUM(AB160:AB170)</f>
        <v>100</v>
      </c>
      <c r="AC171" s="77">
        <f t="shared" ref="AC171" si="356">+SUM(AC160:AC170)</f>
        <v>100</v>
      </c>
      <c r="AD171" s="77">
        <f t="shared" ref="AD171" si="357">+SUM(AD160:AD170)</f>
        <v>100</v>
      </c>
      <c r="AE171" s="77">
        <f t="shared" ref="AE171" si="358">+SUM(AE160:AE170)</f>
        <v>100</v>
      </c>
      <c r="AF171" s="77">
        <f t="shared" ref="AF171" si="359">+SUM(AF160:AF170)</f>
        <v>100</v>
      </c>
      <c r="AG171" s="77">
        <f t="shared" ref="AG171" si="360">+SUM(AG160:AG170)</f>
        <v>100</v>
      </c>
      <c r="AH171" s="77">
        <f t="shared" ref="AH171" si="361">+SUM(AH160:AH170)</f>
        <v>100</v>
      </c>
      <c r="AI171" s="77">
        <f t="shared" ref="AI171" si="362">+SUM(AI160:AI170)</f>
        <v>100</v>
      </c>
      <c r="AJ171" s="77">
        <f t="shared" ref="AJ171" si="363">+SUM(AJ160:AJ170)</f>
        <v>100</v>
      </c>
    </row>
    <row r="172" spans="1:36" x14ac:dyDescent="0.25">
      <c r="A172" t="s">
        <v>579</v>
      </c>
      <c r="B172" t="s">
        <v>305</v>
      </c>
      <c r="C172" s="25">
        <v>25</v>
      </c>
      <c r="D172" s="25">
        <v>25</v>
      </c>
      <c r="E172" s="25">
        <v>25</v>
      </c>
      <c r="F172" s="25">
        <v>25</v>
      </c>
      <c r="G172" s="25">
        <v>25</v>
      </c>
      <c r="H172" s="25">
        <v>25</v>
      </c>
      <c r="I172" s="25">
        <v>25</v>
      </c>
      <c r="J172" s="25">
        <v>25</v>
      </c>
      <c r="K172" s="25">
        <v>25</v>
      </c>
      <c r="L172" s="25">
        <v>25</v>
      </c>
      <c r="M172" s="25">
        <v>25</v>
      </c>
      <c r="N172" s="25">
        <v>25</v>
      </c>
      <c r="O172" s="25">
        <v>25</v>
      </c>
      <c r="P172" s="25">
        <v>25</v>
      </c>
      <c r="Q172" s="25">
        <v>25</v>
      </c>
      <c r="R172" s="25">
        <v>25</v>
      </c>
      <c r="S172" s="25">
        <v>25</v>
      </c>
      <c r="T172" s="25">
        <v>25</v>
      </c>
      <c r="U172" s="25">
        <v>25</v>
      </c>
      <c r="V172" s="25">
        <v>25</v>
      </c>
      <c r="W172" s="25">
        <v>25</v>
      </c>
      <c r="X172" s="25">
        <v>25</v>
      </c>
      <c r="Y172" s="25">
        <v>25</v>
      </c>
      <c r="Z172" s="25">
        <v>25</v>
      </c>
      <c r="AA172" s="25">
        <v>25</v>
      </c>
      <c r="AB172" s="25">
        <v>25</v>
      </c>
      <c r="AC172" s="25">
        <v>25</v>
      </c>
      <c r="AD172" s="25">
        <v>25</v>
      </c>
      <c r="AE172" s="25">
        <v>25</v>
      </c>
      <c r="AF172" s="25">
        <v>25</v>
      </c>
      <c r="AG172" s="25">
        <v>25</v>
      </c>
      <c r="AH172" s="25">
        <v>25</v>
      </c>
      <c r="AI172" s="25">
        <v>25</v>
      </c>
      <c r="AJ172" s="25">
        <v>25</v>
      </c>
    </row>
    <row r="173" spans="1:36" x14ac:dyDescent="0.25">
      <c r="A173" t="s">
        <v>580</v>
      </c>
      <c r="B173" t="s">
        <v>305</v>
      </c>
      <c r="C173" s="25">
        <v>10</v>
      </c>
      <c r="D173" s="25">
        <v>10</v>
      </c>
      <c r="E173" s="25">
        <v>10</v>
      </c>
      <c r="F173" s="25">
        <v>10</v>
      </c>
      <c r="G173" s="25">
        <v>10</v>
      </c>
      <c r="H173" s="25">
        <v>10</v>
      </c>
      <c r="I173" s="25">
        <v>10</v>
      </c>
      <c r="J173" s="25">
        <v>10</v>
      </c>
      <c r="K173" s="25">
        <v>10</v>
      </c>
      <c r="L173" s="25">
        <v>10</v>
      </c>
      <c r="M173" s="25">
        <v>10</v>
      </c>
      <c r="N173" s="25">
        <v>10</v>
      </c>
      <c r="O173" s="25">
        <v>10</v>
      </c>
      <c r="P173" s="25">
        <v>10</v>
      </c>
      <c r="Q173" s="25">
        <v>10</v>
      </c>
      <c r="R173" s="25">
        <v>10</v>
      </c>
      <c r="S173" s="25">
        <v>10</v>
      </c>
      <c r="T173" s="25">
        <v>10</v>
      </c>
      <c r="U173" s="25">
        <v>10</v>
      </c>
      <c r="V173" s="25">
        <v>10</v>
      </c>
      <c r="W173" s="25">
        <v>10</v>
      </c>
      <c r="X173" s="25">
        <v>10</v>
      </c>
      <c r="Y173" s="25">
        <v>10</v>
      </c>
      <c r="Z173" s="25">
        <v>10</v>
      </c>
      <c r="AA173" s="25">
        <v>10</v>
      </c>
      <c r="AB173" s="25">
        <v>10</v>
      </c>
      <c r="AC173" s="25">
        <v>10</v>
      </c>
      <c r="AD173" s="25">
        <v>10</v>
      </c>
      <c r="AE173" s="25">
        <v>10</v>
      </c>
      <c r="AF173" s="25">
        <v>10</v>
      </c>
      <c r="AG173" s="25">
        <v>10</v>
      </c>
      <c r="AH173" s="25">
        <v>10</v>
      </c>
      <c r="AI173" s="25">
        <v>10</v>
      </c>
      <c r="AJ173" s="25">
        <v>10</v>
      </c>
    </row>
    <row r="174" spans="1:36" x14ac:dyDescent="0.25">
      <c r="A174" t="s">
        <v>581</v>
      </c>
      <c r="B174" t="s">
        <v>305</v>
      </c>
      <c r="C174" s="25">
        <v>35</v>
      </c>
      <c r="D174" s="25">
        <v>35</v>
      </c>
      <c r="E174" s="25">
        <v>35</v>
      </c>
      <c r="F174" s="25">
        <v>35</v>
      </c>
      <c r="G174" s="25">
        <v>35</v>
      </c>
      <c r="H174" s="25">
        <v>35</v>
      </c>
      <c r="I174" s="25">
        <v>35</v>
      </c>
      <c r="J174" s="25">
        <v>35</v>
      </c>
      <c r="K174" s="25">
        <v>35</v>
      </c>
      <c r="L174" s="25">
        <v>35</v>
      </c>
      <c r="M174" s="25">
        <v>35</v>
      </c>
      <c r="N174" s="25">
        <v>35</v>
      </c>
      <c r="O174" s="25">
        <v>35</v>
      </c>
      <c r="P174" s="25">
        <v>35</v>
      </c>
      <c r="Q174" s="25">
        <v>35</v>
      </c>
      <c r="R174" s="25">
        <v>35</v>
      </c>
      <c r="S174" s="25">
        <v>35</v>
      </c>
      <c r="T174" s="25">
        <v>35</v>
      </c>
      <c r="U174" s="25">
        <v>35</v>
      </c>
      <c r="V174" s="25">
        <v>35</v>
      </c>
      <c r="W174" s="25">
        <v>35</v>
      </c>
      <c r="X174" s="25">
        <v>35</v>
      </c>
      <c r="Y174" s="25">
        <v>35</v>
      </c>
      <c r="Z174" s="25">
        <v>35</v>
      </c>
      <c r="AA174" s="25">
        <v>35</v>
      </c>
      <c r="AB174" s="25">
        <v>35</v>
      </c>
      <c r="AC174" s="25">
        <v>35</v>
      </c>
      <c r="AD174" s="25">
        <v>35</v>
      </c>
      <c r="AE174" s="25">
        <v>35</v>
      </c>
      <c r="AF174" s="25">
        <v>35</v>
      </c>
      <c r="AG174" s="25">
        <v>35</v>
      </c>
      <c r="AH174" s="25">
        <v>35</v>
      </c>
      <c r="AI174" s="25">
        <v>35</v>
      </c>
      <c r="AJ174" s="25">
        <v>35</v>
      </c>
    </row>
    <row r="175" spans="1:36" x14ac:dyDescent="0.25">
      <c r="A175" t="s">
        <v>582</v>
      </c>
      <c r="B175" t="s">
        <v>305</v>
      </c>
      <c r="C175" s="25">
        <v>0</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v>0</v>
      </c>
      <c r="Y175" s="25">
        <v>0</v>
      </c>
      <c r="Z175" s="25">
        <v>0</v>
      </c>
      <c r="AA175" s="25">
        <v>0</v>
      </c>
      <c r="AB175" s="25">
        <v>0</v>
      </c>
      <c r="AC175" s="25">
        <v>0</v>
      </c>
      <c r="AD175" s="25">
        <v>0</v>
      </c>
      <c r="AE175" s="25">
        <v>0</v>
      </c>
      <c r="AF175" s="25">
        <v>0</v>
      </c>
      <c r="AG175" s="25">
        <v>0</v>
      </c>
      <c r="AH175" s="25">
        <v>0</v>
      </c>
      <c r="AI175" s="25">
        <v>0</v>
      </c>
      <c r="AJ175" s="25">
        <v>0</v>
      </c>
    </row>
    <row r="176" spans="1:36" x14ac:dyDescent="0.25">
      <c r="A176" t="s">
        <v>583</v>
      </c>
      <c r="B176" t="s">
        <v>305</v>
      </c>
      <c r="C176" s="25">
        <v>28</v>
      </c>
      <c r="D176" s="25">
        <v>28</v>
      </c>
      <c r="E176" s="25">
        <v>28</v>
      </c>
      <c r="F176" s="25">
        <v>28</v>
      </c>
      <c r="G176" s="25">
        <v>28</v>
      </c>
      <c r="H176" s="25">
        <v>28</v>
      </c>
      <c r="I176" s="25">
        <v>28</v>
      </c>
      <c r="J176" s="25">
        <v>28</v>
      </c>
      <c r="K176" s="25">
        <v>28</v>
      </c>
      <c r="L176" s="25">
        <v>28</v>
      </c>
      <c r="M176" s="25">
        <v>28</v>
      </c>
      <c r="N176" s="25">
        <v>28</v>
      </c>
      <c r="O176" s="25">
        <v>28</v>
      </c>
      <c r="P176" s="25">
        <v>28</v>
      </c>
      <c r="Q176" s="25">
        <v>28</v>
      </c>
      <c r="R176" s="25">
        <v>28</v>
      </c>
      <c r="S176" s="25">
        <v>28</v>
      </c>
      <c r="T176" s="25">
        <v>28</v>
      </c>
      <c r="U176" s="25">
        <v>28</v>
      </c>
      <c r="V176" s="25">
        <v>28</v>
      </c>
      <c r="W176" s="25">
        <v>28</v>
      </c>
      <c r="X176" s="25">
        <v>28</v>
      </c>
      <c r="Y176" s="25">
        <v>28</v>
      </c>
      <c r="Z176" s="25">
        <v>28</v>
      </c>
      <c r="AA176" s="25">
        <v>28</v>
      </c>
      <c r="AB176" s="25">
        <v>28</v>
      </c>
      <c r="AC176" s="25">
        <v>28</v>
      </c>
      <c r="AD176" s="25">
        <v>28</v>
      </c>
      <c r="AE176" s="25">
        <v>28</v>
      </c>
      <c r="AF176" s="25">
        <v>28</v>
      </c>
      <c r="AG176" s="25">
        <v>28</v>
      </c>
      <c r="AH176" s="25">
        <v>28</v>
      </c>
      <c r="AI176" s="25">
        <v>28</v>
      </c>
      <c r="AJ176" s="25">
        <v>28</v>
      </c>
    </row>
    <row r="177" spans="1:36" x14ac:dyDescent="0.25">
      <c r="A177" t="s">
        <v>584</v>
      </c>
      <c r="B177" t="s">
        <v>305</v>
      </c>
      <c r="C177" s="25">
        <v>2</v>
      </c>
      <c r="D177" s="25">
        <v>2</v>
      </c>
      <c r="E177" s="25">
        <v>2</v>
      </c>
      <c r="F177" s="25">
        <v>2</v>
      </c>
      <c r="G177" s="25">
        <v>2</v>
      </c>
      <c r="H177" s="25">
        <v>2</v>
      </c>
      <c r="I177" s="25">
        <v>2</v>
      </c>
      <c r="J177" s="25">
        <v>2</v>
      </c>
      <c r="K177" s="25">
        <v>2</v>
      </c>
      <c r="L177" s="25">
        <v>2</v>
      </c>
      <c r="M177" s="25">
        <v>2</v>
      </c>
      <c r="N177" s="25">
        <v>2</v>
      </c>
      <c r="O177" s="25">
        <v>2</v>
      </c>
      <c r="P177" s="25">
        <v>2</v>
      </c>
      <c r="Q177" s="25">
        <v>2</v>
      </c>
      <c r="R177" s="25">
        <v>2</v>
      </c>
      <c r="S177" s="25">
        <v>2</v>
      </c>
      <c r="T177" s="25">
        <v>2</v>
      </c>
      <c r="U177" s="25">
        <v>2</v>
      </c>
      <c r="V177" s="25">
        <v>2</v>
      </c>
      <c r="W177" s="25">
        <v>2</v>
      </c>
      <c r="X177" s="25">
        <v>2</v>
      </c>
      <c r="Y177" s="25">
        <v>2</v>
      </c>
      <c r="Z177" s="25">
        <v>2</v>
      </c>
      <c r="AA177" s="25">
        <v>2</v>
      </c>
      <c r="AB177" s="25">
        <v>2</v>
      </c>
      <c r="AC177" s="25">
        <v>2</v>
      </c>
      <c r="AD177" s="25">
        <v>2</v>
      </c>
      <c r="AE177" s="25">
        <v>2</v>
      </c>
      <c r="AF177" s="25">
        <v>2</v>
      </c>
      <c r="AG177" s="25">
        <v>2</v>
      </c>
      <c r="AH177" s="25">
        <v>2</v>
      </c>
      <c r="AI177" s="25">
        <v>2</v>
      </c>
      <c r="AJ177" s="25">
        <v>2</v>
      </c>
    </row>
    <row r="178" spans="1:36" x14ac:dyDescent="0.25">
      <c r="A178" t="s">
        <v>585</v>
      </c>
      <c r="B178" t="s">
        <v>305</v>
      </c>
      <c r="C178" s="25">
        <v>0</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v>0</v>
      </c>
      <c r="Y178" s="25">
        <v>0</v>
      </c>
      <c r="Z178" s="25">
        <v>0</v>
      </c>
      <c r="AA178" s="25">
        <v>0</v>
      </c>
      <c r="AB178" s="25">
        <v>0</v>
      </c>
      <c r="AC178" s="25">
        <v>0</v>
      </c>
      <c r="AD178" s="25">
        <v>0</v>
      </c>
      <c r="AE178" s="25">
        <v>0</v>
      </c>
      <c r="AF178" s="25">
        <v>0</v>
      </c>
      <c r="AG178" s="25">
        <v>0</v>
      </c>
      <c r="AH178" s="25">
        <v>0</v>
      </c>
      <c r="AI178" s="25">
        <v>0</v>
      </c>
      <c r="AJ178" s="25">
        <v>0</v>
      </c>
    </row>
    <row r="179" spans="1:36" x14ac:dyDescent="0.25">
      <c r="A179" t="s">
        <v>586</v>
      </c>
      <c r="B179" t="s">
        <v>305</v>
      </c>
      <c r="C179" s="25">
        <v>0</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v>0</v>
      </c>
      <c r="Y179" s="25">
        <v>0</v>
      </c>
      <c r="Z179" s="25">
        <v>0</v>
      </c>
      <c r="AA179" s="25">
        <v>0</v>
      </c>
      <c r="AB179" s="25">
        <v>0</v>
      </c>
      <c r="AC179" s="25">
        <v>0</v>
      </c>
      <c r="AD179" s="25">
        <v>0</v>
      </c>
      <c r="AE179" s="25">
        <v>0</v>
      </c>
      <c r="AF179" s="25">
        <v>0</v>
      </c>
      <c r="AG179" s="25">
        <v>0</v>
      </c>
      <c r="AH179" s="25">
        <v>0</v>
      </c>
      <c r="AI179" s="25">
        <v>0</v>
      </c>
      <c r="AJ179" s="25">
        <v>0</v>
      </c>
    </row>
    <row r="180" spans="1:36" x14ac:dyDescent="0.25">
      <c r="A180" t="s">
        <v>587</v>
      </c>
      <c r="B180" t="s">
        <v>305</v>
      </c>
      <c r="C180" s="25">
        <v>0</v>
      </c>
      <c r="D180" s="25">
        <v>0</v>
      </c>
      <c r="E180" s="25">
        <v>0</v>
      </c>
      <c r="F180" s="25">
        <v>0</v>
      </c>
      <c r="G180" s="25">
        <v>0</v>
      </c>
      <c r="H180" s="25">
        <v>0</v>
      </c>
      <c r="I180" s="25">
        <v>0</v>
      </c>
      <c r="J180" s="25">
        <v>0</v>
      </c>
      <c r="K180" s="25">
        <v>0</v>
      </c>
      <c r="L180" s="25">
        <v>0</v>
      </c>
      <c r="M180" s="25">
        <v>0</v>
      </c>
      <c r="N180" s="25">
        <v>0</v>
      </c>
      <c r="O180" s="25">
        <v>0</v>
      </c>
      <c r="P180" s="25">
        <v>0</v>
      </c>
      <c r="Q180" s="25">
        <v>0</v>
      </c>
      <c r="R180" s="25">
        <v>0</v>
      </c>
      <c r="S180" s="25">
        <v>0</v>
      </c>
      <c r="T180" s="25">
        <v>0</v>
      </c>
      <c r="U180" s="25">
        <v>0</v>
      </c>
      <c r="V180" s="25">
        <v>0</v>
      </c>
      <c r="W180" s="25">
        <v>0</v>
      </c>
      <c r="X180" s="25">
        <v>0</v>
      </c>
      <c r="Y180" s="25">
        <v>0</v>
      </c>
      <c r="Z180" s="25">
        <v>0</v>
      </c>
      <c r="AA180" s="25">
        <v>0</v>
      </c>
      <c r="AB180" s="25">
        <v>0</v>
      </c>
      <c r="AC180" s="25">
        <v>0</v>
      </c>
      <c r="AD180" s="25">
        <v>0</v>
      </c>
      <c r="AE180" s="25">
        <v>0</v>
      </c>
      <c r="AF180" s="25">
        <v>0</v>
      </c>
      <c r="AG180" s="25">
        <v>0</v>
      </c>
      <c r="AH180" s="25">
        <v>0</v>
      </c>
      <c r="AI180" s="25">
        <v>0</v>
      </c>
      <c r="AJ180" s="25">
        <v>0</v>
      </c>
    </row>
    <row r="181" spans="1:36" x14ac:dyDescent="0.25">
      <c r="A181" t="s">
        <v>588</v>
      </c>
      <c r="B181" t="s">
        <v>305</v>
      </c>
      <c r="C181" s="25">
        <v>0</v>
      </c>
      <c r="D181" s="25">
        <v>0</v>
      </c>
      <c r="E181" s="25">
        <v>0</v>
      </c>
      <c r="F181" s="25">
        <v>0</v>
      </c>
      <c r="G181" s="25">
        <v>0</v>
      </c>
      <c r="H181" s="25">
        <v>0</v>
      </c>
      <c r="I181" s="25">
        <v>0</v>
      </c>
      <c r="J181" s="25">
        <v>0</v>
      </c>
      <c r="K181" s="25">
        <v>0</v>
      </c>
      <c r="L181" s="25">
        <v>0</v>
      </c>
      <c r="M181" s="25">
        <v>0</v>
      </c>
      <c r="N181" s="25">
        <v>0</v>
      </c>
      <c r="O181" s="25">
        <v>0</v>
      </c>
      <c r="P181" s="25">
        <v>0</v>
      </c>
      <c r="Q181" s="25">
        <v>0</v>
      </c>
      <c r="R181" s="25">
        <v>0</v>
      </c>
      <c r="S181" s="25">
        <v>0</v>
      </c>
      <c r="T181" s="25">
        <v>0</v>
      </c>
      <c r="U181" s="25">
        <v>0</v>
      </c>
      <c r="V181" s="25">
        <v>0</v>
      </c>
      <c r="W181" s="25">
        <v>0</v>
      </c>
      <c r="X181" s="25">
        <v>0</v>
      </c>
      <c r="Y181" s="25">
        <v>0</v>
      </c>
      <c r="Z181" s="25">
        <v>0</v>
      </c>
      <c r="AA181" s="25">
        <v>0</v>
      </c>
      <c r="AB181" s="25">
        <v>0</v>
      </c>
      <c r="AC181" s="25">
        <v>0</v>
      </c>
      <c r="AD181" s="25">
        <v>0</v>
      </c>
      <c r="AE181" s="25">
        <v>0</v>
      </c>
      <c r="AF181" s="25">
        <v>0</v>
      </c>
      <c r="AG181" s="25">
        <v>0</v>
      </c>
      <c r="AH181" s="25">
        <v>0</v>
      </c>
      <c r="AI181" s="25">
        <v>0</v>
      </c>
      <c r="AJ181" s="25">
        <v>0</v>
      </c>
    </row>
    <row r="182" spans="1:36" x14ac:dyDescent="0.25">
      <c r="A182" t="s">
        <v>764</v>
      </c>
      <c r="B182" t="s">
        <v>305</v>
      </c>
      <c r="C182" s="25">
        <v>0</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v>0</v>
      </c>
      <c r="Y182" s="25">
        <v>0</v>
      </c>
      <c r="Z182" s="25">
        <v>0</v>
      </c>
      <c r="AA182" s="25">
        <v>0</v>
      </c>
      <c r="AB182" s="25">
        <v>0</v>
      </c>
      <c r="AC182" s="25">
        <v>0</v>
      </c>
      <c r="AD182" s="25">
        <v>0</v>
      </c>
      <c r="AE182" s="25">
        <v>0</v>
      </c>
      <c r="AF182" s="25">
        <v>0</v>
      </c>
      <c r="AG182" s="25">
        <v>0</v>
      </c>
      <c r="AH182" s="25">
        <v>0</v>
      </c>
      <c r="AI182" s="25">
        <v>0</v>
      </c>
      <c r="AJ182" s="25">
        <v>0</v>
      </c>
    </row>
    <row r="183" spans="1:36" s="76" customFormat="1" x14ac:dyDescent="0.25">
      <c r="A183" s="76" t="s">
        <v>780</v>
      </c>
      <c r="C183" s="77">
        <f>+SUM(C172:C182)</f>
        <v>100</v>
      </c>
      <c r="D183" s="77">
        <f t="shared" ref="D183" si="364">+SUM(D172:D182)</f>
        <v>100</v>
      </c>
      <c r="E183" s="77">
        <f t="shared" ref="E183" si="365">+SUM(E172:E182)</f>
        <v>100</v>
      </c>
      <c r="F183" s="77">
        <f t="shared" ref="F183" si="366">+SUM(F172:F182)</f>
        <v>100</v>
      </c>
      <c r="G183" s="77">
        <f t="shared" ref="G183" si="367">+SUM(G172:G182)</f>
        <v>100</v>
      </c>
      <c r="H183" s="77">
        <f t="shared" ref="H183" si="368">+SUM(H172:H182)</f>
        <v>100</v>
      </c>
      <c r="I183" s="77">
        <f t="shared" ref="I183" si="369">+SUM(I172:I182)</f>
        <v>100</v>
      </c>
      <c r="J183" s="77">
        <f t="shared" ref="J183" si="370">+SUM(J172:J182)</f>
        <v>100</v>
      </c>
      <c r="K183" s="77">
        <f t="shared" ref="K183" si="371">+SUM(K172:K182)</f>
        <v>100</v>
      </c>
      <c r="L183" s="77">
        <f t="shared" ref="L183" si="372">+SUM(L172:L182)</f>
        <v>100</v>
      </c>
      <c r="M183" s="77">
        <f t="shared" ref="M183" si="373">+SUM(M172:M182)</f>
        <v>100</v>
      </c>
      <c r="N183" s="77">
        <f t="shared" ref="N183" si="374">+SUM(N172:N182)</f>
        <v>100</v>
      </c>
      <c r="O183" s="77">
        <f t="shared" ref="O183" si="375">+SUM(O172:O182)</f>
        <v>100</v>
      </c>
      <c r="P183" s="77">
        <f t="shared" ref="P183" si="376">+SUM(P172:P182)</f>
        <v>100</v>
      </c>
      <c r="Q183" s="77">
        <f t="shared" ref="Q183" si="377">+SUM(Q172:Q182)</f>
        <v>100</v>
      </c>
      <c r="R183" s="77">
        <f t="shared" ref="R183" si="378">+SUM(R172:R182)</f>
        <v>100</v>
      </c>
      <c r="S183" s="77">
        <f t="shared" ref="S183" si="379">+SUM(S172:S182)</f>
        <v>100</v>
      </c>
      <c r="T183" s="77">
        <f t="shared" ref="T183" si="380">+SUM(T172:T182)</f>
        <v>100</v>
      </c>
      <c r="U183" s="77">
        <f t="shared" ref="U183" si="381">+SUM(U172:U182)</f>
        <v>100</v>
      </c>
      <c r="V183" s="77">
        <f t="shared" ref="V183" si="382">+SUM(V172:V182)</f>
        <v>100</v>
      </c>
      <c r="W183" s="77">
        <f t="shared" ref="W183" si="383">+SUM(W172:W182)</f>
        <v>100</v>
      </c>
      <c r="X183" s="77">
        <f t="shared" ref="X183" si="384">+SUM(X172:X182)</f>
        <v>100</v>
      </c>
      <c r="Y183" s="77">
        <f t="shared" ref="Y183" si="385">+SUM(Y172:Y182)</f>
        <v>100</v>
      </c>
      <c r="Z183" s="77">
        <f t="shared" ref="Z183" si="386">+SUM(Z172:Z182)</f>
        <v>100</v>
      </c>
      <c r="AA183" s="77">
        <f t="shared" ref="AA183" si="387">+SUM(AA172:AA182)</f>
        <v>100</v>
      </c>
      <c r="AB183" s="77">
        <f t="shared" ref="AB183" si="388">+SUM(AB172:AB182)</f>
        <v>100</v>
      </c>
      <c r="AC183" s="77">
        <f t="shared" ref="AC183" si="389">+SUM(AC172:AC182)</f>
        <v>100</v>
      </c>
      <c r="AD183" s="77">
        <f t="shared" ref="AD183" si="390">+SUM(AD172:AD182)</f>
        <v>100</v>
      </c>
      <c r="AE183" s="77">
        <f t="shared" ref="AE183" si="391">+SUM(AE172:AE182)</f>
        <v>100</v>
      </c>
      <c r="AF183" s="77">
        <f t="shared" ref="AF183" si="392">+SUM(AF172:AF182)</f>
        <v>100</v>
      </c>
      <c r="AG183" s="77">
        <f t="shared" ref="AG183" si="393">+SUM(AG172:AG182)</f>
        <v>100</v>
      </c>
      <c r="AH183" s="77">
        <f t="shared" ref="AH183" si="394">+SUM(AH172:AH182)</f>
        <v>100</v>
      </c>
      <c r="AI183" s="77">
        <f t="shared" ref="AI183" si="395">+SUM(AI172:AI182)</f>
        <v>100</v>
      </c>
      <c r="AJ183" s="77">
        <f t="shared" ref="AJ183" si="396">+SUM(AJ172:AJ182)</f>
        <v>100</v>
      </c>
    </row>
    <row r="184" spans="1:36" s="74" customFormat="1" ht="15.75" x14ac:dyDescent="0.25">
      <c r="A184" s="72" t="s">
        <v>777</v>
      </c>
      <c r="B184" s="73"/>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row>
    <row r="185" spans="1:36" x14ac:dyDescent="0.25">
      <c r="A185" s="75" t="s">
        <v>589</v>
      </c>
      <c r="B185" t="s">
        <v>305</v>
      </c>
      <c r="C185" s="25">
        <v>0</v>
      </c>
      <c r="D185" s="25">
        <v>0</v>
      </c>
      <c r="E185" s="25">
        <v>0</v>
      </c>
      <c r="F185" s="25">
        <v>0</v>
      </c>
      <c r="G185" s="25">
        <v>0</v>
      </c>
      <c r="H185" s="25">
        <v>0</v>
      </c>
      <c r="I185" s="25">
        <v>0</v>
      </c>
      <c r="J185" s="25">
        <v>0</v>
      </c>
      <c r="K185" s="25">
        <v>0</v>
      </c>
      <c r="L185" s="25">
        <v>0</v>
      </c>
      <c r="M185" s="25">
        <v>0</v>
      </c>
      <c r="N185" s="25">
        <v>0</v>
      </c>
      <c r="O185" s="25">
        <v>0</v>
      </c>
      <c r="P185" s="25">
        <v>0</v>
      </c>
      <c r="Q185" s="25">
        <v>0</v>
      </c>
      <c r="R185" s="25">
        <v>0</v>
      </c>
      <c r="S185" s="25">
        <v>0</v>
      </c>
      <c r="T185" s="25">
        <v>0</v>
      </c>
      <c r="U185" s="25">
        <v>0</v>
      </c>
      <c r="V185" s="25">
        <v>0</v>
      </c>
      <c r="W185" s="25">
        <v>0</v>
      </c>
      <c r="X185" s="25">
        <v>0</v>
      </c>
      <c r="Y185" s="25">
        <v>0</v>
      </c>
      <c r="Z185" s="25">
        <v>0</v>
      </c>
      <c r="AA185" s="25">
        <v>0</v>
      </c>
      <c r="AB185" s="25">
        <v>0</v>
      </c>
      <c r="AC185" s="25">
        <v>0</v>
      </c>
      <c r="AD185" s="25">
        <v>0</v>
      </c>
      <c r="AE185" s="25">
        <v>0</v>
      </c>
      <c r="AF185" s="25">
        <v>0</v>
      </c>
      <c r="AG185" s="25">
        <v>0</v>
      </c>
      <c r="AH185" s="25">
        <v>0</v>
      </c>
      <c r="AI185" s="25">
        <v>0</v>
      </c>
      <c r="AJ185" s="25">
        <v>0</v>
      </c>
    </row>
    <row r="186" spans="1:36" x14ac:dyDescent="0.25">
      <c r="A186" s="75" t="s">
        <v>590</v>
      </c>
      <c r="B186" t="s">
        <v>305</v>
      </c>
      <c r="C186" s="25">
        <v>5</v>
      </c>
      <c r="D186" s="25">
        <v>5</v>
      </c>
      <c r="E186" s="25">
        <v>5</v>
      </c>
      <c r="F186" s="25">
        <v>5</v>
      </c>
      <c r="G186" s="25">
        <v>5</v>
      </c>
      <c r="H186" s="25">
        <v>5</v>
      </c>
      <c r="I186" s="25">
        <v>5</v>
      </c>
      <c r="J186" s="25">
        <v>5</v>
      </c>
      <c r="K186" s="25">
        <v>5</v>
      </c>
      <c r="L186" s="25">
        <v>5</v>
      </c>
      <c r="M186" s="25">
        <v>5</v>
      </c>
      <c r="N186" s="25">
        <v>5</v>
      </c>
      <c r="O186" s="25">
        <v>5</v>
      </c>
      <c r="P186" s="25">
        <v>5</v>
      </c>
      <c r="Q186" s="25">
        <v>5</v>
      </c>
      <c r="R186" s="25">
        <v>5</v>
      </c>
      <c r="S186" s="25">
        <v>5</v>
      </c>
      <c r="T186" s="25">
        <v>5</v>
      </c>
      <c r="U186" s="25">
        <v>5</v>
      </c>
      <c r="V186" s="25">
        <v>5</v>
      </c>
      <c r="W186" s="25">
        <v>5</v>
      </c>
      <c r="X186" s="25">
        <v>5</v>
      </c>
      <c r="Y186" s="25">
        <v>5</v>
      </c>
      <c r="Z186" s="25">
        <v>5</v>
      </c>
      <c r="AA186" s="25">
        <v>5</v>
      </c>
      <c r="AB186" s="25">
        <v>5</v>
      </c>
      <c r="AC186" s="25">
        <v>5</v>
      </c>
      <c r="AD186" s="25">
        <v>5</v>
      </c>
      <c r="AE186" s="25">
        <v>5</v>
      </c>
      <c r="AF186" s="25">
        <v>5</v>
      </c>
      <c r="AG186" s="25">
        <v>5</v>
      </c>
      <c r="AH186" s="25">
        <v>5</v>
      </c>
      <c r="AI186" s="25">
        <v>5</v>
      </c>
      <c r="AJ186" s="25">
        <v>5</v>
      </c>
    </row>
    <row r="187" spans="1:36" x14ac:dyDescent="0.25">
      <c r="A187" s="75" t="s">
        <v>591</v>
      </c>
      <c r="B187" t="s">
        <v>305</v>
      </c>
      <c r="C187" s="25">
        <v>70</v>
      </c>
      <c r="D187" s="25">
        <v>70</v>
      </c>
      <c r="E187" s="25">
        <v>70</v>
      </c>
      <c r="F187" s="25">
        <v>70</v>
      </c>
      <c r="G187" s="25">
        <v>70</v>
      </c>
      <c r="H187" s="25">
        <v>70</v>
      </c>
      <c r="I187" s="25">
        <v>70</v>
      </c>
      <c r="J187" s="25">
        <v>70</v>
      </c>
      <c r="K187" s="25">
        <v>70</v>
      </c>
      <c r="L187" s="25">
        <v>70</v>
      </c>
      <c r="M187" s="25">
        <v>70</v>
      </c>
      <c r="N187" s="25">
        <v>70</v>
      </c>
      <c r="O187" s="25">
        <v>70</v>
      </c>
      <c r="P187" s="25">
        <v>70</v>
      </c>
      <c r="Q187" s="25">
        <v>70</v>
      </c>
      <c r="R187" s="25">
        <v>70</v>
      </c>
      <c r="S187" s="25">
        <v>70</v>
      </c>
      <c r="T187" s="25">
        <v>70</v>
      </c>
      <c r="U187" s="25">
        <v>70</v>
      </c>
      <c r="V187" s="25">
        <v>70</v>
      </c>
      <c r="W187" s="25">
        <v>70</v>
      </c>
      <c r="X187" s="25">
        <v>70</v>
      </c>
      <c r="Y187" s="25">
        <v>70</v>
      </c>
      <c r="Z187" s="25">
        <v>70</v>
      </c>
      <c r="AA187" s="25">
        <v>70</v>
      </c>
      <c r="AB187" s="25">
        <v>70</v>
      </c>
      <c r="AC187" s="25">
        <v>70</v>
      </c>
      <c r="AD187" s="25">
        <v>70</v>
      </c>
      <c r="AE187" s="25">
        <v>70</v>
      </c>
      <c r="AF187" s="25">
        <v>70</v>
      </c>
      <c r="AG187" s="25">
        <v>70</v>
      </c>
      <c r="AH187" s="25">
        <v>70</v>
      </c>
      <c r="AI187" s="25">
        <v>70</v>
      </c>
      <c r="AJ187" s="25">
        <v>70</v>
      </c>
    </row>
    <row r="188" spans="1:36" x14ac:dyDescent="0.25">
      <c r="A188" s="75" t="s">
        <v>592</v>
      </c>
      <c r="B188" t="s">
        <v>305</v>
      </c>
      <c r="C188" s="25">
        <v>0</v>
      </c>
      <c r="D188" s="25">
        <v>0</v>
      </c>
      <c r="E188" s="25">
        <v>0</v>
      </c>
      <c r="F188" s="25">
        <v>0</v>
      </c>
      <c r="G188" s="25">
        <v>0</v>
      </c>
      <c r="H188" s="25">
        <v>0</v>
      </c>
      <c r="I188" s="25">
        <v>0</v>
      </c>
      <c r="J188" s="25">
        <v>0</v>
      </c>
      <c r="K188" s="25">
        <v>0</v>
      </c>
      <c r="L188" s="25">
        <v>0</v>
      </c>
      <c r="M188" s="25">
        <v>0</v>
      </c>
      <c r="N188" s="25">
        <v>0</v>
      </c>
      <c r="O188" s="25">
        <v>0</v>
      </c>
      <c r="P188" s="25">
        <v>0</v>
      </c>
      <c r="Q188" s="25">
        <v>0</v>
      </c>
      <c r="R188" s="25">
        <v>0</v>
      </c>
      <c r="S188" s="25">
        <v>0</v>
      </c>
      <c r="T188" s="25">
        <v>0</v>
      </c>
      <c r="U188" s="25">
        <v>0</v>
      </c>
      <c r="V188" s="25">
        <v>0</v>
      </c>
      <c r="W188" s="25">
        <v>0</v>
      </c>
      <c r="X188" s="25">
        <v>0</v>
      </c>
      <c r="Y188" s="25">
        <v>0</v>
      </c>
      <c r="Z188" s="25">
        <v>0</v>
      </c>
      <c r="AA188" s="25">
        <v>0</v>
      </c>
      <c r="AB188" s="25">
        <v>0</v>
      </c>
      <c r="AC188" s="25">
        <v>0</v>
      </c>
      <c r="AD188" s="25">
        <v>0</v>
      </c>
      <c r="AE188" s="25">
        <v>0</v>
      </c>
      <c r="AF188" s="25">
        <v>0</v>
      </c>
      <c r="AG188" s="25">
        <v>0</v>
      </c>
      <c r="AH188" s="25">
        <v>0</v>
      </c>
      <c r="AI188" s="25">
        <v>0</v>
      </c>
      <c r="AJ188" s="25">
        <v>0</v>
      </c>
    </row>
    <row r="189" spans="1:36" x14ac:dyDescent="0.25">
      <c r="A189" s="75" t="s">
        <v>593</v>
      </c>
      <c r="B189" t="s">
        <v>305</v>
      </c>
      <c r="C189" s="25">
        <v>5</v>
      </c>
      <c r="D189" s="25">
        <v>5</v>
      </c>
      <c r="E189" s="25">
        <v>5</v>
      </c>
      <c r="F189" s="25">
        <v>5</v>
      </c>
      <c r="G189" s="25">
        <v>5</v>
      </c>
      <c r="H189" s="25">
        <v>5</v>
      </c>
      <c r="I189" s="25">
        <v>5</v>
      </c>
      <c r="J189" s="25">
        <v>5</v>
      </c>
      <c r="K189" s="25">
        <v>5</v>
      </c>
      <c r="L189" s="25">
        <v>5</v>
      </c>
      <c r="M189" s="25">
        <v>5</v>
      </c>
      <c r="N189" s="25">
        <v>5</v>
      </c>
      <c r="O189" s="25">
        <v>5</v>
      </c>
      <c r="P189" s="25">
        <v>5</v>
      </c>
      <c r="Q189" s="25">
        <v>5</v>
      </c>
      <c r="R189" s="25">
        <v>5</v>
      </c>
      <c r="S189" s="25">
        <v>5</v>
      </c>
      <c r="T189" s="25">
        <v>5</v>
      </c>
      <c r="U189" s="25">
        <v>5</v>
      </c>
      <c r="V189" s="25">
        <v>5</v>
      </c>
      <c r="W189" s="25">
        <v>5</v>
      </c>
      <c r="X189" s="25">
        <v>5</v>
      </c>
      <c r="Y189" s="25">
        <v>5</v>
      </c>
      <c r="Z189" s="25">
        <v>5</v>
      </c>
      <c r="AA189" s="25">
        <v>5</v>
      </c>
      <c r="AB189" s="25">
        <v>5</v>
      </c>
      <c r="AC189" s="25">
        <v>5</v>
      </c>
      <c r="AD189" s="25">
        <v>5</v>
      </c>
      <c r="AE189" s="25">
        <v>5</v>
      </c>
      <c r="AF189" s="25">
        <v>5</v>
      </c>
      <c r="AG189" s="25">
        <v>5</v>
      </c>
      <c r="AH189" s="25">
        <v>5</v>
      </c>
      <c r="AI189" s="25">
        <v>5</v>
      </c>
      <c r="AJ189" s="25">
        <v>5</v>
      </c>
    </row>
    <row r="190" spans="1:36" x14ac:dyDescent="0.25">
      <c r="A190" s="75" t="s">
        <v>594</v>
      </c>
      <c r="B190" t="s">
        <v>305</v>
      </c>
      <c r="C190" s="25">
        <v>10</v>
      </c>
      <c r="D190" s="25">
        <v>10</v>
      </c>
      <c r="E190" s="25">
        <v>10</v>
      </c>
      <c r="F190" s="25">
        <v>10</v>
      </c>
      <c r="G190" s="25">
        <v>10</v>
      </c>
      <c r="H190" s="25">
        <v>10</v>
      </c>
      <c r="I190" s="25">
        <v>10</v>
      </c>
      <c r="J190" s="25">
        <v>10</v>
      </c>
      <c r="K190" s="25">
        <v>10</v>
      </c>
      <c r="L190" s="25">
        <v>10</v>
      </c>
      <c r="M190" s="25">
        <v>10</v>
      </c>
      <c r="N190" s="25">
        <v>10</v>
      </c>
      <c r="O190" s="25">
        <v>10</v>
      </c>
      <c r="P190" s="25">
        <v>10</v>
      </c>
      <c r="Q190" s="25">
        <v>10</v>
      </c>
      <c r="R190" s="25">
        <v>10</v>
      </c>
      <c r="S190" s="25">
        <v>10</v>
      </c>
      <c r="T190" s="25">
        <v>10</v>
      </c>
      <c r="U190" s="25">
        <v>10</v>
      </c>
      <c r="V190" s="25">
        <v>10</v>
      </c>
      <c r="W190" s="25">
        <v>10</v>
      </c>
      <c r="X190" s="25">
        <v>10</v>
      </c>
      <c r="Y190" s="25">
        <v>10</v>
      </c>
      <c r="Z190" s="25">
        <v>10</v>
      </c>
      <c r="AA190" s="25">
        <v>10</v>
      </c>
      <c r="AB190" s="25">
        <v>10</v>
      </c>
      <c r="AC190" s="25">
        <v>10</v>
      </c>
      <c r="AD190" s="25">
        <v>10</v>
      </c>
      <c r="AE190" s="25">
        <v>10</v>
      </c>
      <c r="AF190" s="25">
        <v>10</v>
      </c>
      <c r="AG190" s="25">
        <v>10</v>
      </c>
      <c r="AH190" s="25">
        <v>10</v>
      </c>
      <c r="AI190" s="25">
        <v>10</v>
      </c>
      <c r="AJ190" s="25">
        <v>10</v>
      </c>
    </row>
    <row r="191" spans="1:36" x14ac:dyDescent="0.25">
      <c r="A191" s="75" t="s">
        <v>595</v>
      </c>
      <c r="B191" t="s">
        <v>305</v>
      </c>
      <c r="C191" s="25">
        <v>0</v>
      </c>
      <c r="D191" s="25">
        <v>0</v>
      </c>
      <c r="E191" s="25">
        <v>0</v>
      </c>
      <c r="F191" s="25">
        <v>0</v>
      </c>
      <c r="G191" s="25">
        <v>0</v>
      </c>
      <c r="H191" s="25">
        <v>0</v>
      </c>
      <c r="I191" s="25">
        <v>0</v>
      </c>
      <c r="J191" s="25">
        <v>0</v>
      </c>
      <c r="K191" s="25">
        <v>0</v>
      </c>
      <c r="L191" s="25">
        <v>0</v>
      </c>
      <c r="M191" s="25">
        <v>0</v>
      </c>
      <c r="N191" s="25">
        <v>0</v>
      </c>
      <c r="O191" s="25">
        <v>0</v>
      </c>
      <c r="P191" s="25">
        <v>0</v>
      </c>
      <c r="Q191" s="25">
        <v>0</v>
      </c>
      <c r="R191" s="25">
        <v>0</v>
      </c>
      <c r="S191" s="25">
        <v>0</v>
      </c>
      <c r="T191" s="25">
        <v>0</v>
      </c>
      <c r="U191" s="25">
        <v>0</v>
      </c>
      <c r="V191" s="25">
        <v>0</v>
      </c>
      <c r="W191" s="25">
        <v>0</v>
      </c>
      <c r="X191" s="25">
        <v>0</v>
      </c>
      <c r="Y191" s="25">
        <v>0</v>
      </c>
      <c r="Z191" s="25">
        <v>0</v>
      </c>
      <c r="AA191" s="25">
        <v>0</v>
      </c>
      <c r="AB191" s="25">
        <v>0</v>
      </c>
      <c r="AC191" s="25">
        <v>0</v>
      </c>
      <c r="AD191" s="25">
        <v>0</v>
      </c>
      <c r="AE191" s="25">
        <v>0</v>
      </c>
      <c r="AF191" s="25">
        <v>0</v>
      </c>
      <c r="AG191" s="25">
        <v>0</v>
      </c>
      <c r="AH191" s="25">
        <v>0</v>
      </c>
      <c r="AI191" s="25">
        <v>0</v>
      </c>
      <c r="AJ191" s="25">
        <v>0</v>
      </c>
    </row>
    <row r="192" spans="1:36" x14ac:dyDescent="0.25">
      <c r="A192" s="75" t="s">
        <v>596</v>
      </c>
      <c r="B192" t="s">
        <v>305</v>
      </c>
      <c r="C192" s="25">
        <v>10</v>
      </c>
      <c r="D192" s="25">
        <v>10</v>
      </c>
      <c r="E192" s="25">
        <v>10</v>
      </c>
      <c r="F192" s="25">
        <v>10</v>
      </c>
      <c r="G192" s="25">
        <v>10</v>
      </c>
      <c r="H192" s="25">
        <v>10</v>
      </c>
      <c r="I192" s="25">
        <v>10</v>
      </c>
      <c r="J192" s="25">
        <v>10</v>
      </c>
      <c r="K192" s="25">
        <v>10</v>
      </c>
      <c r="L192" s="25">
        <v>10</v>
      </c>
      <c r="M192" s="25">
        <v>10</v>
      </c>
      <c r="N192" s="25">
        <v>10</v>
      </c>
      <c r="O192" s="25">
        <v>10</v>
      </c>
      <c r="P192" s="25">
        <v>10</v>
      </c>
      <c r="Q192" s="25">
        <v>10</v>
      </c>
      <c r="R192" s="25">
        <v>10</v>
      </c>
      <c r="S192" s="25">
        <v>10</v>
      </c>
      <c r="T192" s="25">
        <v>10</v>
      </c>
      <c r="U192" s="25">
        <v>10</v>
      </c>
      <c r="V192" s="25">
        <v>10</v>
      </c>
      <c r="W192" s="25">
        <v>10</v>
      </c>
      <c r="X192" s="25">
        <v>10</v>
      </c>
      <c r="Y192" s="25">
        <v>10</v>
      </c>
      <c r="Z192" s="25">
        <v>10</v>
      </c>
      <c r="AA192" s="25">
        <v>10</v>
      </c>
      <c r="AB192" s="25">
        <v>10</v>
      </c>
      <c r="AC192" s="25">
        <v>10</v>
      </c>
      <c r="AD192" s="25">
        <v>10</v>
      </c>
      <c r="AE192" s="25">
        <v>10</v>
      </c>
      <c r="AF192" s="25">
        <v>10</v>
      </c>
      <c r="AG192" s="25">
        <v>10</v>
      </c>
      <c r="AH192" s="25">
        <v>10</v>
      </c>
      <c r="AI192" s="25">
        <v>10</v>
      </c>
      <c r="AJ192" s="25">
        <v>10</v>
      </c>
    </row>
    <row r="193" spans="1:36" x14ac:dyDescent="0.25">
      <c r="A193" s="75" t="s">
        <v>597</v>
      </c>
      <c r="B193" t="s">
        <v>305</v>
      </c>
      <c r="C193" s="25">
        <v>0</v>
      </c>
      <c r="D193" s="25">
        <v>0</v>
      </c>
      <c r="E193" s="25">
        <v>0</v>
      </c>
      <c r="F193" s="25">
        <v>0</v>
      </c>
      <c r="G193" s="25">
        <v>0</v>
      </c>
      <c r="H193" s="25">
        <v>0</v>
      </c>
      <c r="I193" s="25">
        <v>0</v>
      </c>
      <c r="J193" s="25">
        <v>0</v>
      </c>
      <c r="K193" s="25">
        <v>0</v>
      </c>
      <c r="L193" s="25">
        <v>0</v>
      </c>
      <c r="M193" s="25">
        <v>0</v>
      </c>
      <c r="N193" s="25">
        <v>0</v>
      </c>
      <c r="O193" s="25">
        <v>0</v>
      </c>
      <c r="P193" s="25">
        <v>0</v>
      </c>
      <c r="Q193" s="25">
        <v>0</v>
      </c>
      <c r="R193" s="25">
        <v>0</v>
      </c>
      <c r="S193" s="25">
        <v>0</v>
      </c>
      <c r="T193" s="25">
        <v>0</v>
      </c>
      <c r="U193" s="25">
        <v>0</v>
      </c>
      <c r="V193" s="25">
        <v>0</v>
      </c>
      <c r="W193" s="25">
        <v>0</v>
      </c>
      <c r="X193" s="25">
        <v>0</v>
      </c>
      <c r="Y193" s="25">
        <v>0</v>
      </c>
      <c r="Z193" s="25">
        <v>0</v>
      </c>
      <c r="AA193" s="25">
        <v>0</v>
      </c>
      <c r="AB193" s="25">
        <v>0</v>
      </c>
      <c r="AC193" s="25">
        <v>0</v>
      </c>
      <c r="AD193" s="25">
        <v>0</v>
      </c>
      <c r="AE193" s="25">
        <v>0</v>
      </c>
      <c r="AF193" s="25">
        <v>0</v>
      </c>
      <c r="AG193" s="25">
        <v>0</v>
      </c>
      <c r="AH193" s="25">
        <v>0</v>
      </c>
      <c r="AI193" s="25">
        <v>0</v>
      </c>
      <c r="AJ193" s="25">
        <v>0</v>
      </c>
    </row>
    <row r="194" spans="1:36" x14ac:dyDescent="0.25">
      <c r="A194" s="75" t="s">
        <v>598</v>
      </c>
      <c r="B194" t="s">
        <v>305</v>
      </c>
      <c r="C194" s="25">
        <v>0</v>
      </c>
      <c r="D194" s="25">
        <v>0</v>
      </c>
      <c r="E194" s="25">
        <v>0</v>
      </c>
      <c r="F194" s="25">
        <v>0</v>
      </c>
      <c r="G194" s="25">
        <v>0</v>
      </c>
      <c r="H194" s="25">
        <v>0</v>
      </c>
      <c r="I194" s="25">
        <v>0</v>
      </c>
      <c r="J194" s="25">
        <v>0</v>
      </c>
      <c r="K194" s="25">
        <v>0</v>
      </c>
      <c r="L194" s="25">
        <v>0</v>
      </c>
      <c r="M194" s="25">
        <v>0</v>
      </c>
      <c r="N194" s="25">
        <v>0</v>
      </c>
      <c r="O194" s="25">
        <v>0</v>
      </c>
      <c r="P194" s="25">
        <v>0</v>
      </c>
      <c r="Q194" s="25">
        <v>0</v>
      </c>
      <c r="R194" s="25">
        <v>0</v>
      </c>
      <c r="S194" s="25">
        <v>0</v>
      </c>
      <c r="T194" s="25">
        <v>0</v>
      </c>
      <c r="U194" s="25">
        <v>0</v>
      </c>
      <c r="V194" s="25">
        <v>0</v>
      </c>
      <c r="W194" s="25">
        <v>0</v>
      </c>
      <c r="X194" s="25">
        <v>0</v>
      </c>
      <c r="Y194" s="25">
        <v>0</v>
      </c>
      <c r="Z194" s="25">
        <v>0</v>
      </c>
      <c r="AA194" s="25">
        <v>0</v>
      </c>
      <c r="AB194" s="25">
        <v>0</v>
      </c>
      <c r="AC194" s="25">
        <v>0</v>
      </c>
      <c r="AD194" s="25">
        <v>0</v>
      </c>
      <c r="AE194" s="25">
        <v>0</v>
      </c>
      <c r="AF194" s="25">
        <v>0</v>
      </c>
      <c r="AG194" s="25">
        <v>0</v>
      </c>
      <c r="AH194" s="25">
        <v>0</v>
      </c>
      <c r="AI194" s="25">
        <v>0</v>
      </c>
      <c r="AJ194" s="25">
        <v>0</v>
      </c>
    </row>
    <row r="195" spans="1:36" x14ac:dyDescent="0.25">
      <c r="A195" s="75" t="s">
        <v>765</v>
      </c>
      <c r="B195" t="s">
        <v>305</v>
      </c>
      <c r="C195" s="25">
        <v>0</v>
      </c>
      <c r="D195" s="25">
        <v>0</v>
      </c>
      <c r="E195" s="25">
        <v>0</v>
      </c>
      <c r="F195" s="25">
        <v>0</v>
      </c>
      <c r="G195" s="25">
        <v>0</v>
      </c>
      <c r="H195" s="25">
        <v>0</v>
      </c>
      <c r="I195" s="25">
        <v>0</v>
      </c>
      <c r="J195" s="25">
        <v>0</v>
      </c>
      <c r="K195" s="25">
        <v>0</v>
      </c>
      <c r="L195" s="25">
        <v>0</v>
      </c>
      <c r="M195" s="25">
        <v>0</v>
      </c>
      <c r="N195" s="25">
        <v>0</v>
      </c>
      <c r="O195" s="25">
        <v>0</v>
      </c>
      <c r="P195" s="25">
        <v>0</v>
      </c>
      <c r="Q195" s="25">
        <v>0</v>
      </c>
      <c r="R195" s="25">
        <v>0</v>
      </c>
      <c r="S195" s="25">
        <v>0</v>
      </c>
      <c r="T195" s="25">
        <v>0</v>
      </c>
      <c r="U195" s="25">
        <v>0</v>
      </c>
      <c r="V195" s="25">
        <v>0</v>
      </c>
      <c r="W195" s="25">
        <v>0</v>
      </c>
      <c r="X195" s="25">
        <v>0</v>
      </c>
      <c r="Y195" s="25">
        <v>0</v>
      </c>
      <c r="Z195" s="25">
        <v>0</v>
      </c>
      <c r="AA195" s="25">
        <v>0</v>
      </c>
      <c r="AB195" s="25">
        <v>0</v>
      </c>
      <c r="AC195" s="25">
        <v>0</v>
      </c>
      <c r="AD195" s="25">
        <v>0</v>
      </c>
      <c r="AE195" s="25">
        <v>0</v>
      </c>
      <c r="AF195" s="25">
        <v>0</v>
      </c>
      <c r="AG195" s="25">
        <v>0</v>
      </c>
      <c r="AH195" s="25">
        <v>0</v>
      </c>
      <c r="AI195" s="25">
        <v>0</v>
      </c>
      <c r="AJ195" s="25">
        <v>0</v>
      </c>
    </row>
    <row r="196" spans="1:36" s="76" customFormat="1" x14ac:dyDescent="0.25">
      <c r="A196" s="76" t="s">
        <v>780</v>
      </c>
      <c r="C196" s="77">
        <f>+SUM(C185:C195)</f>
        <v>100</v>
      </c>
      <c r="D196" s="77">
        <f t="shared" ref="D196" si="397">+SUM(D185:D195)</f>
        <v>100</v>
      </c>
      <c r="E196" s="77">
        <f t="shared" ref="E196" si="398">+SUM(E185:E195)</f>
        <v>100</v>
      </c>
      <c r="F196" s="77">
        <f t="shared" ref="F196" si="399">+SUM(F185:F195)</f>
        <v>100</v>
      </c>
      <c r="G196" s="77">
        <f t="shared" ref="G196" si="400">+SUM(G185:G195)</f>
        <v>100</v>
      </c>
      <c r="H196" s="77">
        <f t="shared" ref="H196" si="401">+SUM(H185:H195)</f>
        <v>100</v>
      </c>
      <c r="I196" s="77">
        <f t="shared" ref="I196" si="402">+SUM(I185:I195)</f>
        <v>100</v>
      </c>
      <c r="J196" s="77">
        <f t="shared" ref="J196" si="403">+SUM(J185:J195)</f>
        <v>100</v>
      </c>
      <c r="K196" s="77">
        <f t="shared" ref="K196" si="404">+SUM(K185:K195)</f>
        <v>100</v>
      </c>
      <c r="L196" s="77">
        <f t="shared" ref="L196" si="405">+SUM(L185:L195)</f>
        <v>100</v>
      </c>
      <c r="M196" s="77">
        <f t="shared" ref="M196" si="406">+SUM(M185:M195)</f>
        <v>100</v>
      </c>
      <c r="N196" s="77">
        <f t="shared" ref="N196" si="407">+SUM(N185:N195)</f>
        <v>100</v>
      </c>
      <c r="O196" s="77">
        <f t="shared" ref="O196" si="408">+SUM(O185:O195)</f>
        <v>100</v>
      </c>
      <c r="P196" s="77">
        <f t="shared" ref="P196" si="409">+SUM(P185:P195)</f>
        <v>100</v>
      </c>
      <c r="Q196" s="77">
        <f t="shared" ref="Q196" si="410">+SUM(Q185:Q195)</f>
        <v>100</v>
      </c>
      <c r="R196" s="77">
        <f t="shared" ref="R196" si="411">+SUM(R185:R195)</f>
        <v>100</v>
      </c>
      <c r="S196" s="77">
        <f t="shared" ref="S196" si="412">+SUM(S185:S195)</f>
        <v>100</v>
      </c>
      <c r="T196" s="77">
        <f t="shared" ref="T196" si="413">+SUM(T185:T195)</f>
        <v>100</v>
      </c>
      <c r="U196" s="77">
        <f t="shared" ref="U196" si="414">+SUM(U185:U195)</f>
        <v>100</v>
      </c>
      <c r="V196" s="77">
        <f t="shared" ref="V196" si="415">+SUM(V185:V195)</f>
        <v>100</v>
      </c>
      <c r="W196" s="77">
        <f t="shared" ref="W196" si="416">+SUM(W185:W195)</f>
        <v>100</v>
      </c>
      <c r="X196" s="77">
        <f t="shared" ref="X196" si="417">+SUM(X185:X195)</f>
        <v>100</v>
      </c>
      <c r="Y196" s="77">
        <f t="shared" ref="Y196" si="418">+SUM(Y185:Y195)</f>
        <v>100</v>
      </c>
      <c r="Z196" s="77">
        <f t="shared" ref="Z196" si="419">+SUM(Z185:Z195)</f>
        <v>100</v>
      </c>
      <c r="AA196" s="77">
        <f t="shared" ref="AA196" si="420">+SUM(AA185:AA195)</f>
        <v>100</v>
      </c>
      <c r="AB196" s="77">
        <f t="shared" ref="AB196" si="421">+SUM(AB185:AB195)</f>
        <v>100</v>
      </c>
      <c r="AC196" s="77">
        <f t="shared" ref="AC196" si="422">+SUM(AC185:AC195)</f>
        <v>100</v>
      </c>
      <c r="AD196" s="77">
        <f t="shared" ref="AD196" si="423">+SUM(AD185:AD195)</f>
        <v>100</v>
      </c>
      <c r="AE196" s="77">
        <f t="shared" ref="AE196" si="424">+SUM(AE185:AE195)</f>
        <v>100</v>
      </c>
      <c r="AF196" s="77">
        <f t="shared" ref="AF196" si="425">+SUM(AF185:AF195)</f>
        <v>100</v>
      </c>
      <c r="AG196" s="77">
        <f t="shared" ref="AG196" si="426">+SUM(AG185:AG195)</f>
        <v>100</v>
      </c>
      <c r="AH196" s="77">
        <f t="shared" ref="AH196" si="427">+SUM(AH185:AH195)</f>
        <v>100</v>
      </c>
      <c r="AI196" s="77">
        <f t="shared" ref="AI196" si="428">+SUM(AI185:AI195)</f>
        <v>100</v>
      </c>
      <c r="AJ196" s="77">
        <f t="shared" ref="AJ196" si="429">+SUM(AJ185:AJ195)</f>
        <v>100</v>
      </c>
    </row>
    <row r="197" spans="1:36" x14ac:dyDescent="0.25">
      <c r="A197" s="75" t="s">
        <v>599</v>
      </c>
      <c r="B197" t="s">
        <v>305</v>
      </c>
      <c r="C197" s="25">
        <v>0</v>
      </c>
      <c r="D197" s="25">
        <v>0</v>
      </c>
      <c r="E197" s="25">
        <v>0</v>
      </c>
      <c r="F197" s="25">
        <v>0</v>
      </c>
      <c r="G197" s="25">
        <v>0</v>
      </c>
      <c r="H197" s="25">
        <v>0</v>
      </c>
      <c r="I197" s="25">
        <v>0</v>
      </c>
      <c r="J197" s="25">
        <v>0</v>
      </c>
      <c r="K197" s="25">
        <v>0</v>
      </c>
      <c r="L197" s="25">
        <v>0</v>
      </c>
      <c r="M197" s="25">
        <v>0</v>
      </c>
      <c r="N197" s="25">
        <v>0</v>
      </c>
      <c r="O197" s="25">
        <v>0</v>
      </c>
      <c r="P197" s="25">
        <v>0</v>
      </c>
      <c r="Q197" s="25">
        <v>0</v>
      </c>
      <c r="R197" s="25">
        <v>0</v>
      </c>
      <c r="S197" s="25">
        <v>0</v>
      </c>
      <c r="T197" s="25">
        <v>0</v>
      </c>
      <c r="U197" s="25">
        <v>0</v>
      </c>
      <c r="V197" s="25">
        <v>0</v>
      </c>
      <c r="W197" s="25">
        <v>0</v>
      </c>
      <c r="X197" s="25">
        <v>0</v>
      </c>
      <c r="Y197" s="25">
        <v>0</v>
      </c>
      <c r="Z197" s="25">
        <v>0</v>
      </c>
      <c r="AA197" s="25">
        <v>0</v>
      </c>
      <c r="AB197" s="25">
        <v>0</v>
      </c>
      <c r="AC197" s="25">
        <v>0</v>
      </c>
      <c r="AD197" s="25">
        <v>0</v>
      </c>
      <c r="AE197" s="25">
        <v>0</v>
      </c>
      <c r="AF197" s="25">
        <v>0</v>
      </c>
      <c r="AG197" s="25">
        <v>0</v>
      </c>
      <c r="AH197" s="25">
        <v>0</v>
      </c>
      <c r="AI197" s="25">
        <v>0</v>
      </c>
      <c r="AJ197" s="25">
        <v>0</v>
      </c>
    </row>
    <row r="198" spans="1:36" x14ac:dyDescent="0.25">
      <c r="A198" s="75" t="s">
        <v>600</v>
      </c>
      <c r="B198" t="s">
        <v>305</v>
      </c>
      <c r="C198" s="25">
        <v>0</v>
      </c>
      <c r="D198" s="25">
        <v>0</v>
      </c>
      <c r="E198" s="25">
        <v>0</v>
      </c>
      <c r="F198" s="25">
        <v>0</v>
      </c>
      <c r="G198" s="25">
        <v>0</v>
      </c>
      <c r="H198" s="25">
        <v>0</v>
      </c>
      <c r="I198" s="25">
        <v>0</v>
      </c>
      <c r="J198" s="25">
        <v>0</v>
      </c>
      <c r="K198" s="25">
        <v>0</v>
      </c>
      <c r="L198" s="25">
        <v>0</v>
      </c>
      <c r="M198" s="25">
        <v>0</v>
      </c>
      <c r="N198" s="25">
        <v>0</v>
      </c>
      <c r="O198" s="25">
        <v>0</v>
      </c>
      <c r="P198" s="25">
        <v>0</v>
      </c>
      <c r="Q198" s="25">
        <v>0</v>
      </c>
      <c r="R198" s="25">
        <v>0</v>
      </c>
      <c r="S198" s="25">
        <v>0</v>
      </c>
      <c r="T198" s="25">
        <v>0</v>
      </c>
      <c r="U198" s="25">
        <v>0</v>
      </c>
      <c r="V198" s="25">
        <v>0</v>
      </c>
      <c r="W198" s="25">
        <v>0</v>
      </c>
      <c r="X198" s="25">
        <v>0</v>
      </c>
      <c r="Y198" s="25">
        <v>0</v>
      </c>
      <c r="Z198" s="25">
        <v>0</v>
      </c>
      <c r="AA198" s="25">
        <v>0</v>
      </c>
      <c r="AB198" s="25">
        <v>0</v>
      </c>
      <c r="AC198" s="25">
        <v>0</v>
      </c>
      <c r="AD198" s="25">
        <v>0</v>
      </c>
      <c r="AE198" s="25">
        <v>0</v>
      </c>
      <c r="AF198" s="25">
        <v>0</v>
      </c>
      <c r="AG198" s="25">
        <v>0</v>
      </c>
      <c r="AH198" s="25">
        <v>0</v>
      </c>
      <c r="AI198" s="25">
        <v>0</v>
      </c>
      <c r="AJ198" s="25">
        <v>0</v>
      </c>
    </row>
    <row r="199" spans="1:36" x14ac:dyDescent="0.25">
      <c r="A199" s="75" t="s">
        <v>601</v>
      </c>
      <c r="B199" t="s">
        <v>305</v>
      </c>
      <c r="C199" s="25">
        <v>80</v>
      </c>
      <c r="D199" s="25">
        <v>80</v>
      </c>
      <c r="E199" s="25">
        <v>80</v>
      </c>
      <c r="F199" s="25">
        <v>80</v>
      </c>
      <c r="G199" s="25">
        <v>80</v>
      </c>
      <c r="H199" s="25">
        <v>80</v>
      </c>
      <c r="I199" s="25">
        <v>80</v>
      </c>
      <c r="J199" s="25">
        <v>80</v>
      </c>
      <c r="K199" s="25">
        <v>80</v>
      </c>
      <c r="L199" s="25">
        <v>80</v>
      </c>
      <c r="M199" s="25">
        <v>80</v>
      </c>
      <c r="N199" s="25">
        <v>80</v>
      </c>
      <c r="O199" s="25">
        <v>80</v>
      </c>
      <c r="P199" s="25">
        <v>80</v>
      </c>
      <c r="Q199" s="25">
        <v>80</v>
      </c>
      <c r="R199" s="25">
        <v>80</v>
      </c>
      <c r="S199" s="25">
        <v>80</v>
      </c>
      <c r="T199" s="25">
        <v>80</v>
      </c>
      <c r="U199" s="25">
        <v>80</v>
      </c>
      <c r="V199" s="25">
        <v>80</v>
      </c>
      <c r="W199" s="25">
        <v>80</v>
      </c>
      <c r="X199" s="25">
        <v>80</v>
      </c>
      <c r="Y199" s="25">
        <v>80</v>
      </c>
      <c r="Z199" s="25">
        <v>80</v>
      </c>
      <c r="AA199" s="25">
        <v>80</v>
      </c>
      <c r="AB199" s="25">
        <v>80</v>
      </c>
      <c r="AC199" s="25">
        <v>80</v>
      </c>
      <c r="AD199" s="25">
        <v>80</v>
      </c>
      <c r="AE199" s="25">
        <v>80</v>
      </c>
      <c r="AF199" s="25">
        <v>80</v>
      </c>
      <c r="AG199" s="25">
        <v>80</v>
      </c>
      <c r="AH199" s="25">
        <v>80</v>
      </c>
      <c r="AI199" s="25">
        <v>80</v>
      </c>
      <c r="AJ199" s="25">
        <v>80</v>
      </c>
    </row>
    <row r="200" spans="1:36" x14ac:dyDescent="0.25">
      <c r="A200" s="75" t="s">
        <v>602</v>
      </c>
      <c r="B200" t="s">
        <v>305</v>
      </c>
      <c r="C200" s="25">
        <v>0</v>
      </c>
      <c r="D200" s="25">
        <v>0</v>
      </c>
      <c r="E200" s="25">
        <v>0</v>
      </c>
      <c r="F200" s="25">
        <v>0</v>
      </c>
      <c r="G200" s="25">
        <v>0</v>
      </c>
      <c r="H200" s="25">
        <v>0</v>
      </c>
      <c r="I200" s="25">
        <v>0</v>
      </c>
      <c r="J200" s="25">
        <v>0</v>
      </c>
      <c r="K200" s="25">
        <v>0</v>
      </c>
      <c r="L200" s="25">
        <v>0</v>
      </c>
      <c r="M200" s="25">
        <v>0</v>
      </c>
      <c r="N200" s="25">
        <v>0</v>
      </c>
      <c r="O200" s="25">
        <v>0</v>
      </c>
      <c r="P200" s="25">
        <v>0</v>
      </c>
      <c r="Q200" s="25">
        <v>0</v>
      </c>
      <c r="R200" s="25">
        <v>0</v>
      </c>
      <c r="S200" s="25">
        <v>0</v>
      </c>
      <c r="T200" s="25">
        <v>0</v>
      </c>
      <c r="U200" s="25">
        <v>0</v>
      </c>
      <c r="V200" s="25">
        <v>0</v>
      </c>
      <c r="W200" s="25">
        <v>0</v>
      </c>
      <c r="X200" s="25">
        <v>0</v>
      </c>
      <c r="Y200" s="25">
        <v>0</v>
      </c>
      <c r="Z200" s="25">
        <v>0</v>
      </c>
      <c r="AA200" s="25">
        <v>0</v>
      </c>
      <c r="AB200" s="25">
        <v>0</v>
      </c>
      <c r="AC200" s="25">
        <v>0</v>
      </c>
      <c r="AD200" s="25">
        <v>0</v>
      </c>
      <c r="AE200" s="25">
        <v>0</v>
      </c>
      <c r="AF200" s="25">
        <v>0</v>
      </c>
      <c r="AG200" s="25">
        <v>0</v>
      </c>
      <c r="AH200" s="25">
        <v>0</v>
      </c>
      <c r="AI200" s="25">
        <v>0</v>
      </c>
      <c r="AJ200" s="25">
        <v>0</v>
      </c>
    </row>
    <row r="201" spans="1:36" x14ac:dyDescent="0.25">
      <c r="A201" s="75" t="s">
        <v>603</v>
      </c>
      <c r="B201" t="s">
        <v>305</v>
      </c>
      <c r="C201" s="25">
        <v>0</v>
      </c>
      <c r="D201" s="25">
        <v>0</v>
      </c>
      <c r="E201" s="25">
        <v>0</v>
      </c>
      <c r="F201" s="25">
        <v>0</v>
      </c>
      <c r="G201" s="25">
        <v>0</v>
      </c>
      <c r="H201" s="25">
        <v>0</v>
      </c>
      <c r="I201" s="25">
        <v>0</v>
      </c>
      <c r="J201" s="25">
        <v>0</v>
      </c>
      <c r="K201" s="25">
        <v>0</v>
      </c>
      <c r="L201" s="25">
        <v>0</v>
      </c>
      <c r="M201" s="25">
        <v>0</v>
      </c>
      <c r="N201" s="25">
        <v>0</v>
      </c>
      <c r="O201" s="25">
        <v>0</v>
      </c>
      <c r="P201" s="25">
        <v>0</v>
      </c>
      <c r="Q201" s="25">
        <v>0</v>
      </c>
      <c r="R201" s="25">
        <v>0</v>
      </c>
      <c r="S201" s="25">
        <v>0</v>
      </c>
      <c r="T201" s="25">
        <v>0</v>
      </c>
      <c r="U201" s="25">
        <v>0</v>
      </c>
      <c r="V201" s="25">
        <v>0</v>
      </c>
      <c r="W201" s="25">
        <v>0</v>
      </c>
      <c r="X201" s="25">
        <v>0</v>
      </c>
      <c r="Y201" s="25">
        <v>0</v>
      </c>
      <c r="Z201" s="25">
        <v>0</v>
      </c>
      <c r="AA201" s="25">
        <v>0</v>
      </c>
      <c r="AB201" s="25">
        <v>0</v>
      </c>
      <c r="AC201" s="25">
        <v>0</v>
      </c>
      <c r="AD201" s="25">
        <v>0</v>
      </c>
      <c r="AE201" s="25">
        <v>0</v>
      </c>
      <c r="AF201" s="25">
        <v>0</v>
      </c>
      <c r="AG201" s="25">
        <v>0</v>
      </c>
      <c r="AH201" s="25">
        <v>0</v>
      </c>
      <c r="AI201" s="25">
        <v>0</v>
      </c>
      <c r="AJ201" s="25">
        <v>0</v>
      </c>
    </row>
    <row r="202" spans="1:36" x14ac:dyDescent="0.25">
      <c r="A202" s="75" t="s">
        <v>604</v>
      </c>
      <c r="B202" t="s">
        <v>305</v>
      </c>
      <c r="C202" s="25">
        <v>5</v>
      </c>
      <c r="D202" s="25">
        <v>5</v>
      </c>
      <c r="E202" s="25">
        <v>5</v>
      </c>
      <c r="F202" s="25">
        <v>5</v>
      </c>
      <c r="G202" s="25">
        <v>5</v>
      </c>
      <c r="H202" s="25">
        <v>5</v>
      </c>
      <c r="I202" s="25">
        <v>5</v>
      </c>
      <c r="J202" s="25">
        <v>5</v>
      </c>
      <c r="K202" s="25">
        <v>5</v>
      </c>
      <c r="L202" s="25">
        <v>5</v>
      </c>
      <c r="M202" s="25">
        <v>5</v>
      </c>
      <c r="N202" s="25">
        <v>5</v>
      </c>
      <c r="O202" s="25">
        <v>5</v>
      </c>
      <c r="P202" s="25">
        <v>5</v>
      </c>
      <c r="Q202" s="25">
        <v>5</v>
      </c>
      <c r="R202" s="25">
        <v>5</v>
      </c>
      <c r="S202" s="25">
        <v>5</v>
      </c>
      <c r="T202" s="25">
        <v>5</v>
      </c>
      <c r="U202" s="25">
        <v>5</v>
      </c>
      <c r="V202" s="25">
        <v>5</v>
      </c>
      <c r="W202" s="25">
        <v>5</v>
      </c>
      <c r="X202" s="25">
        <v>5</v>
      </c>
      <c r="Y202" s="25">
        <v>5</v>
      </c>
      <c r="Z202" s="25">
        <v>5</v>
      </c>
      <c r="AA202" s="25">
        <v>5</v>
      </c>
      <c r="AB202" s="25">
        <v>5</v>
      </c>
      <c r="AC202" s="25">
        <v>5</v>
      </c>
      <c r="AD202" s="25">
        <v>5</v>
      </c>
      <c r="AE202" s="25">
        <v>5</v>
      </c>
      <c r="AF202" s="25">
        <v>5</v>
      </c>
      <c r="AG202" s="25">
        <v>5</v>
      </c>
      <c r="AH202" s="25">
        <v>5</v>
      </c>
      <c r="AI202" s="25">
        <v>5</v>
      </c>
      <c r="AJ202" s="25">
        <v>5</v>
      </c>
    </row>
    <row r="203" spans="1:36" x14ac:dyDescent="0.25">
      <c r="A203" s="75" t="s">
        <v>605</v>
      </c>
      <c r="B203" t="s">
        <v>305</v>
      </c>
      <c r="C203" s="25">
        <v>0</v>
      </c>
      <c r="D203" s="25">
        <v>0</v>
      </c>
      <c r="E203" s="25">
        <v>0</v>
      </c>
      <c r="F203" s="25">
        <v>0</v>
      </c>
      <c r="G203" s="25">
        <v>0</v>
      </c>
      <c r="H203" s="25">
        <v>0</v>
      </c>
      <c r="I203" s="25">
        <v>0</v>
      </c>
      <c r="J203" s="25">
        <v>0</v>
      </c>
      <c r="K203" s="25">
        <v>0</v>
      </c>
      <c r="L203" s="25">
        <v>0</v>
      </c>
      <c r="M203" s="25">
        <v>0</v>
      </c>
      <c r="N203" s="25">
        <v>0</v>
      </c>
      <c r="O203" s="25">
        <v>0</v>
      </c>
      <c r="P203" s="25">
        <v>0</v>
      </c>
      <c r="Q203" s="25">
        <v>0</v>
      </c>
      <c r="R203" s="25">
        <v>0</v>
      </c>
      <c r="S203" s="25">
        <v>0</v>
      </c>
      <c r="T203" s="25">
        <v>0</v>
      </c>
      <c r="U203" s="25">
        <v>0</v>
      </c>
      <c r="V203" s="25">
        <v>0</v>
      </c>
      <c r="W203" s="25">
        <v>0</v>
      </c>
      <c r="X203" s="25">
        <v>0</v>
      </c>
      <c r="Y203" s="25">
        <v>0</v>
      </c>
      <c r="Z203" s="25">
        <v>0</v>
      </c>
      <c r="AA203" s="25">
        <v>0</v>
      </c>
      <c r="AB203" s="25">
        <v>0</v>
      </c>
      <c r="AC203" s="25">
        <v>0</v>
      </c>
      <c r="AD203" s="25">
        <v>0</v>
      </c>
      <c r="AE203" s="25">
        <v>0</v>
      </c>
      <c r="AF203" s="25">
        <v>0</v>
      </c>
      <c r="AG203" s="25">
        <v>0</v>
      </c>
      <c r="AH203" s="25">
        <v>0</v>
      </c>
      <c r="AI203" s="25">
        <v>0</v>
      </c>
      <c r="AJ203" s="25">
        <v>0</v>
      </c>
    </row>
    <row r="204" spans="1:36" x14ac:dyDescent="0.25">
      <c r="A204" s="75" t="s">
        <v>606</v>
      </c>
      <c r="B204" t="s">
        <v>305</v>
      </c>
      <c r="C204" s="25">
        <v>0</v>
      </c>
      <c r="D204" s="25">
        <v>0</v>
      </c>
      <c r="E204" s="25">
        <v>0</v>
      </c>
      <c r="F204" s="25">
        <v>0</v>
      </c>
      <c r="G204" s="25">
        <v>0</v>
      </c>
      <c r="H204" s="25">
        <v>0</v>
      </c>
      <c r="I204" s="25">
        <v>0</v>
      </c>
      <c r="J204" s="25">
        <v>0</v>
      </c>
      <c r="K204" s="25">
        <v>0</v>
      </c>
      <c r="L204" s="25">
        <v>0</v>
      </c>
      <c r="M204" s="25">
        <v>0</v>
      </c>
      <c r="N204" s="25">
        <v>0</v>
      </c>
      <c r="O204" s="25">
        <v>0</v>
      </c>
      <c r="P204" s="25">
        <v>0</v>
      </c>
      <c r="Q204" s="25">
        <v>0</v>
      </c>
      <c r="R204" s="25">
        <v>0</v>
      </c>
      <c r="S204" s="25">
        <v>0</v>
      </c>
      <c r="T204" s="25">
        <v>0</v>
      </c>
      <c r="U204" s="25">
        <v>0</v>
      </c>
      <c r="V204" s="25">
        <v>0</v>
      </c>
      <c r="W204" s="25">
        <v>0</v>
      </c>
      <c r="X204" s="25">
        <v>0</v>
      </c>
      <c r="Y204" s="25">
        <v>0</v>
      </c>
      <c r="Z204" s="25">
        <v>0</v>
      </c>
      <c r="AA204" s="25">
        <v>0</v>
      </c>
      <c r="AB204" s="25">
        <v>0</v>
      </c>
      <c r="AC204" s="25">
        <v>0</v>
      </c>
      <c r="AD204" s="25">
        <v>0</v>
      </c>
      <c r="AE204" s="25">
        <v>0</v>
      </c>
      <c r="AF204" s="25">
        <v>0</v>
      </c>
      <c r="AG204" s="25">
        <v>0</v>
      </c>
      <c r="AH204" s="25">
        <v>0</v>
      </c>
      <c r="AI204" s="25">
        <v>0</v>
      </c>
      <c r="AJ204" s="25">
        <v>0</v>
      </c>
    </row>
    <row r="205" spans="1:36" x14ac:dyDescent="0.25">
      <c r="A205" s="75" t="s">
        <v>607</v>
      </c>
      <c r="B205" t="s">
        <v>305</v>
      </c>
      <c r="C205" s="25">
        <v>15</v>
      </c>
      <c r="D205" s="25">
        <v>15</v>
      </c>
      <c r="E205" s="25">
        <v>15</v>
      </c>
      <c r="F205" s="25">
        <v>15</v>
      </c>
      <c r="G205" s="25">
        <v>15</v>
      </c>
      <c r="H205" s="25">
        <v>15</v>
      </c>
      <c r="I205" s="25">
        <v>15</v>
      </c>
      <c r="J205" s="25">
        <v>15</v>
      </c>
      <c r="K205" s="25">
        <v>15</v>
      </c>
      <c r="L205" s="25">
        <v>15</v>
      </c>
      <c r="M205" s="25">
        <v>15</v>
      </c>
      <c r="N205" s="25">
        <v>15</v>
      </c>
      <c r="O205" s="25">
        <v>15</v>
      </c>
      <c r="P205" s="25">
        <v>15</v>
      </c>
      <c r="Q205" s="25">
        <v>15</v>
      </c>
      <c r="R205" s="25">
        <v>15</v>
      </c>
      <c r="S205" s="25">
        <v>15</v>
      </c>
      <c r="T205" s="25">
        <v>15</v>
      </c>
      <c r="U205" s="25">
        <v>15</v>
      </c>
      <c r="V205" s="25">
        <v>15</v>
      </c>
      <c r="W205" s="25">
        <v>15</v>
      </c>
      <c r="X205" s="25">
        <v>15</v>
      </c>
      <c r="Y205" s="25">
        <v>15</v>
      </c>
      <c r="Z205" s="25">
        <v>15</v>
      </c>
      <c r="AA205" s="25">
        <v>15</v>
      </c>
      <c r="AB205" s="25">
        <v>15</v>
      </c>
      <c r="AC205" s="25">
        <v>15</v>
      </c>
      <c r="AD205" s="25">
        <v>15</v>
      </c>
      <c r="AE205" s="25">
        <v>15</v>
      </c>
      <c r="AF205" s="25">
        <v>15</v>
      </c>
      <c r="AG205" s="25">
        <v>15</v>
      </c>
      <c r="AH205" s="25">
        <v>15</v>
      </c>
      <c r="AI205" s="25">
        <v>15</v>
      </c>
      <c r="AJ205" s="25">
        <v>15</v>
      </c>
    </row>
    <row r="206" spans="1:36" x14ac:dyDescent="0.25">
      <c r="A206" s="75" t="s">
        <v>608</v>
      </c>
      <c r="B206" t="s">
        <v>305</v>
      </c>
      <c r="C206" s="25">
        <v>0</v>
      </c>
      <c r="D206" s="25">
        <v>0</v>
      </c>
      <c r="E206" s="25">
        <v>0</v>
      </c>
      <c r="F206" s="25">
        <v>0</v>
      </c>
      <c r="G206" s="25">
        <v>0</v>
      </c>
      <c r="H206" s="25">
        <v>0</v>
      </c>
      <c r="I206" s="25">
        <v>0</v>
      </c>
      <c r="J206" s="25">
        <v>0</v>
      </c>
      <c r="K206" s="25">
        <v>0</v>
      </c>
      <c r="L206" s="25">
        <v>0</v>
      </c>
      <c r="M206" s="25">
        <v>0</v>
      </c>
      <c r="N206" s="25">
        <v>0</v>
      </c>
      <c r="O206" s="25">
        <v>0</v>
      </c>
      <c r="P206" s="25">
        <v>0</v>
      </c>
      <c r="Q206" s="25">
        <v>0</v>
      </c>
      <c r="R206" s="25">
        <v>0</v>
      </c>
      <c r="S206" s="25">
        <v>0</v>
      </c>
      <c r="T206" s="25">
        <v>0</v>
      </c>
      <c r="U206" s="25">
        <v>0</v>
      </c>
      <c r="V206" s="25">
        <v>0</v>
      </c>
      <c r="W206" s="25">
        <v>0</v>
      </c>
      <c r="X206" s="25">
        <v>0</v>
      </c>
      <c r="Y206" s="25">
        <v>0</v>
      </c>
      <c r="Z206" s="25">
        <v>0</v>
      </c>
      <c r="AA206" s="25">
        <v>0</v>
      </c>
      <c r="AB206" s="25">
        <v>0</v>
      </c>
      <c r="AC206" s="25">
        <v>0</v>
      </c>
      <c r="AD206" s="25">
        <v>0</v>
      </c>
      <c r="AE206" s="25">
        <v>0</v>
      </c>
      <c r="AF206" s="25">
        <v>0</v>
      </c>
      <c r="AG206" s="25">
        <v>0</v>
      </c>
      <c r="AH206" s="25">
        <v>0</v>
      </c>
      <c r="AI206" s="25">
        <v>0</v>
      </c>
      <c r="AJ206" s="25">
        <v>0</v>
      </c>
    </row>
    <row r="207" spans="1:36" x14ac:dyDescent="0.25">
      <c r="A207" s="75" t="s">
        <v>766</v>
      </c>
      <c r="B207" t="s">
        <v>305</v>
      </c>
      <c r="C207" s="25">
        <v>0</v>
      </c>
      <c r="D207" s="25">
        <v>0</v>
      </c>
      <c r="E207" s="25">
        <v>0</v>
      </c>
      <c r="F207" s="25">
        <v>0</v>
      </c>
      <c r="G207" s="25">
        <v>0</v>
      </c>
      <c r="H207" s="25">
        <v>0</v>
      </c>
      <c r="I207" s="25">
        <v>0</v>
      </c>
      <c r="J207" s="25">
        <v>0</v>
      </c>
      <c r="K207" s="25">
        <v>0</v>
      </c>
      <c r="L207" s="25">
        <v>0</v>
      </c>
      <c r="M207" s="25">
        <v>0</v>
      </c>
      <c r="N207" s="25">
        <v>0</v>
      </c>
      <c r="O207" s="25">
        <v>0</v>
      </c>
      <c r="P207" s="25">
        <v>0</v>
      </c>
      <c r="Q207" s="25">
        <v>0</v>
      </c>
      <c r="R207" s="25">
        <v>0</v>
      </c>
      <c r="S207" s="25">
        <v>0</v>
      </c>
      <c r="T207" s="25">
        <v>0</v>
      </c>
      <c r="U207" s="25">
        <v>0</v>
      </c>
      <c r="V207" s="25">
        <v>0</v>
      </c>
      <c r="W207" s="25">
        <v>0</v>
      </c>
      <c r="X207" s="25">
        <v>0</v>
      </c>
      <c r="Y207" s="25">
        <v>0</v>
      </c>
      <c r="Z207" s="25">
        <v>0</v>
      </c>
      <c r="AA207" s="25">
        <v>0</v>
      </c>
      <c r="AB207" s="25">
        <v>0</v>
      </c>
      <c r="AC207" s="25">
        <v>0</v>
      </c>
      <c r="AD207" s="25">
        <v>0</v>
      </c>
      <c r="AE207" s="25">
        <v>0</v>
      </c>
      <c r="AF207" s="25">
        <v>0</v>
      </c>
      <c r="AG207" s="25">
        <v>0</v>
      </c>
      <c r="AH207" s="25">
        <v>0</v>
      </c>
      <c r="AI207" s="25">
        <v>0</v>
      </c>
      <c r="AJ207" s="25">
        <v>0</v>
      </c>
    </row>
    <row r="208" spans="1:36" s="76" customFormat="1" x14ac:dyDescent="0.25">
      <c r="A208" s="76" t="s">
        <v>780</v>
      </c>
      <c r="C208" s="77">
        <f>+SUM(C197:C207)</f>
        <v>100</v>
      </c>
      <c r="D208" s="77">
        <f t="shared" ref="D208" si="430">+SUM(D197:D207)</f>
        <v>100</v>
      </c>
      <c r="E208" s="77">
        <f t="shared" ref="E208" si="431">+SUM(E197:E207)</f>
        <v>100</v>
      </c>
      <c r="F208" s="77">
        <f t="shared" ref="F208" si="432">+SUM(F197:F207)</f>
        <v>100</v>
      </c>
      <c r="G208" s="77">
        <f t="shared" ref="G208" si="433">+SUM(G197:G207)</f>
        <v>100</v>
      </c>
      <c r="H208" s="77">
        <f t="shared" ref="H208" si="434">+SUM(H197:H207)</f>
        <v>100</v>
      </c>
      <c r="I208" s="77">
        <f t="shared" ref="I208" si="435">+SUM(I197:I207)</f>
        <v>100</v>
      </c>
      <c r="J208" s="77">
        <f t="shared" ref="J208" si="436">+SUM(J197:J207)</f>
        <v>100</v>
      </c>
      <c r="K208" s="77">
        <f t="shared" ref="K208" si="437">+SUM(K197:K207)</f>
        <v>100</v>
      </c>
      <c r="L208" s="77">
        <f t="shared" ref="L208" si="438">+SUM(L197:L207)</f>
        <v>100</v>
      </c>
      <c r="M208" s="77">
        <f t="shared" ref="M208" si="439">+SUM(M197:M207)</f>
        <v>100</v>
      </c>
      <c r="N208" s="77">
        <f t="shared" ref="N208" si="440">+SUM(N197:N207)</f>
        <v>100</v>
      </c>
      <c r="O208" s="77">
        <f t="shared" ref="O208" si="441">+SUM(O197:O207)</f>
        <v>100</v>
      </c>
      <c r="P208" s="77">
        <f t="shared" ref="P208" si="442">+SUM(P197:P207)</f>
        <v>100</v>
      </c>
      <c r="Q208" s="77">
        <f t="shared" ref="Q208" si="443">+SUM(Q197:Q207)</f>
        <v>100</v>
      </c>
      <c r="R208" s="77">
        <f t="shared" ref="R208" si="444">+SUM(R197:R207)</f>
        <v>100</v>
      </c>
      <c r="S208" s="77">
        <f t="shared" ref="S208" si="445">+SUM(S197:S207)</f>
        <v>100</v>
      </c>
      <c r="T208" s="77">
        <f t="shared" ref="T208" si="446">+SUM(T197:T207)</f>
        <v>100</v>
      </c>
      <c r="U208" s="77">
        <f t="shared" ref="U208" si="447">+SUM(U197:U207)</f>
        <v>100</v>
      </c>
      <c r="V208" s="77">
        <f t="shared" ref="V208" si="448">+SUM(V197:V207)</f>
        <v>100</v>
      </c>
      <c r="W208" s="77">
        <f t="shared" ref="W208" si="449">+SUM(W197:W207)</f>
        <v>100</v>
      </c>
      <c r="X208" s="77">
        <f t="shared" ref="X208" si="450">+SUM(X197:X207)</f>
        <v>100</v>
      </c>
      <c r="Y208" s="77">
        <f t="shared" ref="Y208" si="451">+SUM(Y197:Y207)</f>
        <v>100</v>
      </c>
      <c r="Z208" s="77">
        <f t="shared" ref="Z208" si="452">+SUM(Z197:Z207)</f>
        <v>100</v>
      </c>
      <c r="AA208" s="77">
        <f t="shared" ref="AA208" si="453">+SUM(AA197:AA207)</f>
        <v>100</v>
      </c>
      <c r="AB208" s="77">
        <f t="shared" ref="AB208" si="454">+SUM(AB197:AB207)</f>
        <v>100</v>
      </c>
      <c r="AC208" s="77">
        <f t="shared" ref="AC208" si="455">+SUM(AC197:AC207)</f>
        <v>100</v>
      </c>
      <c r="AD208" s="77">
        <f t="shared" ref="AD208" si="456">+SUM(AD197:AD207)</f>
        <v>100</v>
      </c>
      <c r="AE208" s="77">
        <f t="shared" ref="AE208" si="457">+SUM(AE197:AE207)</f>
        <v>100</v>
      </c>
      <c r="AF208" s="77">
        <f t="shared" ref="AF208" si="458">+SUM(AF197:AF207)</f>
        <v>100</v>
      </c>
      <c r="AG208" s="77">
        <f t="shared" ref="AG208" si="459">+SUM(AG197:AG207)</f>
        <v>100</v>
      </c>
      <c r="AH208" s="77">
        <f t="shared" ref="AH208" si="460">+SUM(AH197:AH207)</f>
        <v>100</v>
      </c>
      <c r="AI208" s="77">
        <f t="shared" ref="AI208" si="461">+SUM(AI197:AI207)</f>
        <v>100</v>
      </c>
      <c r="AJ208" s="77">
        <f t="shared" ref="AJ208" si="462">+SUM(AJ197:AJ207)</f>
        <v>100</v>
      </c>
    </row>
    <row r="209" spans="1:36" x14ac:dyDescent="0.25">
      <c r="A209" t="s">
        <v>609</v>
      </c>
      <c r="B209" t="s">
        <v>305</v>
      </c>
      <c r="C209" s="25">
        <v>0</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0</v>
      </c>
      <c r="V209" s="25">
        <v>0</v>
      </c>
      <c r="W209" s="25">
        <v>0</v>
      </c>
      <c r="X209" s="25">
        <v>0</v>
      </c>
      <c r="Y209" s="25">
        <v>0</v>
      </c>
      <c r="Z209" s="25">
        <v>0</v>
      </c>
      <c r="AA209" s="25">
        <v>0</v>
      </c>
      <c r="AB209" s="25">
        <v>0</v>
      </c>
      <c r="AC209" s="25">
        <v>0</v>
      </c>
      <c r="AD209" s="25">
        <v>0</v>
      </c>
      <c r="AE209" s="25">
        <v>0</v>
      </c>
      <c r="AF209" s="25">
        <v>0</v>
      </c>
      <c r="AG209" s="25">
        <v>0</v>
      </c>
      <c r="AH209" s="25">
        <v>0</v>
      </c>
      <c r="AI209" s="25">
        <v>0</v>
      </c>
      <c r="AJ209" s="25">
        <v>0</v>
      </c>
    </row>
    <row r="210" spans="1:36" x14ac:dyDescent="0.25">
      <c r="A210" t="s">
        <v>610</v>
      </c>
      <c r="B210" t="s">
        <v>305</v>
      </c>
      <c r="C210" s="25">
        <v>5</v>
      </c>
      <c r="D210" s="25">
        <v>5</v>
      </c>
      <c r="E210" s="25">
        <v>5</v>
      </c>
      <c r="F210" s="25">
        <v>5</v>
      </c>
      <c r="G210" s="25">
        <v>5</v>
      </c>
      <c r="H210" s="25">
        <v>5</v>
      </c>
      <c r="I210" s="25">
        <v>5</v>
      </c>
      <c r="J210" s="25">
        <v>5</v>
      </c>
      <c r="K210" s="25">
        <v>5</v>
      </c>
      <c r="L210" s="25">
        <v>5</v>
      </c>
      <c r="M210" s="25">
        <v>5</v>
      </c>
      <c r="N210" s="25">
        <v>5</v>
      </c>
      <c r="O210" s="25">
        <v>5</v>
      </c>
      <c r="P210" s="25">
        <v>5</v>
      </c>
      <c r="Q210" s="25">
        <v>5</v>
      </c>
      <c r="R210" s="25">
        <v>5</v>
      </c>
      <c r="S210" s="25">
        <v>5</v>
      </c>
      <c r="T210" s="25">
        <v>5</v>
      </c>
      <c r="U210" s="25">
        <v>5</v>
      </c>
      <c r="V210" s="25">
        <v>5</v>
      </c>
      <c r="W210" s="25">
        <v>5</v>
      </c>
      <c r="X210" s="25">
        <v>5</v>
      </c>
      <c r="Y210" s="25">
        <v>5</v>
      </c>
      <c r="Z210" s="25">
        <v>5</v>
      </c>
      <c r="AA210" s="25">
        <v>5</v>
      </c>
      <c r="AB210" s="25">
        <v>5</v>
      </c>
      <c r="AC210" s="25">
        <v>5</v>
      </c>
      <c r="AD210" s="25">
        <v>5</v>
      </c>
      <c r="AE210" s="25">
        <v>5</v>
      </c>
      <c r="AF210" s="25">
        <v>5</v>
      </c>
      <c r="AG210" s="25">
        <v>5</v>
      </c>
      <c r="AH210" s="25">
        <v>5</v>
      </c>
      <c r="AI210" s="25">
        <v>5</v>
      </c>
      <c r="AJ210" s="25">
        <v>5</v>
      </c>
    </row>
    <row r="211" spans="1:36" x14ac:dyDescent="0.25">
      <c r="A211" t="s">
        <v>611</v>
      </c>
      <c r="B211" t="s">
        <v>305</v>
      </c>
      <c r="C211" s="25">
        <v>70</v>
      </c>
      <c r="D211" s="25">
        <v>70</v>
      </c>
      <c r="E211" s="25">
        <v>70</v>
      </c>
      <c r="F211" s="25">
        <v>70</v>
      </c>
      <c r="G211" s="25">
        <v>70</v>
      </c>
      <c r="H211" s="25">
        <v>70</v>
      </c>
      <c r="I211" s="25">
        <v>70</v>
      </c>
      <c r="J211" s="25">
        <v>70</v>
      </c>
      <c r="K211" s="25">
        <v>70</v>
      </c>
      <c r="L211" s="25">
        <v>70</v>
      </c>
      <c r="M211" s="25">
        <v>70</v>
      </c>
      <c r="N211" s="25">
        <v>70</v>
      </c>
      <c r="O211" s="25">
        <v>70</v>
      </c>
      <c r="P211" s="25">
        <v>70</v>
      </c>
      <c r="Q211" s="25">
        <v>70</v>
      </c>
      <c r="R211" s="25">
        <v>70</v>
      </c>
      <c r="S211" s="25">
        <v>70</v>
      </c>
      <c r="T211" s="25">
        <v>70</v>
      </c>
      <c r="U211" s="25">
        <v>70</v>
      </c>
      <c r="V211" s="25">
        <v>70</v>
      </c>
      <c r="W211" s="25">
        <v>70</v>
      </c>
      <c r="X211" s="25">
        <v>70</v>
      </c>
      <c r="Y211" s="25">
        <v>70</v>
      </c>
      <c r="Z211" s="25">
        <v>70</v>
      </c>
      <c r="AA211" s="25">
        <v>70</v>
      </c>
      <c r="AB211" s="25">
        <v>70</v>
      </c>
      <c r="AC211" s="25">
        <v>70</v>
      </c>
      <c r="AD211" s="25">
        <v>70</v>
      </c>
      <c r="AE211" s="25">
        <v>70</v>
      </c>
      <c r="AF211" s="25">
        <v>70</v>
      </c>
      <c r="AG211" s="25">
        <v>70</v>
      </c>
      <c r="AH211" s="25">
        <v>70</v>
      </c>
      <c r="AI211" s="25">
        <v>70</v>
      </c>
      <c r="AJ211" s="25">
        <v>70</v>
      </c>
    </row>
    <row r="212" spans="1:36" x14ac:dyDescent="0.25">
      <c r="A212" t="s">
        <v>612</v>
      </c>
      <c r="B212" t="s">
        <v>305</v>
      </c>
      <c r="C212" s="25">
        <v>0</v>
      </c>
      <c r="D212" s="25">
        <v>0</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0</v>
      </c>
      <c r="Y212" s="25">
        <v>0</v>
      </c>
      <c r="Z212" s="25">
        <v>0</v>
      </c>
      <c r="AA212" s="25">
        <v>0</v>
      </c>
      <c r="AB212" s="25">
        <v>0</v>
      </c>
      <c r="AC212" s="25">
        <v>0</v>
      </c>
      <c r="AD212" s="25">
        <v>0</v>
      </c>
      <c r="AE212" s="25">
        <v>0</v>
      </c>
      <c r="AF212" s="25">
        <v>0</v>
      </c>
      <c r="AG212" s="25">
        <v>0</v>
      </c>
      <c r="AH212" s="25">
        <v>0</v>
      </c>
      <c r="AI212" s="25">
        <v>0</v>
      </c>
      <c r="AJ212" s="25">
        <v>0</v>
      </c>
    </row>
    <row r="213" spans="1:36" x14ac:dyDescent="0.25">
      <c r="A213" t="s">
        <v>613</v>
      </c>
      <c r="B213" t="s">
        <v>305</v>
      </c>
      <c r="C213" s="25">
        <v>5</v>
      </c>
      <c r="D213" s="25">
        <v>5</v>
      </c>
      <c r="E213" s="25">
        <v>5</v>
      </c>
      <c r="F213" s="25">
        <v>5</v>
      </c>
      <c r="G213" s="25">
        <v>5</v>
      </c>
      <c r="H213" s="25">
        <v>5</v>
      </c>
      <c r="I213" s="25">
        <v>5</v>
      </c>
      <c r="J213" s="25">
        <v>5</v>
      </c>
      <c r="K213" s="25">
        <v>5</v>
      </c>
      <c r="L213" s="25">
        <v>5</v>
      </c>
      <c r="M213" s="25">
        <v>5</v>
      </c>
      <c r="N213" s="25">
        <v>5</v>
      </c>
      <c r="O213" s="25">
        <v>5</v>
      </c>
      <c r="P213" s="25">
        <v>5</v>
      </c>
      <c r="Q213" s="25">
        <v>5</v>
      </c>
      <c r="R213" s="25">
        <v>5</v>
      </c>
      <c r="S213" s="25">
        <v>5</v>
      </c>
      <c r="T213" s="25">
        <v>5</v>
      </c>
      <c r="U213" s="25">
        <v>5</v>
      </c>
      <c r="V213" s="25">
        <v>5</v>
      </c>
      <c r="W213" s="25">
        <v>5</v>
      </c>
      <c r="X213" s="25">
        <v>5</v>
      </c>
      <c r="Y213" s="25">
        <v>5</v>
      </c>
      <c r="Z213" s="25">
        <v>5</v>
      </c>
      <c r="AA213" s="25">
        <v>5</v>
      </c>
      <c r="AB213" s="25">
        <v>5</v>
      </c>
      <c r="AC213" s="25">
        <v>5</v>
      </c>
      <c r="AD213" s="25">
        <v>5</v>
      </c>
      <c r="AE213" s="25">
        <v>5</v>
      </c>
      <c r="AF213" s="25">
        <v>5</v>
      </c>
      <c r="AG213" s="25">
        <v>5</v>
      </c>
      <c r="AH213" s="25">
        <v>5</v>
      </c>
      <c r="AI213" s="25">
        <v>5</v>
      </c>
      <c r="AJ213" s="25">
        <v>5</v>
      </c>
    </row>
    <row r="214" spans="1:36" x14ac:dyDescent="0.25">
      <c r="A214" t="s">
        <v>614</v>
      </c>
      <c r="B214" t="s">
        <v>305</v>
      </c>
      <c r="C214" s="25">
        <v>10</v>
      </c>
      <c r="D214" s="25">
        <v>10</v>
      </c>
      <c r="E214" s="25">
        <v>10</v>
      </c>
      <c r="F214" s="25">
        <v>10</v>
      </c>
      <c r="G214" s="25">
        <v>10</v>
      </c>
      <c r="H214" s="25">
        <v>10</v>
      </c>
      <c r="I214" s="25">
        <v>10</v>
      </c>
      <c r="J214" s="25">
        <v>10</v>
      </c>
      <c r="K214" s="25">
        <v>10</v>
      </c>
      <c r="L214" s="25">
        <v>10</v>
      </c>
      <c r="M214" s="25">
        <v>10</v>
      </c>
      <c r="N214" s="25">
        <v>10</v>
      </c>
      <c r="O214" s="25">
        <v>10</v>
      </c>
      <c r="P214" s="25">
        <v>10</v>
      </c>
      <c r="Q214" s="25">
        <v>10</v>
      </c>
      <c r="R214" s="25">
        <v>10</v>
      </c>
      <c r="S214" s="25">
        <v>10</v>
      </c>
      <c r="T214" s="25">
        <v>10</v>
      </c>
      <c r="U214" s="25">
        <v>10</v>
      </c>
      <c r="V214" s="25">
        <v>10</v>
      </c>
      <c r="W214" s="25">
        <v>10</v>
      </c>
      <c r="X214" s="25">
        <v>10</v>
      </c>
      <c r="Y214" s="25">
        <v>10</v>
      </c>
      <c r="Z214" s="25">
        <v>10</v>
      </c>
      <c r="AA214" s="25">
        <v>10</v>
      </c>
      <c r="AB214" s="25">
        <v>10</v>
      </c>
      <c r="AC214" s="25">
        <v>10</v>
      </c>
      <c r="AD214" s="25">
        <v>10</v>
      </c>
      <c r="AE214" s="25">
        <v>10</v>
      </c>
      <c r="AF214" s="25">
        <v>10</v>
      </c>
      <c r="AG214" s="25">
        <v>10</v>
      </c>
      <c r="AH214" s="25">
        <v>10</v>
      </c>
      <c r="AI214" s="25">
        <v>10</v>
      </c>
      <c r="AJ214" s="25">
        <v>10</v>
      </c>
    </row>
    <row r="215" spans="1:36" x14ac:dyDescent="0.25">
      <c r="A215" t="s">
        <v>615</v>
      </c>
      <c r="B215" t="s">
        <v>305</v>
      </c>
      <c r="C215" s="25">
        <v>0</v>
      </c>
      <c r="D215" s="25">
        <v>0</v>
      </c>
      <c r="E215" s="25">
        <v>0</v>
      </c>
      <c r="F215" s="25">
        <v>0</v>
      </c>
      <c r="G215" s="25">
        <v>0</v>
      </c>
      <c r="H215" s="25">
        <v>0</v>
      </c>
      <c r="I215" s="25">
        <v>0</v>
      </c>
      <c r="J215" s="25">
        <v>0</v>
      </c>
      <c r="K215" s="25">
        <v>0</v>
      </c>
      <c r="L215" s="25">
        <v>0</v>
      </c>
      <c r="M215" s="25">
        <v>0</v>
      </c>
      <c r="N215" s="25">
        <v>0</v>
      </c>
      <c r="O215" s="25">
        <v>0</v>
      </c>
      <c r="P215" s="25">
        <v>0</v>
      </c>
      <c r="Q215" s="25">
        <v>0</v>
      </c>
      <c r="R215" s="25">
        <v>0</v>
      </c>
      <c r="S215" s="25">
        <v>0</v>
      </c>
      <c r="T215" s="25">
        <v>0</v>
      </c>
      <c r="U215" s="25">
        <v>0</v>
      </c>
      <c r="V215" s="25">
        <v>0</v>
      </c>
      <c r="W215" s="25">
        <v>0</v>
      </c>
      <c r="X215" s="25">
        <v>0</v>
      </c>
      <c r="Y215" s="25">
        <v>0</v>
      </c>
      <c r="Z215" s="25">
        <v>0</v>
      </c>
      <c r="AA215" s="25">
        <v>0</v>
      </c>
      <c r="AB215" s="25">
        <v>0</v>
      </c>
      <c r="AC215" s="25">
        <v>0</v>
      </c>
      <c r="AD215" s="25">
        <v>0</v>
      </c>
      <c r="AE215" s="25">
        <v>0</v>
      </c>
      <c r="AF215" s="25">
        <v>0</v>
      </c>
      <c r="AG215" s="25">
        <v>0</v>
      </c>
      <c r="AH215" s="25">
        <v>0</v>
      </c>
      <c r="AI215" s="25">
        <v>0</v>
      </c>
      <c r="AJ215" s="25">
        <v>0</v>
      </c>
    </row>
    <row r="216" spans="1:36" x14ac:dyDescent="0.25">
      <c r="A216" t="s">
        <v>616</v>
      </c>
      <c r="B216" t="s">
        <v>305</v>
      </c>
      <c r="C216" s="25">
        <v>10</v>
      </c>
      <c r="D216" s="25">
        <v>10</v>
      </c>
      <c r="E216" s="25">
        <v>10</v>
      </c>
      <c r="F216" s="25">
        <v>10</v>
      </c>
      <c r="G216" s="25">
        <v>10</v>
      </c>
      <c r="H216" s="25">
        <v>10</v>
      </c>
      <c r="I216" s="25">
        <v>10</v>
      </c>
      <c r="J216" s="25">
        <v>10</v>
      </c>
      <c r="K216" s="25">
        <v>10</v>
      </c>
      <c r="L216" s="25">
        <v>10</v>
      </c>
      <c r="M216" s="25">
        <v>10</v>
      </c>
      <c r="N216" s="25">
        <v>10</v>
      </c>
      <c r="O216" s="25">
        <v>10</v>
      </c>
      <c r="P216" s="25">
        <v>10</v>
      </c>
      <c r="Q216" s="25">
        <v>10</v>
      </c>
      <c r="R216" s="25">
        <v>10</v>
      </c>
      <c r="S216" s="25">
        <v>10</v>
      </c>
      <c r="T216" s="25">
        <v>10</v>
      </c>
      <c r="U216" s="25">
        <v>10</v>
      </c>
      <c r="V216" s="25">
        <v>10</v>
      </c>
      <c r="W216" s="25">
        <v>10</v>
      </c>
      <c r="X216" s="25">
        <v>10</v>
      </c>
      <c r="Y216" s="25">
        <v>10</v>
      </c>
      <c r="Z216" s="25">
        <v>10</v>
      </c>
      <c r="AA216" s="25">
        <v>10</v>
      </c>
      <c r="AB216" s="25">
        <v>10</v>
      </c>
      <c r="AC216" s="25">
        <v>10</v>
      </c>
      <c r="AD216" s="25">
        <v>10</v>
      </c>
      <c r="AE216" s="25">
        <v>10</v>
      </c>
      <c r="AF216" s="25">
        <v>10</v>
      </c>
      <c r="AG216" s="25">
        <v>10</v>
      </c>
      <c r="AH216" s="25">
        <v>10</v>
      </c>
      <c r="AI216" s="25">
        <v>10</v>
      </c>
      <c r="AJ216" s="25">
        <v>10</v>
      </c>
    </row>
    <row r="217" spans="1:36" x14ac:dyDescent="0.25">
      <c r="A217" t="s">
        <v>617</v>
      </c>
      <c r="B217" t="s">
        <v>305</v>
      </c>
      <c r="C217" s="25">
        <v>0</v>
      </c>
      <c r="D217" s="25">
        <v>0</v>
      </c>
      <c r="E217" s="25">
        <v>0</v>
      </c>
      <c r="F217" s="25">
        <v>0</v>
      </c>
      <c r="G217" s="25">
        <v>0</v>
      </c>
      <c r="H217" s="25">
        <v>0</v>
      </c>
      <c r="I217" s="25">
        <v>0</v>
      </c>
      <c r="J217" s="25">
        <v>0</v>
      </c>
      <c r="K217" s="25">
        <v>0</v>
      </c>
      <c r="L217" s="25">
        <v>0</v>
      </c>
      <c r="M217" s="25">
        <v>0</v>
      </c>
      <c r="N217" s="25">
        <v>0</v>
      </c>
      <c r="O217" s="25">
        <v>0</v>
      </c>
      <c r="P217" s="25">
        <v>0</v>
      </c>
      <c r="Q217" s="25">
        <v>0</v>
      </c>
      <c r="R217" s="25">
        <v>0</v>
      </c>
      <c r="S217" s="25">
        <v>0</v>
      </c>
      <c r="T217" s="25">
        <v>0</v>
      </c>
      <c r="U217" s="25">
        <v>0</v>
      </c>
      <c r="V217" s="25">
        <v>0</v>
      </c>
      <c r="W217" s="25">
        <v>0</v>
      </c>
      <c r="X217" s="25">
        <v>0</v>
      </c>
      <c r="Y217" s="25">
        <v>0</v>
      </c>
      <c r="Z217" s="25">
        <v>0</v>
      </c>
      <c r="AA217" s="25">
        <v>0</v>
      </c>
      <c r="AB217" s="25">
        <v>0</v>
      </c>
      <c r="AC217" s="25">
        <v>0</v>
      </c>
      <c r="AD217" s="25">
        <v>0</v>
      </c>
      <c r="AE217" s="25">
        <v>0</v>
      </c>
      <c r="AF217" s="25">
        <v>0</v>
      </c>
      <c r="AG217" s="25">
        <v>0</v>
      </c>
      <c r="AH217" s="25">
        <v>0</v>
      </c>
      <c r="AI217" s="25">
        <v>0</v>
      </c>
      <c r="AJ217" s="25">
        <v>0</v>
      </c>
    </row>
    <row r="218" spans="1:36" x14ac:dyDescent="0.25">
      <c r="A218" t="s">
        <v>618</v>
      </c>
      <c r="B218" t="s">
        <v>305</v>
      </c>
      <c r="C218" s="25">
        <v>0</v>
      </c>
      <c r="D218" s="25">
        <v>0</v>
      </c>
      <c r="E218" s="25">
        <v>0</v>
      </c>
      <c r="F218" s="25">
        <v>0</v>
      </c>
      <c r="G218" s="25">
        <v>0</v>
      </c>
      <c r="H218" s="25">
        <v>0</v>
      </c>
      <c r="I218" s="25">
        <v>0</v>
      </c>
      <c r="J218" s="25">
        <v>0</v>
      </c>
      <c r="K218" s="25">
        <v>0</v>
      </c>
      <c r="L218" s="25">
        <v>0</v>
      </c>
      <c r="M218" s="25">
        <v>0</v>
      </c>
      <c r="N218" s="25">
        <v>0</v>
      </c>
      <c r="O218" s="25">
        <v>0</v>
      </c>
      <c r="P218" s="25">
        <v>0</v>
      </c>
      <c r="Q218" s="25">
        <v>0</v>
      </c>
      <c r="R218" s="25">
        <v>0</v>
      </c>
      <c r="S218" s="25">
        <v>0</v>
      </c>
      <c r="T218" s="25">
        <v>0</v>
      </c>
      <c r="U218" s="25">
        <v>0</v>
      </c>
      <c r="V218" s="25">
        <v>0</v>
      </c>
      <c r="W218" s="25">
        <v>0</v>
      </c>
      <c r="X218" s="25">
        <v>0</v>
      </c>
      <c r="Y218" s="25">
        <v>0</v>
      </c>
      <c r="Z218" s="25">
        <v>0</v>
      </c>
      <c r="AA218" s="25">
        <v>0</v>
      </c>
      <c r="AB218" s="25">
        <v>0</v>
      </c>
      <c r="AC218" s="25">
        <v>0</v>
      </c>
      <c r="AD218" s="25">
        <v>0</v>
      </c>
      <c r="AE218" s="25">
        <v>0</v>
      </c>
      <c r="AF218" s="25">
        <v>0</v>
      </c>
      <c r="AG218" s="25">
        <v>0</v>
      </c>
      <c r="AH218" s="25">
        <v>0</v>
      </c>
      <c r="AI218" s="25">
        <v>0</v>
      </c>
      <c r="AJ218" s="25">
        <v>0</v>
      </c>
    </row>
    <row r="219" spans="1:36" x14ac:dyDescent="0.25">
      <c r="A219" t="s">
        <v>767</v>
      </c>
      <c r="B219" t="s">
        <v>305</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v>0</v>
      </c>
      <c r="Y219" s="25">
        <v>0</v>
      </c>
      <c r="Z219" s="25">
        <v>0</v>
      </c>
      <c r="AA219" s="25">
        <v>0</v>
      </c>
      <c r="AB219" s="25">
        <v>0</v>
      </c>
      <c r="AC219" s="25">
        <v>0</v>
      </c>
      <c r="AD219" s="25">
        <v>0</v>
      </c>
      <c r="AE219" s="25">
        <v>0</v>
      </c>
      <c r="AF219" s="25">
        <v>0</v>
      </c>
      <c r="AG219" s="25">
        <v>0</v>
      </c>
      <c r="AH219" s="25">
        <v>0</v>
      </c>
      <c r="AI219" s="25">
        <v>0</v>
      </c>
      <c r="AJ219" s="25">
        <v>0</v>
      </c>
    </row>
    <row r="220" spans="1:36" s="76" customFormat="1" x14ac:dyDescent="0.25">
      <c r="A220" s="76" t="s">
        <v>780</v>
      </c>
      <c r="C220" s="77">
        <f>+SUM(C209:C219)</f>
        <v>100</v>
      </c>
      <c r="D220" s="77">
        <f t="shared" ref="D220" si="463">+SUM(D209:D219)</f>
        <v>100</v>
      </c>
      <c r="E220" s="77">
        <f t="shared" ref="E220" si="464">+SUM(E209:E219)</f>
        <v>100</v>
      </c>
      <c r="F220" s="77">
        <f t="shared" ref="F220" si="465">+SUM(F209:F219)</f>
        <v>100</v>
      </c>
      <c r="G220" s="77">
        <f t="shared" ref="G220" si="466">+SUM(G209:G219)</f>
        <v>100</v>
      </c>
      <c r="H220" s="77">
        <f t="shared" ref="H220" si="467">+SUM(H209:H219)</f>
        <v>100</v>
      </c>
      <c r="I220" s="77">
        <f t="shared" ref="I220" si="468">+SUM(I209:I219)</f>
        <v>100</v>
      </c>
      <c r="J220" s="77">
        <f t="shared" ref="J220" si="469">+SUM(J209:J219)</f>
        <v>100</v>
      </c>
      <c r="K220" s="77">
        <f t="shared" ref="K220" si="470">+SUM(K209:K219)</f>
        <v>100</v>
      </c>
      <c r="L220" s="77">
        <f t="shared" ref="L220" si="471">+SUM(L209:L219)</f>
        <v>100</v>
      </c>
      <c r="M220" s="77">
        <f t="shared" ref="M220" si="472">+SUM(M209:M219)</f>
        <v>100</v>
      </c>
      <c r="N220" s="77">
        <f t="shared" ref="N220" si="473">+SUM(N209:N219)</f>
        <v>100</v>
      </c>
      <c r="O220" s="77">
        <f t="shared" ref="O220" si="474">+SUM(O209:O219)</f>
        <v>100</v>
      </c>
      <c r="P220" s="77">
        <f t="shared" ref="P220" si="475">+SUM(P209:P219)</f>
        <v>100</v>
      </c>
      <c r="Q220" s="77">
        <f t="shared" ref="Q220" si="476">+SUM(Q209:Q219)</f>
        <v>100</v>
      </c>
      <c r="R220" s="77">
        <f t="shared" ref="R220" si="477">+SUM(R209:R219)</f>
        <v>100</v>
      </c>
      <c r="S220" s="77">
        <f t="shared" ref="S220" si="478">+SUM(S209:S219)</f>
        <v>100</v>
      </c>
      <c r="T220" s="77">
        <f t="shared" ref="T220" si="479">+SUM(T209:T219)</f>
        <v>100</v>
      </c>
      <c r="U220" s="77">
        <f t="shared" ref="U220" si="480">+SUM(U209:U219)</f>
        <v>100</v>
      </c>
      <c r="V220" s="77">
        <f t="shared" ref="V220" si="481">+SUM(V209:V219)</f>
        <v>100</v>
      </c>
      <c r="W220" s="77">
        <f t="shared" ref="W220" si="482">+SUM(W209:W219)</f>
        <v>100</v>
      </c>
      <c r="X220" s="77">
        <f t="shared" ref="X220" si="483">+SUM(X209:X219)</f>
        <v>100</v>
      </c>
      <c r="Y220" s="77">
        <f t="shared" ref="Y220" si="484">+SUM(Y209:Y219)</f>
        <v>100</v>
      </c>
      <c r="Z220" s="77">
        <f t="shared" ref="Z220" si="485">+SUM(Z209:Z219)</f>
        <v>100</v>
      </c>
      <c r="AA220" s="77">
        <f t="shared" ref="AA220" si="486">+SUM(AA209:AA219)</f>
        <v>100</v>
      </c>
      <c r="AB220" s="77">
        <f t="shared" ref="AB220" si="487">+SUM(AB209:AB219)</f>
        <v>100</v>
      </c>
      <c r="AC220" s="77">
        <f t="shared" ref="AC220" si="488">+SUM(AC209:AC219)</f>
        <v>100</v>
      </c>
      <c r="AD220" s="77">
        <f t="shared" ref="AD220" si="489">+SUM(AD209:AD219)</f>
        <v>100</v>
      </c>
      <c r="AE220" s="77">
        <f t="shared" ref="AE220" si="490">+SUM(AE209:AE219)</f>
        <v>100</v>
      </c>
      <c r="AF220" s="77">
        <f t="shared" ref="AF220" si="491">+SUM(AF209:AF219)</f>
        <v>100</v>
      </c>
      <c r="AG220" s="77">
        <f t="shared" ref="AG220" si="492">+SUM(AG209:AG219)</f>
        <v>100</v>
      </c>
      <c r="AH220" s="77">
        <f t="shared" ref="AH220" si="493">+SUM(AH209:AH219)</f>
        <v>100</v>
      </c>
      <c r="AI220" s="77">
        <f t="shared" ref="AI220" si="494">+SUM(AI209:AI219)</f>
        <v>100</v>
      </c>
      <c r="AJ220" s="77">
        <f t="shared" ref="AJ220" si="495">+SUM(AJ209:AJ219)</f>
        <v>100</v>
      </c>
    </row>
    <row r="221" spans="1:36" x14ac:dyDescent="0.25">
      <c r="A221" t="s">
        <v>619</v>
      </c>
      <c r="B221" t="s">
        <v>305</v>
      </c>
      <c r="C221" s="25">
        <v>0</v>
      </c>
      <c r="D221" s="25">
        <v>0</v>
      </c>
      <c r="E221" s="25">
        <v>0</v>
      </c>
      <c r="F221" s="25">
        <v>0</v>
      </c>
      <c r="G221" s="25">
        <v>0</v>
      </c>
      <c r="H221" s="25">
        <v>0</v>
      </c>
      <c r="I221" s="25">
        <v>0</v>
      </c>
      <c r="J221" s="25">
        <v>0</v>
      </c>
      <c r="K221" s="25">
        <v>0</v>
      </c>
      <c r="L221" s="25">
        <v>0</v>
      </c>
      <c r="M221" s="25">
        <v>0</v>
      </c>
      <c r="N221" s="25">
        <v>0</v>
      </c>
      <c r="O221" s="25">
        <v>0</v>
      </c>
      <c r="P221" s="25">
        <v>0</v>
      </c>
      <c r="Q221" s="25">
        <v>0</v>
      </c>
      <c r="R221" s="25">
        <v>0</v>
      </c>
      <c r="S221" s="25">
        <v>0</v>
      </c>
      <c r="T221" s="25">
        <v>0</v>
      </c>
      <c r="U221" s="25">
        <v>0</v>
      </c>
      <c r="V221" s="25">
        <v>0</v>
      </c>
      <c r="W221" s="25">
        <v>0</v>
      </c>
      <c r="X221" s="25">
        <v>0</v>
      </c>
      <c r="Y221" s="25">
        <v>0</v>
      </c>
      <c r="Z221" s="25">
        <v>0</v>
      </c>
      <c r="AA221" s="25">
        <v>0</v>
      </c>
      <c r="AB221" s="25">
        <v>0</v>
      </c>
      <c r="AC221" s="25">
        <v>0</v>
      </c>
      <c r="AD221" s="25">
        <v>0</v>
      </c>
      <c r="AE221" s="25">
        <v>0</v>
      </c>
      <c r="AF221" s="25">
        <v>0</v>
      </c>
      <c r="AG221" s="25">
        <v>0</v>
      </c>
      <c r="AH221" s="25">
        <v>0</v>
      </c>
      <c r="AI221" s="25">
        <v>0</v>
      </c>
      <c r="AJ221" s="25">
        <v>0</v>
      </c>
    </row>
    <row r="222" spans="1:36" x14ac:dyDescent="0.25">
      <c r="A222" t="s">
        <v>620</v>
      </c>
      <c r="B222" t="s">
        <v>305</v>
      </c>
      <c r="C222" s="25">
        <v>0</v>
      </c>
      <c r="D222" s="25">
        <v>0</v>
      </c>
      <c r="E222" s="25">
        <v>0</v>
      </c>
      <c r="F222" s="25">
        <v>0</v>
      </c>
      <c r="G222" s="25">
        <v>0</v>
      </c>
      <c r="H222" s="25">
        <v>0</v>
      </c>
      <c r="I222" s="25">
        <v>0</v>
      </c>
      <c r="J222" s="25">
        <v>0</v>
      </c>
      <c r="K222" s="25">
        <v>0</v>
      </c>
      <c r="L222" s="25">
        <v>0</v>
      </c>
      <c r="M222" s="25">
        <v>0</v>
      </c>
      <c r="N222" s="25">
        <v>0</v>
      </c>
      <c r="O222" s="25">
        <v>0</v>
      </c>
      <c r="P222" s="25">
        <v>0</v>
      </c>
      <c r="Q222" s="25">
        <v>0</v>
      </c>
      <c r="R222" s="25">
        <v>0</v>
      </c>
      <c r="S222" s="25">
        <v>0</v>
      </c>
      <c r="T222" s="25">
        <v>0</v>
      </c>
      <c r="U222" s="25">
        <v>0</v>
      </c>
      <c r="V222" s="25">
        <v>0</v>
      </c>
      <c r="W222" s="25">
        <v>0</v>
      </c>
      <c r="X222" s="25">
        <v>0</v>
      </c>
      <c r="Y222" s="25">
        <v>0</v>
      </c>
      <c r="Z222" s="25">
        <v>0</v>
      </c>
      <c r="AA222" s="25">
        <v>0</v>
      </c>
      <c r="AB222" s="25">
        <v>0</v>
      </c>
      <c r="AC222" s="25">
        <v>0</v>
      </c>
      <c r="AD222" s="25">
        <v>0</v>
      </c>
      <c r="AE222" s="25">
        <v>0</v>
      </c>
      <c r="AF222" s="25">
        <v>0</v>
      </c>
      <c r="AG222" s="25">
        <v>0</v>
      </c>
      <c r="AH222" s="25">
        <v>0</v>
      </c>
      <c r="AI222" s="25">
        <v>0</v>
      </c>
      <c r="AJ222" s="25">
        <v>0</v>
      </c>
    </row>
    <row r="223" spans="1:36" x14ac:dyDescent="0.25">
      <c r="A223" t="s">
        <v>621</v>
      </c>
      <c r="B223" t="s">
        <v>305</v>
      </c>
      <c r="C223" s="25">
        <v>80</v>
      </c>
      <c r="D223" s="25">
        <v>80</v>
      </c>
      <c r="E223" s="25">
        <v>80</v>
      </c>
      <c r="F223" s="25">
        <v>80</v>
      </c>
      <c r="G223" s="25">
        <v>80</v>
      </c>
      <c r="H223" s="25">
        <v>80</v>
      </c>
      <c r="I223" s="25">
        <v>80</v>
      </c>
      <c r="J223" s="25">
        <v>80</v>
      </c>
      <c r="K223" s="25">
        <v>80</v>
      </c>
      <c r="L223" s="25">
        <v>80</v>
      </c>
      <c r="M223" s="25">
        <v>80</v>
      </c>
      <c r="N223" s="25">
        <v>80</v>
      </c>
      <c r="O223" s="25">
        <v>80</v>
      </c>
      <c r="P223" s="25">
        <v>80</v>
      </c>
      <c r="Q223" s="25">
        <v>80</v>
      </c>
      <c r="R223" s="25">
        <v>80</v>
      </c>
      <c r="S223" s="25">
        <v>80</v>
      </c>
      <c r="T223" s="25">
        <v>80</v>
      </c>
      <c r="U223" s="25">
        <v>80</v>
      </c>
      <c r="V223" s="25">
        <v>80</v>
      </c>
      <c r="W223" s="25">
        <v>80</v>
      </c>
      <c r="X223" s="25">
        <v>80</v>
      </c>
      <c r="Y223" s="25">
        <v>80</v>
      </c>
      <c r="Z223" s="25">
        <v>80</v>
      </c>
      <c r="AA223" s="25">
        <v>80</v>
      </c>
      <c r="AB223" s="25">
        <v>80</v>
      </c>
      <c r="AC223" s="25">
        <v>80</v>
      </c>
      <c r="AD223" s="25">
        <v>80</v>
      </c>
      <c r="AE223" s="25">
        <v>80</v>
      </c>
      <c r="AF223" s="25">
        <v>80</v>
      </c>
      <c r="AG223" s="25">
        <v>80</v>
      </c>
      <c r="AH223" s="25">
        <v>80</v>
      </c>
      <c r="AI223" s="25">
        <v>80</v>
      </c>
      <c r="AJ223" s="25">
        <v>80</v>
      </c>
    </row>
    <row r="224" spans="1:36" x14ac:dyDescent="0.25">
      <c r="A224" t="s">
        <v>622</v>
      </c>
      <c r="B224" t="s">
        <v>305</v>
      </c>
      <c r="C224" s="25">
        <v>0</v>
      </c>
      <c r="D224" s="25">
        <v>0</v>
      </c>
      <c r="E224" s="25">
        <v>0</v>
      </c>
      <c r="F224" s="25">
        <v>0</v>
      </c>
      <c r="G224" s="25">
        <v>0</v>
      </c>
      <c r="H224" s="25">
        <v>0</v>
      </c>
      <c r="I224" s="25">
        <v>0</v>
      </c>
      <c r="J224" s="25">
        <v>0</v>
      </c>
      <c r="K224" s="25">
        <v>0</v>
      </c>
      <c r="L224" s="25">
        <v>0</v>
      </c>
      <c r="M224" s="25">
        <v>0</v>
      </c>
      <c r="N224" s="25">
        <v>0</v>
      </c>
      <c r="O224" s="25">
        <v>0</v>
      </c>
      <c r="P224" s="25">
        <v>0</v>
      </c>
      <c r="Q224" s="25">
        <v>0</v>
      </c>
      <c r="R224" s="25">
        <v>0</v>
      </c>
      <c r="S224" s="25">
        <v>0</v>
      </c>
      <c r="T224" s="25">
        <v>0</v>
      </c>
      <c r="U224" s="25">
        <v>0</v>
      </c>
      <c r="V224" s="25">
        <v>0</v>
      </c>
      <c r="W224" s="25">
        <v>0</v>
      </c>
      <c r="X224" s="25">
        <v>0</v>
      </c>
      <c r="Y224" s="25">
        <v>0</v>
      </c>
      <c r="Z224" s="25">
        <v>0</v>
      </c>
      <c r="AA224" s="25">
        <v>0</v>
      </c>
      <c r="AB224" s="25">
        <v>0</v>
      </c>
      <c r="AC224" s="25">
        <v>0</v>
      </c>
      <c r="AD224" s="25">
        <v>0</v>
      </c>
      <c r="AE224" s="25">
        <v>0</v>
      </c>
      <c r="AF224" s="25">
        <v>0</v>
      </c>
      <c r="AG224" s="25">
        <v>0</v>
      </c>
      <c r="AH224" s="25">
        <v>0</v>
      </c>
      <c r="AI224" s="25">
        <v>0</v>
      </c>
      <c r="AJ224" s="25">
        <v>0</v>
      </c>
    </row>
    <row r="225" spans="1:36" x14ac:dyDescent="0.25">
      <c r="A225" t="s">
        <v>623</v>
      </c>
      <c r="B225" t="s">
        <v>305</v>
      </c>
      <c r="C225" s="25">
        <v>0</v>
      </c>
      <c r="D225" s="25">
        <v>0</v>
      </c>
      <c r="E225" s="25">
        <v>0</v>
      </c>
      <c r="F225" s="25">
        <v>0</v>
      </c>
      <c r="G225" s="25">
        <v>0</v>
      </c>
      <c r="H225" s="25">
        <v>0</v>
      </c>
      <c r="I225" s="25">
        <v>0</v>
      </c>
      <c r="J225" s="25">
        <v>0</v>
      </c>
      <c r="K225" s="25">
        <v>0</v>
      </c>
      <c r="L225" s="25">
        <v>0</v>
      </c>
      <c r="M225" s="25">
        <v>0</v>
      </c>
      <c r="N225" s="25">
        <v>0</v>
      </c>
      <c r="O225" s="25">
        <v>0</v>
      </c>
      <c r="P225" s="25">
        <v>0</v>
      </c>
      <c r="Q225" s="25">
        <v>0</v>
      </c>
      <c r="R225" s="25">
        <v>0</v>
      </c>
      <c r="S225" s="25">
        <v>0</v>
      </c>
      <c r="T225" s="25">
        <v>0</v>
      </c>
      <c r="U225" s="25">
        <v>0</v>
      </c>
      <c r="V225" s="25">
        <v>0</v>
      </c>
      <c r="W225" s="25">
        <v>0</v>
      </c>
      <c r="X225" s="25">
        <v>0</v>
      </c>
      <c r="Y225" s="25">
        <v>0</v>
      </c>
      <c r="Z225" s="25">
        <v>0</v>
      </c>
      <c r="AA225" s="25">
        <v>0</v>
      </c>
      <c r="AB225" s="25">
        <v>0</v>
      </c>
      <c r="AC225" s="25">
        <v>0</v>
      </c>
      <c r="AD225" s="25">
        <v>0</v>
      </c>
      <c r="AE225" s="25">
        <v>0</v>
      </c>
      <c r="AF225" s="25">
        <v>0</v>
      </c>
      <c r="AG225" s="25">
        <v>0</v>
      </c>
      <c r="AH225" s="25">
        <v>0</v>
      </c>
      <c r="AI225" s="25">
        <v>0</v>
      </c>
      <c r="AJ225" s="25">
        <v>0</v>
      </c>
    </row>
    <row r="226" spans="1:36" x14ac:dyDescent="0.25">
      <c r="A226" t="s">
        <v>624</v>
      </c>
      <c r="B226" t="s">
        <v>305</v>
      </c>
      <c r="C226" s="25">
        <v>5</v>
      </c>
      <c r="D226" s="25">
        <v>5</v>
      </c>
      <c r="E226" s="25">
        <v>5</v>
      </c>
      <c r="F226" s="25">
        <v>5</v>
      </c>
      <c r="G226" s="25">
        <v>5</v>
      </c>
      <c r="H226" s="25">
        <v>5</v>
      </c>
      <c r="I226" s="25">
        <v>5</v>
      </c>
      <c r="J226" s="25">
        <v>5</v>
      </c>
      <c r="K226" s="25">
        <v>5</v>
      </c>
      <c r="L226" s="25">
        <v>5</v>
      </c>
      <c r="M226" s="25">
        <v>5</v>
      </c>
      <c r="N226" s="25">
        <v>5</v>
      </c>
      <c r="O226" s="25">
        <v>5</v>
      </c>
      <c r="P226" s="25">
        <v>5</v>
      </c>
      <c r="Q226" s="25">
        <v>5</v>
      </c>
      <c r="R226" s="25">
        <v>5</v>
      </c>
      <c r="S226" s="25">
        <v>5</v>
      </c>
      <c r="T226" s="25">
        <v>5</v>
      </c>
      <c r="U226" s="25">
        <v>5</v>
      </c>
      <c r="V226" s="25">
        <v>5</v>
      </c>
      <c r="W226" s="25">
        <v>5</v>
      </c>
      <c r="X226" s="25">
        <v>5</v>
      </c>
      <c r="Y226" s="25">
        <v>5</v>
      </c>
      <c r="Z226" s="25">
        <v>5</v>
      </c>
      <c r="AA226" s="25">
        <v>5</v>
      </c>
      <c r="AB226" s="25">
        <v>5</v>
      </c>
      <c r="AC226" s="25">
        <v>5</v>
      </c>
      <c r="AD226" s="25">
        <v>5</v>
      </c>
      <c r="AE226" s="25">
        <v>5</v>
      </c>
      <c r="AF226" s="25">
        <v>5</v>
      </c>
      <c r="AG226" s="25">
        <v>5</v>
      </c>
      <c r="AH226" s="25">
        <v>5</v>
      </c>
      <c r="AI226" s="25">
        <v>5</v>
      </c>
      <c r="AJ226" s="25">
        <v>5</v>
      </c>
    </row>
    <row r="227" spans="1:36" x14ac:dyDescent="0.25">
      <c r="A227" t="s">
        <v>625</v>
      </c>
      <c r="B227" t="s">
        <v>305</v>
      </c>
      <c r="C227" s="25">
        <v>0</v>
      </c>
      <c r="D227" s="25">
        <v>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0</v>
      </c>
      <c r="Y227" s="25">
        <v>0</v>
      </c>
      <c r="Z227" s="25">
        <v>0</v>
      </c>
      <c r="AA227" s="25">
        <v>0</v>
      </c>
      <c r="AB227" s="25">
        <v>0</v>
      </c>
      <c r="AC227" s="25">
        <v>0</v>
      </c>
      <c r="AD227" s="25">
        <v>0</v>
      </c>
      <c r="AE227" s="25">
        <v>0</v>
      </c>
      <c r="AF227" s="25">
        <v>0</v>
      </c>
      <c r="AG227" s="25">
        <v>0</v>
      </c>
      <c r="AH227" s="25">
        <v>0</v>
      </c>
      <c r="AI227" s="25">
        <v>0</v>
      </c>
      <c r="AJ227" s="25">
        <v>0</v>
      </c>
    </row>
    <row r="228" spans="1:36" x14ac:dyDescent="0.25">
      <c r="A228" t="s">
        <v>626</v>
      </c>
      <c r="B228" t="s">
        <v>305</v>
      </c>
      <c r="C228" s="25">
        <v>0</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0</v>
      </c>
      <c r="X228" s="25">
        <v>0</v>
      </c>
      <c r="Y228" s="25">
        <v>0</v>
      </c>
      <c r="Z228" s="25">
        <v>0</v>
      </c>
      <c r="AA228" s="25">
        <v>0</v>
      </c>
      <c r="AB228" s="25">
        <v>0</v>
      </c>
      <c r="AC228" s="25">
        <v>0</v>
      </c>
      <c r="AD228" s="25">
        <v>0</v>
      </c>
      <c r="AE228" s="25">
        <v>0</v>
      </c>
      <c r="AF228" s="25">
        <v>0</v>
      </c>
      <c r="AG228" s="25">
        <v>0</v>
      </c>
      <c r="AH228" s="25">
        <v>0</v>
      </c>
      <c r="AI228" s="25">
        <v>0</v>
      </c>
      <c r="AJ228" s="25">
        <v>0</v>
      </c>
    </row>
    <row r="229" spans="1:36" x14ac:dyDescent="0.25">
      <c r="A229" t="s">
        <v>627</v>
      </c>
      <c r="B229" t="s">
        <v>305</v>
      </c>
      <c r="C229" s="25">
        <v>15</v>
      </c>
      <c r="D229" s="25">
        <v>15</v>
      </c>
      <c r="E229" s="25">
        <v>15</v>
      </c>
      <c r="F229" s="25">
        <v>15</v>
      </c>
      <c r="G229" s="25">
        <v>15</v>
      </c>
      <c r="H229" s="25">
        <v>15</v>
      </c>
      <c r="I229" s="25">
        <v>15</v>
      </c>
      <c r="J229" s="25">
        <v>15</v>
      </c>
      <c r="K229" s="25">
        <v>15</v>
      </c>
      <c r="L229" s="25">
        <v>15</v>
      </c>
      <c r="M229" s="25">
        <v>15</v>
      </c>
      <c r="N229" s="25">
        <v>15</v>
      </c>
      <c r="O229" s="25">
        <v>15</v>
      </c>
      <c r="P229" s="25">
        <v>15</v>
      </c>
      <c r="Q229" s="25">
        <v>15</v>
      </c>
      <c r="R229" s="25">
        <v>15</v>
      </c>
      <c r="S229" s="25">
        <v>15</v>
      </c>
      <c r="T229" s="25">
        <v>15</v>
      </c>
      <c r="U229" s="25">
        <v>15</v>
      </c>
      <c r="V229" s="25">
        <v>15</v>
      </c>
      <c r="W229" s="25">
        <v>15</v>
      </c>
      <c r="X229" s="25">
        <v>15</v>
      </c>
      <c r="Y229" s="25">
        <v>15</v>
      </c>
      <c r="Z229" s="25">
        <v>15</v>
      </c>
      <c r="AA229" s="25">
        <v>15</v>
      </c>
      <c r="AB229" s="25">
        <v>15</v>
      </c>
      <c r="AC229" s="25">
        <v>15</v>
      </c>
      <c r="AD229" s="25">
        <v>15</v>
      </c>
      <c r="AE229" s="25">
        <v>15</v>
      </c>
      <c r="AF229" s="25">
        <v>15</v>
      </c>
      <c r="AG229" s="25">
        <v>15</v>
      </c>
      <c r="AH229" s="25">
        <v>15</v>
      </c>
      <c r="AI229" s="25">
        <v>15</v>
      </c>
      <c r="AJ229" s="25">
        <v>15</v>
      </c>
    </row>
    <row r="230" spans="1:36" x14ac:dyDescent="0.25">
      <c r="A230" t="s">
        <v>628</v>
      </c>
      <c r="B230" t="s">
        <v>305</v>
      </c>
      <c r="C230" s="25">
        <v>0</v>
      </c>
      <c r="D230" s="25">
        <v>0</v>
      </c>
      <c r="E230" s="25">
        <v>0</v>
      </c>
      <c r="F230" s="25">
        <v>0</v>
      </c>
      <c r="G230" s="25">
        <v>0</v>
      </c>
      <c r="H230" s="25">
        <v>0</v>
      </c>
      <c r="I230" s="25">
        <v>0</v>
      </c>
      <c r="J230" s="25">
        <v>0</v>
      </c>
      <c r="K230" s="25">
        <v>0</v>
      </c>
      <c r="L230" s="25">
        <v>0</v>
      </c>
      <c r="M230" s="25">
        <v>0</v>
      </c>
      <c r="N230" s="25">
        <v>0</v>
      </c>
      <c r="O230" s="25">
        <v>0</v>
      </c>
      <c r="P230" s="25">
        <v>0</v>
      </c>
      <c r="Q230" s="25">
        <v>0</v>
      </c>
      <c r="R230" s="25">
        <v>0</v>
      </c>
      <c r="S230" s="25">
        <v>0</v>
      </c>
      <c r="T230" s="25">
        <v>0</v>
      </c>
      <c r="U230" s="25">
        <v>0</v>
      </c>
      <c r="V230" s="25">
        <v>0</v>
      </c>
      <c r="W230" s="25">
        <v>0</v>
      </c>
      <c r="X230" s="25">
        <v>0</v>
      </c>
      <c r="Y230" s="25">
        <v>0</v>
      </c>
      <c r="Z230" s="25">
        <v>0</v>
      </c>
      <c r="AA230" s="25">
        <v>0</v>
      </c>
      <c r="AB230" s="25">
        <v>0</v>
      </c>
      <c r="AC230" s="25">
        <v>0</v>
      </c>
      <c r="AD230" s="25">
        <v>0</v>
      </c>
      <c r="AE230" s="25">
        <v>0</v>
      </c>
      <c r="AF230" s="25">
        <v>0</v>
      </c>
      <c r="AG230" s="25">
        <v>0</v>
      </c>
      <c r="AH230" s="25">
        <v>0</v>
      </c>
      <c r="AI230" s="25">
        <v>0</v>
      </c>
      <c r="AJ230" s="25">
        <v>0</v>
      </c>
    </row>
    <row r="231" spans="1:36" x14ac:dyDescent="0.25">
      <c r="A231" t="s">
        <v>768</v>
      </c>
      <c r="B231" t="s">
        <v>305</v>
      </c>
      <c r="C231" s="25">
        <v>0</v>
      </c>
      <c r="D231" s="25">
        <v>0</v>
      </c>
      <c r="E231" s="25">
        <v>0</v>
      </c>
      <c r="F231" s="25">
        <v>0</v>
      </c>
      <c r="G231" s="25">
        <v>0</v>
      </c>
      <c r="H231" s="25">
        <v>0</v>
      </c>
      <c r="I231" s="25">
        <v>0</v>
      </c>
      <c r="J231" s="25">
        <v>0</v>
      </c>
      <c r="K231" s="25">
        <v>0</v>
      </c>
      <c r="L231" s="25">
        <v>0</v>
      </c>
      <c r="M231" s="25">
        <v>0</v>
      </c>
      <c r="N231" s="25">
        <v>0</v>
      </c>
      <c r="O231" s="25">
        <v>0</v>
      </c>
      <c r="P231" s="25">
        <v>0</v>
      </c>
      <c r="Q231" s="25">
        <v>0</v>
      </c>
      <c r="R231" s="25">
        <v>0</v>
      </c>
      <c r="S231" s="25">
        <v>0</v>
      </c>
      <c r="T231" s="25">
        <v>0</v>
      </c>
      <c r="U231" s="25">
        <v>0</v>
      </c>
      <c r="V231" s="25">
        <v>0</v>
      </c>
      <c r="W231" s="25">
        <v>0</v>
      </c>
      <c r="X231" s="25">
        <v>0</v>
      </c>
      <c r="Y231" s="25">
        <v>0</v>
      </c>
      <c r="Z231" s="25">
        <v>0</v>
      </c>
      <c r="AA231" s="25">
        <v>0</v>
      </c>
      <c r="AB231" s="25">
        <v>0</v>
      </c>
      <c r="AC231" s="25">
        <v>0</v>
      </c>
      <c r="AD231" s="25">
        <v>0</v>
      </c>
      <c r="AE231" s="25">
        <v>0</v>
      </c>
      <c r="AF231" s="25">
        <v>0</v>
      </c>
      <c r="AG231" s="25">
        <v>0</v>
      </c>
      <c r="AH231" s="25">
        <v>0</v>
      </c>
      <c r="AI231" s="25">
        <v>0</v>
      </c>
      <c r="AJ231" s="25">
        <v>0</v>
      </c>
    </row>
    <row r="232" spans="1:36" s="76" customFormat="1" x14ac:dyDescent="0.25">
      <c r="A232" s="76" t="s">
        <v>780</v>
      </c>
      <c r="C232" s="77">
        <f>+SUM(C221:C231)</f>
        <v>100</v>
      </c>
      <c r="D232" s="77">
        <f t="shared" ref="D232" si="496">+SUM(D221:D231)</f>
        <v>100</v>
      </c>
      <c r="E232" s="77">
        <f t="shared" ref="E232" si="497">+SUM(E221:E231)</f>
        <v>100</v>
      </c>
      <c r="F232" s="77">
        <f t="shared" ref="F232" si="498">+SUM(F221:F231)</f>
        <v>100</v>
      </c>
      <c r="G232" s="77">
        <f t="shared" ref="G232" si="499">+SUM(G221:G231)</f>
        <v>100</v>
      </c>
      <c r="H232" s="77">
        <f t="shared" ref="H232" si="500">+SUM(H221:H231)</f>
        <v>100</v>
      </c>
      <c r="I232" s="77">
        <f t="shared" ref="I232" si="501">+SUM(I221:I231)</f>
        <v>100</v>
      </c>
      <c r="J232" s="77">
        <f t="shared" ref="J232" si="502">+SUM(J221:J231)</f>
        <v>100</v>
      </c>
      <c r="K232" s="77">
        <f t="shared" ref="K232" si="503">+SUM(K221:K231)</f>
        <v>100</v>
      </c>
      <c r="L232" s="77">
        <f t="shared" ref="L232" si="504">+SUM(L221:L231)</f>
        <v>100</v>
      </c>
      <c r="M232" s="77">
        <f t="shared" ref="M232" si="505">+SUM(M221:M231)</f>
        <v>100</v>
      </c>
      <c r="N232" s="77">
        <f t="shared" ref="N232" si="506">+SUM(N221:N231)</f>
        <v>100</v>
      </c>
      <c r="O232" s="77">
        <f t="shared" ref="O232" si="507">+SUM(O221:O231)</f>
        <v>100</v>
      </c>
      <c r="P232" s="77">
        <f t="shared" ref="P232" si="508">+SUM(P221:P231)</f>
        <v>100</v>
      </c>
      <c r="Q232" s="77">
        <f t="shared" ref="Q232" si="509">+SUM(Q221:Q231)</f>
        <v>100</v>
      </c>
      <c r="R232" s="77">
        <f t="shared" ref="R232" si="510">+SUM(R221:R231)</f>
        <v>100</v>
      </c>
      <c r="S232" s="77">
        <f t="shared" ref="S232" si="511">+SUM(S221:S231)</f>
        <v>100</v>
      </c>
      <c r="T232" s="77">
        <f t="shared" ref="T232" si="512">+SUM(T221:T231)</f>
        <v>100</v>
      </c>
      <c r="U232" s="77">
        <f t="shared" ref="U232" si="513">+SUM(U221:U231)</f>
        <v>100</v>
      </c>
      <c r="V232" s="77">
        <f t="shared" ref="V232" si="514">+SUM(V221:V231)</f>
        <v>100</v>
      </c>
      <c r="W232" s="77">
        <f t="shared" ref="W232" si="515">+SUM(W221:W231)</f>
        <v>100</v>
      </c>
      <c r="X232" s="77">
        <f t="shared" ref="X232" si="516">+SUM(X221:X231)</f>
        <v>100</v>
      </c>
      <c r="Y232" s="77">
        <f t="shared" ref="Y232" si="517">+SUM(Y221:Y231)</f>
        <v>100</v>
      </c>
      <c r="Z232" s="77">
        <f t="shared" ref="Z232" si="518">+SUM(Z221:Z231)</f>
        <v>100</v>
      </c>
      <c r="AA232" s="77">
        <f t="shared" ref="AA232" si="519">+SUM(AA221:AA231)</f>
        <v>100</v>
      </c>
      <c r="AB232" s="77">
        <f t="shared" ref="AB232" si="520">+SUM(AB221:AB231)</f>
        <v>100</v>
      </c>
      <c r="AC232" s="77">
        <f t="shared" ref="AC232" si="521">+SUM(AC221:AC231)</f>
        <v>100</v>
      </c>
      <c r="AD232" s="77">
        <f t="shared" ref="AD232" si="522">+SUM(AD221:AD231)</f>
        <v>100</v>
      </c>
      <c r="AE232" s="77">
        <f t="shared" ref="AE232" si="523">+SUM(AE221:AE231)</f>
        <v>100</v>
      </c>
      <c r="AF232" s="77">
        <f t="shared" ref="AF232" si="524">+SUM(AF221:AF231)</f>
        <v>100</v>
      </c>
      <c r="AG232" s="77">
        <f t="shared" ref="AG232" si="525">+SUM(AG221:AG231)</f>
        <v>100</v>
      </c>
      <c r="AH232" s="77">
        <f t="shared" ref="AH232" si="526">+SUM(AH221:AH231)</f>
        <v>100</v>
      </c>
      <c r="AI232" s="77">
        <f t="shared" ref="AI232" si="527">+SUM(AI221:AI231)</f>
        <v>100</v>
      </c>
      <c r="AJ232" s="77">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36193.567035946995</v>
      </c>
      <c r="AU4" s="87">
        <f t="shared" si="0"/>
        <v>39850.15486908704</v>
      </c>
      <c r="AV4" s="87">
        <f t="shared" si="0"/>
        <v>43502.179653659463</v>
      </c>
      <c r="AW4" s="87">
        <f>AW11-AV11</f>
        <v>28793.242100462317</v>
      </c>
      <c r="AX4" s="87">
        <f t="shared" si="0"/>
        <v>31594.659006275237</v>
      </c>
      <c r="AY4" s="87">
        <f t="shared" si="0"/>
        <v>34183.832518324256</v>
      </c>
      <c r="AZ4" s="87">
        <f t="shared" si="0"/>
        <v>37143.048496041447</v>
      </c>
      <c r="BA4" s="15">
        <f>BA8/'Intermediate calculations'!AV8</f>
        <v>3.5476494609764297</v>
      </c>
      <c r="BB4" s="15">
        <f>BB8/'Intermediate calculations'!AW8</f>
        <v>3.4499716191411198</v>
      </c>
      <c r="BC4" s="15">
        <f>BC8/'Intermediate calculations'!AX8</f>
        <v>3.3543468981227331</v>
      </c>
      <c r="BD4" s="15">
        <f>BD8/'Intermediate calculations'!AY8</f>
        <v>3.2606886832336412</v>
      </c>
      <c r="BE4" s="15">
        <f>BE8/'Intermediate calculations'!AZ8</f>
        <v>3.1689162658213808</v>
      </c>
      <c r="BF4" s="15">
        <f>BF8/'Intermediate calculations'!BA8</f>
        <v>3.0789543040584766</v>
      </c>
      <c r="BG4" s="15">
        <f>BG8/'Intermediate calculations'!BB8</f>
        <v>3.0059911830620978</v>
      </c>
      <c r="BH4" s="15">
        <f>BH8/'Intermediate calculations'!BC8</f>
        <v>2.9344363175933998</v>
      </c>
      <c r="BI4" s="15">
        <f>BI8/'Intermediate calculations'!BD8</f>
        <v>2.8642365620458952</v>
      </c>
      <c r="BJ4" s="15">
        <f>BJ8/'Intermediate calculations'!BE8</f>
        <v>2.795342011588263</v>
      </c>
      <c r="BK4" s="15">
        <f>BK8/'Intermediate calculations'!BF8</f>
        <v>2.7277057371453739</v>
      </c>
      <c r="BL4" s="15">
        <f>BL8/'Intermediate calculations'!BG8</f>
        <v>2.6612835472155458</v>
      </c>
      <c r="BM4" s="15">
        <f>BM8/'Intermediate calculations'!BH8</f>
        <v>2.5960337733100367</v>
      </c>
      <c r="BN4" s="15">
        <f>BN8/'Intermediate calculations'!BI8</f>
        <v>2.5319170762425305</v>
      </c>
      <c r="BO4" s="15">
        <f>BO8/'Intermediate calculations'!BJ8</f>
        <v>2.4688962708698363</v>
      </c>
      <c r="BP4" s="15">
        <f>BP8/'Intermediate calculations'!BK8</f>
        <v>2.4069361672020109</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24">
        <f>'Intermediate calculations'!Y15*'Intermediate calculations'!Y16*Constants!$H$18</f>
        <v>590659.82732236863</v>
      </c>
      <c r="AE5" s="24">
        <f>'Intermediate calculations'!Z15*'Intermediate calculations'!Z16*Constants!$H$18</f>
        <v>594647.99563903548</v>
      </c>
      <c r="AF5" s="24">
        <f>'Intermediate calculations'!AA15*'Intermediate calculations'!AA16*Constants!$H$18</f>
        <v>598136.63268648856</v>
      </c>
      <c r="AG5" s="24">
        <f>'Intermediate calculations'!AB15*'Intermediate calculations'!AB16*Constants!$H$18</f>
        <v>598587.8952012012</v>
      </c>
      <c r="AH5" s="24">
        <f>'Intermediate calculations'!AC15*'Intermediate calculations'!AC16*Constants!$H$18</f>
        <v>599365.15063746762</v>
      </c>
      <c r="AI5" s="24">
        <f>'Intermediate calculations'!AD15*'Intermediate calculations'!AD16*Constants!$H$18</f>
        <v>603824.89896406408</v>
      </c>
      <c r="AJ5" s="24">
        <f>'Intermediate calculations'!AE15*'Intermediate calculations'!AE16*Constants!$H$18</f>
        <v>607391.06462310744</v>
      </c>
      <c r="AK5" s="24">
        <f>'Intermediate calculations'!AF15*'Intermediate calculations'!AF16*Constants!$H$18</f>
        <v>607422.33297804231</v>
      </c>
      <c r="AL5" s="24">
        <f>'Intermediate calculations'!AG15*'Intermediate calculations'!AG16*Constants!$H$18</f>
        <v>591329.43600858422</v>
      </c>
      <c r="AM5" s="24">
        <f>'Intermediate calculations'!AH15*'Intermediate calculations'!AH16*Constants!$H$18</f>
        <v>599103.82544002542</v>
      </c>
      <c r="AN5" s="24">
        <f>'Intermediate calculations'!AI15*'Intermediate calculations'!AI16*Constants!$H$18</f>
        <v>604988.90466458153</v>
      </c>
      <c r="AO5" s="24">
        <f>'Intermediate calculations'!AJ15*'Intermediate calculations'!AJ16*Constants!$H$18</f>
        <v>610541.33764853247</v>
      </c>
      <c r="AP5" s="24">
        <f>'Intermediate calculations'!AK15*'Intermediate calculations'!AK16*Constants!$H$18</f>
        <v>616979.54736215889</v>
      </c>
      <c r="AQ5" s="24">
        <f>'Intermediate calculations'!AL15*'Intermediate calculations'!AL16*Constants!$H$18</f>
        <v>626204.5269397886</v>
      </c>
      <c r="AR5" s="24">
        <f>'Intermediate calculations'!AM15*'Intermediate calculations'!AM16*Constants!$H$18</f>
        <v>635808.80407396378</v>
      </c>
      <c r="AS5" s="24">
        <f>'Intermediate calculations'!AN15*'Intermediate calculations'!AN16*Constants!$H$18</f>
        <v>646241.21705830109</v>
      </c>
      <c r="AT5" s="24">
        <f>'Intermediate calculations'!AO15*'Intermediate calculations'!AO16*Constants!$H$18</f>
        <v>655728.43045806733</v>
      </c>
      <c r="AU5" s="24">
        <f>'Intermediate calculations'!AP15*'Intermediate calculations'!AP16*Constants!$H$18</f>
        <v>666598.46233373915</v>
      </c>
      <c r="AV5" s="24">
        <f>'Intermediate calculations'!AQ15*'Intermediate calculations'!AQ16*Constants!$H$18</f>
        <v>679157.87823684874</v>
      </c>
      <c r="AW5" s="24">
        <f>'Intermediate calculations'!AR15*'Intermediate calculations'!AR16*Constants!$H$18</f>
        <v>691249.48892285035</v>
      </c>
      <c r="AX5" s="24">
        <f>'Intermediate calculations'!AS15*'Intermediate calculations'!AS16*Constants!$H$18</f>
        <v>703971.48325899884</v>
      </c>
      <c r="AY5" s="24">
        <f>'Intermediate calculations'!AT15*'Intermediate calculations'!AT16*Constants!$H$18</f>
        <v>717079.34406684258</v>
      </c>
      <c r="AZ5" s="24">
        <f>'Intermediate calculations'!AU15*'Intermediate calculations'!AU16*Constants!$H$18</f>
        <v>731664.68078541593</v>
      </c>
      <c r="BA5" s="24">
        <f>'Intermediate calculations'!AV15*'Intermediate calculations'!AV16*Constants!$H$18</f>
        <v>744869.8509050631</v>
      </c>
      <c r="BB5" s="24">
        <f>'Intermediate calculations'!AW15*'Intermediate calculations'!AW16*Constants!$H$18</f>
        <v>758591.49039818766</v>
      </c>
      <c r="BC5" s="24">
        <f>'Intermediate calculations'!AX15*'Intermediate calculations'!AX16*Constants!$H$18</f>
        <v>772671.78695896757</v>
      </c>
      <c r="BD5" s="24">
        <f>'Intermediate calculations'!AY15*'Intermediate calculations'!AY16*Constants!$H$18</f>
        <v>786331.1864182672</v>
      </c>
      <c r="BE5" s="24">
        <f>'Intermediate calculations'!AZ15*'Intermediate calculations'!AZ16*Constants!$H$18</f>
        <v>800094.11184154206</v>
      </c>
      <c r="BF5" s="24">
        <f>'Intermediate calculations'!BA15*'Intermediate calculations'!BA16*Constants!$H$18</f>
        <v>814440.85787634295</v>
      </c>
      <c r="BG5" s="24">
        <f>'Intermediate calculations'!BB15*'Intermediate calculations'!BB16*Constants!$H$18</f>
        <v>829262.64082236879</v>
      </c>
      <c r="BH5" s="24">
        <f>'Intermediate calculations'!BC15*'Intermediate calculations'!BC16*Constants!$H$18</f>
        <v>843418.9615521878</v>
      </c>
      <c r="BI5" s="24">
        <f>'Intermediate calculations'!BD15*'Intermediate calculations'!BD16*Constants!$H$18</f>
        <v>857874.32045169827</v>
      </c>
      <c r="BJ5" s="24">
        <f>'Intermediate calculations'!BE15*'Intermediate calculations'!BE16*Constants!$H$18</f>
        <v>872654.76942911511</v>
      </c>
      <c r="BK5" s="24">
        <f>'Intermediate calculations'!BF15*'Intermediate calculations'!BF16*Constants!$H$18</f>
        <v>888461.01760093297</v>
      </c>
      <c r="BL5" s="24">
        <f>'Intermediate calculations'!BG15*'Intermediate calculations'!BG16*Constants!$H$18</f>
        <v>904441.22626746865</v>
      </c>
      <c r="BM5" s="24">
        <f>'Intermediate calculations'!BH15*'Intermediate calculations'!BH16*Constants!$H$18</f>
        <v>914005.57331168395</v>
      </c>
      <c r="BN5" s="24">
        <f>'Intermediate calculations'!BI15*'Intermediate calculations'!BI16*Constants!$H$18</f>
        <v>923198.32476661098</v>
      </c>
      <c r="BO5" s="24">
        <f>'Intermediate calculations'!BJ15*'Intermediate calculations'!BJ16*Constants!$H$18</f>
        <v>933369.00360126945</v>
      </c>
      <c r="BP5" s="24">
        <f>'Intermediate calculations'!BK15*'Intermediate calculations'!BK16*Constants!$H$18</f>
        <v>943246.5608825559</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24">
        <f>'Intermediate calculations'!Y15*'Intermediate calculations'!Y16*Constants!$H$19</f>
        <v>489403.85692424828</v>
      </c>
      <c r="AE6" s="24">
        <f>'Intermediate calculations'!Z15*'Intermediate calculations'!Z16*Constants!$H$19</f>
        <v>492708.33924377221</v>
      </c>
      <c r="AF6" s="24">
        <f>'Intermediate calculations'!AA15*'Intermediate calculations'!AA16*Constants!$H$19</f>
        <v>495598.9242259477</v>
      </c>
      <c r="AG6" s="24">
        <f>'Intermediate calculations'!AB15*'Intermediate calculations'!AB16*Constants!$H$19</f>
        <v>495972.82745242387</v>
      </c>
      <c r="AH6" s="24">
        <f>'Intermediate calculations'!AC15*'Intermediate calculations'!AC16*Constants!$H$19</f>
        <v>496616.83909961605</v>
      </c>
      <c r="AI6" s="24">
        <f>'Intermediate calculations'!AD15*'Intermediate calculations'!AD16*Constants!$H$19</f>
        <v>500312.05914165312</v>
      </c>
      <c r="AJ6" s="24">
        <f>'Intermediate calculations'!AE15*'Intermediate calculations'!AE16*Constants!$H$19</f>
        <v>503266.88211628905</v>
      </c>
      <c r="AK6" s="24">
        <f>'Intermediate calculations'!AF15*'Intermediate calculations'!AF16*Constants!$H$19</f>
        <v>503292.79018180649</v>
      </c>
      <c r="AL6" s="24">
        <f>'Intermediate calculations'!AG15*'Intermediate calculations'!AG16*Constants!$H$19</f>
        <v>489958.67554996983</v>
      </c>
      <c r="AM6" s="24">
        <f>'Intermediate calculations'!AH15*'Intermediate calculations'!AH16*Constants!$H$19</f>
        <v>496400.31250744965</v>
      </c>
      <c r="AN6" s="24">
        <f>'Intermediate calculations'!AI15*'Intermediate calculations'!AI16*Constants!$H$19</f>
        <v>501276.52100779617</v>
      </c>
      <c r="AO6" s="24">
        <f>'Intermediate calculations'!AJ15*'Intermediate calculations'!AJ16*Constants!$H$19</f>
        <v>505877.10833735543</v>
      </c>
      <c r="AP6" s="24">
        <f>'Intermediate calculations'!AK15*'Intermediate calculations'!AK16*Constants!$H$19</f>
        <v>511211.62495721737</v>
      </c>
      <c r="AQ6" s="24">
        <f>'Intermediate calculations'!AL15*'Intermediate calculations'!AL16*Constants!$H$19</f>
        <v>518855.17946439621</v>
      </c>
      <c r="AR6" s="24">
        <f>'Intermediate calculations'!AM15*'Intermediate calculations'!AM16*Constants!$H$19</f>
        <v>526813.00908985571</v>
      </c>
      <c r="AS6" s="24">
        <f>'Intermediate calculations'!AN15*'Intermediate calculations'!AN16*Constants!$H$19</f>
        <v>535457.00841973512</v>
      </c>
      <c r="AT6" s="24">
        <f>'Intermediate calculations'!AO15*'Intermediate calculations'!AO16*Constants!$H$19</f>
        <v>543317.84237954149</v>
      </c>
      <c r="AU6" s="24">
        <f>'Intermediate calculations'!AP15*'Intermediate calculations'!AP16*Constants!$H$19</f>
        <v>552324.4402193838</v>
      </c>
      <c r="AV6" s="24">
        <f>'Intermediate calculations'!AQ15*'Intermediate calculations'!AQ16*Constants!$H$19</f>
        <v>562730.81339624606</v>
      </c>
      <c r="AW6" s="24">
        <f>'Intermediate calculations'!AR15*'Intermediate calculations'!AR16*Constants!$H$19</f>
        <v>572749.57653607603</v>
      </c>
      <c r="AX6" s="24">
        <f>'Intermediate calculations'!AS15*'Intermediate calculations'!AS16*Constants!$H$19</f>
        <v>583290.65755745617</v>
      </c>
      <c r="AY6" s="24">
        <f>'Intermediate calculations'!AT15*'Intermediate calculations'!AT16*Constants!$H$19</f>
        <v>594151.45651252673</v>
      </c>
      <c r="AZ6" s="24">
        <f>'Intermediate calculations'!AU15*'Intermediate calculations'!AU16*Constants!$H$19</f>
        <v>606236.44979363028</v>
      </c>
      <c r="BA6" s="24">
        <f>'Intermediate calculations'!AV15*'Intermediate calculations'!AV16*Constants!$H$19</f>
        <v>617177.8764641952</v>
      </c>
      <c r="BB6" s="24">
        <f>'Intermediate calculations'!AW15*'Intermediate calculations'!AW16*Constants!$H$19</f>
        <v>628547.23490135546</v>
      </c>
      <c r="BC6" s="24">
        <f>'Intermediate calculations'!AX15*'Intermediate calculations'!AX16*Constants!$H$19</f>
        <v>640213.76633743022</v>
      </c>
      <c r="BD6" s="24">
        <f>'Intermediate calculations'!AY15*'Intermediate calculations'!AY16*Constants!$H$19</f>
        <v>651531.55446084996</v>
      </c>
      <c r="BE6" s="24">
        <f>'Intermediate calculations'!AZ15*'Intermediate calculations'!AZ16*Constants!$H$19</f>
        <v>662935.12124013482</v>
      </c>
      <c r="BF6" s="24">
        <f>'Intermediate calculations'!BA15*'Intermediate calculations'!BA16*Constants!$H$19</f>
        <v>674822.4250975413</v>
      </c>
      <c r="BG6" s="24">
        <f>'Intermediate calculations'!BB15*'Intermediate calculations'!BB16*Constants!$H$19</f>
        <v>687103.33096710558</v>
      </c>
      <c r="BH6" s="24">
        <f>'Intermediate calculations'!BC15*'Intermediate calculations'!BC16*Constants!$H$19</f>
        <v>698832.85385752702</v>
      </c>
      <c r="BI6" s="24">
        <f>'Intermediate calculations'!BD15*'Intermediate calculations'!BD16*Constants!$H$19</f>
        <v>710810.15123140719</v>
      </c>
      <c r="BJ6" s="24">
        <f>'Intermediate calculations'!BE15*'Intermediate calculations'!BE16*Constants!$H$19</f>
        <v>723056.80895555252</v>
      </c>
      <c r="BK6" s="24">
        <f>'Intermediate calculations'!BF15*'Intermediate calculations'!BF16*Constants!$H$19</f>
        <v>736153.41458363016</v>
      </c>
      <c r="BL6" s="24">
        <f>'Intermediate calculations'!BG15*'Intermediate calculations'!BG16*Constants!$H$19</f>
        <v>749394.15890733118</v>
      </c>
      <c r="BM6" s="24">
        <f>'Intermediate calculations'!BH15*'Intermediate calculations'!BH16*Constants!$H$19</f>
        <v>757318.90360110952</v>
      </c>
      <c r="BN6" s="24">
        <f>'Intermediate calculations'!BI15*'Intermediate calculations'!BI16*Constants!$H$19</f>
        <v>764935.75480662053</v>
      </c>
      <c r="BO6" s="24">
        <f>'Intermediate calculations'!BJ15*'Intermediate calculations'!BJ16*Constants!$H$19</f>
        <v>773362.88869819476</v>
      </c>
      <c r="BP6" s="24">
        <f>'Intermediate calculations'!BK15*'Intermediate calculations'!BK16*Constants!$H$19</f>
        <v>781547.15044554637</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24">
        <f>'Intermediate calculations'!Y15*'Intermediate calculations'!Y16*(1-Constants!$H$18-Constants!$H$19)</f>
        <v>607535.8223887221</v>
      </c>
      <c r="AE7" s="24">
        <f>'Intermediate calculations'!Z15*'Intermediate calculations'!Z16*(1-Constants!$H$18-Constants!$H$19)</f>
        <v>611637.9383715794</v>
      </c>
      <c r="AF7" s="24">
        <f>'Intermediate calculations'!AA15*'Intermediate calculations'!AA16*(1-Constants!$H$18-Constants!$H$19)</f>
        <v>615226.25076324551</v>
      </c>
      <c r="AG7" s="24">
        <f>'Intermediate calculations'!AB15*'Intermediate calculations'!AB16*(1-Constants!$H$18-Constants!$H$19)</f>
        <v>615690.40649266425</v>
      </c>
      <c r="AH7" s="24">
        <f>'Intermediate calculations'!AC15*'Intermediate calculations'!AC16*(1-Constants!$H$18-Constants!$H$19)</f>
        <v>616489.86922710971</v>
      </c>
      <c r="AI7" s="24">
        <f>'Intermediate calculations'!AD15*'Intermediate calculations'!AD16*(1-Constants!$H$18-Constants!$H$19)</f>
        <v>621077.03893446608</v>
      </c>
      <c r="AJ7" s="24">
        <f>'Intermediate calculations'!AE15*'Intermediate calculations'!AE16*(1-Constants!$H$18-Constants!$H$19)</f>
        <v>624745.09504091064</v>
      </c>
      <c r="AK7" s="24">
        <f>'Intermediate calculations'!AF15*'Intermediate calculations'!AF16*(1-Constants!$H$18-Constants!$H$19)</f>
        <v>624777.25677741505</v>
      </c>
      <c r="AL7" s="24">
        <f>'Intermediate calculations'!AG15*'Intermediate calculations'!AG16*(1-Constants!$H$18-Constants!$H$19)</f>
        <v>608224.56275168678</v>
      </c>
      <c r="AM7" s="24">
        <f>'Intermediate calculations'!AH15*'Intermediate calculations'!AH16*(1-Constants!$H$18-Constants!$H$19)</f>
        <v>616221.07759545487</v>
      </c>
      <c r="AN7" s="24">
        <f>'Intermediate calculations'!AI15*'Intermediate calculations'!AI16*(1-Constants!$H$18-Constants!$H$19)</f>
        <v>622274.30194071261</v>
      </c>
      <c r="AO7" s="24">
        <f>'Intermediate calculations'!AJ15*'Intermediate calculations'!AJ16*(1-Constants!$H$18-Constants!$H$19)</f>
        <v>627985.37586706202</v>
      </c>
      <c r="AP7" s="24">
        <f>'Intermediate calculations'!AK15*'Intermediate calculations'!AK16*(1-Constants!$H$18-Constants!$H$19)</f>
        <v>634607.53442964924</v>
      </c>
      <c r="AQ7" s="24">
        <f>'Intermediate calculations'!AL15*'Intermediate calculations'!AL16*(1-Constants!$H$18-Constants!$H$19)</f>
        <v>644096.08485235402</v>
      </c>
      <c r="AR7" s="24">
        <f>'Intermediate calculations'!AM15*'Intermediate calculations'!AM16*(1-Constants!$H$18-Constants!$H$19)</f>
        <v>653974.76990464854</v>
      </c>
      <c r="AS7" s="24">
        <f>'Intermediate calculations'!AN15*'Intermediate calculations'!AN16*(1-Constants!$H$18-Constants!$H$19)</f>
        <v>664705.25183139544</v>
      </c>
      <c r="AT7" s="24">
        <f>'Intermediate calculations'!AO15*'Intermediate calculations'!AO16*(1-Constants!$H$18-Constants!$H$19)</f>
        <v>674463.52847115509</v>
      </c>
      <c r="AU7" s="24">
        <f>'Intermediate calculations'!AP15*'Intermediate calculations'!AP16*(1-Constants!$H$18-Constants!$H$19)</f>
        <v>685644.13268613187</v>
      </c>
      <c r="AV7" s="24">
        <f>'Intermediate calculations'!AQ15*'Intermediate calculations'!AQ16*(1-Constants!$H$18-Constants!$H$19)</f>
        <v>698562.3890436159</v>
      </c>
      <c r="AW7" s="24">
        <f>'Intermediate calculations'!AR15*'Intermediate calculations'!AR16*(1-Constants!$H$18-Constants!$H$19)</f>
        <v>710999.47432064614</v>
      </c>
      <c r="AX7" s="24">
        <f>'Intermediate calculations'!AS15*'Intermediate calculations'!AS16*(1-Constants!$H$18-Constants!$H$19)</f>
        <v>724084.9542092561</v>
      </c>
      <c r="AY7" s="24">
        <f>'Intermediate calculations'!AT15*'Intermediate calculations'!AT16*(1-Constants!$H$18-Constants!$H$19)</f>
        <v>737567.32532589533</v>
      </c>
      <c r="AZ7" s="24">
        <f>'Intermediate calculations'!AU15*'Intermediate calculations'!AU16*(1-Constants!$H$18-Constants!$H$19)</f>
        <v>752569.38595071365</v>
      </c>
      <c r="BA7" s="24">
        <f>'Intermediate calculations'!AV15*'Intermediate calculations'!AV16*(1-Constants!$H$18-Constants!$H$19)</f>
        <v>766151.84664520796</v>
      </c>
      <c r="BB7" s="24">
        <f>'Intermediate calculations'!AW15*'Intermediate calculations'!AW16*(1-Constants!$H$18-Constants!$H$19)</f>
        <v>780265.53298099316</v>
      </c>
      <c r="BC7" s="24">
        <f>'Intermediate calculations'!AX15*'Intermediate calculations'!AX16*(1-Constants!$H$18-Constants!$H$19)</f>
        <v>794748.12372922397</v>
      </c>
      <c r="BD7" s="24">
        <f>'Intermediate calculations'!AY15*'Intermediate calculations'!AY16*(1-Constants!$H$18-Constants!$H$19)</f>
        <v>808797.79174450354</v>
      </c>
      <c r="BE7" s="24">
        <f>'Intermediate calculations'!AZ15*'Intermediate calculations'!AZ16*(1-Constants!$H$18-Constants!$H$19)</f>
        <v>822953.94360844337</v>
      </c>
      <c r="BF7" s="24">
        <f>'Intermediate calculations'!BA15*'Intermediate calculations'!BA16*(1-Constants!$H$18-Constants!$H$19)</f>
        <v>837710.59667281003</v>
      </c>
      <c r="BG7" s="24">
        <f>'Intermediate calculations'!BB15*'Intermediate calculations'!BB16*(1-Constants!$H$18-Constants!$H$19)</f>
        <v>852955.85913157952</v>
      </c>
      <c r="BH7" s="24">
        <f>'Intermediate calculations'!BC15*'Intermediate calculations'!BC16*(1-Constants!$H$18-Constants!$H$19)</f>
        <v>867516.64616796467</v>
      </c>
      <c r="BI7" s="24">
        <f>'Intermediate calculations'!BD15*'Intermediate calculations'!BD16*(1-Constants!$H$18-Constants!$H$19)</f>
        <v>882385.01532174693</v>
      </c>
      <c r="BJ7" s="24">
        <f>'Intermediate calculations'!BE15*'Intermediate calculations'!BE16*(1-Constants!$H$18-Constants!$H$19)</f>
        <v>897587.76284137566</v>
      </c>
      <c r="BK7" s="24">
        <f>'Intermediate calculations'!BF15*'Intermediate calculations'!BF16*(1-Constants!$H$18-Constants!$H$19)</f>
        <v>913845.61810381699</v>
      </c>
      <c r="BL7" s="24">
        <f>'Intermediate calculations'!BG15*'Intermediate calculations'!BG16*(1-Constants!$H$18-Constants!$H$19)</f>
        <v>930282.40416082507</v>
      </c>
      <c r="BM7" s="24">
        <f>'Intermediate calculations'!BH15*'Intermediate calculations'!BH16*(1-Constants!$H$18-Constants!$H$19)</f>
        <v>940120.01826344652</v>
      </c>
      <c r="BN7" s="24">
        <f>'Intermediate calculations'!BI15*'Intermediate calculations'!BI16*(1-Constants!$H$18-Constants!$H$19)</f>
        <v>949575.41975994292</v>
      </c>
      <c r="BO7" s="24">
        <f>'Intermediate calculations'!BJ15*'Intermediate calculations'!BJ16*(1-Constants!$H$18-Constants!$H$19)</f>
        <v>960036.68941844883</v>
      </c>
      <c r="BP7" s="24">
        <f>'Intermediate calculations'!BK15*'Intermediate calculations'!BK16*(1-Constants!$H$18-Constants!$H$19)</f>
        <v>970196.46262205765</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24">
        <f>'Intermediate calculations'!Y10*'Intermediate calculations'!Y11*Constants!$H$20</f>
        <v>5984261.233029482</v>
      </c>
      <c r="AE8" s="24">
        <f>'Intermediate calculations'!Z10*'Intermediate calculations'!Z11*Constants!$H$20</f>
        <v>5953794.0597159145</v>
      </c>
      <c r="AF8" s="24">
        <f>'Intermediate calculations'!AA10*'Intermediate calculations'!AA11*Constants!$H$20</f>
        <v>5898185.8883474981</v>
      </c>
      <c r="AG8" s="24">
        <f>'Intermediate calculations'!AB10*'Intermediate calculations'!AB11*Constants!$H$20</f>
        <v>5745970.6114831753</v>
      </c>
      <c r="AH8" s="24">
        <f>'Intermediate calculations'!AC10*'Intermediate calculations'!AC11*Constants!$H$20</f>
        <v>5599829.6425982891</v>
      </c>
      <c r="AI8" s="24">
        <f>'Intermediate calculations'!AD10*'Intermediate calculations'!AD11*Constants!$H$20</f>
        <v>5551992.8329450591</v>
      </c>
      <c r="AJ8" s="24">
        <f>'Intermediate calculations'!AE10*'Intermediate calculations'!AE11*Constants!$H$20</f>
        <v>5474731.2958658384</v>
      </c>
      <c r="AK8" s="24">
        <f>'Intermediate calculations'!AF10*'Intermediate calculations'!AF11*Constants!$H$20</f>
        <v>5301139.6705897786</v>
      </c>
      <c r="AL8" s="24">
        <f>'Intermediate calculations'!AG10*'Intermediate calculations'!AG11*Constants!$H$20</f>
        <v>4718721.9406965245</v>
      </c>
      <c r="AM8" s="24">
        <f>'Intermediate calculations'!AH10*'Intermediate calculations'!AH11*Constants!$H$20</f>
        <v>4834023.1532464344</v>
      </c>
      <c r="AN8" s="24">
        <f>'Intermediate calculations'!AI10*'Intermediate calculations'!AI11*Constants!$H$20</f>
        <v>4896300.3686555112</v>
      </c>
      <c r="AO8" s="24">
        <f>'Intermediate calculations'!AJ10*'Intermediate calculations'!AJ11*Constants!$H$20</f>
        <v>4945799.9855607199</v>
      </c>
      <c r="AP8" s="24">
        <f>'Intermediate calculations'!AK10*'Intermediate calculations'!AK11*Constants!$H$20</f>
        <v>5012324.2866323097</v>
      </c>
      <c r="AQ8" s="24">
        <f>'Intermediate calculations'!AL10*'Intermediate calculations'!AL11*Constants!$H$20</f>
        <v>5140041.8344212947</v>
      </c>
      <c r="AR8" s="24">
        <f>'Intermediate calculations'!AM10*'Intermediate calculations'!AM11*Constants!$H$20</f>
        <v>5279825.7369139744</v>
      </c>
      <c r="AS8" s="24">
        <f>'Intermediate calculations'!AN10*'Intermediate calculations'!AN11*Constants!$H$20</f>
        <v>5432134.9654965019</v>
      </c>
      <c r="AT8" s="24">
        <f>'Intermediate calculations'!AO10*'Intermediate calculations'!AO11*Constants!$H$20</f>
        <v>5556324.6591268294</v>
      </c>
      <c r="AU8" s="24">
        <f>'Intermediate calculations'!AP10*'Intermediate calculations'!AP11*Constants!$H$20</f>
        <v>5705398.1870173495</v>
      </c>
      <c r="AV8" s="24">
        <f>'Intermediate calculations'!AQ10*'Intermediate calculations'!AQ11*Constants!$H$20</f>
        <v>5884960.6480244119</v>
      </c>
      <c r="AW8" s="24">
        <f>'Intermediate calculations'!AR10*'Intermediate calculations'!AR11*Constants!$H$20</f>
        <v>6003243.5859460318</v>
      </c>
      <c r="AX8" s="24">
        <f>'Intermediate calculations'!AS10*'Intermediate calculations'!AS11*Constants!$H$20</f>
        <v>6124065.5184204346</v>
      </c>
      <c r="AY8" s="24">
        <f>'Intermediate calculations'!AT10*'Intermediate calculations'!AT11*Constants!$H$20</f>
        <v>6241795.211035423</v>
      </c>
      <c r="AZ8" s="24">
        <f>'Intermediate calculations'!AU10*'Intermediate calculations'!AU11*Constants!$H$20</f>
        <v>6377999.0871575838</v>
      </c>
      <c r="BA8" s="24">
        <f>'Intermediate calculations'!AV10*'Intermediate calculations'!AV11*Constants!$H$20</f>
        <v>6475058.7488337113</v>
      </c>
      <c r="BB8" s="24">
        <f>'Intermediate calculations'!AW10*'Intermediate calculations'!AW11*Constants!$H$20</f>
        <v>6577309.5931838136</v>
      </c>
      <c r="BC8" s="24">
        <f>'Intermediate calculations'!AX10*'Intermediate calculations'!AX11*Constants!$H$20</f>
        <v>6675154.4594423026</v>
      </c>
      <c r="BD8" s="24">
        <f>'Intermediate calculations'!AY10*'Intermediate calculations'!AY11*Constants!$H$20</f>
        <v>6754203.7727909777</v>
      </c>
      <c r="BE8" s="24">
        <f>'Intermediate calculations'!AZ10*'Intermediate calculations'!AZ11*Constants!$H$20</f>
        <v>6824553.6756699514</v>
      </c>
      <c r="BF8" s="24">
        <f>'Intermediate calculations'!BA10*'Intermediate calculations'!BA11*Constants!$H$20</f>
        <v>6894587.7164701195</v>
      </c>
      <c r="BG8" s="24">
        <f>'Intermediate calculations'!BB10*'Intermediate calculations'!BB11*Constants!$H$20</f>
        <v>7002380.9552292489</v>
      </c>
      <c r="BH8" s="24">
        <f>'Intermediate calculations'!BC10*'Intermediate calculations'!BC11*Constants!$H$20</f>
        <v>7090166.2277606353</v>
      </c>
      <c r="BI8" s="24">
        <f>'Intermediate calculations'!BD10*'Intermediate calculations'!BD11*Constants!$H$20</f>
        <v>7174460.8637415282</v>
      </c>
      <c r="BJ8" s="24">
        <f>'Intermediate calculations'!BE10*'Intermediate calculations'!BE11*Constants!$H$20</f>
        <v>7255541.4999423893</v>
      </c>
      <c r="BK8" s="24">
        <f>'Intermediate calculations'!BF10*'Intermediate calculations'!BF11*Constants!$H$20</f>
        <v>7344146.1229910608</v>
      </c>
      <c r="BL8" s="24">
        <f>'Intermediate calculations'!BG10*'Intermediate calculations'!BG11*Constants!$H$20</f>
        <v>7430933.3870434612</v>
      </c>
      <c r="BM8" s="24">
        <f>'Intermediate calculations'!BH10*'Intermediate calculations'!BH11*Constants!$H$20</f>
        <v>7413052.6565260356</v>
      </c>
      <c r="BN8" s="24">
        <f>'Intermediate calculations'!BI10*'Intermediate calculations'!BI11*Constants!$H$20</f>
        <v>7384995.5807863967</v>
      </c>
      <c r="BO8" s="24">
        <f>'Intermediate calculations'!BJ10*'Intermediate calculations'!BJ11*Constants!$H$20</f>
        <v>7366450.2517271712</v>
      </c>
      <c r="BP8" s="24">
        <f>'Intermediate calculations'!BK10*'Intermediate calculations'!BK11*Constants!$H$20</f>
        <v>7338853.470458135</v>
      </c>
    </row>
    <row r="9" spans="1:72" s="23" customFormat="1" x14ac:dyDescent="0.25">
      <c r="A9" s="23" t="str">
        <f t="shared" si="1"/>
        <v>3A Livestock</v>
      </c>
      <c r="C9" s="23" t="str">
        <f>$C$8</f>
        <v>3A1aii Other cattle</v>
      </c>
      <c r="D9" t="str">
        <f>'IPCC Categories'!$F$37</f>
        <v>Subsistence</v>
      </c>
      <c r="E9" s="23" t="str">
        <f t="shared" ref="E9:E22" si="2">E8</f>
        <v>Population</v>
      </c>
      <c r="F9" s="23" t="str">
        <f t="shared" ref="F9:F22" si="3">F8</f>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24">
        <f>'Intermediate calculations'!Y10*'Intermediate calculations'!Y11*(1-Constants!$H$20)</f>
        <v>5306797.6972148223</v>
      </c>
      <c r="AE9" s="24">
        <f>'Intermediate calculations'!Z10*'Intermediate calculations'!Z11*(1-Constants!$H$20)</f>
        <v>5279779.6378612826</v>
      </c>
      <c r="AF9" s="24">
        <f>'Intermediate calculations'!AA10*'Intermediate calculations'!AA11*(1-Constants!$H$20)</f>
        <v>5230466.731176083</v>
      </c>
      <c r="AG9" s="24">
        <f>'Intermediate calculations'!AB10*'Intermediate calculations'!AB11*(1-Constants!$H$20)</f>
        <v>5095483.3724473435</v>
      </c>
      <c r="AH9" s="24">
        <f>'Intermediate calculations'!AC10*'Intermediate calculations'!AC11*(1-Constants!$H$20)</f>
        <v>4965886.6641909359</v>
      </c>
      <c r="AI9" s="24">
        <f>'Intermediate calculations'!AD10*'Intermediate calculations'!AD11*(1-Constants!$H$20)</f>
        <v>4923465.3424229762</v>
      </c>
      <c r="AJ9" s="24">
        <f>'Intermediate calculations'!AE10*'Intermediate calculations'!AE11*(1-Constants!$H$20)</f>
        <v>4854950.3944470631</v>
      </c>
      <c r="AK9" s="24">
        <f>'Intermediate calculations'!AF10*'Intermediate calculations'!AF11*(1-Constants!$H$20)</f>
        <v>4701010.6512777284</v>
      </c>
      <c r="AL9" s="24">
        <f>'Intermediate calculations'!AG10*'Intermediate calculations'!AG11*(1-Constants!$H$20)</f>
        <v>4184527.0040138983</v>
      </c>
      <c r="AM9" s="24">
        <f>'Intermediate calculations'!AH10*'Intermediate calculations'!AH11*(1-Constants!$H$20)</f>
        <v>4286775.2491053287</v>
      </c>
      <c r="AN9" s="24">
        <f>'Intermediate calculations'!AI10*'Intermediate calculations'!AI11*(1-Constants!$H$20)</f>
        <v>4342002.2137133768</v>
      </c>
      <c r="AO9" s="24">
        <f>'Intermediate calculations'!AJ10*'Intermediate calculations'!AJ11*(1-Constants!$H$20)</f>
        <v>4385898.1004029019</v>
      </c>
      <c r="AP9" s="24">
        <f>'Intermediate calculations'!AK10*'Intermediate calculations'!AK11*(1-Constants!$H$20)</f>
        <v>4444891.3485229919</v>
      </c>
      <c r="AQ9" s="24">
        <f>'Intermediate calculations'!AL10*'Intermediate calculations'!AL11*(1-Constants!$H$20)</f>
        <v>4558150.305996242</v>
      </c>
      <c r="AR9" s="24">
        <f>'Intermediate calculations'!AM10*'Intermediate calculations'!AM11*(1-Constants!$H$20)</f>
        <v>4682109.6157539012</v>
      </c>
      <c r="AS9" s="24">
        <f>'Intermediate calculations'!AN10*'Intermediate calculations'!AN11*(1-Constants!$H$20)</f>
        <v>4817176.2901572743</v>
      </c>
      <c r="AT9" s="24">
        <f>'Intermediate calculations'!AO10*'Intermediate calculations'!AO11*(1-Constants!$H$20)</f>
        <v>4927306.7731879428</v>
      </c>
      <c r="AU9" s="24">
        <f>'Intermediate calculations'!AP10*'Intermediate calculations'!AP11*(1-Constants!$H$20)</f>
        <v>5059504.052638026</v>
      </c>
      <c r="AV9" s="24">
        <f>'Intermediate calculations'!AQ10*'Intermediate calculations'!AQ11*(1-Constants!$H$20)</f>
        <v>5218738.6878707036</v>
      </c>
      <c r="AW9" s="24">
        <f>'Intermediate calculations'!AR10*'Intermediate calculations'!AR11*(1-Constants!$H$20)</f>
        <v>5323631.1045181779</v>
      </c>
      <c r="AX9" s="24">
        <f>'Intermediate calculations'!AS10*'Intermediate calculations'!AS11*(1-Constants!$H$20)</f>
        <v>5430775.0823728377</v>
      </c>
      <c r="AY9" s="24">
        <f>'Intermediate calculations'!AT10*'Intermediate calculations'!AT11*(1-Constants!$H$20)</f>
        <v>5535176.8852578271</v>
      </c>
      <c r="AZ9" s="24">
        <f>'Intermediate calculations'!AU10*'Intermediate calculations'!AU11*(1-Constants!$H$20)</f>
        <v>5655961.4546491774</v>
      </c>
      <c r="BA9" s="24">
        <f>'Intermediate calculations'!AV10*'Intermediate calculations'!AV11*(1-Constants!$H$20)</f>
        <v>5742033.2300978182</v>
      </c>
      <c r="BB9" s="24">
        <f>'Intermediate calculations'!AW10*'Intermediate calculations'!AW11*(1-Constants!$H$20)</f>
        <v>5832708.5071630031</v>
      </c>
      <c r="BC9" s="24">
        <f>'Intermediate calculations'!AX10*'Intermediate calculations'!AX11*(1-Constants!$H$20)</f>
        <v>5919476.5961092114</v>
      </c>
      <c r="BD9" s="24">
        <f>'Intermediate calculations'!AY10*'Intermediate calculations'!AY11*(1-Constants!$H$20)</f>
        <v>5989576.9305882249</v>
      </c>
      <c r="BE9" s="24">
        <f>'Intermediate calculations'!AZ10*'Intermediate calculations'!AZ11*(1-Constants!$H$20)</f>
        <v>6051962.6935186349</v>
      </c>
      <c r="BF9" s="24">
        <f>'Intermediate calculations'!BA10*'Intermediate calculations'!BA11*(1-Constants!$H$20)</f>
        <v>6114068.3523414256</v>
      </c>
      <c r="BG9" s="24">
        <f>'Intermediate calculations'!BB10*'Intermediate calculations'!BB11*(1-Constants!$H$20)</f>
        <v>6209658.5829391442</v>
      </c>
      <c r="BH9" s="24">
        <f>'Intermediate calculations'!BC10*'Intermediate calculations'!BC11*(1-Constants!$H$20)</f>
        <v>6287505.9000896197</v>
      </c>
      <c r="BI9" s="24">
        <f>'Intermediate calculations'!BD10*'Intermediate calculations'!BD11*(1-Constants!$H$20)</f>
        <v>6362257.7470915429</v>
      </c>
      <c r="BJ9" s="24">
        <f>'Intermediate calculations'!BE10*'Intermediate calculations'!BE11*(1-Constants!$H$20)</f>
        <v>6434159.4433451379</v>
      </c>
      <c r="BK9" s="24">
        <f>'Intermediate calculations'!BF10*'Intermediate calculations'!BF11*(1-Constants!$H$20)</f>
        <v>6512733.3543505631</v>
      </c>
      <c r="BL9" s="24">
        <f>'Intermediate calculations'!BG10*'Intermediate calculations'!BG11*(1-Constants!$H$20)</f>
        <v>6589695.6451140121</v>
      </c>
      <c r="BM9" s="24">
        <f>'Intermediate calculations'!BH10*'Intermediate calculations'!BH11*(1-Constants!$H$20)</f>
        <v>6573839.148240068</v>
      </c>
      <c r="BN9" s="24">
        <f>'Intermediate calculations'!BI10*'Intermediate calculations'!BI11*(1-Constants!$H$20)</f>
        <v>6548958.3452256722</v>
      </c>
      <c r="BO9" s="24">
        <f>'Intermediate calculations'!BJ10*'Intermediate calculations'!BJ11*(1-Constants!$H$20)</f>
        <v>6532512.4873806983</v>
      </c>
      <c r="BP9" s="24">
        <f>'Intermediate calculations'!BK10*'Intermediate calculations'!BK11*(1-Constants!$H$20)</f>
        <v>6508039.8700289112</v>
      </c>
    </row>
    <row r="10" spans="1:72" s="23" customFormat="1" x14ac:dyDescent="0.25">
      <c r="A10" s="23" t="str">
        <f t="shared" si="1"/>
        <v>3A Livestock</v>
      </c>
      <c r="C10" s="23" t="str">
        <f>$C$9</f>
        <v>3A1aii Other cattle</v>
      </c>
      <c r="D10" t="str">
        <f>'IPCC Categories'!$F$38</f>
        <v>Feedlot</v>
      </c>
      <c r="E10" s="23" t="str">
        <f t="shared" si="2"/>
        <v>Population</v>
      </c>
      <c r="F10" s="23" t="str">
        <f t="shared" si="3"/>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24">
        <f>(((('Intermediate calculations'!Y9/('Intermediate calculations'!Y64+0.27))*ttokg)/Constants!$H$21)/(365/'Intermediate calculations'!Y65))</f>
        <v>543007.49179039791</v>
      </c>
      <c r="AE10" s="24">
        <f>(((('Intermediate calculations'!Z9/('Intermediate calculations'!Z64+0.27))*ttokg)/Constants!$H$21)/(365/'Intermediate calculations'!Z65))</f>
        <v>563264.94874187512</v>
      </c>
      <c r="AF10" s="24">
        <f>(((('Intermediate calculations'!AA9/('Intermediate calculations'!AA64+0.27))*ttokg)/Constants!$H$21)/(365/'Intermediate calculations'!AA65))</f>
        <v>581463.66332741594</v>
      </c>
      <c r="AG10" s="24">
        <f>(((('Intermediate calculations'!AB9/('Intermediate calculations'!AB64+0.27))*ttokg)/Constants!$H$21)/(365/'Intermediate calculations'!AB65))</f>
        <v>590003.82779140584</v>
      </c>
      <c r="AH10" s="24">
        <f>(((('Intermediate calculations'!AC9/('Intermediate calculations'!AC64+0.27))*ttokg)/Constants!$H$21)/(365/'Intermediate calculations'!AC65))</f>
        <v>598674.66430219111</v>
      </c>
      <c r="AI10" s="24">
        <f>(((('Intermediate calculations'!AD9/('Intermediate calculations'!AD64+0.27))*ttokg)/Constants!$H$21)/(365/'Intermediate calculations'!AD65))</f>
        <v>617814.32044813794</v>
      </c>
      <c r="AJ10" s="24">
        <f>(((('Intermediate calculations'!AE9/('Intermediate calculations'!AE64+0.27))*ttokg)/Constants!$H$21)/(365/'Intermediate calculations'!AE65))</f>
        <v>633958.70908242883</v>
      </c>
      <c r="AK10" s="24">
        <f>(((('Intermediate calculations'!AF9/('Intermediate calculations'!AF64+0.27))*ttokg)/Constants!$H$21)/(365/'Intermediate calculations'!AF65))</f>
        <v>638671.61459478887</v>
      </c>
      <c r="AL10" s="24">
        <f>(((('Intermediate calculations'!AG9/('Intermediate calculations'!AG64+0.27))*ttokg)/Constants!$H$21)/(365/'Intermediate calculations'!AG65))</f>
        <v>591407.68067539216</v>
      </c>
      <c r="AM10" s="24">
        <f>(((('Intermediate calculations'!AH9/('Intermediate calculations'!AH64+0.27))*ttokg)/Constants!$H$21)/(365/'Intermediate calculations'!AH65))</f>
        <v>620381.42192109535</v>
      </c>
      <c r="AN10" s="24">
        <f>(((('Intermediate calculations'!AI9/('Intermediate calculations'!AI64+0.27))*ttokg)/Constants!$H$21)/(365/'Intermediate calculations'!AI65))</f>
        <v>643229.65896732954</v>
      </c>
      <c r="AO10" s="24">
        <f>(((('Intermediate calculations'!AJ9/('Intermediate calculations'!AJ64+0.27))*ttokg)/Constants!$H$21)/(365/'Intermediate calculations'!AJ65))</f>
        <v>664898.12383580545</v>
      </c>
      <c r="AP10" s="24">
        <f>(((('Intermediate calculations'!AK9/('Intermediate calculations'!AK64+0.27))*ttokg)/Constants!$H$21)/(365/'Intermediate calculations'!AK65))</f>
        <v>689384.88286130771</v>
      </c>
      <c r="AQ10" s="24">
        <f>(((('Intermediate calculations'!AL9/('Intermediate calculations'!AL64+0.27))*ttokg)/Constants!$H$21)/(365/'Intermediate calculations'!AL65))</f>
        <v>723080.40597535833</v>
      </c>
      <c r="AR10" s="24">
        <f>(((('Intermediate calculations'!AM9/('Intermediate calculations'!AM64+0.27))*ttokg)/Constants!$H$21)/(365/'Intermediate calculations'!AM65))</f>
        <v>759519.77018615231</v>
      </c>
      <c r="AS10" s="24">
        <f>(((('Intermediate calculations'!AN9/('Intermediate calculations'!AN64+0.27))*ttokg)/Constants!$H$21)/(365/'Intermediate calculations'!AN65))</f>
        <v>798913.78090440843</v>
      </c>
      <c r="AT10" s="24">
        <f>(((('Intermediate calculations'!AO9/('Intermediate calculations'!AO64+0.27))*ttokg)/Constants!$H$21)/(365/'Intermediate calculations'!AO65))</f>
        <v>835303.99361631507</v>
      </c>
      <c r="AU10" s="24">
        <f>(((('Intermediate calculations'!AP9/('Intermediate calculations'!AP64+0.27))*ttokg)/Constants!$H$21)/(365/'Intermediate calculations'!AP65))</f>
        <v>876586.94370818068</v>
      </c>
      <c r="AV10" s="24">
        <f>(((('Intermediate calculations'!AQ9/('Intermediate calculations'!AQ64+0.27))*ttokg)/Constants!$H$21)/(365/'Intermediate calculations'!AQ65))</f>
        <v>923922.33122630802</v>
      </c>
      <c r="AW10" s="24">
        <f>(((('Intermediate calculations'!AR9/('Intermediate calculations'!AR64+0.27))*ttokg)/Constants!$H$21)/(365/'Intermediate calculations'!AR65))</f>
        <v>973644.96966303198</v>
      </c>
      <c r="AX10" s="24">
        <f>(((('Intermediate calculations'!AS9/('Intermediate calculations'!AS64+0.27))*ttokg)/Constants!$H$21)/(365/'Intermediate calculations'!AS65))</f>
        <v>1026134.6694727911</v>
      </c>
      <c r="AY10" s="24">
        <f>(((('Intermediate calculations'!AT9/('Intermediate calculations'!AT64+0.27))*ttokg)/Constants!$H$21)/(365/'Intermediate calculations'!AT65))</f>
        <v>1080587.5477016529</v>
      </c>
      <c r="AZ10" s="24">
        <f>(((('Intermediate calculations'!AU9/('Intermediate calculations'!AU64+0.27))*ttokg)/Constants!$H$21)/(365/'Intermediate calculations'!AU65))</f>
        <v>1140947.4616278226</v>
      </c>
      <c r="BA10" s="24">
        <f>(((('Intermediate calculations'!AV9/('Intermediate calculations'!AV64+0.27))*ttokg)/Constants!$H$21)/(365/'Intermediate calculations'!AV65))</f>
        <v>1197041.5875276658</v>
      </c>
      <c r="BB10" s="24">
        <f>(((('Intermediate calculations'!AW9/('Intermediate calculations'!AW64+0.27))*ttokg)/Constants!$H$21)/(365/'Intermediate calculations'!AW65))</f>
        <v>1256783.4383009032</v>
      </c>
      <c r="BC10" s="24">
        <f>(((('Intermediate calculations'!AX9/('Intermediate calculations'!AX64+0.27))*ttokg)/Constants!$H$21)/(365/'Intermediate calculations'!AX65))</f>
        <v>1318533.556299502</v>
      </c>
      <c r="BD10" s="24">
        <f>(((('Intermediate calculations'!AY9/('Intermediate calculations'!AY64+0.27))*ttokg)/Constants!$H$21)/(365/'Intermediate calculations'!AY65))</f>
        <v>1379436.2312595109</v>
      </c>
      <c r="BE10" s="24">
        <f>(((('Intermediate calculations'!AZ9/('Intermediate calculations'!AZ64+0.27))*ttokg)/Constants!$H$21)/(365/'Intermediate calculations'!AZ65))</f>
        <v>1441412.16189231</v>
      </c>
      <c r="BF10" s="24">
        <f>(((('Intermediate calculations'!BA9/('Intermediate calculations'!BA64+0.27))*ttokg)/Constants!$H$21)/(365/'Intermediate calculations'!BA65))</f>
        <v>1506283.3274274806</v>
      </c>
      <c r="BG10" s="24">
        <f>(((('Intermediate calculations'!BB9/('Intermediate calculations'!BB64+0.27))*ttokg)/Constants!$H$21)/(365/'Intermediate calculations'!BB65))</f>
        <v>1572842.3752946462</v>
      </c>
      <c r="BH10" s="24">
        <f>(((('Intermediate calculations'!BC9/('Intermediate calculations'!BC64+0.27))*ttokg)/Constants!$H$21)/(365/'Intermediate calculations'!BC65))</f>
        <v>1637489.0113383858</v>
      </c>
      <c r="BI10" s="24">
        <f>(((('Intermediate calculations'!BD9/('Intermediate calculations'!BD64+0.27))*ttokg)/Constants!$H$21)/(365/'Intermediate calculations'!BD65))</f>
        <v>1703885.9918647576</v>
      </c>
      <c r="BJ10" s="24">
        <f>(((('Intermediate calculations'!BE9/('Intermediate calculations'!BE64+0.27))*ttokg)/Constants!$H$21)/(365/'Intermediate calculations'!BE65))</f>
        <v>1772158.3783189105</v>
      </c>
      <c r="BK10" s="24">
        <f>(((('Intermediate calculations'!BF9/('Intermediate calculations'!BF64+0.27))*ttokg)/Constants!$H$21)/(365/'Intermediate calculations'!BF65))</f>
        <v>1845070.7542588846</v>
      </c>
      <c r="BL10" s="24">
        <f>(((('Intermediate calculations'!BG9/('Intermediate calculations'!BG64+0.27))*ttokg)/Constants!$H$21)/(365/'Intermediate calculations'!BG65))</f>
        <v>1920512.5389712632</v>
      </c>
      <c r="BM10" s="24">
        <f>(((('Intermediate calculations'!BH9/('Intermediate calculations'!BH64+0.27))*ttokg)/Constants!$H$21)/(365/'Intermediate calculations'!BH65))</f>
        <v>1971249.191358055</v>
      </c>
      <c r="BN10" s="24">
        <f>(((('Intermediate calculations'!BI9/('Intermediate calculations'!BI64+0.27))*ttokg)/Constants!$H$21)/(365/'Intermediate calculations'!BI65))</f>
        <v>2020875.6816750302</v>
      </c>
      <c r="BO10" s="24">
        <f>(((('Intermediate calculations'!BJ9/('Intermediate calculations'!BJ64+0.27))*ttokg)/Constants!$H$21)/(365/'Intermediate calculations'!BJ65))</f>
        <v>2074782.376103628</v>
      </c>
      <c r="BP10" s="24">
        <f>(((('Intermediate calculations'!BK9/('Intermediate calculations'!BK64+0.27))*ttokg)/Constants!$H$21)/(365/'Intermediate calculations'!BK65))</f>
        <v>2127910.5135592604</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3"/>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('Intermediate calculations'!Y27*'Intermediate calculations'!Y28)*Constants!$H$22</f>
        <v>19015978.109920204</v>
      </c>
      <c r="AE11" s="24">
        <f>('Intermediate calculations'!Z27*'Intermediate calculations'!Z28)*Constants!$H$22</f>
        <v>19026240.670801673</v>
      </c>
      <c r="AF11" s="24">
        <f>('Intermediate calculations'!AA27*'Intermediate calculations'!AA28)*Constants!$H$22</f>
        <v>19049833.423283767</v>
      </c>
      <c r="AG11" s="24">
        <f>('Intermediate calculations'!AB27*'Intermediate calculations'!AB28)*Constants!$H$22</f>
        <v>19084859.062341545</v>
      </c>
      <c r="AH11" s="24">
        <f>('Intermediate calculations'!AC27*'Intermediate calculations'!AC28)*Constants!$H$22</f>
        <v>19132134.129473589</v>
      </c>
      <c r="AI11" s="24">
        <f>('Intermediate calculations'!AD27*'Intermediate calculations'!AD28)*Constants!$H$22</f>
        <v>19192608.724077564</v>
      </c>
      <c r="AJ11" s="24">
        <f>('Intermediate calculations'!AE27*'Intermediate calculations'!AE28)*Constants!$H$22</f>
        <v>19259245.436183929</v>
      </c>
      <c r="AK11" s="24">
        <f>('Intermediate calculations'!AF27*'Intermediate calculations'!AF28)*Constants!$H$22</f>
        <v>19331009.292671949</v>
      </c>
      <c r="AL11" s="24">
        <f>('Intermediate calculations'!AG27*'Intermediate calculations'!AG28)*Constants!$H$22</f>
        <v>19402108.703371886</v>
      </c>
      <c r="AM11" s="24">
        <f>('Intermediate calculations'!AH27*'Intermediate calculations'!AH28)*Constants!$H$22</f>
        <v>19431205.754321072</v>
      </c>
      <c r="AN11" s="24">
        <f>('Intermediate calculations'!AI27*'Intermediate calculations'!AI28)*Constants!$H$22</f>
        <v>19464246.359067999</v>
      </c>
      <c r="AO11" s="24">
        <f>('Intermediate calculations'!AJ27*'Intermediate calculations'!AJ28)*Constants!$H$22</f>
        <v>19501612.945101976</v>
      </c>
      <c r="AP11" s="24">
        <f>('Intermediate calculations'!AK27*'Intermediate calculations'!AK28)*Constants!$H$22</f>
        <v>19543576.565399341</v>
      </c>
      <c r="AQ11" s="24">
        <f>('Intermediate calculations'!AL27*'Intermediate calculations'!AL28)*Constants!$H$22</f>
        <v>19590730.489597119</v>
      </c>
      <c r="AR11" s="24">
        <f>('Intermediate calculations'!AM27*'Intermediate calculations'!AM28)*Constants!$H$22</f>
        <v>19620378.823161986</v>
      </c>
      <c r="AS11" s="24">
        <f>('Intermediate calculations'!AN27*'Intermediate calculations'!AN28)*Constants!$H$22</f>
        <v>19653764.356108122</v>
      </c>
      <c r="AT11" s="24">
        <f>('Intermediate calculations'!AO27*'Intermediate calculations'!AO28)*Constants!$H$22</f>
        <v>19689957.923144069</v>
      </c>
      <c r="AU11" s="24">
        <f>('Intermediate calculations'!AP27*'Intermediate calculations'!AP28)*Constants!$H$22</f>
        <v>19729808.078013156</v>
      </c>
      <c r="AV11" s="24">
        <f>('Intermediate calculations'!AQ27*'Intermediate calculations'!AQ28)*Constants!$H$22</f>
        <v>19773310.257666815</v>
      </c>
      <c r="AW11" s="24">
        <f>('Intermediate calculations'!AR27*'Intermediate calculations'!AR28)*Constants!$H$22</f>
        <v>19802103.499767277</v>
      </c>
      <c r="AX11" s="24">
        <f>('Intermediate calculations'!AS27*'Intermediate calculations'!AS28)*Constants!$H$22</f>
        <v>19833698.158773553</v>
      </c>
      <c r="AY11" s="24">
        <f>('Intermediate calculations'!AT27*'Intermediate calculations'!AT28)*Constants!$H$22</f>
        <v>19867881.991291877</v>
      </c>
      <c r="AZ11" s="24">
        <f>('Intermediate calculations'!AU27*'Intermediate calculations'!AU28)*Constants!$H$22</f>
        <v>19905025.039787918</v>
      </c>
      <c r="BA11" s="24">
        <f>('Intermediate calculations'!AV27*'Intermediate calculations'!AV28)*Constants!$H$22</f>
        <v>19943812.908300757</v>
      </c>
      <c r="BB11" s="24">
        <f>('Intermediate calculations'!AW27*'Intermediate calculations'!AW28)*Constants!$H$22</f>
        <v>19968628.337633636</v>
      </c>
      <c r="BC11" s="24">
        <f>('Intermediate calculations'!AX27*'Intermediate calculations'!AX28)*Constants!$H$22</f>
        <v>19995548.848563652</v>
      </c>
      <c r="BD11" s="24">
        <f>('Intermediate calculations'!AY27*'Intermediate calculations'!AY28)*Constants!$H$22</f>
        <v>20024166.731079645</v>
      </c>
      <c r="BE11" s="24">
        <f>('Intermediate calculations'!AZ27*'Intermediate calculations'!AZ28)*Constants!$H$22</f>
        <v>20054638.640662499</v>
      </c>
      <c r="BF11" s="24">
        <f>('Intermediate calculations'!BA27*'Intermediate calculations'!BA28)*Constants!$H$22</f>
        <v>20087107.330470581</v>
      </c>
      <c r="BG11" s="24">
        <f>('Intermediate calculations'!BB27*'Intermediate calculations'!BB28)*Constants!$H$22</f>
        <v>20106243.92218877</v>
      </c>
      <c r="BH11" s="24">
        <f>('Intermediate calculations'!BC27*'Intermediate calculations'!BC28)*Constants!$H$22</f>
        <v>20126634.397774529</v>
      </c>
      <c r="BI11" s="24">
        <f>('Intermediate calculations'!BD27*'Intermediate calculations'!BD28)*Constants!$H$22</f>
        <v>20148638.087778486</v>
      </c>
      <c r="BJ11" s="24">
        <f>('Intermediate calculations'!BE27*'Intermediate calculations'!BE28)*Constants!$H$22</f>
        <v>20172216.176146753</v>
      </c>
      <c r="BK11" s="24">
        <f>('Intermediate calculations'!BF27*'Intermediate calculations'!BF28)*Constants!$H$22</f>
        <v>20197621.807867199</v>
      </c>
      <c r="BL11" s="24">
        <f>('Intermediate calculations'!BG27*'Intermediate calculations'!BG28)*Constants!$H$22</f>
        <v>20209072.110197529</v>
      </c>
      <c r="BM11" s="24">
        <f>('Intermediate calculations'!BH27*'Intermediate calculations'!BH28)*Constants!$H$22</f>
        <v>20219010.828117702</v>
      </c>
      <c r="BN11" s="24">
        <f>('Intermediate calculations'!BI27*'Intermediate calculations'!BI28)*Constants!$H$22</f>
        <v>20229982.866633583</v>
      </c>
      <c r="BO11" s="24">
        <f>('Intermediate calculations'!BJ27*'Intermediate calculations'!BJ28)*Constants!$H$22</f>
        <v>20242526.88546627</v>
      </c>
      <c r="BP11" s="24">
        <f>('Intermediate calculations'!BK27*'Intermediate calculations'!BK28)*Constants!$H$22</f>
        <v>20256063.336397491</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3"/>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('Intermediate calculations'!Y27*'Intermediate calculations'!Y28)*(1-Constants!$H$22)</f>
        <v>2841467.9934363523</v>
      </c>
      <c r="AE12" s="24">
        <f>('Intermediate calculations'!Z27*'Intermediate calculations'!Z28)*(1-Constants!$H$22)</f>
        <v>2843001.4795450778</v>
      </c>
      <c r="AF12" s="24">
        <f>('Intermediate calculations'!AA27*'Intermediate calculations'!AA28)*(1-Constants!$H$22)</f>
        <v>2846526.8333642413</v>
      </c>
      <c r="AG12" s="24">
        <f>('Intermediate calculations'!AB27*'Intermediate calculations'!AB28)*(1-Constants!$H$22)</f>
        <v>2851760.5495452886</v>
      </c>
      <c r="AH12" s="24">
        <f>('Intermediate calculations'!AC27*'Intermediate calculations'!AC28)*(1-Constants!$H$22)</f>
        <v>2858824.6400362835</v>
      </c>
      <c r="AI12" s="24">
        <f>('Intermediate calculations'!AD27*'Intermediate calculations'!AD28)*(1-Constants!$H$22)</f>
        <v>2867861.0737127396</v>
      </c>
      <c r="AJ12" s="24">
        <f>('Intermediate calculations'!AE27*'Intermediate calculations'!AE28)*(1-Constants!$H$22)</f>
        <v>2877818.283567714</v>
      </c>
      <c r="AK12" s="24">
        <f>('Intermediate calculations'!AF27*'Intermediate calculations'!AF28)*(1-Constants!$H$22)</f>
        <v>2888541.6184452334</v>
      </c>
      <c r="AL12" s="24">
        <f>('Intermediate calculations'!AG27*'Intermediate calculations'!AG28)*(1-Constants!$H$22)</f>
        <v>2899165.6683199373</v>
      </c>
      <c r="AM12" s="24">
        <f>('Intermediate calculations'!AH27*'Intermediate calculations'!AH28)*(1-Constants!$H$22)</f>
        <v>2903513.5035192408</v>
      </c>
      <c r="AN12" s="24">
        <f>('Intermediate calculations'!AI27*'Intermediate calculations'!AI28)*(1-Constants!$H$22)</f>
        <v>2908450.6053779768</v>
      </c>
      <c r="AO12" s="24">
        <f>('Intermediate calculations'!AJ27*'Intermediate calculations'!AJ28)*(1-Constants!$H$22)</f>
        <v>2914034.1182336286</v>
      </c>
      <c r="AP12" s="24">
        <f>('Intermediate calculations'!AK27*'Intermediate calculations'!AK28)*(1-Constants!$H$22)</f>
        <v>2920304.5442550741</v>
      </c>
      <c r="AQ12" s="24">
        <f>('Intermediate calculations'!AL27*'Intermediate calculations'!AL28)*(1-Constants!$H$22)</f>
        <v>2927350.5329283057</v>
      </c>
      <c r="AR12" s="24">
        <f>('Intermediate calculations'!AM27*'Intermediate calculations'!AM28)*(1-Constants!$H$22)</f>
        <v>2931780.7436908716</v>
      </c>
      <c r="AS12" s="24">
        <f>('Intermediate calculations'!AN27*'Intermediate calculations'!AN28)*(1-Constants!$H$22)</f>
        <v>2936769.3865448916</v>
      </c>
      <c r="AT12" s="24">
        <f>('Intermediate calculations'!AO27*'Intermediate calculations'!AO28)*(1-Constants!$H$22)</f>
        <v>2942177.6206996883</v>
      </c>
      <c r="AU12" s="24">
        <f>('Intermediate calculations'!AP27*'Intermediate calculations'!AP28)*(1-Constants!$H$22)</f>
        <v>2948132.2415421959</v>
      </c>
      <c r="AV12" s="24">
        <f>('Intermediate calculations'!AQ27*'Intermediate calculations'!AQ28)*(1-Constants!$H$22)</f>
        <v>2954632.5672375704</v>
      </c>
      <c r="AW12" s="24">
        <f>('Intermediate calculations'!AR27*'Intermediate calculations'!AR28)*(1-Constants!$H$22)</f>
        <v>2958935.0057123522</v>
      </c>
      <c r="AX12" s="24">
        <f>('Intermediate calculations'!AS27*'Intermediate calculations'!AS28)*(1-Constants!$H$22)</f>
        <v>2963656.0467132893</v>
      </c>
      <c r="AY12" s="24">
        <f>('Intermediate calculations'!AT27*'Intermediate calculations'!AT28)*(1-Constants!$H$22)</f>
        <v>2968763.9757102807</v>
      </c>
      <c r="AZ12" s="24">
        <f>('Intermediate calculations'!AU27*'Intermediate calculations'!AU28)*(1-Constants!$H$22)</f>
        <v>2974314.0864050915</v>
      </c>
      <c r="BA12" s="24">
        <f>('Intermediate calculations'!AV27*'Intermediate calculations'!AV28)*(1-Constants!$H$22)</f>
        <v>2980109.9748035618</v>
      </c>
      <c r="BB12" s="24">
        <f>('Intermediate calculations'!AW27*'Intermediate calculations'!AW28)*(1-Constants!$H$22)</f>
        <v>2983818.0274624974</v>
      </c>
      <c r="BC12" s="24">
        <f>('Intermediate calculations'!AX27*'Intermediate calculations'!AX28)*(1-Constants!$H$22)</f>
        <v>2987840.6325439946</v>
      </c>
      <c r="BD12" s="24">
        <f>('Intermediate calculations'!AY27*'Intermediate calculations'!AY28)*(1-Constants!$H$22)</f>
        <v>2992116.8678624756</v>
      </c>
      <c r="BE12" s="24">
        <f>('Intermediate calculations'!AZ27*'Intermediate calculations'!AZ28)*(1-Constants!$H$22)</f>
        <v>2996670.1417081896</v>
      </c>
      <c r="BF12" s="24">
        <f>('Intermediate calculations'!BA27*'Intermediate calculations'!BA28)*(1-Constants!$H$22)</f>
        <v>3001521.7850128454</v>
      </c>
      <c r="BG12" s="24">
        <f>('Intermediate calculations'!BB27*'Intermediate calculations'!BB28)*(1-Constants!$H$22)</f>
        <v>3004381.2757293563</v>
      </c>
      <c r="BH12" s="24">
        <f>('Intermediate calculations'!BC27*'Intermediate calculations'!BC28)*(1-Constants!$H$22)</f>
        <v>3007428.1284030904</v>
      </c>
      <c r="BI12" s="24">
        <f>('Intermediate calculations'!BD27*'Intermediate calculations'!BD28)*(1-Constants!$H$22)</f>
        <v>3010716.0361048314</v>
      </c>
      <c r="BJ12" s="24">
        <f>('Intermediate calculations'!BE27*'Intermediate calculations'!BE28)*(1-Constants!$H$22)</f>
        <v>3014239.1987345726</v>
      </c>
      <c r="BK12" s="24">
        <f>('Intermediate calculations'!BF27*'Intermediate calculations'!BF28)*(1-Constants!$H$22)</f>
        <v>3018035.4425548688</v>
      </c>
      <c r="BL12" s="24">
        <f>('Intermediate calculations'!BG27*'Intermediate calculations'!BG28)*(1-Constants!$H$22)</f>
        <v>3019746.4072708949</v>
      </c>
      <c r="BM12" s="24">
        <f>('Intermediate calculations'!BH27*'Intermediate calculations'!BH28)*(1-Constants!$H$22)</f>
        <v>3021231.5030520707</v>
      </c>
      <c r="BN12" s="24">
        <f>('Intermediate calculations'!BI27*'Intermediate calculations'!BI28)*(1-Constants!$H$22)</f>
        <v>3022871.0030601909</v>
      </c>
      <c r="BO12" s="24">
        <f>('Intermediate calculations'!BJ27*'Intermediate calculations'!BJ28)*(1-Constants!$H$22)</f>
        <v>3024745.3966788682</v>
      </c>
      <c r="BP12" s="24">
        <f>('Intermediate calculations'!BK27*'Intermediate calculations'!BK28)*(1-Constants!$H$22)</f>
        <v>3026768.0847490504</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3"/>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'Intermediate calculations'!Y22*'Intermediate calculations'!Y25*Constants!$H$23</f>
        <v>2067614.642656798</v>
      </c>
      <c r="AE13" s="24">
        <f>'Intermediate calculations'!Z22*'Intermediate calculations'!Z25*Constants!$H$23</f>
        <v>2072988.7168994576</v>
      </c>
      <c r="AF13" s="24">
        <f>'Intermediate calculations'!AA22*'Intermediate calculations'!AA25*Constants!$H$23</f>
        <v>2080235.7608107477</v>
      </c>
      <c r="AG13" s="24">
        <f>'Intermediate calculations'!AB22*'Intermediate calculations'!AB25*Constants!$H$23</f>
        <v>2089062.4763060827</v>
      </c>
      <c r="AH13" s="24">
        <f>'Intermediate calculations'!AC22*'Intermediate calculations'!AC25*Constants!$H$23</f>
        <v>2099634.7522200332</v>
      </c>
      <c r="AI13" s="24">
        <f>'Intermediate calculations'!AD22*'Intermediate calculations'!AD25*Constants!$H$23</f>
        <v>2112133.6230614381</v>
      </c>
      <c r="AJ13" s="24">
        <f>'Intermediate calculations'!AE22*'Intermediate calculations'!AE25*Constants!$H$23</f>
        <v>2125379.9594243024</v>
      </c>
      <c r="AK13" s="24">
        <f>'Intermediate calculations'!AF22*'Intermediate calculations'!AF25*Constants!$H$23</f>
        <v>2139218.7685610452</v>
      </c>
      <c r="AL13" s="24">
        <f>'Intermediate calculations'!AG22*'Intermediate calculations'!AG25*Constants!$H$23</f>
        <v>2152691.6803786336</v>
      </c>
      <c r="AM13" s="24">
        <f>'Intermediate calculations'!AH22*'Intermediate calculations'!AH25*Constants!$H$23</f>
        <v>2158871.1518625161</v>
      </c>
      <c r="AN13" s="24">
        <f>'Intermediate calculations'!AI22*'Intermediate calculations'!AI25*Constants!$H$23</f>
        <v>2165535.0758280959</v>
      </c>
      <c r="AO13" s="24">
        <f>'Intermediate calculations'!AJ22*'Intermediate calculations'!AJ25*Constants!$H$23</f>
        <v>2172757.6865047915</v>
      </c>
      <c r="AP13" s="24">
        <f>'Intermediate calculations'!AK22*'Intermediate calculations'!AK25*Constants!$H$23</f>
        <v>2180592.4512838051</v>
      </c>
      <c r="AQ13" s="24">
        <f>'Intermediate calculations'!AL22*'Intermediate calculations'!AL25*Constants!$H$23</f>
        <v>2189144.7698348155</v>
      </c>
      <c r="AR13" s="24">
        <f>'Intermediate calculations'!AM22*'Intermediate calculations'!AM25*Constants!$H$23</f>
        <v>2194649.3351718113</v>
      </c>
      <c r="AS13" s="24">
        <f>'Intermediate calculations'!AN22*'Intermediate calculations'!AN25*Constants!$H$23</f>
        <v>2200656.3872116311</v>
      </c>
      <c r="AT13" s="24">
        <f>'Intermediate calculations'!AO22*'Intermediate calculations'!AO25*Constants!$H$23</f>
        <v>2207016.5011669281</v>
      </c>
      <c r="AU13" s="24">
        <f>'Intermediate calculations'!AP22*'Intermediate calculations'!AP25*Constants!$H$23</f>
        <v>2213874.2752633416</v>
      </c>
      <c r="AV13" s="24">
        <f>'Intermediate calculations'!AQ22*'Intermediate calculations'!AQ25*Constants!$H$23</f>
        <v>2221232.0213697874</v>
      </c>
      <c r="AW13" s="24">
        <f>'Intermediate calculations'!AR22*'Intermediate calculations'!AR25*Constants!$H$23</f>
        <v>2226074.9830982564</v>
      </c>
      <c r="AX13" s="24">
        <f>'Intermediate calculations'!AS22*'Intermediate calculations'!AS25*Constants!$H$23</f>
        <v>2231295.4056526404</v>
      </c>
      <c r="AY13" s="24">
        <f>'Intermediate calculations'!AT22*'Intermediate calculations'!AT25*Constants!$H$23</f>
        <v>2236860.7897538398</v>
      </c>
      <c r="AZ13" s="24">
        <f>'Intermediate calculations'!AU22*'Intermediate calculations'!AU25*Constants!$H$23</f>
        <v>2242833.6889893389</v>
      </c>
      <c r="BA13" s="24">
        <f>'Intermediate calculations'!AV22*'Intermediate calculations'!AV25*Constants!$H$23</f>
        <v>2249001.2656106222</v>
      </c>
      <c r="BB13" s="24">
        <f>'Intermediate calculations'!AW22*'Intermediate calculations'!AW25*Constants!$H$23</f>
        <v>2252824.6348691038</v>
      </c>
      <c r="BC13" s="24">
        <f>'Intermediate calculations'!AX22*'Intermediate calculations'!AX25*Constants!$H$23</f>
        <v>2256931.5289434274</v>
      </c>
      <c r="BD13" s="24">
        <f>'Intermediate calculations'!AY22*'Intermediate calculations'!AY25*Constants!$H$23</f>
        <v>2261257.1118704318</v>
      </c>
      <c r="BE13" s="24">
        <f>'Intermediate calculations'!AZ22*'Intermediate calculations'!AZ25*Constants!$H$23</f>
        <v>2265828.172219194</v>
      </c>
      <c r="BF13" s="24">
        <f>'Intermediate calculations'!BA22*'Intermediate calculations'!BA25*Constants!$H$23</f>
        <v>2270668.8953284565</v>
      </c>
      <c r="BG13" s="24">
        <f>'Intermediate calculations'!BB22*'Intermediate calculations'!BB25*Constants!$H$23</f>
        <v>2273308.3380504865</v>
      </c>
      <c r="BH13" s="24">
        <f>'Intermediate calculations'!BC22*'Intermediate calculations'!BC25*Constants!$H$23</f>
        <v>2276108.0357723883</v>
      </c>
      <c r="BI13" s="24">
        <f>'Intermediate calculations'!BD22*'Intermediate calculations'!BD25*Constants!$H$23</f>
        <v>2279126.7508470975</v>
      </c>
      <c r="BJ13" s="24">
        <f>'Intermediate calculations'!BE22*'Intermediate calculations'!BE25*Constants!$H$23</f>
        <v>2282358.8672227631</v>
      </c>
      <c r="BK13" s="24">
        <f>'Intermediate calculations'!BF22*'Intermediate calculations'!BF25*Constants!$H$23</f>
        <v>2285845.4727006</v>
      </c>
      <c r="BL13" s="24">
        <f>'Intermediate calculations'!BG22*'Intermediate calculations'!BG25*Constants!$H$23</f>
        <v>2287063.3452138416</v>
      </c>
      <c r="BM13" s="24">
        <f>'Intermediate calculations'!BH22*'Intermediate calculations'!BH25*Constants!$H$23</f>
        <v>2288011.3846140928</v>
      </c>
      <c r="BN13" s="24">
        <f>'Intermediate calculations'!BI22*'Intermediate calculations'!BI25*Constants!$H$23</f>
        <v>2289097.7022010405</v>
      </c>
      <c r="BO13" s="24">
        <f>'Intermediate calculations'!BJ22*'Intermediate calculations'!BJ25*Constants!$H$23</f>
        <v>2290408.4783192039</v>
      </c>
      <c r="BP13" s="24">
        <f>'Intermediate calculations'!BK22*'Intermediate calculations'!BK25*Constants!$H$23</f>
        <v>2291851.6496943706</v>
      </c>
    </row>
    <row r="14" spans="1:72" s="23" customFormat="1" x14ac:dyDescent="0.25">
      <c r="A14" s="23" t="str">
        <f t="shared" si="1"/>
        <v>3A Livestock</v>
      </c>
      <c r="C14" s="23" t="str">
        <f>C13</f>
        <v>3A1d Goats</v>
      </c>
      <c r="D14" t="str">
        <f>$D$12</f>
        <v>Subsistence</v>
      </c>
      <c r="E14" s="23" t="str">
        <f t="shared" si="2"/>
        <v>Population</v>
      </c>
      <c r="F14" s="23" t="str">
        <f t="shared" si="3"/>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'Intermediate calculations'!Y22*'Intermediate calculations'!Y25*(1-Constants!$H$23)</f>
        <v>4013604.8945690775</v>
      </c>
      <c r="AE14" s="24">
        <f>'Intermediate calculations'!Z22*'Intermediate calculations'!Z25*(1-Constants!$H$23)</f>
        <v>4024036.9210401229</v>
      </c>
      <c r="AF14" s="24">
        <f>'Intermediate calculations'!AA22*'Intermediate calculations'!AA25*(1-Constants!$H$23)</f>
        <v>4038104.7121620388</v>
      </c>
      <c r="AG14" s="24">
        <f>'Intermediate calculations'!AB22*'Intermediate calculations'!AB25*(1-Constants!$H$23)</f>
        <v>4055238.9245941597</v>
      </c>
      <c r="AH14" s="24">
        <f>'Intermediate calculations'!AC22*'Intermediate calculations'!AC25*(1-Constants!$H$23)</f>
        <v>4075761.5778388875</v>
      </c>
      <c r="AI14" s="24">
        <f>'Intermediate calculations'!AD22*'Intermediate calculations'!AD25*(1-Constants!$H$23)</f>
        <v>4100024.0918251434</v>
      </c>
      <c r="AJ14" s="24">
        <f>'Intermediate calculations'!AE22*'Intermediate calculations'!AE25*(1-Constants!$H$23)</f>
        <v>4125737.5682942332</v>
      </c>
      <c r="AK14" s="24">
        <f>'Intermediate calculations'!AF22*'Intermediate calculations'!AF25*(1-Constants!$H$23)</f>
        <v>4152601.1389714396</v>
      </c>
      <c r="AL14" s="24">
        <f>'Intermediate calculations'!AG22*'Intermediate calculations'!AG25*(1-Constants!$H$23)</f>
        <v>4178754.4383820524</v>
      </c>
      <c r="AM14" s="24">
        <f>'Intermediate calculations'!AH22*'Intermediate calculations'!AH25*(1-Constants!$H$23)</f>
        <v>4190749.8830272364</v>
      </c>
      <c r="AN14" s="24">
        <f>'Intermediate calculations'!AI22*'Intermediate calculations'!AI25*(1-Constants!$H$23)</f>
        <v>4203685.735431009</v>
      </c>
      <c r="AO14" s="24">
        <f>'Intermediate calculations'!AJ22*'Intermediate calculations'!AJ25*(1-Constants!$H$23)</f>
        <v>4217706.0973328296</v>
      </c>
      <c r="AP14" s="24">
        <f>'Intermediate calculations'!AK22*'Intermediate calculations'!AK25*(1-Constants!$H$23)</f>
        <v>4232914.7583744442</v>
      </c>
      <c r="AQ14" s="24">
        <f>'Intermediate calculations'!AL22*'Intermediate calculations'!AL25*(1-Constants!$H$23)</f>
        <v>4249516.3179146415</v>
      </c>
      <c r="AR14" s="24">
        <f>'Intermediate calculations'!AM22*'Intermediate calculations'!AM25*(1-Constants!$H$23)</f>
        <v>4260201.6506276326</v>
      </c>
      <c r="AS14" s="24">
        <f>'Intermediate calculations'!AN22*'Intermediate calculations'!AN25*(1-Constants!$H$23)</f>
        <v>4271862.3987049302</v>
      </c>
      <c r="AT14" s="24">
        <f>'Intermediate calculations'!AO22*'Intermediate calculations'!AO25*(1-Constants!$H$23)</f>
        <v>4284208.5022652121</v>
      </c>
      <c r="AU14" s="24">
        <f>'Intermediate calculations'!AP22*'Intermediate calculations'!AP25*(1-Constants!$H$23)</f>
        <v>4297520.6519817803</v>
      </c>
      <c r="AV14" s="24">
        <f>'Intermediate calculations'!AQ22*'Intermediate calculations'!AQ25*(1-Constants!$H$23)</f>
        <v>4311803.335600174</v>
      </c>
      <c r="AW14" s="24">
        <f>'Intermediate calculations'!AR22*'Intermediate calculations'!AR25*(1-Constants!$H$23)</f>
        <v>4321204.3789554378</v>
      </c>
      <c r="AX14" s="24">
        <f>'Intermediate calculations'!AS22*'Intermediate calculations'!AS25*(1-Constants!$H$23)</f>
        <v>4331338.1403845362</v>
      </c>
      <c r="AY14" s="24">
        <f>'Intermediate calculations'!AT22*'Intermediate calculations'!AT25*(1-Constants!$H$23)</f>
        <v>4342141.5330515699</v>
      </c>
      <c r="AZ14" s="24">
        <f>'Intermediate calculations'!AU22*'Intermediate calculations'!AU25*(1-Constants!$H$23)</f>
        <v>4353735.9845087156</v>
      </c>
      <c r="BA14" s="24">
        <f>'Intermediate calculations'!AV22*'Intermediate calculations'!AV25*(1-Constants!$H$23)</f>
        <v>4365708.3391265012</v>
      </c>
      <c r="BB14" s="24">
        <f>'Intermediate calculations'!AW22*'Intermediate calculations'!AW25*(1-Constants!$H$23)</f>
        <v>4373130.1735694353</v>
      </c>
      <c r="BC14" s="24">
        <f>'Intermediate calculations'!AX22*'Intermediate calculations'!AX25*(1-Constants!$H$23)</f>
        <v>4381102.3797137104</v>
      </c>
      <c r="BD14" s="24">
        <f>'Intermediate calculations'!AY22*'Intermediate calculations'!AY25*(1-Constants!$H$23)</f>
        <v>4389499.0995131908</v>
      </c>
      <c r="BE14" s="24">
        <f>'Intermediate calculations'!AZ22*'Intermediate calculations'!AZ25*(1-Constants!$H$23)</f>
        <v>4398372.3343078457</v>
      </c>
      <c r="BF14" s="24">
        <f>'Intermediate calculations'!BA22*'Intermediate calculations'!BA25*(1-Constants!$H$23)</f>
        <v>4407769.0321081793</v>
      </c>
      <c r="BG14" s="24">
        <f>'Intermediate calculations'!BB22*'Intermediate calculations'!BB25*(1-Constants!$H$23)</f>
        <v>4412892.65621565</v>
      </c>
      <c r="BH14" s="24">
        <f>'Intermediate calculations'!BC22*'Intermediate calculations'!BC25*(1-Constants!$H$23)</f>
        <v>4418327.3635581648</v>
      </c>
      <c r="BI14" s="24">
        <f>'Intermediate calculations'!BD22*'Intermediate calculations'!BD25*(1-Constants!$H$23)</f>
        <v>4424187.2222326007</v>
      </c>
      <c r="BJ14" s="24">
        <f>'Intermediate calculations'!BE22*'Intermediate calculations'!BE25*(1-Constants!$H$23)</f>
        <v>4430461.3304912457</v>
      </c>
      <c r="BK14" s="24">
        <f>'Intermediate calculations'!BF22*'Intermediate calculations'!BF25*(1-Constants!$H$23)</f>
        <v>4437229.4470070461</v>
      </c>
      <c r="BL14" s="24">
        <f>'Intermediate calculations'!BG22*'Intermediate calculations'!BG25*(1-Constants!$H$23)</f>
        <v>4439593.5524739269</v>
      </c>
      <c r="BM14" s="24">
        <f>'Intermediate calculations'!BH22*'Intermediate calculations'!BH25*(1-Constants!$H$23)</f>
        <v>4441433.8642508844</v>
      </c>
      <c r="BN14" s="24">
        <f>'Intermediate calculations'!BI22*'Intermediate calculations'!BI25*(1-Constants!$H$23)</f>
        <v>4443542.5983902542</v>
      </c>
      <c r="BO14" s="24">
        <f>'Intermediate calculations'!BJ22*'Intermediate calculations'!BJ25*(1-Constants!$H$23)</f>
        <v>4446087.0461490415</v>
      </c>
      <c r="BP14" s="24">
        <f>'Intermediate calculations'!BK22*'Intermediate calculations'!BK25*(1-Constants!$H$23)</f>
        <v>4448888.4964655424</v>
      </c>
    </row>
    <row r="15" spans="1:72" s="23" customFormat="1" x14ac:dyDescent="0.25">
      <c r="A15" s="23" t="str">
        <f t="shared" si="1"/>
        <v>3A Livestock</v>
      </c>
      <c r="C15" s="23" t="str">
        <f>'IPCC Categories'!$C$9</f>
        <v>3A1f Horses</v>
      </c>
      <c r="D15" t="str">
        <f>'IPCC Categories'!$F$42</f>
        <v>Horses</v>
      </c>
      <c r="E15" s="23" t="str">
        <f t="shared" si="2"/>
        <v>Population</v>
      </c>
      <c r="F15" s="23" t="str">
        <f t="shared" si="3"/>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309028.21482486243</v>
      </c>
      <c r="AE15" s="24">
        <f>((Data!$AJ$61*((Drivers!AA5*1000000)/Drivers!AA4))+Data!$AK$61)</f>
        <v>311109.49077674747</v>
      </c>
      <c r="AF15" s="24">
        <f>((Data!$AJ$61*((Drivers!AB5*1000000)/Drivers!AB4))+Data!$AK$61)</f>
        <v>312368.726893201</v>
      </c>
      <c r="AG15" s="24">
        <f>((Data!$AJ$61*((Drivers!AC5*1000000)/Drivers!AC4))+Data!$AK$61)</f>
        <v>310711.90538947925</v>
      </c>
      <c r="AH15" s="24">
        <f>((Data!$AJ$61*((Drivers!AD5*1000000)/Drivers!AD4))+Data!$AK$61)</f>
        <v>309018.75882889726</v>
      </c>
      <c r="AI15" s="24">
        <f>((Data!$AJ$61*((Drivers!AE5*1000000)/Drivers!AE4))+Data!$AK$61)</f>
        <v>310067.87140764558</v>
      </c>
      <c r="AJ15" s="24">
        <f>((Data!$AJ$61*((Drivers!AF5*1000000)/Drivers!AF4))+Data!$AK$61)</f>
        <v>310203.40095841023</v>
      </c>
      <c r="AK15" s="24">
        <f>((Data!$AJ$61*((Drivers!AG5*1000000)/Drivers!AG4))+Data!$AK$61)</f>
        <v>307310.42974195653</v>
      </c>
      <c r="AL15" s="24">
        <f>((Data!$AJ$61*((Drivers!AH5*1000000)/Drivers!AH4))+Data!$AK$61)</f>
        <v>291417.48625663668</v>
      </c>
      <c r="AM15" s="24">
        <f>((Data!$AJ$61*((Drivers!AI5*1000000)/Drivers!AI4))+Data!$AK$61)</f>
        <v>296267.12707988336</v>
      </c>
      <c r="AN15" s="24">
        <f>((Data!$AJ$61*((Drivers!AJ5*1000000)/Drivers!AJ4))+Data!$AK$61)</f>
        <v>299454.18407005235</v>
      </c>
      <c r="AO15" s="24">
        <f>((Data!$AJ$61*((Drivers!AK5*1000000)/Drivers!AK4))+Data!$AK$61)</f>
        <v>302235.01720775856</v>
      </c>
      <c r="AP15" s="24">
        <f>((Data!$AJ$61*((Drivers!AL5*1000000)/Drivers!AL4))+Data!$AK$61)</f>
        <v>305572.60015256866</v>
      </c>
      <c r="AQ15" s="24">
        <f>((Data!$AJ$61*((Drivers!AM5*1000000)/Drivers!AM4))+Data!$AK$61)</f>
        <v>310935.7271768942</v>
      </c>
      <c r="AR15" s="24">
        <f>((Data!$AJ$61*((Drivers!AN5*1000000)/Drivers!AN4))+Data!$AK$61)</f>
        <v>317067.33587666636</v>
      </c>
      <c r="AS15" s="24">
        <f>((Data!$AJ$61*((Drivers!AO5*1000000)/Drivers!AO4))+Data!$AK$61)</f>
        <v>323693.44719337235</v>
      </c>
      <c r="AT15" s="24">
        <f>((Data!$AJ$61*((Drivers!AP5*1000000)/Drivers!AP4))+Data!$AK$61)</f>
        <v>329450.58294558077</v>
      </c>
      <c r="AU15" s="24">
        <f>((Data!$AJ$61*((Drivers!AQ5*1000000)/Drivers!AQ4))+Data!$AK$61)</f>
        <v>336124.42724780034</v>
      </c>
      <c r="AV15" s="24">
        <f>((Data!$AJ$61*((Drivers!AR5*1000000)/Drivers!AR4))+Data!$AK$61)</f>
        <v>343932.94455007225</v>
      </c>
      <c r="AW15" s="24">
        <f>((Data!$AJ$61*((Drivers!AS5*1000000)/Drivers!AS4))+Data!$AK$61)</f>
        <v>351780.39813392184</v>
      </c>
      <c r="AX15" s="24">
        <f>((Data!$AJ$61*((Drivers!AT5*1000000)/Drivers!AT4))+Data!$AK$61)</f>
        <v>359970.25786443474</v>
      </c>
      <c r="AY15" s="24">
        <f>((Data!$AJ$61*((Drivers!AU5*1000000)/Drivers!AU4))+Data!$AK$61)</f>
        <v>368314.94094541977</v>
      </c>
      <c r="AZ15" s="24">
        <f>((Data!$AJ$61*((Drivers!AV5*1000000)/Drivers!AV4))+Data!$AK$61)</f>
        <v>377624.15751612128</v>
      </c>
      <c r="BA15" s="24">
        <f>((Data!$AJ$61*((Drivers!AW5*1000000)/Drivers!AW4))+Data!$AK$61)</f>
        <v>385767.15791927977</v>
      </c>
      <c r="BB15" s="24">
        <f>((Data!$AJ$61*((Drivers!AX5*1000000)/Drivers!AX4))+Data!$AK$61)</f>
        <v>394715.64380230469</v>
      </c>
      <c r="BC15" s="24">
        <f>((Data!$AJ$61*((Drivers!AY5*1000000)/Drivers!AY4))+Data!$AK$61)</f>
        <v>403812.62364224845</v>
      </c>
      <c r="BD15" s="24">
        <f>((Data!$AJ$61*((Drivers!AZ5*1000000)/Drivers!AZ4))+Data!$AK$61)</f>
        <v>412484.39145008556</v>
      </c>
      <c r="BE15" s="24">
        <f>((Data!$AJ$61*((Drivers!BA5*1000000)/Drivers!BA4))+Data!$AK$61)</f>
        <v>421117.89382583258</v>
      </c>
      <c r="BF15" s="24">
        <f>((Data!$AJ$61*((Drivers!BB5*1000000)/Drivers!BB4))+Data!$AK$61)</f>
        <v>430062.37784765434</v>
      </c>
      <c r="BG15" s="24">
        <f>((Data!$AJ$61*((Drivers!BC5*1000000)/Drivers!BC4))+Data!$AK$61)</f>
        <v>439795.81987288076</v>
      </c>
      <c r="BH15" s="24">
        <f>((Data!$AJ$61*((Drivers!BD5*1000000)/Drivers!BD4))+Data!$AK$61)</f>
        <v>448949.70744499733</v>
      </c>
      <c r="BI15" s="24">
        <f>((Data!$AJ$61*((Drivers!BE5*1000000)/Drivers!BE4))+Data!$AK$61)</f>
        <v>458224.29357395851</v>
      </c>
      <c r="BJ15" s="24">
        <f>((Data!$AJ$61*((Drivers!BF5*1000000)/Drivers!BF4))+Data!$AK$61)</f>
        <v>467636.69872761058</v>
      </c>
      <c r="BK15" s="24">
        <f>((Data!$AJ$61*((Drivers!BG5*1000000)/Drivers!BG4))+Data!$AK$61)</f>
        <v>477687.79124097835</v>
      </c>
      <c r="BL15" s="24">
        <f>((Data!$AJ$61*((Drivers!BH5*1000000)/Drivers!BH4))+Data!$AK$61)</f>
        <v>488374.84363116487</v>
      </c>
      <c r="BM15" s="24">
        <f>((Data!$AJ$61*((Drivers!BI5*1000000)/Drivers!BI4))+Data!$AK$61)</f>
        <v>494397.26415126788</v>
      </c>
      <c r="BN15" s="24">
        <f>((Data!$AJ$61*((Drivers!BJ5*1000000)/Drivers!BJ4))+Data!$AK$61)</f>
        <v>500093.47763044975</v>
      </c>
      <c r="BO15" s="24">
        <f>((Data!$AJ$61*((Drivers!BK5*1000000)/Drivers!BK4))+Data!$AK$61)</f>
        <v>506426.13931096264</v>
      </c>
      <c r="BP15" s="24">
        <f>((Data!$AJ$61*((Drivers!BL5*1000000)/Drivers!BL4))+Data!$AK$61)</f>
        <v>512488.59166730172</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3"/>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AI16" si="4">AC16</f>
        <v>167000</v>
      </c>
      <c r="AE16" s="24">
        <f t="shared" si="4"/>
        <v>167000</v>
      </c>
      <c r="AF16" s="24">
        <f t="shared" si="4"/>
        <v>167000</v>
      </c>
      <c r="AG16" s="24">
        <f t="shared" si="4"/>
        <v>167000</v>
      </c>
      <c r="AH16" s="24">
        <f t="shared" si="4"/>
        <v>167000</v>
      </c>
      <c r="AI16" s="24">
        <f t="shared" si="4"/>
        <v>167000</v>
      </c>
      <c r="AJ16" s="24">
        <f>AI16</f>
        <v>167000</v>
      </c>
      <c r="AK16" s="24">
        <f t="shared" ref="AK16:BP16" si="5">AJ16</f>
        <v>167000</v>
      </c>
      <c r="AL16" s="24">
        <f t="shared" si="5"/>
        <v>167000</v>
      </c>
      <c r="AM16" s="24">
        <f t="shared" si="5"/>
        <v>167000</v>
      </c>
      <c r="AN16" s="24">
        <f t="shared" si="5"/>
        <v>167000</v>
      </c>
      <c r="AO16" s="24">
        <f t="shared" si="5"/>
        <v>167000</v>
      </c>
      <c r="AP16" s="24">
        <f t="shared" si="5"/>
        <v>167000</v>
      </c>
      <c r="AQ16" s="24">
        <f t="shared" si="5"/>
        <v>167000</v>
      </c>
      <c r="AR16" s="24">
        <f t="shared" si="5"/>
        <v>167000</v>
      </c>
      <c r="AS16" s="24">
        <f t="shared" si="5"/>
        <v>167000</v>
      </c>
      <c r="AT16" s="24">
        <f t="shared" si="5"/>
        <v>167000</v>
      </c>
      <c r="AU16" s="24">
        <f t="shared" si="5"/>
        <v>167000</v>
      </c>
      <c r="AV16" s="24">
        <f t="shared" si="5"/>
        <v>167000</v>
      </c>
      <c r="AW16" s="24">
        <f t="shared" si="5"/>
        <v>167000</v>
      </c>
      <c r="AX16" s="24">
        <f t="shared" si="5"/>
        <v>167000</v>
      </c>
      <c r="AY16" s="24">
        <f t="shared" si="5"/>
        <v>167000</v>
      </c>
      <c r="AZ16" s="24">
        <f t="shared" si="5"/>
        <v>167000</v>
      </c>
      <c r="BA16" s="24">
        <f t="shared" si="5"/>
        <v>167000</v>
      </c>
      <c r="BB16" s="24">
        <f t="shared" si="5"/>
        <v>167000</v>
      </c>
      <c r="BC16" s="24">
        <f t="shared" si="5"/>
        <v>167000</v>
      </c>
      <c r="BD16" s="24">
        <f t="shared" si="5"/>
        <v>167000</v>
      </c>
      <c r="BE16" s="24">
        <f t="shared" si="5"/>
        <v>167000</v>
      </c>
      <c r="BF16" s="24">
        <f t="shared" si="5"/>
        <v>167000</v>
      </c>
      <c r="BG16" s="24">
        <f t="shared" si="5"/>
        <v>167000</v>
      </c>
      <c r="BH16" s="24">
        <f t="shared" si="5"/>
        <v>167000</v>
      </c>
      <c r="BI16" s="24">
        <f t="shared" si="5"/>
        <v>167000</v>
      </c>
      <c r="BJ16" s="24">
        <f t="shared" si="5"/>
        <v>167000</v>
      </c>
      <c r="BK16" s="24">
        <f t="shared" si="5"/>
        <v>167000</v>
      </c>
      <c r="BL16" s="24">
        <f t="shared" si="5"/>
        <v>167000</v>
      </c>
      <c r="BM16" s="24">
        <f t="shared" si="5"/>
        <v>167000</v>
      </c>
      <c r="BN16" s="24">
        <f t="shared" si="5"/>
        <v>167000</v>
      </c>
      <c r="BO16" s="24">
        <f t="shared" si="5"/>
        <v>167000</v>
      </c>
      <c r="BP16" s="24">
        <f t="shared" si="5"/>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3"/>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'Intermediate calculations'!Y32*'Intermediate calculations'!Y33*Constants!$H$24</f>
        <v>1662639.7620173867</v>
      </c>
      <c r="AE17" s="24">
        <f>'Intermediate calculations'!Z32*'Intermediate calculations'!Z33*Constants!$H$24</f>
        <v>1659701.2391141164</v>
      </c>
      <c r="AF17" s="24">
        <f>'Intermediate calculations'!AA32*'Intermediate calculations'!AA33*Constants!$H$24</f>
        <v>1650389.446765966</v>
      </c>
      <c r="AG17" s="24">
        <f>'Intermediate calculations'!AB32*'Intermediate calculations'!AB33*Constants!$H$24</f>
        <v>1613971.4933432096</v>
      </c>
      <c r="AH17" s="24">
        <f>'Intermediate calculations'!AC32*'Intermediate calculations'!AC33*Constants!$H$24</f>
        <v>1579532.4314629554</v>
      </c>
      <c r="AI17" s="24">
        <f>'Intermediate calculations'!AD32*'Intermediate calculations'!AD33*Constants!$H$24</f>
        <v>1573973.8935418692</v>
      </c>
      <c r="AJ17" s="24">
        <f>'Intermediate calculations'!AE32*'Intermediate calculations'!AE33*Constants!$H$24</f>
        <v>1560480.4598362304</v>
      </c>
      <c r="AK17" s="24">
        <f>'Intermediate calculations'!AF32*'Intermediate calculations'!AF33*Constants!$H$24</f>
        <v>1518921.6065929763</v>
      </c>
      <c r="AL17" s="24">
        <f>'Intermediate calculations'!AG32*'Intermediate calculations'!AG33*Constants!$H$24</f>
        <v>1354807.7952915137</v>
      </c>
      <c r="AM17" s="24">
        <f>'Intermediate calculations'!AH32*'Intermediate calculations'!AH33*Constants!$H$24</f>
        <v>1383950.5406940717</v>
      </c>
      <c r="AN17" s="24">
        <f>'Intermediate calculations'!AI32*'Intermediate calculations'!AI33*Constants!$H$24</f>
        <v>1397370.2479355219</v>
      </c>
      <c r="AO17" s="24">
        <f>'Intermediate calculations'!AJ32*'Intermediate calculations'!AJ33*Constants!$H$24</f>
        <v>1407143.9339865751</v>
      </c>
      <c r="AP17" s="24">
        <f>'Intermediate calculations'!AK32*'Intermediate calculations'!AK33*Constants!$H$24</f>
        <v>1422149.1756442031</v>
      </c>
      <c r="AQ17" s="24">
        <f>'Intermediate calculations'!AL32*'Intermediate calculations'!AL33*Constants!$H$24</f>
        <v>1455471.287126642</v>
      </c>
      <c r="AR17" s="24">
        <f>'Intermediate calculations'!AM32*'Intermediate calculations'!AM33*Constants!$H$24</f>
        <v>1492973.4671379884</v>
      </c>
      <c r="AS17" s="24">
        <f>'Intermediate calculations'!AN32*'Intermediate calculations'!AN33*Constants!$H$24</f>
        <v>1534241.3307043214</v>
      </c>
      <c r="AT17" s="24">
        <f>'Intermediate calculations'!AO32*'Intermediate calculations'!AO33*Constants!$H$24</f>
        <v>1567240.774243711</v>
      </c>
      <c r="AU17" s="24">
        <f>'Intermediate calculations'!AP32*'Intermediate calculations'!AP33*Constants!$H$24</f>
        <v>1607659.1578988556</v>
      </c>
      <c r="AV17" s="24">
        <f>'Intermediate calculations'!AQ32*'Intermediate calculations'!AQ33*Constants!$H$24</f>
        <v>1657121.9644214814</v>
      </c>
      <c r="AW17" s="24">
        <f>'Intermediate calculations'!AR32*'Intermediate calculations'!AR33*Constants!$H$24</f>
        <v>1703940.8632798954</v>
      </c>
      <c r="AX17" s="24">
        <f>'Intermediate calculations'!AS32*'Intermediate calculations'!AS33*Constants!$H$24</f>
        <v>1752669.0051408822</v>
      </c>
      <c r="AY17" s="24">
        <f>'Intermediate calculations'!AT32*'Intermediate calculations'!AT33*Constants!$H$24</f>
        <v>1801682.865650746</v>
      </c>
      <c r="AZ17" s="24">
        <f>'Intermediate calculations'!AU32*'Intermediate calculations'!AU33*Constants!$H$24</f>
        <v>1857582.0608102814</v>
      </c>
      <c r="BA17" s="24">
        <f>'Intermediate calculations'!AV32*'Intermediate calculations'!AV33*Constants!$H$24</f>
        <v>1902901.2469935985</v>
      </c>
      <c r="BB17" s="24">
        <f>'Intermediate calculations'!AW32*'Intermediate calculations'!AW33*Constants!$H$24</f>
        <v>1951462.2865246367</v>
      </c>
      <c r="BC17" s="24">
        <f>'Intermediate calculations'!AX32*'Intermediate calculations'!AX33*Constants!$H$24</f>
        <v>2000032.5008307698</v>
      </c>
      <c r="BD17" s="24">
        <f>'Intermediate calculations'!AY32*'Intermediate calculations'!AY33*Constants!$H$24</f>
        <v>2044114.5694916397</v>
      </c>
      <c r="BE17" s="24">
        <f>'Intermediate calculations'!AZ32*'Intermediate calculations'!AZ33*Constants!$H$24</f>
        <v>2086829.4035433815</v>
      </c>
      <c r="BF17" s="24">
        <f>'Intermediate calculations'!BA32*'Intermediate calculations'!BA33*Constants!$H$24</f>
        <v>2130867.7239570478</v>
      </c>
      <c r="BG17" s="24">
        <f>'Intermediate calculations'!BB32*'Intermediate calculations'!BB33*Constants!$H$24</f>
        <v>2177425.2404752914</v>
      </c>
      <c r="BH17" s="24">
        <f>'Intermediate calculations'!BC32*'Intermediate calculations'!BC33*Constants!$H$24</f>
        <v>2218358.6086947974</v>
      </c>
      <c r="BI17" s="24">
        <f>'Intermediate calculations'!BD32*'Intermediate calculations'!BD33*Constants!$H$24</f>
        <v>2258993.7289762339</v>
      </c>
      <c r="BJ17" s="24">
        <f>'Intermediate calculations'!BE32*'Intermediate calculations'!BE33*Constants!$H$24</f>
        <v>2299438.6443952997</v>
      </c>
      <c r="BK17" s="24">
        <f>'Intermediate calculations'!BF32*'Intermediate calculations'!BF33*Constants!$H$24</f>
        <v>2343264.2578999992</v>
      </c>
      <c r="BL17" s="24">
        <f>'Intermediate calculations'!BG32*'Intermediate calculations'!BG33*Constants!$H$24</f>
        <v>2387725.6561000939</v>
      </c>
      <c r="BM17" s="24">
        <f>'Intermediate calculations'!BH32*'Intermediate calculations'!BH33*Constants!$H$24</f>
        <v>2398121.3774620751</v>
      </c>
      <c r="BN17" s="24">
        <f>'Intermediate calculations'!BI32*'Intermediate calculations'!BI33*Constants!$H$24</f>
        <v>2405657.1540186224</v>
      </c>
      <c r="BO17" s="24">
        <f>'Intermediate calculations'!BJ32*'Intermediate calculations'!BJ33*Constants!$H$24</f>
        <v>2416970.0421904633</v>
      </c>
      <c r="BP17" s="24">
        <f>'Intermediate calculations'!BK32*'Intermediate calculations'!BK33*Constants!$H$24</f>
        <v>2425803.1620990899</v>
      </c>
    </row>
    <row r="18" spans="1:72" s="23" customFormat="1" x14ac:dyDescent="0.25">
      <c r="A18" s="23" t="str">
        <f t="shared" si="1"/>
        <v>3A Livestock</v>
      </c>
      <c r="C18" s="23" t="str">
        <f>C17</f>
        <v>3A1h Swine</v>
      </c>
      <c r="D18" t="str">
        <f>'IPCC Categories'!F37</f>
        <v>Subsistence</v>
      </c>
      <c r="E18" s="23" t="str">
        <f t="shared" si="2"/>
        <v>Population</v>
      </c>
      <c r="F18" s="23" t="str">
        <f t="shared" si="3"/>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'Intermediate calculations'!Y32*'Intermediate calculations'!Y33*(1-Constants!$H$24)</f>
        <v>226723.6039114618</v>
      </c>
      <c r="AE18" s="24">
        <f>'Intermediate calculations'!Z32*'Intermediate calculations'!Z33*(1-Constants!$H$24)</f>
        <v>226322.89624283405</v>
      </c>
      <c r="AF18" s="24">
        <f>'Intermediate calculations'!AA32*'Intermediate calculations'!AA33*(1-Constants!$H$24)</f>
        <v>225053.10637717717</v>
      </c>
      <c r="AG18" s="24">
        <f>'Intermediate calculations'!AB32*'Intermediate calculations'!AB33*(1-Constants!$H$24)</f>
        <v>220087.02181952857</v>
      </c>
      <c r="AH18" s="24">
        <f>'Intermediate calculations'!AC32*'Intermediate calculations'!AC33*(1-Constants!$H$24)</f>
        <v>215390.78610858481</v>
      </c>
      <c r="AI18" s="24">
        <f>'Intermediate calculations'!AD32*'Intermediate calculations'!AD33*(1-Constants!$H$24)</f>
        <v>214632.80366480033</v>
      </c>
      <c r="AJ18" s="24">
        <f>'Intermediate calculations'!AE32*'Intermediate calculations'!AE33*(1-Constants!$H$24)</f>
        <v>212792.78997766777</v>
      </c>
      <c r="AK18" s="24">
        <f>'Intermediate calculations'!AF32*'Intermediate calculations'!AF33*(1-Constants!$H$24)</f>
        <v>207125.67362631494</v>
      </c>
      <c r="AL18" s="24">
        <f>'Intermediate calculations'!AG32*'Intermediate calculations'!AG33*(1-Constants!$H$24)</f>
        <v>184746.51753975186</v>
      </c>
      <c r="AM18" s="24">
        <f>'Intermediate calculations'!AH32*'Intermediate calculations'!AH33*(1-Constants!$H$24)</f>
        <v>188720.52827646432</v>
      </c>
      <c r="AN18" s="24">
        <f>'Intermediate calculations'!AI32*'Intermediate calculations'!AI33*(1-Constants!$H$24)</f>
        <v>190550.48835484387</v>
      </c>
      <c r="AO18" s="24">
        <f>'Intermediate calculations'!AJ32*'Intermediate calculations'!AJ33*(1-Constants!$H$24)</f>
        <v>191883.26372544206</v>
      </c>
      <c r="AP18" s="24">
        <f>'Intermediate calculations'!AK32*'Intermediate calculations'!AK33*(1-Constants!$H$24)</f>
        <v>193929.43304239132</v>
      </c>
      <c r="AQ18" s="24">
        <f>'Intermediate calculations'!AL32*'Intermediate calculations'!AL33*(1-Constants!$H$24)</f>
        <v>198473.35733545118</v>
      </c>
      <c r="AR18" s="24">
        <f>'Intermediate calculations'!AM32*'Intermediate calculations'!AM33*(1-Constants!$H$24)</f>
        <v>203587.29097336205</v>
      </c>
      <c r="AS18" s="24">
        <f>'Intermediate calculations'!AN32*'Intermediate calculations'!AN33*(1-Constants!$H$24)</f>
        <v>209214.72691422564</v>
      </c>
      <c r="AT18" s="24">
        <f>'Intermediate calculations'!AO32*'Intermediate calculations'!AO33*(1-Constants!$H$24)</f>
        <v>213714.65103323333</v>
      </c>
      <c r="AU18" s="24">
        <f>'Intermediate calculations'!AP32*'Intermediate calculations'!AP33*(1-Constants!$H$24)</f>
        <v>219226.24880438938</v>
      </c>
      <c r="AV18" s="24">
        <f>'Intermediate calculations'!AQ32*'Intermediate calculations'!AQ33*(1-Constants!$H$24)</f>
        <v>225971.17696656563</v>
      </c>
      <c r="AW18" s="24">
        <f>'Intermediate calculations'!AR32*'Intermediate calculations'!AR33*(1-Constants!$H$24)</f>
        <v>232355.57226544028</v>
      </c>
      <c r="AX18" s="24">
        <f>'Intermediate calculations'!AS32*'Intermediate calculations'!AS33*(1-Constants!$H$24)</f>
        <v>239000.31888284755</v>
      </c>
      <c r="AY18" s="24">
        <f>'Intermediate calculations'!AT32*'Intermediate calculations'!AT33*(1-Constants!$H$24)</f>
        <v>245684.02713419264</v>
      </c>
      <c r="AZ18" s="24">
        <f>'Intermediate calculations'!AU32*'Intermediate calculations'!AU33*(1-Constants!$H$24)</f>
        <v>253306.64465594746</v>
      </c>
      <c r="BA18" s="24">
        <f>'Intermediate calculations'!AV32*'Intermediate calculations'!AV33*(1-Constants!$H$24)</f>
        <v>259486.53368094523</v>
      </c>
      <c r="BB18" s="24">
        <f>'Intermediate calculations'!AW32*'Intermediate calculations'!AW33*(1-Constants!$H$24)</f>
        <v>266108.49361699587</v>
      </c>
      <c r="BC18" s="24">
        <f>'Intermediate calculations'!AX32*'Intermediate calculations'!AX33*(1-Constants!$H$24)</f>
        <v>272731.70465874131</v>
      </c>
      <c r="BD18" s="24">
        <f>'Intermediate calculations'!AY32*'Intermediate calculations'!AY33*(1-Constants!$H$24)</f>
        <v>278742.89583976904</v>
      </c>
      <c r="BE18" s="24">
        <f>'Intermediate calculations'!AZ32*'Intermediate calculations'!AZ33*(1-Constants!$H$24)</f>
        <v>284567.64593773382</v>
      </c>
      <c r="BF18" s="24">
        <f>'Intermediate calculations'!BA32*'Intermediate calculations'!BA33*(1-Constants!$H$24)</f>
        <v>290572.87144868833</v>
      </c>
      <c r="BG18" s="24">
        <f>'Intermediate calculations'!BB32*'Intermediate calculations'!BB33*(1-Constants!$H$24)</f>
        <v>296921.62370117608</v>
      </c>
      <c r="BH18" s="24">
        <f>'Intermediate calculations'!BC32*'Intermediate calculations'!BC33*(1-Constants!$H$24)</f>
        <v>302503.44664019963</v>
      </c>
      <c r="BI18" s="24">
        <f>'Intermediate calculations'!BD32*'Intermediate calculations'!BD33*(1-Constants!$H$24)</f>
        <v>308044.59940585005</v>
      </c>
      <c r="BJ18" s="24">
        <f>'Intermediate calculations'!BE32*'Intermediate calculations'!BE33*(1-Constants!$H$24)</f>
        <v>313559.81514481356</v>
      </c>
      <c r="BK18" s="24">
        <f>'Intermediate calculations'!BF32*'Intermediate calculations'!BF33*(1-Constants!$H$24)</f>
        <v>319536.0351681817</v>
      </c>
      <c r="BL18" s="24">
        <f>'Intermediate calculations'!BG32*'Intermediate calculations'!BG33*(1-Constants!$H$24)</f>
        <v>325598.95310455828</v>
      </c>
      <c r="BM18" s="24">
        <f>'Intermediate calculations'!BH32*'Intermediate calculations'!BH33*(1-Constants!$H$24)</f>
        <v>327016.55147210113</v>
      </c>
      <c r="BN18" s="24">
        <f>'Intermediate calculations'!BI32*'Intermediate calculations'!BI33*(1-Constants!$H$24)</f>
        <v>328044.15736617573</v>
      </c>
      <c r="BO18" s="24">
        <f>'Intermediate calculations'!BJ32*'Intermediate calculations'!BJ33*(1-Constants!$H$24)</f>
        <v>329586.82393506315</v>
      </c>
      <c r="BP18" s="24">
        <f>'Intermediate calculations'!BK32*'Intermediate calculations'!BK33*(1-Constants!$H$24)</f>
        <v>330791.34028623952</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3"/>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'Intermediate calculations'!Y37*'Intermediate calculations'!Y38*Constants!$H$25</f>
        <v>23722316.120305818</v>
      </c>
      <c r="AE19" s="24">
        <f>'Intermediate calculations'!Z37*'Intermediate calculations'!Z38*Constants!$H$25</f>
        <v>24255517.547089841</v>
      </c>
      <c r="AF19" s="24">
        <f>'Intermediate calculations'!AA37*'Intermediate calculations'!AA38*Constants!$H$25</f>
        <v>24737792.39705459</v>
      </c>
      <c r="AG19" s="24">
        <f>'Intermediate calculations'!AB37*'Intermediate calculations'!AB38*Constants!$H$25</f>
        <v>24986769.935444243</v>
      </c>
      <c r="AH19" s="24">
        <f>'Intermediate calculations'!AC37*'Intermediate calculations'!AC38*Constants!$H$25</f>
        <v>25242611.383872338</v>
      </c>
      <c r="AI19" s="24">
        <f>'Intermediate calculations'!AD37*'Intermediate calculations'!AD38*Constants!$H$25</f>
        <v>25751990.995527692</v>
      </c>
      <c r="AJ19" s="24">
        <f>'Intermediate calculations'!AE37*'Intermediate calculations'!AE38*Constants!$H$25</f>
        <v>26187557.3575183</v>
      </c>
      <c r="AK19" s="24">
        <f>'Intermediate calculations'!AF37*'Intermediate calculations'!AF38*Constants!$H$25</f>
        <v>26352887.537919145</v>
      </c>
      <c r="AL19" s="24">
        <f>'Intermediate calculations'!AG37*'Intermediate calculations'!AG38*Constants!$H$25</f>
        <v>25306294.482290111</v>
      </c>
      <c r="AM19" s="24">
        <f>'Intermediate calculations'!AH37*'Intermediate calculations'!AH38*Constants!$H$25</f>
        <v>26059411.395958323</v>
      </c>
      <c r="AN19" s="24">
        <f>'Intermediate calculations'!AI37*'Intermediate calculations'!AI38*Constants!$H$25</f>
        <v>26668085.197670184</v>
      </c>
      <c r="AO19" s="24">
        <f>'Intermediate calculations'!AJ37*'Intermediate calculations'!AJ38*Constants!$H$25</f>
        <v>27248115.759416535</v>
      </c>
      <c r="AP19" s="24">
        <f>'Intermediate calculations'!AK37*'Intermediate calculations'!AK38*Constants!$H$25</f>
        <v>27892172.101899307</v>
      </c>
      <c r="AQ19" s="24">
        <f>'Intermediate calculations'!AL37*'Intermediate calculations'!AL38*Constants!$H$25</f>
        <v>28747098.466273185</v>
      </c>
      <c r="AR19" s="24">
        <f>'Intermediate calculations'!AM37*'Intermediate calculations'!AM38*Constants!$H$25</f>
        <v>29645035.599693645</v>
      </c>
      <c r="AS19" s="24">
        <f>'Intermediate calculations'!AN37*'Intermediate calculations'!AN38*Constants!$H$25</f>
        <v>30607560.322320882</v>
      </c>
      <c r="AT19" s="24">
        <f>'Intermediate calculations'!AO37*'Intermediate calculations'!AO38*Constants!$H$25</f>
        <v>31497897.745242074</v>
      </c>
      <c r="AU19" s="24">
        <f>'Intermediate calculations'!AP37*'Intermediate calculations'!AP38*Constants!$H$25</f>
        <v>32496773.134270821</v>
      </c>
      <c r="AV19" s="24">
        <f>'Intermediate calculations'!AQ37*'Intermediate calculations'!AQ38*Constants!$H$25</f>
        <v>33629741.281645209</v>
      </c>
      <c r="AW19" s="24">
        <f>'Intermediate calculations'!AR37*'Intermediate calculations'!AR38*Constants!$H$25</f>
        <v>34740233.640220329</v>
      </c>
      <c r="AX19" s="24">
        <f>'Intermediate calculations'!AS37*'Intermediate calculations'!AS38*Constants!$H$25</f>
        <v>35903284.562247403</v>
      </c>
      <c r="AY19" s="24">
        <f>'Intermediate calculations'!AT37*'Intermediate calculations'!AT38*Constants!$H$25</f>
        <v>37100091.569474109</v>
      </c>
      <c r="AZ19" s="24">
        <f>'Intermediate calculations'!AU37*'Intermediate calculations'!AU38*Constants!$H$25</f>
        <v>38418045.08595679</v>
      </c>
      <c r="BA19" s="24">
        <f>'Intermediate calculations'!AV37*'Intermediate calculations'!AV38*Constants!$H$25</f>
        <v>39629757.601917654</v>
      </c>
      <c r="BB19" s="24">
        <f>'Intermediate calculations'!AW37*'Intermediate calculations'!AW38*Constants!$H$25</f>
        <v>40897425.728926994</v>
      </c>
      <c r="BC19" s="24">
        <f>'Intermediate calculations'!AX37*'Intermediate calculations'!AX38*Constants!$H$25</f>
        <v>42197810.282211758</v>
      </c>
      <c r="BD19" s="24">
        <f>'Intermediate calculations'!AY37*'Intermediate calculations'!AY38*Constants!$H$25</f>
        <v>43468070.734643765</v>
      </c>
      <c r="BE19" s="24">
        <f>'Intermediate calculations'!AZ37*'Intermediate calculations'!AZ38*Constants!$H$25</f>
        <v>44750405.498853803</v>
      </c>
      <c r="BF19" s="24">
        <f>'Intermediate calculations'!BA37*'Intermediate calculations'!BA38*Constants!$H$25</f>
        <v>46084037.642377004</v>
      </c>
      <c r="BG19" s="24">
        <f>'Intermediate calculations'!BB37*'Intermediate calculations'!BB38*Constants!$H$25</f>
        <v>47471084.011199221</v>
      </c>
      <c r="BH19" s="24">
        <f>'Intermediate calculations'!BC37*'Intermediate calculations'!BC38*Constants!$H$25</f>
        <v>48807813.560112186</v>
      </c>
      <c r="BI19" s="24">
        <f>'Intermediate calculations'!BD37*'Intermediate calculations'!BD38*Constants!$H$25</f>
        <v>50173100.244788811</v>
      </c>
      <c r="BJ19" s="24">
        <f>'Intermediate calculations'!BE37*'Intermediate calculations'!BE38*Constants!$H$25</f>
        <v>51569300.435655385</v>
      </c>
      <c r="BK19" s="24">
        <f>'Intermediate calculations'!BF37*'Intermediate calculations'!BF38*Constants!$H$25</f>
        <v>53054754.472894639</v>
      </c>
      <c r="BL19" s="24">
        <f>'Intermediate calculations'!BG37*'Intermediate calculations'!BG38*Constants!$H$25</f>
        <v>54570197.843457237</v>
      </c>
      <c r="BM19" s="24">
        <f>'Intermediate calculations'!BH37*'Intermediate calculations'!BH38*Constants!$H$25</f>
        <v>55554881.961270951</v>
      </c>
      <c r="BN19" s="24">
        <f>'Intermediate calculations'!BI37*'Intermediate calculations'!BI38*Constants!$H$25</f>
        <v>56509893.628442757</v>
      </c>
      <c r="BO19" s="24">
        <f>'Intermediate calculations'!BJ37*'Intermediate calculations'!BJ38*Constants!$H$25</f>
        <v>57548305.395463832</v>
      </c>
      <c r="BP19" s="24">
        <f>'Intermediate calculations'!BK37*'Intermediate calculations'!BK38*Constants!$H$25</f>
        <v>58563792.567195043</v>
      </c>
    </row>
    <row r="20" spans="1:72" s="23" customFormat="1" x14ac:dyDescent="0.25">
      <c r="A20" s="23" t="str">
        <f t="shared" si="1"/>
        <v>3A Livestock</v>
      </c>
      <c r="C20" s="23" t="str">
        <f>C19</f>
        <v>3A2i Poultry</v>
      </c>
      <c r="D20" t="str">
        <f>'IPCC Categories'!F51</f>
        <v>Commercial broilers</v>
      </c>
      <c r="E20" s="23" t="str">
        <f t="shared" si="2"/>
        <v>Population</v>
      </c>
      <c r="F20" s="23" t="str">
        <f t="shared" si="3"/>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'Intermediate calculations'!Y42*'Intermediate calculations'!Y43*Constants!$H$26</f>
        <v>94671432.457114488</v>
      </c>
      <c r="AE20" s="24">
        <f>'Intermediate calculations'!Z42*'Intermediate calculations'!Z43*Constants!$H$26</f>
        <v>96428528.046156064</v>
      </c>
      <c r="AF20" s="24">
        <f>'Intermediate calculations'!AA42*'Intermediate calculations'!AA43*Constants!$H$26</f>
        <v>97579368.002101943</v>
      </c>
      <c r="AG20" s="24">
        <f>'Intermediate calculations'!AB42*'Intermediate calculations'!AB43*Constants!$H$26</f>
        <v>96313578.260154381</v>
      </c>
      <c r="AH20" s="24">
        <f>'Intermediate calculations'!AC42*'Intermediate calculations'!AC43*Constants!$H$26</f>
        <v>95086019.997496322</v>
      </c>
      <c r="AI20" s="24">
        <f>'Intermediate calculations'!AD42*'Intermediate calculations'!AD43*Constants!$H$26</f>
        <v>96302421.111577123</v>
      </c>
      <c r="AJ20" s="24">
        <f>'Intermediate calculations'!AE42*'Intermediate calculations'!AE43*Constants!$H$26</f>
        <v>96771134.989491895</v>
      </c>
      <c r="AK20" s="24">
        <f>'Intermediate calculations'!AF42*'Intermediate calculations'!AF43*Constants!$H$26</f>
        <v>94622256.390508652</v>
      </c>
      <c r="AL20" s="24">
        <f>'Intermediate calculations'!AG42*'Intermediate calculations'!AG43*Constants!$H$26</f>
        <v>80990433.305591747</v>
      </c>
      <c r="AM20" s="24">
        <f>'Intermediate calculations'!AH42*'Intermediate calculations'!AH43*Constants!$H$26</f>
        <v>85319343.807031661</v>
      </c>
      <c r="AN20" s="24">
        <f>'Intermediate calculations'!AI42*'Intermediate calculations'!AI43*Constants!$H$26</f>
        <v>88217437.338910028</v>
      </c>
      <c r="AO20" s="24">
        <f>'Intermediate calculations'!AJ42*'Intermediate calculations'!AJ43*Constants!$H$26</f>
        <v>90793472.776288718</v>
      </c>
      <c r="AP20" s="24">
        <f>'Intermediate calculations'!AK42*'Intermediate calculations'!AK43*Constants!$H$26</f>
        <v>93904272.508303806</v>
      </c>
      <c r="AQ20" s="24">
        <f>'Intermediate calculations'!AL42*'Intermediate calculations'!AL43*Constants!$H$26</f>
        <v>98869028.052305982</v>
      </c>
      <c r="AR20" s="24">
        <f>'Intermediate calculations'!AM42*'Intermediate calculations'!AM43*Constants!$H$26</f>
        <v>104421557.99432579</v>
      </c>
      <c r="AS20" s="24">
        <f>'Intermediate calculations'!AN42*'Intermediate calculations'!AN43*Constants!$H$26</f>
        <v>110459761.1973415</v>
      </c>
      <c r="AT20" s="24">
        <f>'Intermediate calculations'!AO42*'Intermediate calculations'!AO43*Constants!$H$26</f>
        <v>115761831.53299367</v>
      </c>
      <c r="AU20" s="24">
        <f>'Intermediate calculations'!AP42*'Intermediate calculations'!AP43*Constants!$H$26</f>
        <v>121934875.58387122</v>
      </c>
      <c r="AV20" s="24">
        <f>'Intermediate calculations'!AQ42*'Intermediate calculations'!AQ43*Constants!$H$26</f>
        <v>129183453.50427844</v>
      </c>
      <c r="AW20" s="24">
        <f>'Intermediate calculations'!AR42*'Intermediate calculations'!AR43*Constants!$H$26</f>
        <v>136359775.72562358</v>
      </c>
      <c r="AX20" s="24">
        <f>'Intermediate calculations'!AS42*'Intermediate calculations'!AS43*Constants!$H$26</f>
        <v>143887311.12384263</v>
      </c>
      <c r="AY20" s="24">
        <f>'Intermediate calculations'!AT42*'Intermediate calculations'!AT43*Constants!$H$26</f>
        <v>151599519.14646712</v>
      </c>
      <c r="AZ20" s="24">
        <f>'Intermediate calculations'!AU42*'Intermediate calculations'!AU43*Constants!$H$26</f>
        <v>160235371.76852328</v>
      </c>
      <c r="BA20" s="24">
        <f>'Intermediate calculations'!AV42*'Intermediate calculations'!AV43*Constants!$H$26</f>
        <v>167861616.62962788</v>
      </c>
      <c r="BB20" s="24">
        <f>'Intermediate calculations'!AW42*'Intermediate calculations'!AW43*Constants!$H$26</f>
        <v>176072560.99005142</v>
      </c>
      <c r="BC20" s="24">
        <f>'Intermediate calculations'!AX42*'Intermediate calculations'!AX43*Constants!$H$26</f>
        <v>184454404.7540805</v>
      </c>
      <c r="BD20" s="24">
        <f>'Intermediate calculations'!AY42*'Intermediate calculations'!AY43*Constants!$H$26</f>
        <v>192485785.44341132</v>
      </c>
      <c r="BE20" s="24">
        <f>'Intermediate calculations'!AZ42*'Intermediate calculations'!AZ43*Constants!$H$26</f>
        <v>200521041.74331012</v>
      </c>
      <c r="BF20" s="24">
        <f>'Intermediate calculations'!BA42*'Intermediate calculations'!BA43*Constants!$H$26</f>
        <v>208881379.63531357</v>
      </c>
      <c r="BG20" s="24">
        <f>'Intermediate calculations'!BB42*'Intermediate calculations'!BB43*Constants!$H$26</f>
        <v>217777137.48843226</v>
      </c>
      <c r="BH20" s="24">
        <f>'Intermediate calculations'!BC42*'Intermediate calculations'!BC43*Constants!$H$26</f>
        <v>226168889.71351093</v>
      </c>
      <c r="BI20" s="24">
        <f>'Intermediate calculations'!BD42*'Intermediate calculations'!BD43*Constants!$H$26</f>
        <v>234699076.59540045</v>
      </c>
      <c r="BJ20" s="24">
        <f>'Intermediate calculations'!BE42*'Intermediate calculations'!BE43*Constants!$H$26</f>
        <v>243385051.60669318</v>
      </c>
      <c r="BK20" s="24">
        <f>'Intermediate calculations'!BF42*'Intermediate calculations'!BF43*Constants!$H$26</f>
        <v>252687740.48288339</v>
      </c>
      <c r="BL20" s="24">
        <f>'Intermediate calculations'!BG42*'Intermediate calculations'!BG43*Constants!$H$26</f>
        <v>262328161.23909059</v>
      </c>
      <c r="BM20" s="24">
        <f>'Intermediate calculations'!BH42*'Intermediate calculations'!BH43*Constants!$H$26</f>
        <v>267709128.86294454</v>
      </c>
      <c r="BN20" s="24">
        <f>'Intermediate calculations'!BI42*'Intermediate calculations'!BI43*Constants!$H$26</f>
        <v>272809271.76045728</v>
      </c>
      <c r="BO20" s="24">
        <f>'Intermediate calculations'!BJ42*'Intermediate calculations'!BJ43*Constants!$H$26</f>
        <v>278510791.03549379</v>
      </c>
      <c r="BP20" s="24">
        <f>'Intermediate calculations'!BK42*'Intermediate calculations'!BK43*Constants!$H$26</f>
        <v>283983738.79926437</v>
      </c>
    </row>
    <row r="21" spans="1:72" s="23" customFormat="1" x14ac:dyDescent="0.25">
      <c r="A21" s="23" t="str">
        <f t="shared" si="1"/>
        <v>3A Livestock</v>
      </c>
      <c r="C21" s="23" t="str">
        <f>C20</f>
        <v>3A2i Poultry</v>
      </c>
      <c r="D21" t="str">
        <f>'IPCC Categories'!F52</f>
        <v>Subsistence layers</v>
      </c>
      <c r="E21" s="23" t="str">
        <f t="shared" si="2"/>
        <v>Population</v>
      </c>
      <c r="F21" s="23" t="str">
        <f t="shared" si="3"/>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'Intermediate calculations'!Y37*'Intermediate calculations'!Y38*(1-Constants!$H$25)</f>
        <v>988429.83834607655</v>
      </c>
      <c r="AE21" s="24">
        <f>'Intermediate calculations'!Z37*'Intermediate calculations'!Z38*(1-Constants!$H$25)</f>
        <v>1010646.5644620776</v>
      </c>
      <c r="AF21" s="24">
        <f>'Intermediate calculations'!AA37*'Intermediate calculations'!AA38*(1-Constants!$H$25)</f>
        <v>1030741.3498772755</v>
      </c>
      <c r="AG21" s="24">
        <f>'Intermediate calculations'!AB37*'Intermediate calculations'!AB38*(1-Constants!$H$25)</f>
        <v>1041115.4139768444</v>
      </c>
      <c r="AH21" s="24">
        <f>'Intermediate calculations'!AC37*'Intermediate calculations'!AC38*(1-Constants!$H$25)</f>
        <v>1051775.474328015</v>
      </c>
      <c r="AI21" s="24">
        <f>'Intermediate calculations'!AD37*'Intermediate calculations'!AD38*(1-Constants!$H$25)</f>
        <v>1072999.6248136547</v>
      </c>
      <c r="AJ21" s="24">
        <f>'Intermediate calculations'!AE37*'Intermediate calculations'!AE38*(1-Constants!$H$25)</f>
        <v>1091148.2232299303</v>
      </c>
      <c r="AK21" s="24">
        <f>'Intermediate calculations'!AF37*'Intermediate calculations'!AF38*(1-Constants!$H$25)</f>
        <v>1098036.980746632</v>
      </c>
      <c r="AL21" s="24">
        <f>'Intermediate calculations'!AG37*'Intermediate calculations'!AG38*(1-Constants!$H$25)</f>
        <v>1054428.9367620889</v>
      </c>
      <c r="AM21" s="24">
        <f>'Intermediate calculations'!AH37*'Intermediate calculations'!AH38*(1-Constants!$H$25)</f>
        <v>1085808.8081649311</v>
      </c>
      <c r="AN21" s="24">
        <f>'Intermediate calculations'!AI37*'Intermediate calculations'!AI38*(1-Constants!$H$25)</f>
        <v>1111170.216569592</v>
      </c>
      <c r="AO21" s="24">
        <f>'Intermediate calculations'!AJ37*'Intermediate calculations'!AJ38*(1-Constants!$H$25)</f>
        <v>1135338.1566423567</v>
      </c>
      <c r="AP21" s="24">
        <f>'Intermediate calculations'!AK37*'Intermediate calculations'!AK38*(1-Constants!$H$25)</f>
        <v>1162173.8375791388</v>
      </c>
      <c r="AQ21" s="24">
        <f>'Intermediate calculations'!AL37*'Intermediate calculations'!AL38*(1-Constants!$H$25)</f>
        <v>1197795.7694280506</v>
      </c>
      <c r="AR21" s="24">
        <f>'Intermediate calculations'!AM37*'Intermediate calculations'!AM38*(1-Constants!$H$25)</f>
        <v>1235209.8166539031</v>
      </c>
      <c r="AS21" s="24">
        <f>'Intermediate calculations'!AN37*'Intermediate calculations'!AN38*(1-Constants!$H$25)</f>
        <v>1275315.013430038</v>
      </c>
      <c r="AT21" s="24">
        <f>'Intermediate calculations'!AO37*'Intermediate calculations'!AO38*(1-Constants!$H$25)</f>
        <v>1312412.4060517543</v>
      </c>
      <c r="AU21" s="24">
        <f>'Intermediate calculations'!AP37*'Intermediate calculations'!AP38*(1-Constants!$H$25)</f>
        <v>1354032.2139279521</v>
      </c>
      <c r="AV21" s="24">
        <f>'Intermediate calculations'!AQ37*'Intermediate calculations'!AQ38*(1-Constants!$H$25)</f>
        <v>1401239.2200685516</v>
      </c>
      <c r="AW21" s="24">
        <f>'Intermediate calculations'!AR37*'Intermediate calculations'!AR38*(1-Constants!$H$25)</f>
        <v>1447509.7350091815</v>
      </c>
      <c r="AX21" s="24">
        <f>'Intermediate calculations'!AS37*'Intermediate calculations'!AS38*(1-Constants!$H$25)</f>
        <v>1495970.1900936433</v>
      </c>
      <c r="AY21" s="24">
        <f>'Intermediate calculations'!AT37*'Intermediate calculations'!AT38*(1-Constants!$H$25)</f>
        <v>1545837.1487280892</v>
      </c>
      <c r="AZ21" s="24">
        <f>'Intermediate calculations'!AU37*'Intermediate calculations'!AU38*(1-Constants!$H$25)</f>
        <v>1600751.8785815344</v>
      </c>
      <c r="BA21" s="24">
        <f>'Intermediate calculations'!AV37*'Intermediate calculations'!AV38*(1-Constants!$H$25)</f>
        <v>1651239.9000799039</v>
      </c>
      <c r="BB21" s="24">
        <f>'Intermediate calculations'!AW37*'Intermediate calculations'!AW38*(1-Constants!$H$25)</f>
        <v>1704059.4053719596</v>
      </c>
      <c r="BC21" s="24">
        <f>'Intermediate calculations'!AX37*'Intermediate calculations'!AX38*(1-Constants!$H$25)</f>
        <v>1758242.0950921581</v>
      </c>
      <c r="BD21" s="24">
        <f>'Intermediate calculations'!AY37*'Intermediate calculations'!AY38*(1-Constants!$H$25)</f>
        <v>1811169.6139434921</v>
      </c>
      <c r="BE21" s="24">
        <f>'Intermediate calculations'!AZ37*'Intermediate calculations'!AZ38*(1-Constants!$H$25)</f>
        <v>1864600.2291189104</v>
      </c>
      <c r="BF21" s="24">
        <f>'Intermediate calculations'!BA37*'Intermediate calculations'!BA38*(1-Constants!$H$25)</f>
        <v>1920168.2350990435</v>
      </c>
      <c r="BG21" s="24">
        <f>'Intermediate calculations'!BB37*'Intermediate calculations'!BB38*(1-Constants!$H$25)</f>
        <v>1977961.8337999692</v>
      </c>
      <c r="BH21" s="24">
        <f>'Intermediate calculations'!BC37*'Intermediate calculations'!BC38*(1-Constants!$H$25)</f>
        <v>2033658.8983380098</v>
      </c>
      <c r="BI21" s="24">
        <f>'Intermediate calculations'!BD37*'Intermediate calculations'!BD38*(1-Constants!$H$25)</f>
        <v>2090545.8435328689</v>
      </c>
      <c r="BJ21" s="24">
        <f>'Intermediate calculations'!BE37*'Intermediate calculations'!BE38*(1-Constants!$H$25)</f>
        <v>2148720.8514856431</v>
      </c>
      <c r="BK21" s="24">
        <f>'Intermediate calculations'!BF37*'Intermediate calculations'!BF38*(1-Constants!$H$25)</f>
        <v>2210614.7697039456</v>
      </c>
      <c r="BL21" s="24">
        <f>'Intermediate calculations'!BG37*'Intermediate calculations'!BG38*(1-Constants!$H$25)</f>
        <v>2273758.2434773869</v>
      </c>
      <c r="BM21" s="24">
        <f>'Intermediate calculations'!BH37*'Intermediate calculations'!BH38*(1-Constants!$H$25)</f>
        <v>2314786.7483862918</v>
      </c>
      <c r="BN21" s="24">
        <f>'Intermediate calculations'!BI37*'Intermediate calculations'!BI38*(1-Constants!$H$25)</f>
        <v>2354578.9011851172</v>
      </c>
      <c r="BO21" s="24">
        <f>'Intermediate calculations'!BJ37*'Intermediate calculations'!BJ38*(1-Constants!$H$25)</f>
        <v>2397846.0581443287</v>
      </c>
      <c r="BP21" s="24">
        <f>'Intermediate calculations'!BK37*'Intermediate calculations'!BK38*(1-Constants!$H$25)</f>
        <v>2440158.023633129</v>
      </c>
    </row>
    <row r="22" spans="1:72" s="23" customFormat="1" x14ac:dyDescent="0.25">
      <c r="A22" s="23" t="str">
        <f t="shared" si="1"/>
        <v>3A Livestock</v>
      </c>
      <c r="C22" s="23" t="str">
        <f>C21</f>
        <v>3A2i Poultry</v>
      </c>
      <c r="D22" t="str">
        <f>'IPCC Categories'!F53</f>
        <v>Subsistence broilers</v>
      </c>
      <c r="E22" s="23" t="str">
        <f t="shared" si="2"/>
        <v>Population</v>
      </c>
      <c r="F22" s="23" t="str">
        <f t="shared" si="3"/>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'Intermediate calculations'!Y42*'Intermediate calculations'!Y43*(1-Constants!$H$26)</f>
        <v>3944643.0190464407</v>
      </c>
      <c r="AE22" s="24">
        <f>'Intermediate calculations'!Z42*'Intermediate calculations'!Z43*(1-Constants!$H$26)</f>
        <v>4017855.3352565062</v>
      </c>
      <c r="AF22" s="24">
        <f>'Intermediate calculations'!AA42*'Intermediate calculations'!AA43*(1-Constants!$H$26)</f>
        <v>4065807.0000875848</v>
      </c>
      <c r="AG22" s="24">
        <f>'Intermediate calculations'!AB42*'Intermediate calculations'!AB43*(1-Constants!$H$26)</f>
        <v>4013065.7608397696</v>
      </c>
      <c r="AH22" s="24">
        <f>'Intermediate calculations'!AC42*'Intermediate calculations'!AC43*(1-Constants!$H$26)</f>
        <v>3961917.4998956835</v>
      </c>
      <c r="AI22" s="24">
        <f>'Intermediate calculations'!AD42*'Intermediate calculations'!AD43*(1-Constants!$H$26)</f>
        <v>4012600.879649051</v>
      </c>
      <c r="AJ22" s="24">
        <f>'Intermediate calculations'!AE42*'Intermediate calculations'!AE43*(1-Constants!$H$26)</f>
        <v>4032130.6245621657</v>
      </c>
      <c r="AK22" s="24">
        <f>'Intermediate calculations'!AF42*'Intermediate calculations'!AF43*(1-Constants!$H$26)</f>
        <v>3942594.0162711977</v>
      </c>
      <c r="AL22" s="24">
        <f>'Intermediate calculations'!AG42*'Intermediate calculations'!AG43*(1-Constants!$H$26)</f>
        <v>3374601.3877329929</v>
      </c>
      <c r="AM22" s="24">
        <f>'Intermediate calculations'!AH42*'Intermediate calculations'!AH43*(1-Constants!$H$26)</f>
        <v>3554972.6586263222</v>
      </c>
      <c r="AN22" s="24">
        <f>'Intermediate calculations'!AI42*'Intermediate calculations'!AI43*(1-Constants!$H$26)</f>
        <v>3675726.5557879214</v>
      </c>
      <c r="AO22" s="24">
        <f>'Intermediate calculations'!AJ42*'Intermediate calculations'!AJ43*(1-Constants!$H$26)</f>
        <v>3783061.3656787002</v>
      </c>
      <c r="AP22" s="24">
        <f>'Intermediate calculations'!AK42*'Intermediate calculations'!AK43*(1-Constants!$H$26)</f>
        <v>3912678.0211793291</v>
      </c>
      <c r="AQ22" s="24">
        <f>'Intermediate calculations'!AL42*'Intermediate calculations'!AL43*(1-Constants!$H$26)</f>
        <v>4119542.8355127531</v>
      </c>
      <c r="AR22" s="24">
        <f>'Intermediate calculations'!AM42*'Intermediate calculations'!AM43*(1-Constants!$H$26)</f>
        <v>4350898.2497635782</v>
      </c>
      <c r="AS22" s="24">
        <f>'Intermediate calculations'!AN42*'Intermediate calculations'!AN43*(1-Constants!$H$26)</f>
        <v>4602490.0498892339</v>
      </c>
      <c r="AT22" s="24">
        <f>'Intermediate calculations'!AO42*'Intermediate calculations'!AO43*(1-Constants!$H$26)</f>
        <v>4823409.6472080741</v>
      </c>
      <c r="AU22" s="24">
        <f>'Intermediate calculations'!AP42*'Intermediate calculations'!AP43*(1-Constants!$H$26)</f>
        <v>5080619.8159946389</v>
      </c>
      <c r="AV22" s="24">
        <f>'Intermediate calculations'!AQ42*'Intermediate calculations'!AQ43*(1-Constants!$H$26)</f>
        <v>5382643.8960116068</v>
      </c>
      <c r="AW22" s="24">
        <f>'Intermediate calculations'!AR42*'Intermediate calculations'!AR43*(1-Constants!$H$26)</f>
        <v>5681657.321900988</v>
      </c>
      <c r="AX22" s="24">
        <f>'Intermediate calculations'!AS42*'Intermediate calculations'!AS43*(1-Constants!$H$26)</f>
        <v>5995304.6301601157</v>
      </c>
      <c r="AY22" s="24">
        <f>'Intermediate calculations'!AT42*'Intermediate calculations'!AT43*(1-Constants!$H$26)</f>
        <v>6316646.6311028022</v>
      </c>
      <c r="AZ22" s="24">
        <f>'Intermediate calculations'!AU42*'Intermediate calculations'!AU43*(1-Constants!$H$26)</f>
        <v>6676473.8236884763</v>
      </c>
      <c r="BA22" s="24">
        <f>'Intermediate calculations'!AV42*'Intermediate calculations'!AV43*(1-Constants!$H$26)</f>
        <v>6994234.026234502</v>
      </c>
      <c r="BB22" s="24">
        <f>'Intermediate calculations'!AW42*'Intermediate calculations'!AW43*(1-Constants!$H$26)</f>
        <v>7336356.7079188162</v>
      </c>
      <c r="BC22" s="24">
        <f>'Intermediate calculations'!AX42*'Intermediate calculations'!AX43*(1-Constants!$H$26)</f>
        <v>7685600.1980866957</v>
      </c>
      <c r="BD22" s="24">
        <f>'Intermediate calculations'!AY42*'Intermediate calculations'!AY43*(1-Constants!$H$26)</f>
        <v>8020241.0601421464</v>
      </c>
      <c r="BE22" s="24">
        <f>'Intermediate calculations'!AZ42*'Intermediate calculations'!AZ43*(1-Constants!$H$26)</f>
        <v>8355043.4059712626</v>
      </c>
      <c r="BF22" s="24">
        <f>'Intermediate calculations'!BA42*'Intermediate calculations'!BA43*(1-Constants!$H$26)</f>
        <v>8703390.8181380723</v>
      </c>
      <c r="BG22" s="24">
        <f>'Intermediate calculations'!BB42*'Intermediate calculations'!BB43*(1-Constants!$H$26)</f>
        <v>9074047.3953513522</v>
      </c>
      <c r="BH22" s="24">
        <f>'Intermediate calculations'!BC42*'Intermediate calculations'!BC43*(1-Constants!$H$26)</f>
        <v>9423703.7380629648</v>
      </c>
      <c r="BI22" s="24">
        <f>'Intermediate calculations'!BD42*'Intermediate calculations'!BD43*(1-Constants!$H$26)</f>
        <v>9779128.1914750282</v>
      </c>
      <c r="BJ22" s="24">
        <f>'Intermediate calculations'!BE42*'Intermediate calculations'!BE43*(1-Constants!$H$26)</f>
        <v>10141043.816945558</v>
      </c>
      <c r="BK22" s="24">
        <f>'Intermediate calculations'!BF42*'Intermediate calculations'!BF43*(1-Constants!$H$26)</f>
        <v>10528655.853453485</v>
      </c>
      <c r="BL22" s="24">
        <f>'Intermediate calculations'!BG42*'Intermediate calculations'!BG43*(1-Constants!$H$26)</f>
        <v>10930340.051628785</v>
      </c>
      <c r="BM22" s="24">
        <f>'Intermediate calculations'!BH42*'Intermediate calculations'!BH43*(1-Constants!$H$26)</f>
        <v>11154547.035956033</v>
      </c>
      <c r="BN22" s="24">
        <f>'Intermediate calculations'!BI42*'Intermediate calculations'!BI43*(1-Constants!$H$26)</f>
        <v>11367052.990019064</v>
      </c>
      <c r="BO22" s="24">
        <f>'Intermediate calculations'!BJ42*'Intermediate calculations'!BJ43*(1-Constants!$H$26)</f>
        <v>11604616.293145586</v>
      </c>
      <c r="BP22" s="24">
        <f>'Intermediate calculations'!BK42*'Intermediate calculations'!BK43*(1-Constants!$H$26)</f>
        <v>11832655.783302693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3515409.2867776863</v>
      </c>
      <c r="AF41" s="22">
        <f>((Data!$AJ$42*LN('Intermediate calculations'!Z60))+Data!$AK$42)</f>
        <v>3529023.5614843424</v>
      </c>
      <c r="AG41" s="22">
        <f>((Data!$AJ$42*LN('Intermediate calculations'!AA60))+Data!$AK$42)</f>
        <v>3540610.1599060763</v>
      </c>
      <c r="AH41" s="22">
        <f>((Data!$AJ$42*LN('Intermediate calculations'!AB60))+Data!$AK$42)</f>
        <v>3544401.4110568538</v>
      </c>
      <c r="AI41" s="22">
        <f>((Data!$AJ$42*LN('Intermediate calculations'!AC60))+Data!$AK$42)</f>
        <v>3548238.7589823715</v>
      </c>
      <c r="AJ41" s="22">
        <f>((Data!$AJ$42*LN('Intermediate calculations'!AD60))+Data!$AK$42)</f>
        <v>3559937.2967489585</v>
      </c>
      <c r="AK41" s="22">
        <f>((Data!$AJ$42*LN('Intermediate calculations'!AE60))+Data!$AK$42)</f>
        <v>3569105.0779654514</v>
      </c>
      <c r="AL41" s="22">
        <f>((Data!$AJ$42*LN('Intermediate calculations'!AF60))+Data!$AK$42)</f>
        <v>3569722.3049658909</v>
      </c>
      <c r="AM41" s="22">
        <f>((Data!$AJ$42*LN('Intermediate calculations'!AG60))+Data!$AK$42)</f>
        <v>3531588.8379038274</v>
      </c>
      <c r="AN41" s="22">
        <f>((Data!$AJ$42*LN('Intermediate calculations'!AH60))+Data!$AK$42)</f>
        <v>3552446.4074528385</v>
      </c>
      <c r="AO41" s="22">
        <f>((Data!$AJ$42*LN('Intermediate calculations'!AI60))+Data!$AK$42)</f>
        <v>3568221.2142758686</v>
      </c>
      <c r="AP41" s="22">
        <f>((Data!$AJ$42*LN('Intermediate calculations'!AJ60))+Data!$AK$42)</f>
        <v>3582764.847653836</v>
      </c>
      <c r="AQ41" s="22">
        <f>((Data!$AJ$42*LN('Intermediate calculations'!AK60))+Data!$AK$42)</f>
        <v>3598923.6372989267</v>
      </c>
      <c r="AR41" s="22">
        <f>((Data!$AJ$42*LN('Intermediate calculations'!AL60))+Data!$AK$42)</f>
        <v>3620883.3121071253</v>
      </c>
      <c r="AS41" s="22">
        <f>((Data!$AJ$42*LN('Intermediate calculations'!AM60))+Data!$AK$42)</f>
        <v>3643877.6957010273</v>
      </c>
      <c r="AT41" s="22">
        <f>((Data!$AJ$42*LN('Intermediate calculations'!AN60))+Data!$AK$42)</f>
        <v>3667951.8945248518</v>
      </c>
      <c r="AU41" s="22">
        <f>((Data!$AJ$42*LN('Intermediate calculations'!AO60))+Data!$AK$42)</f>
        <v>3689348.2035207469</v>
      </c>
      <c r="AV41" s="22">
        <f>((Data!$AJ$42*LN('Intermediate calculations'!AP60))+Data!$AK$42)</f>
        <v>3712952.6816795133</v>
      </c>
      <c r="AW41" s="22">
        <f>((Data!$AJ$42*LN('Intermediate calculations'!AQ60))+Data!$AK$42)</f>
        <v>3739189.1473612245</v>
      </c>
      <c r="AX41" s="22">
        <f>((Data!$AJ$42*LN('Intermediate calculations'!AR60))+Data!$AK$42)</f>
        <v>3764319.6885661576</v>
      </c>
      <c r="AY41" s="22">
        <f>((Data!$AJ$42*LN('Intermediate calculations'!AS60))+Data!$AK$42)</f>
        <v>3789869.2314700112</v>
      </c>
      <c r="AZ41" s="22">
        <f>((Data!$AJ$42*LN('Intermediate calculations'!AT60))+Data!$AK$42)</f>
        <v>3815345.6315816585</v>
      </c>
      <c r="BA41" s="22">
        <f>((Data!$AJ$42*LN('Intermediate calculations'!AU60))+Data!$AK$42)</f>
        <v>3842641.084538091</v>
      </c>
      <c r="BB41" s="22">
        <f>((Data!$AJ$42*LN('Intermediate calculations'!AV60))+Data!$AK$42)</f>
        <v>3866739.0627323315</v>
      </c>
      <c r="BC41" s="22">
        <f>((Data!$AJ$42*LN('Intermediate calculations'!AW60))+Data!$AK$42)</f>
        <v>3891505.4136994649</v>
      </c>
      <c r="BD41" s="22">
        <f>((Data!$AJ$42*LN('Intermediate calculations'!AX60))+Data!$AK$42)</f>
        <v>3916138.6023290083</v>
      </c>
      <c r="BE41" s="22">
        <f>((Data!$AJ$42*LN('Intermediate calculations'!AY60))+Data!$AK$42)</f>
        <v>3939416.6652577445</v>
      </c>
      <c r="BF41" s="22">
        <f>((Data!$AJ$42*LN('Intermediate calculations'!AZ60))+Data!$AK$42)</f>
        <v>3962226.6064802278</v>
      </c>
      <c r="BG41" s="22">
        <f>((Data!$AJ$42*LN('Intermediate calculations'!BA60))+Data!$AK$42)</f>
        <v>3985301.4782181904</v>
      </c>
      <c r="BH41" s="22">
        <f>((Data!$AJ$42*LN('Intermediate calculations'!BB60))+Data!$AK$42)</f>
        <v>4008853.4358545057</v>
      </c>
      <c r="BI41" s="22">
        <f>((Data!$AJ$42*LN('Intermediate calculations'!BC60))+Data!$AK$42)</f>
        <v>4030838.3916717302</v>
      </c>
      <c r="BJ41" s="22">
        <f>((Data!$AJ$42*LN('Intermediate calculations'!BD60))+Data!$AK$42)</f>
        <v>4052681.0388052948</v>
      </c>
      <c r="BK41" s="22">
        <f>((Data!$AJ$42*LN('Intermediate calculations'!BE60))+Data!$AK$42)</f>
        <v>4074414.2086278833</v>
      </c>
      <c r="BL41" s="22">
        <f>((Data!$AJ$42*LN('Intermediate calculations'!BF60))+Data!$AK$42)</f>
        <v>4096946.9896070622</v>
      </c>
      <c r="BM41" s="22">
        <f>((Data!$AJ$42*LN('Intermediate calculations'!BG60))+Data!$AK$42)</f>
        <v>4119483.6964928079</v>
      </c>
      <c r="BN41" s="22">
        <f>((Data!$AJ$42*LN('Intermediate calculations'!BH60))+Data!$AK$42)</f>
        <v>4133465.8342644051</v>
      </c>
      <c r="BO41" s="22">
        <f>((Data!$AJ$42*LN('Intermediate calculations'!BI60))+Data!$AK$42)</f>
        <v>4146757.4514207542</v>
      </c>
      <c r="BP41" s="22">
        <f>((Data!$AJ$42*LN('Intermediate calculations'!BJ60))+Data!$AK$42)</f>
        <v>4161025.375052277</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1938588.3065742005</v>
      </c>
      <c r="AF45" s="22">
        <f t="shared" si="16"/>
        <v>1946095.9597649912</v>
      </c>
      <c r="AG45" s="22">
        <f t="shared" si="16"/>
        <v>1952485.4417231311</v>
      </c>
      <c r="AH45" s="22">
        <f t="shared" si="16"/>
        <v>1954576.1442697244</v>
      </c>
      <c r="AI45" s="22">
        <f t="shared" si="16"/>
        <v>1956692.2670906561</v>
      </c>
      <c r="AJ45" s="22">
        <f t="shared" si="16"/>
        <v>1963143.4785053902</v>
      </c>
      <c r="AK45" s="22">
        <f t="shared" si="16"/>
        <v>1968199.0928062261</v>
      </c>
      <c r="AL45" s="22">
        <f t="shared" si="16"/>
        <v>1968539.4654194678</v>
      </c>
      <c r="AM45" s="22">
        <f t="shared" si="16"/>
        <v>1947510.5930165588</v>
      </c>
      <c r="AN45" s="22">
        <f t="shared" si="16"/>
        <v>1959012.5938172492</v>
      </c>
      <c r="AO45" s="22">
        <f t="shared" si="16"/>
        <v>1967711.6821881579</v>
      </c>
      <c r="AP45" s="22">
        <f t="shared" si="16"/>
        <v>1975731.8344098849</v>
      </c>
      <c r="AQ45" s="22">
        <f t="shared" si="16"/>
        <v>1984642.6718398782</v>
      </c>
      <c r="AR45" s="22">
        <f t="shared" si="16"/>
        <v>1996752.4335565197</v>
      </c>
      <c r="AS45" s="22">
        <f t="shared" si="16"/>
        <v>2009432.7900998343</v>
      </c>
      <c r="AT45" s="22">
        <f t="shared" si="16"/>
        <v>2022708.6156219279</v>
      </c>
      <c r="AU45" s="22">
        <f t="shared" si="16"/>
        <v>2034507.7067204528</v>
      </c>
      <c r="AV45" s="22">
        <f t="shared" si="16"/>
        <v>2047524.5026632417</v>
      </c>
      <c r="AW45" s="22">
        <f t="shared" si="16"/>
        <v>2061992.7199964849</v>
      </c>
      <c r="AX45" s="22">
        <f t="shared" si="16"/>
        <v>2075851.0702890111</v>
      </c>
      <c r="AY45" s="22">
        <f t="shared" si="16"/>
        <v>2089940.4809582101</v>
      </c>
      <c r="AZ45" s="22">
        <f t="shared" si="16"/>
        <v>2103989.5567047545</v>
      </c>
      <c r="BA45" s="22">
        <f t="shared" si="16"/>
        <v>2119041.7573469421</v>
      </c>
      <c r="BB45" s="22">
        <f t="shared" si="16"/>
        <v>2132330.6961101023</v>
      </c>
      <c r="BC45" s="22">
        <f t="shared" si="16"/>
        <v>2145988.2120534042</v>
      </c>
      <c r="BD45" s="22">
        <f t="shared" si="16"/>
        <v>2159572.295025046</v>
      </c>
      <c r="BE45" s="22">
        <f t="shared" si="16"/>
        <v>2172409.0878170198</v>
      </c>
      <c r="BF45" s="22">
        <f t="shared" si="16"/>
        <v>2184987.7327827336</v>
      </c>
      <c r="BG45" s="22">
        <f t="shared" si="16"/>
        <v>2197712.4748761123</v>
      </c>
      <c r="BH45" s="22">
        <f t="shared" si="16"/>
        <v>2210700.3081399146</v>
      </c>
      <c r="BI45" s="22">
        <f t="shared" si="16"/>
        <v>2222824.0111830072</v>
      </c>
      <c r="BJ45" s="22">
        <f t="shared" si="16"/>
        <v>2234869.2374606472</v>
      </c>
      <c r="BK45" s="22">
        <f t="shared" si="16"/>
        <v>2246854.0919813793</v>
      </c>
      <c r="BL45" s="22">
        <f t="shared" si="16"/>
        <v>2259279.8956808606</v>
      </c>
      <c r="BM45" s="22">
        <f t="shared" si="16"/>
        <v>2271707.8643392255</v>
      </c>
      <c r="BN45" s="22">
        <f t="shared" si="16"/>
        <v>2279418.377276333</v>
      </c>
      <c r="BO45" s="22">
        <f t="shared" si="16"/>
        <v>2286748.0995057402</v>
      </c>
      <c r="BP45" s="22">
        <f t="shared" si="16"/>
        <v>2294616.2103442703</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640968.80340252805</v>
      </c>
      <c r="AF46" s="22">
        <f>((Data!$AJ$48*'Activity data'!AF47)+Data!$AK$48)</f>
        <v>640850.57741488342</v>
      </c>
      <c r="AG46" s="22">
        <f>((Data!$AJ$48*'Activity data'!AG47)+Data!$AK$48)</f>
        <v>640749.95971240813</v>
      </c>
      <c r="AH46" s="22">
        <f>((Data!$AJ$48*'Activity data'!AH47)+Data!$AK$48)</f>
        <v>640717.03659153939</v>
      </c>
      <c r="AI46" s="22">
        <f>((Data!$AJ$48*'Activity data'!AI47)+Data!$AK$48)</f>
        <v>640683.71316754469</v>
      </c>
      <c r="AJ46" s="22">
        <f>((Data!$AJ$48*'Activity data'!AJ47)+Data!$AK$48)</f>
        <v>640582.12338687305</v>
      </c>
      <c r="AK46" s="22">
        <f>((Data!$AJ$48*'Activity data'!AK47)+Data!$AK$48)</f>
        <v>640502.51062657672</v>
      </c>
      <c r="AL46" s="22">
        <f>((Data!$AJ$48*'Activity data'!AL47)+Data!$AK$48)</f>
        <v>640497.15064425673</v>
      </c>
      <c r="AM46" s="22">
        <f>((Data!$AJ$48*'Activity data'!AM47)+Data!$AK$48)</f>
        <v>640828.30062491039</v>
      </c>
      <c r="AN46" s="22">
        <f>((Data!$AJ$48*'Activity data'!AN47)+Data!$AK$48)</f>
        <v>640647.17406378768</v>
      </c>
      <c r="AO46" s="22">
        <f>((Data!$AJ$48*'Activity data'!AO47)+Data!$AK$48)</f>
        <v>640510.18607458216</v>
      </c>
      <c r="AP46" s="22">
        <f>((Data!$AJ$48*'Activity data'!AP47)+Data!$AK$48)</f>
        <v>640383.88956176036</v>
      </c>
      <c r="AQ46" s="22">
        <f>((Data!$AJ$48*'Activity data'!AQ47)+Data!$AK$48)</f>
        <v>640243.56707627396</v>
      </c>
      <c r="AR46" s="22">
        <f>((Data!$AJ$48*'Activity data'!AR47)+Data!$AK$48)</f>
        <v>640052.86986334913</v>
      </c>
      <c r="AS46" s="22">
        <f>((Data!$AJ$48*'Activity data'!AS47)+Data!$AK$48)</f>
        <v>639853.18726774678</v>
      </c>
      <c r="AT46" s="22">
        <f>((Data!$AJ$48*'Activity data'!AT47)+Data!$AK$48)</f>
        <v>639644.12758634449</v>
      </c>
      <c r="AU46" s="22">
        <f>((Data!$AJ$48*'Activity data'!AU47)+Data!$AK$48)</f>
        <v>639458.32262666116</v>
      </c>
      <c r="AV46" s="22">
        <f>((Data!$AJ$48*'Activity data'!AV47)+Data!$AK$48)</f>
        <v>639253.34198661346</v>
      </c>
      <c r="AW46" s="22">
        <f>((Data!$AJ$48*'Activity data'!AW47)+Data!$AK$48)</f>
        <v>639025.50523920252</v>
      </c>
      <c r="AX46" s="22">
        <f>((Data!$AJ$48*'Activity data'!AX47)+Data!$AK$48)</f>
        <v>638807.27230957441</v>
      </c>
      <c r="AY46" s="22">
        <f>((Data!$AJ$48*'Activity data'!AY47)+Data!$AK$48)</f>
        <v>638585.40078070038</v>
      </c>
      <c r="AZ46" s="22">
        <f>((Data!$AJ$48*'Activity data'!AZ47)+Data!$AK$48)</f>
        <v>638364.1644218252</v>
      </c>
      <c r="BA46" s="22">
        <f>((Data!$AJ$48*'Activity data'!BA47)+Data!$AK$48)</f>
        <v>638127.13145800505</v>
      </c>
      <c r="BB46" s="22">
        <f>((Data!$AJ$48*'Activity data'!BB47)+Data!$AK$48)</f>
        <v>637917.86527720303</v>
      </c>
      <c r="BC46" s="22">
        <f>((Data!$AJ$48*'Activity data'!BC47)+Data!$AK$48)</f>
        <v>637702.79496559768</v>
      </c>
      <c r="BD46" s="22">
        <f>((Data!$AJ$48*'Activity data'!BD47)+Data!$AK$48)</f>
        <v>637488.8810320748</v>
      </c>
      <c r="BE46" s="22">
        <f>((Data!$AJ$48*'Activity data'!BE47)+Data!$AK$48)</f>
        <v>637286.73497291992</v>
      </c>
      <c r="BF46" s="22">
        <f>((Data!$AJ$48*'Activity data'!BF47)+Data!$AK$48)</f>
        <v>637088.65406980552</v>
      </c>
      <c r="BG46" s="22">
        <f>((Data!$AJ$48*'Activity data'!BG47)+Data!$AK$48)</f>
        <v>636888.27251737076</v>
      </c>
      <c r="BH46" s="22">
        <f>((Data!$AJ$48*'Activity data'!BH47)+Data!$AK$48)</f>
        <v>636683.74796409765</v>
      </c>
      <c r="BI46" s="22">
        <f>((Data!$AJ$48*'Activity data'!BI47)+Data!$AK$48)</f>
        <v>636492.83121158474</v>
      </c>
      <c r="BJ46" s="22">
        <f>((Data!$AJ$48*'Activity data'!BJ47)+Data!$AK$48)</f>
        <v>636303.15026377223</v>
      </c>
      <c r="BK46" s="22">
        <f>((Data!$AJ$48*'Activity data'!BK47)+Data!$AK$48)</f>
        <v>636114.42001392157</v>
      </c>
      <c r="BL46" s="22">
        <f>((Data!$AJ$48*'Activity data'!BL47)+Data!$AK$48)</f>
        <v>635918.74596274795</v>
      </c>
      <c r="BM46" s="22">
        <f>((Data!$AJ$48*'Activity data'!BM47)+Data!$AK$48)</f>
        <v>635723.03781910951</v>
      </c>
      <c r="BN46" s="22">
        <f>((Data!$AJ$48*'Activity data'!BN47)+Data!$AK$48)</f>
        <v>635601.61731871206</v>
      </c>
      <c r="BO46" s="22">
        <f>((Data!$AJ$48*'Activity data'!BO47)+Data!$AK$48)</f>
        <v>635486.19328037277</v>
      </c>
      <c r="BP46" s="22">
        <f>((Data!$AJ$48*'Activity data'!BP47)+Data!$AK$48)</f>
        <v>635362.29102341668</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420360.56587981997</v>
      </c>
      <c r="AF47" s="22">
        <f>((Data!$AJ$49*'Activity data'!AF41)+Data!$AK$49)</f>
        <v>420273.60787048884</v>
      </c>
      <c r="AG47" s="22">
        <f>((Data!$AJ$49*'Activity data'!AG41)+Data!$AK$49)</f>
        <v>420199.60117124248</v>
      </c>
      <c r="AH47" s="22">
        <f>((Data!$AJ$49*'Activity data'!AH41)+Data!$AK$49)</f>
        <v>420175.38543738599</v>
      </c>
      <c r="AI47" s="22">
        <f>((Data!$AJ$49*'Activity data'!AI41)+Data!$AK$49)</f>
        <v>420150.87527111539</v>
      </c>
      <c r="AJ47" s="22">
        <f>((Data!$AJ$49*'Activity data'!AJ41)+Data!$AK$49)</f>
        <v>420076.1535853711</v>
      </c>
      <c r="AK47" s="22">
        <f>((Data!$AJ$49*'Activity data'!AK41)+Data!$AK$49)</f>
        <v>420017.59651775297</v>
      </c>
      <c r="AL47" s="22">
        <f>((Data!$AJ$49*'Activity data'!AL41)+Data!$AK$49)</f>
        <v>420013.65412402141</v>
      </c>
      <c r="AM47" s="22">
        <f>((Data!$AJ$49*'Activity data'!AM41)+Data!$AK$49)</f>
        <v>420257.22276473558</v>
      </c>
      <c r="AN47" s="22">
        <f>((Data!$AJ$49*'Activity data'!AN41)+Data!$AK$49)</f>
        <v>420123.99989634583</v>
      </c>
      <c r="AO47" s="22">
        <f>((Data!$AJ$49*'Activity data'!AO41)+Data!$AK$49)</f>
        <v>420023.24199124472</v>
      </c>
      <c r="AP47" s="22">
        <f>((Data!$AJ$49*'Activity data'!AP41)+Data!$AK$49)</f>
        <v>419930.34791982052</v>
      </c>
      <c r="AQ47" s="22">
        <f>((Data!$AJ$49*'Activity data'!AQ41)+Data!$AK$49)</f>
        <v>419827.13741386164</v>
      </c>
      <c r="AR47" s="22">
        <f>((Data!$AJ$49*'Activity data'!AR41)+Data!$AK$49)</f>
        <v>419686.87510477618</v>
      </c>
      <c r="AS47" s="22">
        <f>((Data!$AJ$49*'Activity data'!AS41)+Data!$AK$49)</f>
        <v>419540.00383427477</v>
      </c>
      <c r="AT47" s="22">
        <f>((Data!$AJ$49*'Activity data'!AT41)+Data!$AK$49)</f>
        <v>419386.23549544899</v>
      </c>
      <c r="AU47" s="22">
        <f>((Data!$AJ$49*'Activity data'!AU41)+Data!$AK$49)</f>
        <v>419249.57155429857</v>
      </c>
      <c r="AV47" s="22">
        <f>((Data!$AJ$49*'Activity data'!AV41)+Data!$AK$49)</f>
        <v>419098.80344683689</v>
      </c>
      <c r="AW47" s="22">
        <f>((Data!$AJ$49*'Activity data'!AW41)+Data!$AK$49)</f>
        <v>418931.22413198365</v>
      </c>
      <c r="AX47" s="22">
        <f>((Data!$AJ$49*'Activity data'!AX41)+Data!$AK$49)</f>
        <v>418770.70865218906</v>
      </c>
      <c r="AY47" s="22">
        <f>((Data!$AJ$49*'Activity data'!AY41)+Data!$AK$49)</f>
        <v>418607.51689661556</v>
      </c>
      <c r="AZ47" s="22">
        <f>((Data!$AJ$49*'Activity data'!AZ41)+Data!$AK$49)</f>
        <v>418444.79232359456</v>
      </c>
      <c r="BA47" s="22">
        <f>((Data!$AJ$49*'Activity data'!BA41)+Data!$AK$49)</f>
        <v>418270.4489741305</v>
      </c>
      <c r="BB47" s="22">
        <f>((Data!$AJ$49*'Activity data'!BB41)+Data!$AK$49)</f>
        <v>418116.52875011368</v>
      </c>
      <c r="BC47" s="22">
        <f>((Data!$AJ$49*'Activity data'!BC41)+Data!$AK$49)</f>
        <v>417958.33945065399</v>
      </c>
      <c r="BD47" s="22">
        <f>((Data!$AJ$49*'Activity data'!BD41)+Data!$AK$49)</f>
        <v>417801.00069461617</v>
      </c>
      <c r="BE47" s="22">
        <f>((Data!$AJ$49*'Activity data'!BE41)+Data!$AK$49)</f>
        <v>417652.31748842401</v>
      </c>
      <c r="BF47" s="22">
        <f>((Data!$AJ$49*'Activity data'!BF41)+Data!$AK$49)</f>
        <v>417506.62430061895</v>
      </c>
      <c r="BG47" s="22">
        <f>((Data!$AJ$49*'Activity data'!BG41)+Data!$AK$49)</f>
        <v>417359.23893084063</v>
      </c>
      <c r="BH47" s="22">
        <f>((Data!$AJ$49*'Activity data'!BH41)+Data!$AK$49)</f>
        <v>417208.80628598569</v>
      </c>
      <c r="BI47" s="22">
        <f>((Data!$AJ$49*'Activity data'!BI41)+Data!$AK$49)</f>
        <v>417068.38250034227</v>
      </c>
      <c r="BJ47" s="22">
        <f>((Data!$AJ$49*'Activity data'!BJ41)+Data!$AK$49)</f>
        <v>416928.86767827626</v>
      </c>
      <c r="BK47" s="22">
        <f>((Data!$AJ$49*'Activity data'!BK41)+Data!$AK$49)</f>
        <v>416790.05211704015</v>
      </c>
      <c r="BL47" s="22">
        <f>((Data!$AJ$49*'Activity data'!BL41)+Data!$AK$49)</f>
        <v>416646.1292257469</v>
      </c>
      <c r="BM47" s="22">
        <f>((Data!$AJ$49*'Activity data'!BM41)+Data!$AK$49)</f>
        <v>416502.18125863961</v>
      </c>
      <c r="BN47" s="22">
        <f>((Data!$AJ$49*'Activity data'!BN41)+Data!$AK$49)</f>
        <v>416412.87360964552</v>
      </c>
      <c r="BO47" s="22">
        <f>((Data!$AJ$49*'Activity data'!BO41)+Data!$AK$49)</f>
        <v>416327.97650027968</v>
      </c>
      <c r="BP47" s="22">
        <f>((Data!$AJ$49*'Activity data'!BP41)+Data!$AK$49)</f>
        <v>416236.8434606563</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2774.3797348068124</v>
      </c>
      <c r="AF48" s="22">
        <f t="shared" si="18"/>
        <v>2773.8058119452267</v>
      </c>
      <c r="AG48" s="22">
        <f t="shared" si="18"/>
        <v>2773.3173677302011</v>
      </c>
      <c r="AH48" s="22">
        <f t="shared" si="18"/>
        <v>2773.1575438867476</v>
      </c>
      <c r="AI48" s="22">
        <f t="shared" si="18"/>
        <v>2772.995776789362</v>
      </c>
      <c r="AJ48" s="22">
        <f t="shared" si="17"/>
        <v>2772.5026136634497</v>
      </c>
      <c r="AK48" s="22">
        <f t="shared" si="17"/>
        <v>2772.1161370171699</v>
      </c>
      <c r="AL48" s="22">
        <f t="shared" si="17"/>
        <v>2772.0901172185418</v>
      </c>
      <c r="AM48" s="22">
        <f t="shared" si="17"/>
        <v>2773.6976702472552</v>
      </c>
      <c r="AN48" s="22">
        <f t="shared" ref="AN48:BP48" si="19">AN47*0.05*0.33*0.8*0.5</f>
        <v>2772.8183993158827</v>
      </c>
      <c r="AO48" s="22">
        <f t="shared" si="19"/>
        <v>2772.1533971422155</v>
      </c>
      <c r="AP48" s="22">
        <f t="shared" si="19"/>
        <v>2771.5402962708158</v>
      </c>
      <c r="AQ48" s="22">
        <f t="shared" si="19"/>
        <v>2770.8591069314871</v>
      </c>
      <c r="AR48" s="22">
        <f t="shared" si="19"/>
        <v>2769.933375691523</v>
      </c>
      <c r="AS48" s="22">
        <f t="shared" si="19"/>
        <v>2768.9640253062144</v>
      </c>
      <c r="AT48" s="22">
        <f t="shared" si="19"/>
        <v>2767.9491542699634</v>
      </c>
      <c r="AU48" s="22">
        <f t="shared" si="19"/>
        <v>2767.0471722583711</v>
      </c>
      <c r="AV48" s="22">
        <f t="shared" si="19"/>
        <v>2766.0521027491236</v>
      </c>
      <c r="AW48" s="22">
        <f t="shared" si="19"/>
        <v>2764.9460792710925</v>
      </c>
      <c r="AX48" s="22">
        <f t="shared" si="19"/>
        <v>2763.8866771044482</v>
      </c>
      <c r="AY48" s="22">
        <f t="shared" si="19"/>
        <v>2762.8096115176631</v>
      </c>
      <c r="AZ48" s="22">
        <f t="shared" si="19"/>
        <v>2761.7356293357243</v>
      </c>
      <c r="BA48" s="22">
        <f t="shared" si="19"/>
        <v>2760.584963229262</v>
      </c>
      <c r="BB48" s="22">
        <f t="shared" si="19"/>
        <v>2759.5690897507507</v>
      </c>
      <c r="BC48" s="22">
        <f t="shared" si="19"/>
        <v>2758.5250403743171</v>
      </c>
      <c r="BD48" s="22">
        <f t="shared" si="19"/>
        <v>2757.4866045844674</v>
      </c>
      <c r="BE48" s="22">
        <f t="shared" si="19"/>
        <v>2756.5052954235989</v>
      </c>
      <c r="BF48" s="22">
        <f t="shared" si="19"/>
        <v>2755.5437203840856</v>
      </c>
      <c r="BG48" s="22">
        <f t="shared" si="19"/>
        <v>2754.5709769435489</v>
      </c>
      <c r="BH48" s="22">
        <f t="shared" si="19"/>
        <v>2753.578121487506</v>
      </c>
      <c r="BI48" s="22">
        <f t="shared" si="19"/>
        <v>2752.6513245022593</v>
      </c>
      <c r="BJ48" s="22">
        <f t="shared" si="19"/>
        <v>2751.7305266766239</v>
      </c>
      <c r="BK48" s="22">
        <f t="shared" si="19"/>
        <v>2750.8143439724654</v>
      </c>
      <c r="BL48" s="22">
        <f t="shared" si="19"/>
        <v>2749.8644528899299</v>
      </c>
      <c r="BM48" s="22">
        <f t="shared" si="19"/>
        <v>2748.9143963070219</v>
      </c>
      <c r="BN48" s="22">
        <f t="shared" si="19"/>
        <v>2748.3249658236609</v>
      </c>
      <c r="BO48" s="22">
        <f t="shared" si="19"/>
        <v>2747.7646449018466</v>
      </c>
      <c r="BP48" s="22">
        <f t="shared" si="19"/>
        <v>2747.163166840332</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20306692.035354737</v>
      </c>
      <c r="AE50" s="22">
        <f>((AE5*Constants!$H63*Constants!$H81*(1-Constants!$H99))+(AE5*Constants!$H63*Constants!$H115))</f>
        <v>20443803.960096341</v>
      </c>
      <c r="AF50" s="22">
        <f>((AF5*Constants!$H63*Constants!$H81*(1-Constants!$H99))+(AF5*Constants!$H63*Constants!$H115))</f>
        <v>20563742.16288035</v>
      </c>
      <c r="AG50" s="22">
        <f>((AG5*Constants!$H63*Constants!$H81*(1-Constants!$H99))+(AG5*Constants!$H63*Constants!$H115))</f>
        <v>20579256.420816109</v>
      </c>
      <c r="AH50" s="22">
        <f>((AH5*Constants!$H63*Constants!$H81*(1-Constants!$H99))+(AH5*Constants!$H63*Constants!$H115))</f>
        <v>20605978.208970584</v>
      </c>
      <c r="AI50" s="22">
        <f>((AI5*Constants!$H63*Constants!$H81*(1-Constants!$H99))+(AI5*Constants!$H63*Constants!$H115))</f>
        <v>20759302.900500614</v>
      </c>
      <c r="AJ50" s="22">
        <f>((AJ5*Constants!$H63*Constants!$H81*(1-Constants!$H99))+(AJ5*Constants!$H63*Constants!$H115))</f>
        <v>20881906.511640951</v>
      </c>
      <c r="AK50" s="22">
        <f>((AK5*Constants!$H63*Constants!$H81*(1-Constants!$H99))+(AK5*Constants!$H63*Constants!$H115))</f>
        <v>20882981.507475685</v>
      </c>
      <c r="AL50" s="22">
        <f>((AL5*Constants!$H63*Constants!$H81*(1-Constants!$H99))+(AL5*Constants!$H63*Constants!$H115))</f>
        <v>20329712.963385038</v>
      </c>
      <c r="AM50" s="22">
        <f>((AM5*Constants!$H63*Constants!$H81*(1-Constants!$H99))+(AM5*Constants!$H63*Constants!$H115))</f>
        <v>20596993.933995269</v>
      </c>
      <c r="AN50" s="22">
        <f>((AN5*Constants!$H63*Constants!$H81*(1-Constants!$H99))+(AN5*Constants!$H63*Constants!$H115))</f>
        <v>20799321.036480777</v>
      </c>
      <c r="AO50" s="22">
        <f>((AO5*Constants!$H63*Constants!$H81*(1-Constants!$H99))+(AO5*Constants!$H63*Constants!$H115))</f>
        <v>20990211.869810633</v>
      </c>
      <c r="AP50" s="22">
        <f>((AP5*Constants!$H63*Constants!$H81*(1-Constants!$H99))+(AP5*Constants!$H63*Constants!$H115))</f>
        <v>21211555.417934295</v>
      </c>
      <c r="AQ50" s="22">
        <f>((AQ5*Constants!$H63*Constants!$H81*(1-Constants!$H99))+(AQ5*Constants!$H63*Constants!$H115))</f>
        <v>21528707.204207923</v>
      </c>
      <c r="AR50" s="22">
        <f>((AR5*Constants!$H63*Constants!$H81*(1-Constants!$H99))+(AR5*Constants!$H63*Constants!$H115))</f>
        <v>21858899.116649348</v>
      </c>
      <c r="AS50" s="22">
        <f>((AS5*Constants!$H63*Constants!$H81*(1-Constants!$H99))+(AS5*Constants!$H63*Constants!$H115))</f>
        <v>22217562.069264464</v>
      </c>
      <c r="AT50" s="22">
        <f>((AT5*Constants!$H63*Constants!$H81*(1-Constants!$H99))+(AT5*Constants!$H63*Constants!$H115))</f>
        <v>22543729.368733767</v>
      </c>
      <c r="AU50" s="22">
        <f>((AU5*Constants!$H63*Constants!$H81*(1-Constants!$H99))+(AU5*Constants!$H63*Constants!$H115))</f>
        <v>22917437.515967026</v>
      </c>
      <c r="AV50" s="22">
        <f>((AV5*Constants!$H63*Constants!$H81*(1-Constants!$H99))+(AV5*Constants!$H63*Constants!$H115))</f>
        <v>23349226.134543903</v>
      </c>
      <c r="AW50" s="22">
        <f>((AW5*Constants!$H63*Constants!$H81*(1-Constants!$H99))+(AW5*Constants!$H63*Constants!$H115))</f>
        <v>23764931.762477234</v>
      </c>
      <c r="AX50" s="22">
        <f>((AX5*Constants!$H63*Constants!$H81*(1-Constants!$H99))+(AX5*Constants!$H63*Constants!$H115))</f>
        <v>24202309.774506316</v>
      </c>
      <c r="AY50" s="22">
        <f>((AY5*Constants!$H63*Constants!$H81*(1-Constants!$H99))+(AY5*Constants!$H63*Constants!$H115))</f>
        <v>24652953.749861531</v>
      </c>
      <c r="AZ50" s="22">
        <f>((AZ5*Constants!$H63*Constants!$H81*(1-Constants!$H99))+(AZ5*Constants!$H63*Constants!$H115))</f>
        <v>25154392.864687894</v>
      </c>
      <c r="BA50" s="22">
        <f>((BA5*Constants!$H63*Constants!$H81*(1-Constants!$H99))+(BA5*Constants!$H63*Constants!$H115))</f>
        <v>25608382.302415118</v>
      </c>
      <c r="BB50" s="22">
        <f>((BB5*Constants!$H63*Constants!$H81*(1-Constants!$H99))+(BB5*Constants!$H63*Constants!$H115))</f>
        <v>26080127.788594875</v>
      </c>
      <c r="BC50" s="22">
        <f>((BC5*Constants!$H63*Constants!$H81*(1-Constants!$H99))+(BC5*Constants!$H63*Constants!$H115))</f>
        <v>26564203.787672717</v>
      </c>
      <c r="BD50" s="22">
        <f>((BD5*Constants!$H63*Constants!$H81*(1-Constants!$H99))+(BD5*Constants!$H63*Constants!$H115))</f>
        <v>27033809.48180858</v>
      </c>
      <c r="BE50" s="22">
        <f>((BE5*Constants!$H63*Constants!$H81*(1-Constants!$H99))+(BE5*Constants!$H63*Constants!$H115))</f>
        <v>27506974.364788618</v>
      </c>
      <c r="BF50" s="22">
        <f>((BF5*Constants!$H63*Constants!$H81*(1-Constants!$H99))+(BF5*Constants!$H63*Constants!$H115))</f>
        <v>28000210.809797671</v>
      </c>
      <c r="BG50" s="22">
        <f>((BG5*Constants!$H63*Constants!$H81*(1-Constants!$H99))+(BG5*Constants!$H63*Constants!$H115))</f>
        <v>28509778.868733145</v>
      </c>
      <c r="BH50" s="22">
        <f>((BH5*Constants!$H63*Constants!$H81*(1-Constants!$H99))+(BH5*Constants!$H63*Constants!$H115))</f>
        <v>28996468.553923547</v>
      </c>
      <c r="BI50" s="22">
        <f>((BI5*Constants!$H63*Constants!$H81*(1-Constants!$H99))+(BI5*Constants!$H63*Constants!$H115))</f>
        <v>29493439.073763348</v>
      </c>
      <c r="BJ50" s="22">
        <f>((BJ5*Constants!$H63*Constants!$H81*(1-Constants!$H99))+(BJ5*Constants!$H63*Constants!$H115))</f>
        <v>30001586.084352009</v>
      </c>
      <c r="BK50" s="22">
        <f>((BK5*Constants!$H63*Constants!$H81*(1-Constants!$H99))+(BK5*Constants!$H63*Constants!$H115))</f>
        <v>30544999.736359723</v>
      </c>
      <c r="BL50" s="22">
        <f>((BL5*Constants!$H63*Constants!$H81*(1-Constants!$H99))+(BL5*Constants!$H63*Constants!$H115))</f>
        <v>31094394.093384348</v>
      </c>
      <c r="BM50" s="22">
        <f>((BM5*Constants!$H63*Constants!$H81*(1-Constants!$H99))+(BM5*Constants!$H63*Constants!$H115))</f>
        <v>31423213.222368609</v>
      </c>
      <c r="BN50" s="22">
        <f>((BN5*Constants!$H63*Constants!$H81*(1-Constants!$H99))+(BN5*Constants!$H63*Constants!$H115))</f>
        <v>31739257.016304981</v>
      </c>
      <c r="BO50" s="22">
        <f>((BO5*Constants!$H63*Constants!$H81*(1-Constants!$H99))+(BO5*Constants!$H63*Constants!$H115))</f>
        <v>32088921.634300385</v>
      </c>
      <c r="BP50" s="22">
        <f>((BP5*Constants!$H63*Constants!$H81*(1-Constants!$H99))+(BP5*Constants!$H63*Constants!$H115))</f>
        <v>32428508.828983914</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59376173.827164091</v>
      </c>
      <c r="AE51" s="22">
        <f>((AE6*Constants!$H64*Constants!$H82*(1-Constants!$H100))+(AE6*Constants!$H64*Constants!$H116))</f>
        <v>59777085.086519398</v>
      </c>
      <c r="AF51" s="22">
        <f>((AF6*Constants!$H64*Constants!$H82*(1-Constants!$H100))+(AF6*Constants!$H64*Constants!$H116))</f>
        <v>60127780.884959757</v>
      </c>
      <c r="AG51" s="22">
        <f>((AG6*Constants!$H64*Constants!$H82*(1-Constants!$H100))+(AG6*Constants!$H64*Constants!$H116))</f>
        <v>60173144.121590778</v>
      </c>
      <c r="AH51" s="22">
        <f>((AH6*Constants!$H64*Constants!$H82*(1-Constants!$H100))+(AH6*Constants!$H64*Constants!$H116))</f>
        <v>60251277.848919205</v>
      </c>
      <c r="AI51" s="22">
        <f>((AI6*Constants!$H64*Constants!$H82*(1-Constants!$H100))+(AI6*Constants!$H64*Constants!$H116))</f>
        <v>60699594.764369212</v>
      </c>
      <c r="AJ51" s="22">
        <f>((AJ6*Constants!$H64*Constants!$H82*(1-Constants!$H100))+(AJ6*Constants!$H64*Constants!$H116))</f>
        <v>61058084.138917878</v>
      </c>
      <c r="AK51" s="22">
        <f>((AK6*Constants!$H64*Constants!$H82*(1-Constants!$H100))+(AK6*Constants!$H64*Constants!$H116))</f>
        <v>61061227.395310163</v>
      </c>
      <c r="AL51" s="22">
        <f>((AL6*Constants!$H64*Constants!$H82*(1-Constants!$H100))+(AL6*Constants!$H64*Constants!$H116))</f>
        <v>59443486.347687379</v>
      </c>
      <c r="AM51" s="22">
        <f>((AM6*Constants!$H64*Constants!$H82*(1-Constants!$H100))+(AM6*Constants!$H64*Constants!$H116))</f>
        <v>60225008.091554657</v>
      </c>
      <c r="AN51" s="22">
        <f>((AN6*Constants!$H64*Constants!$H82*(1-Constants!$H100))+(AN6*Constants!$H64*Constants!$H116))</f>
        <v>60816606.624009386</v>
      </c>
      <c r="AO51" s="22">
        <f>((AO6*Constants!$H64*Constants!$H82*(1-Constants!$H100))+(AO6*Constants!$H64*Constants!$H116))</f>
        <v>61374765.839802489</v>
      </c>
      <c r="AP51" s="22">
        <f>((AP6*Constants!$H64*Constants!$H82*(1-Constants!$H100))+(AP6*Constants!$H64*Constants!$H116))</f>
        <v>62021967.903340474</v>
      </c>
      <c r="AQ51" s="22">
        <f>((AQ6*Constants!$H64*Constants!$H82*(1-Constants!$H100))+(AQ6*Constants!$H64*Constants!$H116))</f>
        <v>62949310.454189837</v>
      </c>
      <c r="AR51" s="22">
        <f>((AR6*Constants!$H64*Constants!$H82*(1-Constants!$H100))+(AR6*Constants!$H64*Constants!$H116))</f>
        <v>63914781.95271416</v>
      </c>
      <c r="AS51" s="22">
        <f>((AS6*Constants!$H64*Constants!$H82*(1-Constants!$H100))+(AS6*Constants!$H64*Constants!$H116))</f>
        <v>64963501.940330148</v>
      </c>
      <c r="AT51" s="22">
        <f>((AT6*Constants!$H64*Constants!$H82*(1-Constants!$H100))+(AT6*Constants!$H64*Constants!$H116))</f>
        <v>65917205.588187143</v>
      </c>
      <c r="AU51" s="22">
        <f>((AU6*Constants!$H64*Constants!$H82*(1-Constants!$H100))+(AU6*Constants!$H64*Constants!$H116))</f>
        <v>67009917.285006918</v>
      </c>
      <c r="AV51" s="22">
        <f>((AV6*Constants!$H64*Constants!$H82*(1-Constants!$H100))+(AV6*Constants!$H64*Constants!$H116))</f>
        <v>68272454.582001179</v>
      </c>
      <c r="AW51" s="22">
        <f>((AW6*Constants!$H64*Constants!$H82*(1-Constants!$H100))+(AW6*Constants!$H64*Constants!$H116))</f>
        <v>69487965.684554279</v>
      </c>
      <c r="AX51" s="22">
        <f>((AX6*Constants!$H64*Constants!$H82*(1-Constants!$H100))+(AX6*Constants!$H64*Constants!$H116))</f>
        <v>70766846.20459187</v>
      </c>
      <c r="AY51" s="22">
        <f>((AY6*Constants!$H64*Constants!$H82*(1-Constants!$H100))+(AY6*Constants!$H64*Constants!$H116))</f>
        <v>72084516.013552874</v>
      </c>
      <c r="AZ51" s="22">
        <f>((AZ6*Constants!$H64*Constants!$H82*(1-Constants!$H100))+(AZ6*Constants!$H64*Constants!$H116))</f>
        <v>73550709.325286388</v>
      </c>
      <c r="BA51" s="22">
        <f>((BA6*Constants!$H64*Constants!$H82*(1-Constants!$H100))+(BA6*Constants!$H64*Constants!$H116))</f>
        <v>74878161.168415591</v>
      </c>
      <c r="BB51" s="22">
        <f>((BB6*Constants!$H64*Constants!$H82*(1-Constants!$H100))+(BB6*Constants!$H64*Constants!$H116))</f>
        <v>76257531.17810607</v>
      </c>
      <c r="BC51" s="22">
        <f>((BC6*Constants!$H64*Constants!$H82*(1-Constants!$H100))+(BC6*Constants!$H64*Constants!$H116))</f>
        <v>77672955.247017056</v>
      </c>
      <c r="BD51" s="22">
        <f>((BD6*Constants!$H64*Constants!$H82*(1-Constants!$H100))+(BD6*Constants!$H64*Constants!$H116))</f>
        <v>79046068.567329928</v>
      </c>
      <c r="BE51" s="22">
        <f>((BE6*Constants!$H64*Constants!$H82*(1-Constants!$H100))+(BE6*Constants!$H64*Constants!$H116))</f>
        <v>80429588.851767123</v>
      </c>
      <c r="BF51" s="22">
        <f>((BF6*Constants!$H64*Constants!$H82*(1-Constants!$H100))+(BF6*Constants!$H64*Constants!$H116))</f>
        <v>81871797.79676719</v>
      </c>
      <c r="BG51" s="22">
        <f>((BG6*Constants!$H64*Constants!$H82*(1-Constants!$H100))+(BG6*Constants!$H64*Constants!$H116))</f>
        <v>83361759.903418824</v>
      </c>
      <c r="BH51" s="22">
        <f>((BH6*Constants!$H64*Constants!$H82*(1-Constants!$H100))+(BH6*Constants!$H64*Constants!$H116))</f>
        <v>84784826.314109504</v>
      </c>
      <c r="BI51" s="22">
        <f>((BI6*Constants!$H64*Constants!$H82*(1-Constants!$H100))+(BI6*Constants!$H64*Constants!$H116))</f>
        <v>86237953.58474566</v>
      </c>
      <c r="BJ51" s="22">
        <f>((BJ6*Constants!$H64*Constants!$H82*(1-Constants!$H100))+(BJ6*Constants!$H64*Constants!$H116))</f>
        <v>87723760.587576851</v>
      </c>
      <c r="BK51" s="22">
        <f>((BK6*Constants!$H64*Constants!$H82*(1-Constants!$H100))+(BK6*Constants!$H64*Constants!$H116))</f>
        <v>89312686.218865678</v>
      </c>
      <c r="BL51" s="22">
        <f>((BL6*Constants!$H64*Constants!$H82*(1-Constants!$H100))+(BL6*Constants!$H64*Constants!$H116))</f>
        <v>90919099.256772727</v>
      </c>
      <c r="BM51" s="22">
        <f>((BM6*Constants!$H64*Constants!$H82*(1-Constants!$H100))+(BM6*Constants!$H64*Constants!$H116))</f>
        <v>91880556.776602849</v>
      </c>
      <c r="BN51" s="22">
        <f>((BN6*Constants!$H64*Constants!$H82*(1-Constants!$H100))+(BN6*Constants!$H64*Constants!$H116))</f>
        <v>92804659.590251207</v>
      </c>
      <c r="BO51" s="22">
        <f>((BO6*Constants!$H64*Constants!$H82*(1-Constants!$H100))+(BO6*Constants!$H64*Constants!$H116))</f>
        <v>93827068.710513517</v>
      </c>
      <c r="BP51" s="22">
        <f>((BP6*Constants!$H64*Constants!$H82*(1-Constants!$H100))+(BP6*Constants!$H64*Constants!$H116))</f>
        <v>94820011.739634305</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3176290.5139993029</v>
      </c>
      <c r="AE52" s="22">
        <f>((AE7*Constants!$H65*Constants!$H83*(1-Constants!$H101))+(AE7*Constants!$H65*Constants!$H117))</f>
        <v>3197737.005882604</v>
      </c>
      <c r="AF52" s="22">
        <f>((AF7*Constants!$H65*Constants!$H83*(1-Constants!$H101))+(AF7*Constants!$H65*Constants!$H117))</f>
        <v>3216497.2537410799</v>
      </c>
      <c r="AG52" s="22">
        <f>((AG7*Constants!$H65*Constants!$H83*(1-Constants!$H101))+(AG7*Constants!$H65*Constants!$H117))</f>
        <v>3218923.9311254267</v>
      </c>
      <c r="AH52" s="22">
        <f>((AH7*Constants!$H65*Constants!$H83*(1-Constants!$H101))+(AH7*Constants!$H65*Constants!$H117))</f>
        <v>3223103.6449894267</v>
      </c>
      <c r="AI52" s="22">
        <f>((AI7*Constants!$H65*Constants!$H83*(1-Constants!$H101))+(AI7*Constants!$H65*Constants!$H117))</f>
        <v>3247086.0721824337</v>
      </c>
      <c r="AJ52" s="22">
        <f>((AJ7*Constants!$H65*Constants!$H83*(1-Constants!$H101))+(AJ7*Constants!$H65*Constants!$H117))</f>
        <v>3266263.2324195178</v>
      </c>
      <c r="AK52" s="22">
        <f>((AK7*Constants!$H65*Constants!$H83*(1-Constants!$H101))+(AK7*Constants!$H65*Constants!$H117))</f>
        <v>3266431.378913614</v>
      </c>
      <c r="AL52" s="22">
        <f>((AL7*Constants!$H65*Constants!$H83*(1-Constants!$H101))+(AL7*Constants!$H65*Constants!$H117))</f>
        <v>3179891.3543133633</v>
      </c>
      <c r="AM52" s="22">
        <f>((AM7*Constants!$H65*Constants!$H83*(1-Constants!$H101))+(AM7*Constants!$H65*Constants!$H117))</f>
        <v>3221698.361089441</v>
      </c>
      <c r="AN52" s="22">
        <f>((AN7*Constants!$H65*Constants!$H83*(1-Constants!$H101))+(AN7*Constants!$H65*Constants!$H117))</f>
        <v>3253345.5469152173</v>
      </c>
      <c r="AO52" s="22">
        <f>((AO7*Constants!$H65*Constants!$H83*(1-Constants!$H101))+(AO7*Constants!$H65*Constants!$H117))</f>
        <v>3283203.917843353</v>
      </c>
      <c r="AP52" s="22">
        <f>((AP7*Constants!$H65*Constants!$H83*(1-Constants!$H101))+(AP7*Constants!$H65*Constants!$H117))</f>
        <v>3317825.5790679427</v>
      </c>
      <c r="AQ52" s="22">
        <f>((AQ7*Constants!$H65*Constants!$H83*(1-Constants!$H101))+(AQ7*Constants!$H65*Constants!$H117))</f>
        <v>3367433.1768236482</v>
      </c>
      <c r="AR52" s="22">
        <f>((AR7*Constants!$H65*Constants!$H83*(1-Constants!$H101))+(AR7*Constants!$H65*Constants!$H117))</f>
        <v>3419080.4582942594</v>
      </c>
      <c r="AS52" s="22">
        <f>((AS7*Constants!$H65*Constants!$H83*(1-Constants!$H101))+(AS7*Constants!$H65*Constants!$H117))</f>
        <v>3475181.0645442056</v>
      </c>
      <c r="AT52" s="22">
        <f>((AT7*Constants!$H65*Constants!$H83*(1-Constants!$H101))+(AT7*Constants!$H65*Constants!$H117))</f>
        <v>3526198.8323557936</v>
      </c>
      <c r="AU52" s="22">
        <f>((AU7*Constants!$H65*Constants!$H83*(1-Constants!$H101))+(AU7*Constants!$H65*Constants!$H117))</f>
        <v>3584652.7470059306</v>
      </c>
      <c r="AV52" s="22">
        <f>((AV7*Constants!$H65*Constants!$H83*(1-Constants!$H101))+(AV7*Constants!$H65*Constants!$H117))</f>
        <v>3652191.3737232108</v>
      </c>
      <c r="AW52" s="22">
        <f>((AW7*Constants!$H65*Constants!$H83*(1-Constants!$H101))+(AW7*Constants!$H65*Constants!$H117))</f>
        <v>3717214.3641896984</v>
      </c>
      <c r="AX52" s="22">
        <f>((AX7*Constants!$H65*Constants!$H83*(1-Constants!$H101))+(AX7*Constants!$H65*Constants!$H117))</f>
        <v>3785627.261190407</v>
      </c>
      <c r="AY52" s="22">
        <f>((AY7*Constants!$H65*Constants!$H83*(1-Constants!$H101))+(AY7*Constants!$H65*Constants!$H117))</f>
        <v>3856115.1664395551</v>
      </c>
      <c r="AZ52" s="22">
        <f>((AZ7*Constants!$H65*Constants!$H83*(1-Constants!$H101))+(AZ7*Constants!$H65*Constants!$H117))</f>
        <v>3934548.2416542773</v>
      </c>
      <c r="BA52" s="22">
        <f>((BA7*Constants!$H65*Constants!$H83*(1-Constants!$H101))+(BA7*Constants!$H65*Constants!$H117))</f>
        <v>4005559.4305765443</v>
      </c>
      <c r="BB52" s="22">
        <f>((BB7*Constants!$H65*Constants!$H83*(1-Constants!$H101))+(BB7*Constants!$H65*Constants!$H117))</f>
        <v>4079347.9486752078</v>
      </c>
      <c r="BC52" s="22">
        <f>((BC7*Constants!$H65*Constants!$H83*(1-Constants!$H101))+(BC7*Constants!$H65*Constants!$H117))</f>
        <v>4155065.1556554842</v>
      </c>
      <c r="BD52" s="22">
        <f>((BD7*Constants!$H65*Constants!$H83*(1-Constants!$H101))+(BD7*Constants!$H65*Constants!$H117))</f>
        <v>4228518.9761500703</v>
      </c>
      <c r="BE52" s="22">
        <f>((BE7*Constants!$H65*Constants!$H83*(1-Constants!$H101))+(BE7*Constants!$H65*Constants!$H117))</f>
        <v>4302529.5105468323</v>
      </c>
      <c r="BF52" s="22">
        <f>((BF7*Constants!$H65*Constants!$H83*(1-Constants!$H101))+(BF7*Constants!$H65*Constants!$H117))</f>
        <v>4379679.5573744196</v>
      </c>
      <c r="BG52" s="22">
        <f>((BG7*Constants!$H65*Constants!$H83*(1-Constants!$H101))+(BG7*Constants!$H65*Constants!$H117))</f>
        <v>4459384.1290996345</v>
      </c>
      <c r="BH52" s="22">
        <f>((BH7*Constants!$H65*Constants!$H83*(1-Constants!$H101))+(BH7*Constants!$H65*Constants!$H117))</f>
        <v>4535510.1582746552</v>
      </c>
      <c r="BI52" s="22">
        <f>((BI7*Constants!$H65*Constants!$H83*(1-Constants!$H101))+(BI7*Constants!$H65*Constants!$H117))</f>
        <v>4613244.2739620451</v>
      </c>
      <c r="BJ52" s="22">
        <f>((BJ7*Constants!$H65*Constants!$H83*(1-Constants!$H101))+(BJ7*Constants!$H65*Constants!$H117))</f>
        <v>4692726.5710609425</v>
      </c>
      <c r="BK52" s="22">
        <f>((BK7*Constants!$H65*Constants!$H83*(1-Constants!$H101))+(BK7*Constants!$H65*Constants!$H117))</f>
        <v>4777725.1333597517</v>
      </c>
      <c r="BL52" s="22">
        <f>((BL7*Constants!$H65*Constants!$H83*(1-Constants!$H101))+(BL7*Constants!$H65*Constants!$H117))</f>
        <v>4863659.1733118948</v>
      </c>
      <c r="BM52" s="22">
        <f>((BM7*Constants!$H65*Constants!$H83*(1-Constants!$H101))+(BM7*Constants!$H65*Constants!$H117))</f>
        <v>4915091.7295547239</v>
      </c>
      <c r="BN52" s="22">
        <f>((BN7*Constants!$H65*Constants!$H83*(1-Constants!$H101))+(BN7*Constants!$H65*Constants!$H117))</f>
        <v>4964526.0196370641</v>
      </c>
      <c r="BO52" s="22">
        <f>((BO7*Constants!$H65*Constants!$H83*(1-Constants!$H101))+(BO7*Constants!$H65*Constants!$H117))</f>
        <v>5019219.1428343998</v>
      </c>
      <c r="BP52" s="22">
        <f>((BP7*Constants!$H65*Constants!$H83*(1-Constants!$H101))+(BP7*Constants!$H65*Constants!$H117))</f>
        <v>5072335.9962968435</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25580123.432886433</v>
      </c>
      <c r="AE53" s="22">
        <f>((AE8*Constants!$H66*Constants!$H84*(1-Constants!$H102))+(AE8*Constants!$H66*Constants!$H118))</f>
        <v>25449889.470219385</v>
      </c>
      <c r="AF53" s="22">
        <f>((AF8*Constants!$H66*Constants!$H84*(1-Constants!$H102))+(AF8*Constants!$H66*Constants!$H118))</f>
        <v>25212188.635966018</v>
      </c>
      <c r="AG53" s="22">
        <f>((AG8*Constants!$H66*Constants!$H84*(1-Constants!$H102))+(AG8*Constants!$H66*Constants!$H118))</f>
        <v>24561534.291354593</v>
      </c>
      <c r="AH53" s="22">
        <f>((AH8*Constants!$H66*Constants!$H84*(1-Constants!$H102))+(AH8*Constants!$H66*Constants!$H118))</f>
        <v>23936844.980994303</v>
      </c>
      <c r="AI53" s="22">
        <f>((AI8*Constants!$H66*Constants!$H84*(1-Constants!$H102))+(AI8*Constants!$H66*Constants!$H118))</f>
        <v>23732363.350277517</v>
      </c>
      <c r="AJ53" s="22">
        <f>((AJ8*Constants!$H66*Constants!$H84*(1-Constants!$H102))+(AJ8*Constants!$H66*Constants!$H118))</f>
        <v>23402103.761308923</v>
      </c>
      <c r="AK53" s="22">
        <f>((AK8*Constants!$H66*Constants!$H84*(1-Constants!$H102))+(AK8*Constants!$H66*Constants!$H118))</f>
        <v>22660074.790887624</v>
      </c>
      <c r="AL53" s="22">
        <f>((AL8*Constants!$H66*Constants!$H84*(1-Constants!$H102))+(AL8*Constants!$H66*Constants!$H118))</f>
        <v>20170491.392031085</v>
      </c>
      <c r="AM53" s="22">
        <f>((AM8*Constants!$H66*Constants!$H84*(1-Constants!$H102))+(AM8*Constants!$H66*Constants!$H118))</f>
        <v>20663354.108770318</v>
      </c>
      <c r="AN53" s="22">
        <f>((AN8*Constants!$H66*Constants!$H84*(1-Constants!$H102))+(AN8*Constants!$H66*Constants!$H118))</f>
        <v>20929562.216201846</v>
      </c>
      <c r="AO53" s="22">
        <f>((AO8*Constants!$H66*Constants!$H84*(1-Constants!$H102))+(AO8*Constants!$H66*Constants!$H118))</f>
        <v>21141151.627327006</v>
      </c>
      <c r="AP53" s="22">
        <f>((AP8*Constants!$H66*Constants!$H84*(1-Constants!$H102))+(AP8*Constants!$H66*Constants!$H118))</f>
        <v>21425514.185449537</v>
      </c>
      <c r="AQ53" s="22">
        <f>((AQ8*Constants!$H66*Constants!$H84*(1-Constants!$H102))+(AQ8*Constants!$H66*Constants!$H118))</f>
        <v>21971451.354595128</v>
      </c>
      <c r="AR53" s="22">
        <f>((AR8*Constants!$H66*Constants!$H84*(1-Constants!$H102))+(AR8*Constants!$H66*Constants!$H118))</f>
        <v>22568966.961025819</v>
      </c>
      <c r="AS53" s="22">
        <f>((AS8*Constants!$H66*Constants!$H84*(1-Constants!$H102))+(AS8*Constants!$H66*Constants!$H118))</f>
        <v>23220022.90851767</v>
      </c>
      <c r="AT53" s="22">
        <f>((AT8*Constants!$H66*Constants!$H84*(1-Constants!$H102))+(AT8*Constants!$H66*Constants!$H118))</f>
        <v>23750880.029965211</v>
      </c>
      <c r="AU53" s="22">
        <f>((AU8*Constants!$H66*Constants!$H84*(1-Constants!$H102))+(AU8*Constants!$H66*Constants!$H118))</f>
        <v>24388104.759221368</v>
      </c>
      <c r="AV53" s="22">
        <f>((AV8*Constants!$H66*Constants!$H84*(1-Constants!$H102))+(AV8*Constants!$H66*Constants!$H118))</f>
        <v>25155656.464872468</v>
      </c>
      <c r="AW53" s="22">
        <f>((AW8*Constants!$H66*Constants!$H84*(1-Constants!$H102))+(AW8*Constants!$H66*Constants!$H118))</f>
        <v>25661264.765415814</v>
      </c>
      <c r="AX53" s="22">
        <f>((AX8*Constants!$H66*Constants!$H84*(1-Constants!$H102))+(AX8*Constants!$H66*Constants!$H118))</f>
        <v>26177726.167374112</v>
      </c>
      <c r="AY53" s="22">
        <f>((AY8*Constants!$H66*Constants!$H84*(1-Constants!$H102))+(AY8*Constants!$H66*Constants!$H118))</f>
        <v>26680969.583985891</v>
      </c>
      <c r="AZ53" s="22">
        <f>((AZ8*Constants!$H66*Constants!$H84*(1-Constants!$H102))+(AZ8*Constants!$H66*Constants!$H118))</f>
        <v>27263182.129122168</v>
      </c>
      <c r="BA53" s="22">
        <f>((BA8*Constants!$H66*Constants!$H84*(1-Constants!$H102))+(BA8*Constants!$H66*Constants!$H118))</f>
        <v>27678070.121031009</v>
      </c>
      <c r="BB53" s="22">
        <f>((BB8*Constants!$H66*Constants!$H84*(1-Constants!$H102))+(BB8*Constants!$H66*Constants!$H118))</f>
        <v>28115148.169221159</v>
      </c>
      <c r="BC53" s="22">
        <f>((BC8*Constants!$H66*Constants!$H84*(1-Constants!$H102))+(BC8*Constants!$H66*Constants!$H118))</f>
        <v>28533392.570443485</v>
      </c>
      <c r="BD53" s="22">
        <f>((BD8*Constants!$H66*Constants!$H84*(1-Constants!$H102))+(BD8*Constants!$H66*Constants!$H118))</f>
        <v>28871294.128213611</v>
      </c>
      <c r="BE53" s="22">
        <f>((BE8*Constants!$H66*Constants!$H84*(1-Constants!$H102))+(BE8*Constants!$H66*Constants!$H118))</f>
        <v>29172009.476200636</v>
      </c>
      <c r="BF53" s="22">
        <f>((BF8*Constants!$H66*Constants!$H84*(1-Constants!$H102))+(BF8*Constants!$H66*Constants!$H118))</f>
        <v>29471374.650682699</v>
      </c>
      <c r="BG53" s="22">
        <f>((BG8*Constants!$H66*Constants!$H84*(1-Constants!$H102))+(BG8*Constants!$H66*Constants!$H118))</f>
        <v>29932144.033120438</v>
      </c>
      <c r="BH53" s="22">
        <f>((BH8*Constants!$H66*Constants!$H84*(1-Constants!$H102))+(BH8*Constants!$H66*Constants!$H118))</f>
        <v>30307388.030583039</v>
      </c>
      <c r="BI53" s="22">
        <f>((BI8*Constants!$H66*Constants!$H84*(1-Constants!$H102))+(BI8*Constants!$H66*Constants!$H118))</f>
        <v>30667711.069493871</v>
      </c>
      <c r="BJ53" s="22">
        <f>((BJ8*Constants!$H66*Constants!$H84*(1-Constants!$H102))+(BJ8*Constants!$H66*Constants!$H118))</f>
        <v>31014295.652163401</v>
      </c>
      <c r="BK53" s="22">
        <f>((BK8*Constants!$H66*Constants!$H84*(1-Constants!$H102))+(BK8*Constants!$H66*Constants!$H118))</f>
        <v>31393042.018013809</v>
      </c>
      <c r="BL53" s="22">
        <f>((BL8*Constants!$H66*Constants!$H84*(1-Constants!$H102))+(BL8*Constants!$H66*Constants!$H118))</f>
        <v>31764019.961725507</v>
      </c>
      <c r="BM53" s="22">
        <f>((BM8*Constants!$H66*Constants!$H84*(1-Constants!$H102))+(BM8*Constants!$H66*Constants!$H118))</f>
        <v>31687587.587553501</v>
      </c>
      <c r="BN53" s="22">
        <f>((BN8*Constants!$H66*Constants!$H84*(1-Constants!$H102))+(BN8*Constants!$H66*Constants!$H118))</f>
        <v>31567655.747575577</v>
      </c>
      <c r="BO53" s="22">
        <f>((BO8*Constants!$H66*Constants!$H84*(1-Constants!$H102))+(BO8*Constants!$H66*Constants!$H118))</f>
        <v>31488382.502647676</v>
      </c>
      <c r="BP53" s="22">
        <f>((BP8*Constants!$H66*Constants!$H84*(1-Constants!$H102))+(BP8*Constants!$H66*Constants!$H118))</f>
        <v>31370418.222058456</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170127022.08485961</v>
      </c>
      <c r="AE54" s="22">
        <f>((AE9*Constants!$H67*Constants!$H85*(1-Constants!$H103))+(AE9*Constants!$H67*Constants!$H119))</f>
        <v>169260868.47535944</v>
      </c>
      <c r="AF54" s="22">
        <f>((AF9*Constants!$H67*Constants!$H85*(1-Constants!$H103))+(AF9*Constants!$H67*Constants!$H119))</f>
        <v>167679979.50175029</v>
      </c>
      <c r="AG54" s="22">
        <f>((AG9*Constants!$H67*Constants!$H85*(1-Constants!$H103))+(AG9*Constants!$H67*Constants!$H119))</f>
        <v>163352639.70818982</v>
      </c>
      <c r="AH54" s="22">
        <f>((AH9*Constants!$H67*Constants!$H85*(1-Constants!$H103))+(AH9*Constants!$H67*Constants!$H119))</f>
        <v>159197986.88258192</v>
      </c>
      <c r="AI54" s="22">
        <f>((AI9*Constants!$H67*Constants!$H85*(1-Constants!$H103))+(AI9*Constants!$H67*Constants!$H119))</f>
        <v>157838030.54788417</v>
      </c>
      <c r="AJ54" s="22">
        <f>((AJ9*Constants!$H67*Constants!$H85*(1-Constants!$H103))+(AJ9*Constants!$H67*Constants!$H119))</f>
        <v>155641556.3778666</v>
      </c>
      <c r="AK54" s="22">
        <f>((AK9*Constants!$H67*Constants!$H85*(1-Constants!$H103))+(AK9*Constants!$H67*Constants!$H119))</f>
        <v>150706506.73396328</v>
      </c>
      <c r="AL54" s="22">
        <f>((AL9*Constants!$H67*Constants!$H85*(1-Constants!$H103))+(AL9*Constants!$H67*Constants!$H119))</f>
        <v>134148908.37089805</v>
      </c>
      <c r="AM54" s="22">
        <f>((AM9*Constants!$H67*Constants!$H85*(1-Constants!$H103))+(AM9*Constants!$H67*Constants!$H119))</f>
        <v>137426815.39568204</v>
      </c>
      <c r="AN54" s="22">
        <f>((AN9*Constants!$H67*Constants!$H85*(1-Constants!$H103))+(AN9*Constants!$H67*Constants!$H119))</f>
        <v>139197299.13439405</v>
      </c>
      <c r="AO54" s="22">
        <f>((AO9*Constants!$H67*Constants!$H85*(1-Constants!$H103))+(AO9*Constants!$H67*Constants!$H119))</f>
        <v>140604527.54413399</v>
      </c>
      <c r="AP54" s="22">
        <f>((AP9*Constants!$H67*Constants!$H85*(1-Constants!$H103))+(AP9*Constants!$H67*Constants!$H119))</f>
        <v>142495752.00725073</v>
      </c>
      <c r="AQ54" s="22">
        <f>((AQ9*Constants!$H67*Constants!$H85*(1-Constants!$H103))+(AQ9*Constants!$H67*Constants!$H119))</f>
        <v>146126643.97991297</v>
      </c>
      <c r="AR54" s="22">
        <f>((AR9*Constants!$H67*Constants!$H85*(1-Constants!$H103))+(AR9*Constants!$H67*Constants!$H119))</f>
        <v>150100571.27694058</v>
      </c>
      <c r="AS54" s="22">
        <f>((AS9*Constants!$H67*Constants!$H85*(1-Constants!$H103))+(AS9*Constants!$H67*Constants!$H119))</f>
        <v>154430582.03111178</v>
      </c>
      <c r="AT54" s="22">
        <f>((AT9*Constants!$H67*Constants!$H85*(1-Constants!$H103))+(AT9*Constants!$H67*Constants!$H119))</f>
        <v>157961180.36701748</v>
      </c>
      <c r="AU54" s="22">
        <f>((AU9*Constants!$H67*Constants!$H85*(1-Constants!$H103))+(AU9*Constants!$H67*Constants!$H119))</f>
        <v>162199203.13776794</v>
      </c>
      <c r="AV54" s="22">
        <f>((AV9*Constants!$H67*Constants!$H85*(1-Constants!$H103))+(AV9*Constants!$H67*Constants!$H119))</f>
        <v>167303998.12912822</v>
      </c>
      <c r="AW54" s="22">
        <f>((AW9*Constants!$H67*Constants!$H85*(1-Constants!$H103))+(AW9*Constants!$H67*Constants!$H119))</f>
        <v>170666672.8534511</v>
      </c>
      <c r="AX54" s="22">
        <f>((AX9*Constants!$H67*Constants!$H85*(1-Constants!$H103))+(AX9*Constants!$H67*Constants!$H119))</f>
        <v>174101528.84886733</v>
      </c>
      <c r="AY54" s="22">
        <f>((AY9*Constants!$H67*Constants!$H85*(1-Constants!$H103))+(AY9*Constants!$H67*Constants!$H119))</f>
        <v>177448475.319888</v>
      </c>
      <c r="AZ54" s="22">
        <f>((AZ9*Constants!$H67*Constants!$H85*(1-Constants!$H103))+(AZ9*Constants!$H67*Constants!$H119))</f>
        <v>181320625.77234203</v>
      </c>
      <c r="BA54" s="22">
        <f>((BA9*Constants!$H67*Constants!$H85*(1-Constants!$H103))+(BA9*Constants!$H67*Constants!$H119))</f>
        <v>184079942.34668952</v>
      </c>
      <c r="BB54" s="22">
        <f>((BB9*Constants!$H67*Constants!$H85*(1-Constants!$H103))+(BB9*Constants!$H67*Constants!$H119))</f>
        <v>186986839.4518714</v>
      </c>
      <c r="BC54" s="22">
        <f>((BC9*Constants!$H67*Constants!$H85*(1-Constants!$H103))+(BC9*Constants!$H67*Constants!$H119))</f>
        <v>189768478.66758147</v>
      </c>
      <c r="BD54" s="22">
        <f>((BD9*Constants!$H67*Constants!$H85*(1-Constants!$H103))+(BD9*Constants!$H67*Constants!$H119))</f>
        <v>192015777.66643462</v>
      </c>
      <c r="BE54" s="22">
        <f>((BE9*Constants!$H67*Constants!$H85*(1-Constants!$H103))+(BE9*Constants!$H67*Constants!$H119))</f>
        <v>194015760.4570756</v>
      </c>
      <c r="BF54" s="22">
        <f>((BF9*Constants!$H67*Constants!$H85*(1-Constants!$H103))+(BF9*Constants!$H67*Constants!$H119))</f>
        <v>196006763.58042526</v>
      </c>
      <c r="BG54" s="22">
        <f>((BG9*Constants!$H67*Constants!$H85*(1-Constants!$H103))+(BG9*Constants!$H67*Constants!$H119))</f>
        <v>199071225.84182447</v>
      </c>
      <c r="BH54" s="22">
        <f>((BH9*Constants!$H67*Constants!$H85*(1-Constants!$H103))+(BH9*Constants!$H67*Constants!$H119))</f>
        <v>201566880.09505835</v>
      </c>
      <c r="BI54" s="22">
        <f>((BI9*Constants!$H67*Constants!$H85*(1-Constants!$H103))+(BI9*Constants!$H67*Constants!$H119))</f>
        <v>203963298.77377582</v>
      </c>
      <c r="BJ54" s="22">
        <f>((BJ9*Constants!$H67*Constants!$H85*(1-Constants!$H103))+(BJ9*Constants!$H67*Constants!$H119))</f>
        <v>206268346.40596539</v>
      </c>
      <c r="BK54" s="22">
        <f>((BK9*Constants!$H67*Constants!$H85*(1-Constants!$H103))+(BK9*Constants!$H67*Constants!$H119))</f>
        <v>208787294.03796756</v>
      </c>
      <c r="BL54" s="22">
        <f>((BL9*Constants!$H67*Constants!$H85*(1-Constants!$H103))+(BL9*Constants!$H67*Constants!$H119))</f>
        <v>211254575.83152199</v>
      </c>
      <c r="BM54" s="22">
        <f>((BM9*Constants!$H67*Constants!$H85*(1-Constants!$H103))+(BM9*Constants!$H67*Constants!$H119))</f>
        <v>210746243.17070132</v>
      </c>
      <c r="BN54" s="22">
        <f>((BN9*Constants!$H67*Constants!$H85*(1-Constants!$H103))+(BN9*Constants!$H67*Constants!$H119))</f>
        <v>209948606.41018552</v>
      </c>
      <c r="BO54" s="22">
        <f>((BO9*Constants!$H67*Constants!$H85*(1-Constants!$H103))+(BO9*Constants!$H67*Constants!$H119))</f>
        <v>209421379.82639006</v>
      </c>
      <c r="BP54" s="22">
        <f>((BP9*Constants!$H67*Constants!$H85*(1-Constants!$H103))+(BP9*Constants!$H67*Constants!$H119))</f>
        <v>208636828.81272185</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21926718.430943619</v>
      </c>
      <c r="AE55" s="22">
        <f>((AE10*Constants!$H68*Constants!$H86*(1-Constants!$H104))+(AE10*Constants!$H68*Constants!$H120))</f>
        <v>22744717.374636751</v>
      </c>
      <c r="AF55" s="22">
        <f>((AF10*Constants!$H68*Constants!$H86*(1-Constants!$H104))+(AF10*Constants!$H68*Constants!$H120))</f>
        <v>23479584.013781186</v>
      </c>
      <c r="AG55" s="22">
        <f>((AG10*Constants!$H68*Constants!$H86*(1-Constants!$H104))+(AG10*Constants!$H68*Constants!$H120))</f>
        <v>23824437.048752092</v>
      </c>
      <c r="AH55" s="22">
        <f>((AH10*Constants!$H68*Constants!$H86*(1-Constants!$H104))+(AH10*Constants!$H68*Constants!$H120))</f>
        <v>24174566.639240544</v>
      </c>
      <c r="AI55" s="22">
        <f>((AI10*Constants!$H68*Constants!$H86*(1-Constants!$H104))+(AI10*Constants!$H68*Constants!$H120))</f>
        <v>24947428.630137805</v>
      </c>
      <c r="AJ55" s="22">
        <f>((AJ10*Constants!$H68*Constants!$H86*(1-Constants!$H104))+(AJ10*Constants!$H68*Constants!$H120))</f>
        <v>25599341.300176006</v>
      </c>
      <c r="AK55" s="22">
        <f>((AK10*Constants!$H68*Constants!$H86*(1-Constants!$H104))+(AK10*Constants!$H68*Constants!$H120))</f>
        <v>25789649.083629292</v>
      </c>
      <c r="AL55" s="22">
        <f>((AL10*Constants!$H68*Constants!$H86*(1-Constants!$H104))+(AL10*Constants!$H68*Constants!$H120))</f>
        <v>23881124.824466091</v>
      </c>
      <c r="AM55" s="22">
        <f>((AM10*Constants!$H68*Constants!$H86*(1-Constants!$H104))+(AM10*Constants!$H68*Constants!$H120))</f>
        <v>25051088.546496611</v>
      </c>
      <c r="AN55" s="22">
        <f>((AN10*Constants!$H68*Constants!$H86*(1-Constants!$H104))+(AN10*Constants!$H68*Constants!$H120))</f>
        <v>25973703.552607089</v>
      </c>
      <c r="AO55" s="22">
        <f>((AO10*Constants!$H68*Constants!$H86*(1-Constants!$H104))+(AO10*Constants!$H68*Constants!$H120))</f>
        <v>26848679.193247534</v>
      </c>
      <c r="AP55" s="22">
        <f>((AP10*Constants!$H68*Constants!$H86*(1-Constants!$H104))+(AP10*Constants!$H68*Constants!$H120))</f>
        <v>27837457.945946228</v>
      </c>
      <c r="AQ55" s="22">
        <f>((AQ10*Constants!$H68*Constants!$H86*(1-Constants!$H104))+(AQ10*Constants!$H68*Constants!$H120))</f>
        <v>29198087.87992572</v>
      </c>
      <c r="AR55" s="22">
        <f>((AR10*Constants!$H68*Constants!$H86*(1-Constants!$H104))+(AR10*Constants!$H68*Constants!$H120))</f>
        <v>30669514.500980698</v>
      </c>
      <c r="AS55" s="22">
        <f>((AS10*Constants!$H68*Constants!$H86*(1-Constants!$H104))+(AS10*Constants!$H68*Constants!$H120))</f>
        <v>32260250.161066577</v>
      </c>
      <c r="AT55" s="22">
        <f>((AT10*Constants!$H68*Constants!$H86*(1-Constants!$H104))+(AT10*Constants!$H68*Constants!$H120))</f>
        <v>33729692.037725106</v>
      </c>
      <c r="AU55" s="22">
        <f>((AU10*Constants!$H68*Constants!$H86*(1-Constants!$H104))+(AU10*Constants!$H68*Constants!$H120))</f>
        <v>35396703.333791062</v>
      </c>
      <c r="AV55" s="22">
        <f>((AV10*Constants!$H68*Constants!$H86*(1-Constants!$H104))+(AV10*Constants!$H68*Constants!$H120))</f>
        <v>37308112.899260223</v>
      </c>
      <c r="AW55" s="22">
        <f>((AW10*Constants!$H68*Constants!$H86*(1-Constants!$H104))+(AW10*Constants!$H68*Constants!$H120))</f>
        <v>39315919.990559988</v>
      </c>
      <c r="AX55" s="22">
        <f>((AX10*Constants!$H68*Constants!$H86*(1-Constants!$H104))+(AX10*Constants!$H68*Constants!$H120))</f>
        <v>41435461.406938091</v>
      </c>
      <c r="AY55" s="22">
        <f>((AY10*Constants!$H68*Constants!$H86*(1-Constants!$H104))+(AY10*Constants!$H68*Constants!$H120))</f>
        <v>43634276.242331907</v>
      </c>
      <c r="AZ55" s="22">
        <f>((AZ10*Constants!$H68*Constants!$H86*(1-Constants!$H104))+(AZ10*Constants!$H68*Constants!$H120))</f>
        <v>46071618.004986607</v>
      </c>
      <c r="BA55" s="22">
        <f>((BA10*Constants!$H68*Constants!$H86*(1-Constants!$H104))+(BA10*Constants!$H68*Constants!$H120))</f>
        <v>48336706.650781073</v>
      </c>
      <c r="BB55" s="22">
        <f>((BB10*Constants!$H68*Constants!$H86*(1-Constants!$H104))+(BB10*Constants!$H68*Constants!$H120))</f>
        <v>50749090.936915144</v>
      </c>
      <c r="BC55" s="22">
        <f>((BC10*Constants!$H68*Constants!$H86*(1-Constants!$H104))+(BC10*Constants!$H68*Constants!$H120))</f>
        <v>53242569.334365055</v>
      </c>
      <c r="BD55" s="22">
        <f>((BD10*Constants!$H68*Constants!$H86*(1-Constants!$H104))+(BD10*Constants!$H68*Constants!$H120))</f>
        <v>55701827.863444172</v>
      </c>
      <c r="BE55" s="22">
        <f>((BE10*Constants!$H68*Constants!$H86*(1-Constants!$H104))+(BE10*Constants!$H68*Constants!$H120))</f>
        <v>58204424.606631704</v>
      </c>
      <c r="BF55" s="22">
        <f>((BF10*Constants!$H68*Constants!$H86*(1-Constants!$H104))+(BF10*Constants!$H68*Constants!$H120))</f>
        <v>60823931.33993084</v>
      </c>
      <c r="BG55" s="22">
        <f>((BG10*Constants!$H68*Constants!$H86*(1-Constants!$H104))+(BG10*Constants!$H68*Constants!$H120))</f>
        <v>63511594.997761875</v>
      </c>
      <c r="BH55" s="22">
        <f>((BH10*Constants!$H68*Constants!$H86*(1-Constants!$H104))+(BH10*Constants!$H68*Constants!$H120))</f>
        <v>66122035.198807798</v>
      </c>
      <c r="BI55" s="22">
        <f>((BI10*Constants!$H68*Constants!$H86*(1-Constants!$H104))+(BI10*Constants!$H68*Constants!$H120))</f>
        <v>68803154.55476056</v>
      </c>
      <c r="BJ55" s="22">
        <f>((BJ10*Constants!$H68*Constants!$H86*(1-Constants!$H104))+(BJ10*Constants!$H68*Constants!$H120))</f>
        <v>71560003.064258888</v>
      </c>
      <c r="BK55" s="22">
        <f>((BK10*Constants!$H68*Constants!$H86*(1-Constants!$H104))+(BK10*Constants!$H68*Constants!$H120))</f>
        <v>74504214.9978652</v>
      </c>
      <c r="BL55" s="22">
        <f>((BL10*Constants!$H68*Constants!$H86*(1-Constants!$H104))+(BL10*Constants!$H68*Constants!$H120))</f>
        <v>77550564.811312556</v>
      </c>
      <c r="BM55" s="22">
        <f>((BM10*Constants!$H68*Constants!$H86*(1-Constants!$H104))+(BM10*Constants!$H68*Constants!$H120))</f>
        <v>79599317.927675202</v>
      </c>
      <c r="BN55" s="22">
        <f>((BN10*Constants!$H68*Constants!$H86*(1-Constants!$H104))+(BN10*Constants!$H68*Constants!$H120))</f>
        <v>81603242.544458002</v>
      </c>
      <c r="BO55" s="22">
        <f>((BO10*Constants!$H68*Constants!$H86*(1-Constants!$H104))+(BO10*Constants!$H68*Constants!$H120))</f>
        <v>83780002.401640669</v>
      </c>
      <c r="BP55" s="22">
        <f>((BP10*Constants!$H68*Constants!$H86*(1-Constants!$H104))+(BP10*Constants!$H68*Constants!$H120))</f>
        <v>85925324.019412726</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3713267.9007940013</v>
      </c>
      <c r="AE56" s="22">
        <f>((AE11*Constants!$H69*Constants!$H87*(1-Constants!$H105))+(AE11*Constants!$H69*Constants!$H121))</f>
        <v>3715271.8806934743</v>
      </c>
      <c r="AF56" s="22">
        <f>((AF11*Constants!$H69*Constants!$H87*(1-Constants!$H105))+(AF11*Constants!$H69*Constants!$H121))</f>
        <v>3719878.8596233376</v>
      </c>
      <c r="AG56" s="22">
        <f>((AG11*Constants!$H69*Constants!$H87*(1-Constants!$H105))+(AG11*Constants!$H69*Constants!$H121))</f>
        <v>3726718.3490498737</v>
      </c>
      <c r="AH56" s="22">
        <f>((AH11*Constants!$H69*Constants!$H87*(1-Constants!$H105))+(AH11*Constants!$H69*Constants!$H121))</f>
        <v>3735949.7957982123</v>
      </c>
      <c r="AI56" s="22">
        <f>((AI11*Constants!$H69*Constants!$H87*(1-Constants!$H105))+(AI11*Constants!$H69*Constants!$H121))</f>
        <v>3747758.7266698419</v>
      </c>
      <c r="AJ56" s="22">
        <f>((AJ11*Constants!$H69*Constants!$H87*(1-Constants!$H105))+(AJ11*Constants!$H69*Constants!$H121))</f>
        <v>3760770.9400121542</v>
      </c>
      <c r="AK56" s="22">
        <f>((AK11*Constants!$H69*Constants!$H87*(1-Constants!$H105))+(AK11*Constants!$H69*Constants!$H121))</f>
        <v>3774784.3356520622</v>
      </c>
      <c r="AL56" s="22">
        <f>((AL11*Constants!$H69*Constants!$H87*(1-Constants!$H105))+(AL11*Constants!$H69*Constants!$H121))</f>
        <v>3788667.984339043</v>
      </c>
      <c r="AM56" s="22">
        <f>((AM11*Constants!$H69*Constants!$H87*(1-Constants!$H105))+(AM11*Constants!$H69*Constants!$H121))</f>
        <v>3794349.7927988991</v>
      </c>
      <c r="AN56" s="22">
        <f>((AN11*Constants!$H69*Constants!$H87*(1-Constants!$H105))+(AN11*Constants!$H69*Constants!$H121))</f>
        <v>3800801.6627116851</v>
      </c>
      <c r="AO56" s="22">
        <f>((AO11*Constants!$H69*Constants!$H87*(1-Constants!$H105))+(AO11*Constants!$H69*Constants!$H121))</f>
        <v>3808098.2710523219</v>
      </c>
      <c r="AP56" s="22">
        <f>((AP11*Constants!$H69*Constants!$H87*(1-Constants!$H105))+(AP11*Constants!$H69*Constants!$H121))</f>
        <v>3816292.5465900102</v>
      </c>
      <c r="AQ56" s="22">
        <f>((AQ11*Constants!$H69*Constants!$H87*(1-Constants!$H105))+(AQ11*Constants!$H69*Constants!$H121))</f>
        <v>3825500.337643825</v>
      </c>
      <c r="AR56" s="22">
        <f>((AR11*Constants!$H69*Constants!$H87*(1-Constants!$H105))+(AR11*Constants!$H69*Constants!$H121))</f>
        <v>3831289.7955776784</v>
      </c>
      <c r="AS56" s="22">
        <f>((AS11*Constants!$H69*Constants!$H87*(1-Constants!$H105))+(AS11*Constants!$H69*Constants!$H121))</f>
        <v>3837809.0199437975</v>
      </c>
      <c r="AT56" s="22">
        <f>((AT11*Constants!$H69*Constants!$H87*(1-Constants!$H105))+(AT11*Constants!$H69*Constants!$H121))</f>
        <v>3844876.5717632705</v>
      </c>
      <c r="AU56" s="22">
        <f>((AU11*Constants!$H69*Constants!$H87*(1-Constants!$H105))+(AU11*Constants!$H69*Constants!$H121))</f>
        <v>3852658.1489223153</v>
      </c>
      <c r="AV56" s="22">
        <f>((AV11*Constants!$H69*Constants!$H87*(1-Constants!$H105))+(AV11*Constants!$H69*Constants!$H121))</f>
        <v>3861152.8603901537</v>
      </c>
      <c r="AW56" s="22">
        <f>((AW11*Constants!$H69*Constants!$H87*(1-Constants!$H105))+(AW11*Constants!$H69*Constants!$H121))</f>
        <v>3866775.3438108549</v>
      </c>
      <c r="AX56" s="22">
        <f>((AX11*Constants!$H69*Constants!$H87*(1-Constants!$H105))+(AX11*Constants!$H69*Constants!$H121))</f>
        <v>3872944.8625411764</v>
      </c>
      <c r="AY56" s="22">
        <f>((AY11*Constants!$H69*Constants!$H87*(1-Constants!$H105))+(AY11*Constants!$H69*Constants!$H121))</f>
        <v>3879619.9716143291</v>
      </c>
      <c r="AZ56" s="22">
        <f>((AZ11*Constants!$H69*Constants!$H87*(1-Constants!$H105))+(AZ11*Constants!$H69*Constants!$H121))</f>
        <v>3886872.9295700411</v>
      </c>
      <c r="BA56" s="22">
        <f>((BA11*Constants!$H69*Constants!$H87*(1-Constants!$H105))+(BA11*Constants!$H69*Constants!$H121))</f>
        <v>3894447.0730748554</v>
      </c>
      <c r="BB56" s="22">
        <f>((BB11*Constants!$H69*Constants!$H87*(1-Constants!$H105))+(BB11*Constants!$H69*Constants!$H121))</f>
        <v>3899292.8052614173</v>
      </c>
      <c r="BC56" s="22">
        <f>((BC11*Constants!$H69*Constants!$H87*(1-Constants!$H105))+(BC11*Constants!$H69*Constants!$H121))</f>
        <v>3904549.5987080433</v>
      </c>
      <c r="BD56" s="22">
        <f>((BD11*Constants!$H69*Constants!$H87*(1-Constants!$H105))+(BD11*Constants!$H69*Constants!$H121))</f>
        <v>3910137.8394980286</v>
      </c>
      <c r="BE56" s="22">
        <f>((BE11*Constants!$H69*Constants!$H87*(1-Constants!$H105))+(BE11*Constants!$H69*Constants!$H121))</f>
        <v>3916088.1178942202</v>
      </c>
      <c r="BF56" s="22">
        <f>((BF11*Constants!$H69*Constants!$H87*(1-Constants!$H105))+(BF11*Constants!$H69*Constants!$H121))</f>
        <v>3922428.3094398919</v>
      </c>
      <c r="BG56" s="22">
        <f>((BG11*Constants!$H69*Constants!$H87*(1-Constants!$H105))+(BG11*Constants!$H69*Constants!$H121))</f>
        <v>3926165.1296732239</v>
      </c>
      <c r="BH56" s="22">
        <f>((BH11*Constants!$H69*Constants!$H87*(1-Constants!$H105))+(BH11*Constants!$H69*Constants!$H121))</f>
        <v>3930146.7969867247</v>
      </c>
      <c r="BI56" s="22">
        <f>((BI11*Constants!$H69*Constants!$H87*(1-Constants!$H105))+(BI11*Constants!$H69*Constants!$H121))</f>
        <v>3934443.4781944142</v>
      </c>
      <c r="BJ56" s="22">
        <f>((BJ11*Constants!$H69*Constants!$H87*(1-Constants!$H105))+(BJ11*Constants!$H69*Constants!$H121))</f>
        <v>3939047.5936490009</v>
      </c>
      <c r="BK56" s="22">
        <f>((BK11*Constants!$H69*Constants!$H87*(1-Constants!$H105))+(BK11*Constants!$H69*Constants!$H121))</f>
        <v>3944008.5752099599</v>
      </c>
      <c r="BL56" s="22">
        <f>((BL11*Constants!$H69*Constants!$H87*(1-Constants!$H105))+(BL11*Constants!$H69*Constants!$H121))</f>
        <v>3946244.4864973961</v>
      </c>
      <c r="BM56" s="22">
        <f>((BM11*Constants!$H69*Constants!$H87*(1-Constants!$H105))+(BM11*Constants!$H69*Constants!$H121))</f>
        <v>3948185.2292777407</v>
      </c>
      <c r="BN56" s="22">
        <f>((BN11*Constants!$H69*Constants!$H87*(1-Constants!$H105))+(BN11*Constants!$H69*Constants!$H121))</f>
        <v>3950327.7495410573</v>
      </c>
      <c r="BO56" s="22">
        <f>((BO11*Constants!$H69*Constants!$H87*(1-Constants!$H105))+(BO11*Constants!$H69*Constants!$H121))</f>
        <v>3952777.231876866</v>
      </c>
      <c r="BP56" s="22">
        <f>((BP11*Constants!$H69*Constants!$H87*(1-Constants!$H105))+(BP11*Constants!$H69*Constants!$H121))</f>
        <v>3955420.5073604113</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3022095.3223658851</v>
      </c>
      <c r="AE57" s="22">
        <f>((AE12*Constants!$H70*Constants!$H88*(1-Constants!$H106))+(AE12*Constants!$H70*Constants!$H122))</f>
        <v>3023726.2896007076</v>
      </c>
      <c r="AF57" s="22">
        <f>((AF12*Constants!$H70*Constants!$H88*(1-Constants!$H106))+(AF12*Constants!$H70*Constants!$H122))</f>
        <v>3027475.7442175429</v>
      </c>
      <c r="AG57" s="22">
        <f>((AG12*Constants!$H70*Constants!$H88*(1-Constants!$H106))+(AG12*Constants!$H70*Constants!$H122))</f>
        <v>3033042.1589108878</v>
      </c>
      <c r="AH57" s="22">
        <f>((AH12*Constants!$H70*Constants!$H88*(1-Constants!$H106))+(AH12*Constants!$H70*Constants!$H122))</f>
        <v>3040555.3017226029</v>
      </c>
      <c r="AI57" s="22">
        <f>((AI12*Constants!$H70*Constants!$H88*(1-Constants!$H106))+(AI12*Constants!$H70*Constants!$H122))</f>
        <v>3050166.1662502238</v>
      </c>
      <c r="AJ57" s="22">
        <f>((AJ12*Constants!$H70*Constants!$H88*(1-Constants!$H106))+(AJ12*Constants!$H70*Constants!$H122))</f>
        <v>3060756.3391453763</v>
      </c>
      <c r="AK57" s="22">
        <f>((AK12*Constants!$H70*Constants!$H88*(1-Constants!$H106))+(AK12*Constants!$H70*Constants!$H122))</f>
        <v>3072161.3383388827</v>
      </c>
      <c r="AL57" s="22">
        <f>((AL12*Constants!$H70*Constants!$H88*(1-Constants!$H106))+(AL12*Constants!$H70*Constants!$H122))</f>
        <v>3083460.7411493626</v>
      </c>
      <c r="AM57" s="22">
        <f>((AM12*Constants!$H70*Constants!$H88*(1-Constants!$H106))+(AM12*Constants!$H70*Constants!$H122))</f>
        <v>3088084.9609007677</v>
      </c>
      <c r="AN57" s="22">
        <f>((AN12*Constants!$H70*Constants!$H88*(1-Constants!$H106))+(AN12*Constants!$H70*Constants!$H122))</f>
        <v>3093335.9059994966</v>
      </c>
      <c r="AO57" s="22">
        <f>((AO12*Constants!$H70*Constants!$H88*(1-Constants!$H106))+(AO12*Constants!$H70*Constants!$H122))</f>
        <v>3099274.3533522077</v>
      </c>
      <c r="AP57" s="22">
        <f>((AP12*Constants!$H70*Constants!$H88*(1-Constants!$H106))+(AP12*Constants!$H70*Constants!$H122))</f>
        <v>3105943.3797823577</v>
      </c>
      <c r="AQ57" s="22">
        <f>((AQ12*Constants!$H70*Constants!$H88*(1-Constants!$H106))+(AQ12*Constants!$H70*Constants!$H122))</f>
        <v>3113437.2700742777</v>
      </c>
      <c r="AR57" s="22">
        <f>((AR12*Constants!$H70*Constants!$H88*(1-Constants!$H106))+(AR12*Constants!$H70*Constants!$H122))</f>
        <v>3118149.1018645964</v>
      </c>
      <c r="AS57" s="22">
        <f>((AS12*Constants!$H70*Constants!$H88*(1-Constants!$H106))+(AS12*Constants!$H70*Constants!$H122))</f>
        <v>3123454.8643327686</v>
      </c>
      <c r="AT57" s="22">
        <f>((AT12*Constants!$H70*Constants!$H88*(1-Constants!$H106))+(AT12*Constants!$H70*Constants!$H122))</f>
        <v>3129206.8908131742</v>
      </c>
      <c r="AU57" s="22">
        <f>((AU12*Constants!$H70*Constants!$H88*(1-Constants!$H106))+(AU12*Constants!$H70*Constants!$H122))</f>
        <v>3135540.036861686</v>
      </c>
      <c r="AV57" s="22">
        <f>((AV12*Constants!$H70*Constants!$H88*(1-Constants!$H106))+(AV12*Constants!$H70*Constants!$H122))</f>
        <v>3142453.5773003693</v>
      </c>
      <c r="AW57" s="22">
        <f>((AW12*Constants!$H70*Constants!$H88*(1-Constants!$H106))+(AW12*Constants!$H70*Constants!$H122))</f>
        <v>3147029.514534025</v>
      </c>
      <c r="AX57" s="22">
        <f>((AX12*Constants!$H70*Constants!$H88*(1-Constants!$H106))+(AX12*Constants!$H70*Constants!$H122))</f>
        <v>3152050.6641505561</v>
      </c>
      <c r="AY57" s="22">
        <f>((AY12*Constants!$H70*Constants!$H88*(1-Constants!$H106))+(AY12*Constants!$H70*Constants!$H122))</f>
        <v>3157483.2955806633</v>
      </c>
      <c r="AZ57" s="22">
        <f>((AZ12*Constants!$H70*Constants!$H88*(1-Constants!$H106))+(AZ12*Constants!$H70*Constants!$H122))</f>
        <v>3163386.2174534923</v>
      </c>
      <c r="BA57" s="22">
        <f>((BA12*Constants!$H70*Constants!$H88*(1-Constants!$H106))+(BA12*Constants!$H70*Constants!$H122))</f>
        <v>3169550.5407041614</v>
      </c>
      <c r="BB57" s="22">
        <f>((BB12*Constants!$H70*Constants!$H88*(1-Constants!$H106))+(BB12*Constants!$H70*Constants!$H122))</f>
        <v>3173494.3080179379</v>
      </c>
      <c r="BC57" s="22">
        <f>((BC12*Constants!$H70*Constants!$H88*(1-Constants!$H106))+(BC12*Constants!$H70*Constants!$H122))</f>
        <v>3177772.6233213656</v>
      </c>
      <c r="BD57" s="22">
        <f>((BD12*Constants!$H70*Constants!$H88*(1-Constants!$H106))+(BD12*Constants!$H70*Constants!$H122))</f>
        <v>3182320.6917082588</v>
      </c>
      <c r="BE57" s="22">
        <f>((BE12*Constants!$H70*Constants!$H88*(1-Constants!$H106))+(BE12*Constants!$H70*Constants!$H122))</f>
        <v>3187163.4094944061</v>
      </c>
      <c r="BF57" s="22">
        <f>((BF12*Constants!$H70*Constants!$H88*(1-Constants!$H106))+(BF12*Constants!$H70*Constants!$H122))</f>
        <v>3192323.4635828761</v>
      </c>
      <c r="BG57" s="22">
        <f>((BG12*Constants!$H70*Constants!$H88*(1-Constants!$H106))+(BG12*Constants!$H70*Constants!$H122))</f>
        <v>3195364.7273024316</v>
      </c>
      <c r="BH57" s="22">
        <f>((BH12*Constants!$H70*Constants!$H88*(1-Constants!$H106))+(BH12*Constants!$H70*Constants!$H122))</f>
        <v>3198605.2632628926</v>
      </c>
      <c r="BI57" s="22">
        <f>((BI12*Constants!$H70*Constants!$H88*(1-Constants!$H106))+(BI12*Constants!$H70*Constants!$H122))</f>
        <v>3202102.1777130133</v>
      </c>
      <c r="BJ57" s="22">
        <f>((BJ12*Constants!$H70*Constants!$H88*(1-Constants!$H106))+(BJ12*Constants!$H70*Constants!$H122))</f>
        <v>3205849.3018502095</v>
      </c>
      <c r="BK57" s="22">
        <f>((BK12*Constants!$H70*Constants!$H88*(1-Constants!$H106))+(BK12*Constants!$H70*Constants!$H122))</f>
        <v>3209886.8664887622</v>
      </c>
      <c r="BL57" s="22">
        <f>((BL12*Constants!$H70*Constants!$H88*(1-Constants!$H106))+(BL12*Constants!$H70*Constants!$H122))</f>
        <v>3211706.5943466788</v>
      </c>
      <c r="BM57" s="22">
        <f>((BM12*Constants!$H70*Constants!$H88*(1-Constants!$H106))+(BM12*Constants!$H70*Constants!$H122))</f>
        <v>3213286.0951624275</v>
      </c>
      <c r="BN57" s="22">
        <f>((BN12*Constants!$H70*Constants!$H88*(1-Constants!$H106))+(BN12*Constants!$H70*Constants!$H122))</f>
        <v>3215029.8154214639</v>
      </c>
      <c r="BO57" s="22">
        <f>((BO12*Constants!$H70*Constants!$H88*(1-Constants!$H106))+(BO12*Constants!$H70*Constants!$H122))</f>
        <v>3217023.3610817925</v>
      </c>
      <c r="BP57" s="22">
        <f>((BP12*Constants!$H70*Constants!$H88*(1-Constants!$H106))+(BP12*Constants!$H70*Constants!$H122))</f>
        <v>3219174.6280218475</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458973.32091148273</v>
      </c>
      <c r="AE58" s="22">
        <f>((AE13*Constants!$H71*Constants!$H89*(1-Constants!$H107))+(AE13*Constants!$H71*Constants!$H123))</f>
        <v>460166.26888693759</v>
      </c>
      <c r="AF58" s="22">
        <f>((AF13*Constants!$H71*Constants!$H89*(1-Constants!$H107))+(AF13*Constants!$H71*Constants!$H123))</f>
        <v>461774.98249446077</v>
      </c>
      <c r="AG58" s="22">
        <f>((AG13*Constants!$H71*Constants!$H89*(1-Constants!$H107))+(AG13*Constants!$H71*Constants!$H123))</f>
        <v>463734.35482625524</v>
      </c>
      <c r="AH58" s="22">
        <f>((AH13*Constants!$H71*Constants!$H89*(1-Constants!$H107))+(AH13*Constants!$H71*Constants!$H123))</f>
        <v>466081.21022460121</v>
      </c>
      <c r="AI58" s="22">
        <f>((AI13*Constants!$H71*Constants!$H89*(1-Constants!$H107))+(AI13*Constants!$H71*Constants!$H123))</f>
        <v>468855.7350994841</v>
      </c>
      <c r="AJ58" s="22">
        <f>((AJ13*Constants!$H71*Constants!$H89*(1-Constants!$H107))+(AJ13*Constants!$H71*Constants!$H123))</f>
        <v>471796.18389731337</v>
      </c>
      <c r="AK58" s="22">
        <f>((AK13*Constants!$H71*Constants!$H89*(1-Constants!$H107))+(AK13*Constants!$H71*Constants!$H123))</f>
        <v>474868.15101145091</v>
      </c>
      <c r="AL58" s="22">
        <f>((AL13*Constants!$H71*Constants!$H89*(1-Constants!$H107))+(AL13*Constants!$H71*Constants!$H123))</f>
        <v>477858.89549143787</v>
      </c>
      <c r="AM58" s="22">
        <f>((AM13*Constants!$H71*Constants!$H89*(1-Constants!$H107))+(AM13*Constants!$H71*Constants!$H123))</f>
        <v>479230.62719130196</v>
      </c>
      <c r="AN58" s="22">
        <f>((AN13*Constants!$H71*Constants!$H89*(1-Constants!$H107))+(AN13*Constants!$H71*Constants!$H123))</f>
        <v>480709.89864241419</v>
      </c>
      <c r="AO58" s="22">
        <f>((AO13*Constants!$H71*Constants!$H89*(1-Constants!$H107))+(AO13*Constants!$H71*Constants!$H123))</f>
        <v>482313.18851062388</v>
      </c>
      <c r="AP58" s="22">
        <f>((AP13*Constants!$H71*Constants!$H89*(1-Constants!$H107))+(AP13*Constants!$H71*Constants!$H123))</f>
        <v>484052.36559662264</v>
      </c>
      <c r="AQ58" s="22">
        <f>((AQ13*Constants!$H71*Constants!$H89*(1-Constants!$H107))+(AQ13*Constants!$H71*Constants!$H123))</f>
        <v>485950.82673433551</v>
      </c>
      <c r="AR58" s="22">
        <f>((AR13*Constants!$H71*Constants!$H89*(1-Constants!$H107))+(AR13*Constants!$H71*Constants!$H123))</f>
        <v>487172.74138940341</v>
      </c>
      <c r="AS58" s="22">
        <f>((AS13*Constants!$H71*Constants!$H89*(1-Constants!$H107))+(AS13*Constants!$H71*Constants!$H123))</f>
        <v>488506.19906895497</v>
      </c>
      <c r="AT58" s="22">
        <f>((AT13*Constants!$H71*Constants!$H89*(1-Constants!$H107))+(AT13*Constants!$H71*Constants!$H123))</f>
        <v>489918.0301535363</v>
      </c>
      <c r="AU58" s="22">
        <f>((AU13*Constants!$H71*Constants!$H89*(1-Constants!$H107))+(AU13*Constants!$H71*Constants!$H123))</f>
        <v>491440.33285257657</v>
      </c>
      <c r="AV58" s="22">
        <f>((AV13*Constants!$H71*Constants!$H89*(1-Constants!$H107))+(AV13*Constants!$H71*Constants!$H123))</f>
        <v>493073.62035945919</v>
      </c>
      <c r="AW58" s="22">
        <f>((AW13*Constants!$H71*Constants!$H89*(1-Constants!$H107))+(AW13*Constants!$H71*Constants!$H123))</f>
        <v>494148.67089436267</v>
      </c>
      <c r="AX58" s="22">
        <f>((AX13*Constants!$H71*Constants!$H89*(1-Constants!$H107))+(AX13*Constants!$H71*Constants!$H123))</f>
        <v>495307.51095426286</v>
      </c>
      <c r="AY58" s="22">
        <f>((AY13*Constants!$H71*Constants!$H89*(1-Constants!$H107))+(AY13*Constants!$H71*Constants!$H123))</f>
        <v>496542.92628281424</v>
      </c>
      <c r="AZ58" s="22">
        <f>((AZ13*Constants!$H71*Constants!$H89*(1-Constants!$H107))+(AZ13*Constants!$H71*Constants!$H123))</f>
        <v>497868.80265311513</v>
      </c>
      <c r="BA58" s="22">
        <f>((BA13*Constants!$H71*Constants!$H89*(1-Constants!$H107))+(BA13*Constants!$H71*Constants!$H123))</f>
        <v>499237.89390708733</v>
      </c>
      <c r="BB58" s="22">
        <f>((BB13*Constants!$H71*Constants!$H89*(1-Constants!$H107))+(BB13*Constants!$H71*Constants!$H123))</f>
        <v>500086.6132232658</v>
      </c>
      <c r="BC58" s="22">
        <f>((BC13*Constants!$H71*Constants!$H89*(1-Constants!$H107))+(BC13*Constants!$H71*Constants!$H123))</f>
        <v>500998.2699570863</v>
      </c>
      <c r="BD58" s="22">
        <f>((BD13*Constants!$H71*Constants!$H89*(1-Constants!$H107))+(BD13*Constants!$H71*Constants!$H123))</f>
        <v>501958.47168903681</v>
      </c>
      <c r="BE58" s="22">
        <f>((BE13*Constants!$H71*Constants!$H89*(1-Constants!$H107))+(BE13*Constants!$H71*Constants!$H123))</f>
        <v>502973.16500038921</v>
      </c>
      <c r="BF58" s="22">
        <f>((BF13*Constants!$H71*Constants!$H89*(1-Constants!$H107))+(BF13*Constants!$H71*Constants!$H123))</f>
        <v>504047.71860202955</v>
      </c>
      <c r="BG58" s="22">
        <f>((BG13*Constants!$H71*Constants!$H89*(1-Constants!$H107))+(BG13*Constants!$H71*Constants!$H123))</f>
        <v>504633.627487802</v>
      </c>
      <c r="BH58" s="22">
        <f>((BH13*Constants!$H71*Constants!$H89*(1-Constants!$H107))+(BH13*Constants!$H71*Constants!$H123))</f>
        <v>505255.11010572268</v>
      </c>
      <c r="BI58" s="22">
        <f>((BI13*Constants!$H71*Constants!$H89*(1-Constants!$H107))+(BI13*Constants!$H71*Constants!$H123))</f>
        <v>505925.21064290236</v>
      </c>
      <c r="BJ58" s="22">
        <f>((BJ13*Constants!$H71*Constants!$H89*(1-Constants!$H107))+(BJ13*Constants!$H71*Constants!$H123))</f>
        <v>506642.68243668182</v>
      </c>
      <c r="BK58" s="22">
        <f>((BK13*Constants!$H71*Constants!$H89*(1-Constants!$H107))+(BK13*Constants!$H71*Constants!$H123))</f>
        <v>507416.64624108531</v>
      </c>
      <c r="BL58" s="22">
        <f>((BL13*Constants!$H71*Constants!$H89*(1-Constants!$H107))+(BL13*Constants!$H71*Constants!$H123))</f>
        <v>507686.99206874444</v>
      </c>
      <c r="BM58" s="22">
        <f>((BM13*Constants!$H71*Constants!$H89*(1-Constants!$H107))+(BM13*Constants!$H71*Constants!$H123))</f>
        <v>507897.4397909221</v>
      </c>
      <c r="BN58" s="22">
        <f>((BN13*Constants!$H71*Constants!$H89*(1-Constants!$H107))+(BN13*Constants!$H71*Constants!$H123))</f>
        <v>508138.58278737776</v>
      </c>
      <c r="BO58" s="22">
        <f>((BO13*Constants!$H71*Constants!$H89*(1-Constants!$H107))+(BO13*Constants!$H71*Constants!$H123))</f>
        <v>508429.55154698761</v>
      </c>
      <c r="BP58" s="22">
        <f>((BP13*Constants!$H71*Constants!$H89*(1-Constants!$H107))+(BP13*Constants!$H71*Constants!$H123))</f>
        <v>508749.90967612789</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5537999.351662349</v>
      </c>
      <c r="AE59" s="22">
        <f>((AE14*Constants!$H72*Constants!$H90*(1-Constants!$H108))+(AE14*Constants!$H72*Constants!$H124))</f>
        <v>5552393.5327914758</v>
      </c>
      <c r="AF59" s="22">
        <f>((AF14*Constants!$H72*Constants!$H90*(1-Constants!$H108))+(AF14*Constants!$H72*Constants!$H124))</f>
        <v>5571804.3667322816</v>
      </c>
      <c r="AG59" s="22">
        <f>((AG14*Constants!$H72*Constants!$H90*(1-Constants!$H108))+(AG14*Constants!$H72*Constants!$H124))</f>
        <v>5595446.2696681507</v>
      </c>
      <c r="AH59" s="22">
        <f>((AH14*Constants!$H72*Constants!$H90*(1-Constants!$H108))+(AH14*Constants!$H72*Constants!$H124))</f>
        <v>5623763.5663002841</v>
      </c>
      <c r="AI59" s="22">
        <f>((AI14*Constants!$H72*Constants!$H90*(1-Constants!$H108))+(AI14*Constants!$H72*Constants!$H124))</f>
        <v>5657241.1482385052</v>
      </c>
      <c r="AJ59" s="22">
        <f>((AJ14*Constants!$H72*Constants!$H90*(1-Constants!$H108))+(AJ14*Constants!$H72*Constants!$H124))</f>
        <v>5692720.7780863494</v>
      </c>
      <c r="AK59" s="22">
        <f>((AK14*Constants!$H72*Constants!$H90*(1-Constants!$H108))+(AK14*Constants!$H72*Constants!$H124))</f>
        <v>5729787.3157505346</v>
      </c>
      <c r="AL59" s="22">
        <f>((AL14*Constants!$H72*Constants!$H90*(1-Constants!$H108))+(AL14*Constants!$H72*Constants!$H124))</f>
        <v>5765873.8162866952</v>
      </c>
      <c r="AM59" s="22">
        <f>((AM14*Constants!$H72*Constants!$H90*(1-Constants!$H108))+(AM14*Constants!$H72*Constants!$H124))</f>
        <v>5782425.212453723</v>
      </c>
      <c r="AN59" s="22">
        <f>((AN14*Constants!$H72*Constants!$H90*(1-Constants!$H108))+(AN14*Constants!$H72*Constants!$H124))</f>
        <v>5800274.1896468261</v>
      </c>
      <c r="AO59" s="22">
        <f>((AO14*Constants!$H72*Constants!$H90*(1-Constants!$H108))+(AO14*Constants!$H72*Constants!$H124))</f>
        <v>5819619.5804269239</v>
      </c>
      <c r="AP59" s="22">
        <f>((AP14*Constants!$H72*Constants!$H90*(1-Constants!$H108))+(AP14*Constants!$H72*Constants!$H124))</f>
        <v>5840604.5944481306</v>
      </c>
      <c r="AQ59" s="22">
        <f>((AQ14*Constants!$H72*Constants!$H90*(1-Constants!$H108))+(AQ14*Constants!$H72*Constants!$H124))</f>
        <v>5863511.5392982829</v>
      </c>
      <c r="AR59" s="22">
        <f>((AR14*Constants!$H72*Constants!$H90*(1-Constants!$H108))+(AR14*Constants!$H72*Constants!$H124))</f>
        <v>5878255.2341041453</v>
      </c>
      <c r="AS59" s="22">
        <f>((AS14*Constants!$H72*Constants!$H90*(1-Constants!$H108))+(AS14*Constants!$H72*Constants!$H124))</f>
        <v>5894344.8136687297</v>
      </c>
      <c r="AT59" s="22">
        <f>((AT14*Constants!$H72*Constants!$H90*(1-Constants!$H108))+(AT14*Constants!$H72*Constants!$H124))</f>
        <v>5911380.0513935275</v>
      </c>
      <c r="AU59" s="22">
        <f>((AU14*Constants!$H72*Constants!$H90*(1-Constants!$H108))+(AU14*Constants!$H72*Constants!$H124))</f>
        <v>5929748.2461800501</v>
      </c>
      <c r="AV59" s="22">
        <f>((AV14*Constants!$H72*Constants!$H90*(1-Constants!$H108))+(AV14*Constants!$H72*Constants!$H124))</f>
        <v>5949455.5902501373</v>
      </c>
      <c r="AW59" s="22">
        <f>((AW14*Constants!$H72*Constants!$H90*(1-Constants!$H108))+(AW14*Constants!$H72*Constants!$H124))</f>
        <v>5962427.2138588419</v>
      </c>
      <c r="AX59" s="22">
        <f>((AX14*Constants!$H72*Constants!$H90*(1-Constants!$H108))+(AX14*Constants!$H72*Constants!$H124))</f>
        <v>5976409.8468529833</v>
      </c>
      <c r="AY59" s="22">
        <f>((AY14*Constants!$H72*Constants!$H90*(1-Constants!$H108))+(AY14*Constants!$H72*Constants!$H124))</f>
        <v>5991316.4415869946</v>
      </c>
      <c r="AZ59" s="22">
        <f>((AZ14*Constants!$H72*Constants!$H90*(1-Constants!$H108))+(AZ14*Constants!$H72*Constants!$H124))</f>
        <v>6007314.5446238527</v>
      </c>
      <c r="BA59" s="22">
        <f>((BA14*Constants!$H72*Constants!$H90*(1-Constants!$H108))+(BA14*Constants!$H72*Constants!$H124))</f>
        <v>6023834.0810139161</v>
      </c>
      <c r="BB59" s="22">
        <f>((BB14*Constants!$H72*Constants!$H90*(1-Constants!$H108))+(BB14*Constants!$H72*Constants!$H124))</f>
        <v>6034074.7786941305</v>
      </c>
      <c r="BC59" s="22">
        <f>((BC14*Constants!$H72*Constants!$H90*(1-Constants!$H108))+(BC14*Constants!$H72*Constants!$H124))</f>
        <v>6045074.8829938974</v>
      </c>
      <c r="BD59" s="22">
        <f>((BD14*Constants!$H72*Constants!$H90*(1-Constants!$H108))+(BD14*Constants!$H72*Constants!$H124))</f>
        <v>6056660.7341245199</v>
      </c>
      <c r="BE59" s="22">
        <f>((BE14*Constants!$H72*Constants!$H90*(1-Constants!$H108))+(BE14*Constants!$H72*Constants!$H124))</f>
        <v>6068904.0838888269</v>
      </c>
      <c r="BF59" s="22">
        <f>((BF14*Constants!$H72*Constants!$H90*(1-Constants!$H108))+(BF14*Constants!$H72*Constants!$H124))</f>
        <v>6081869.7114712605</v>
      </c>
      <c r="BG59" s="22">
        <f>((BG14*Constants!$H72*Constants!$H90*(1-Constants!$H108))+(BG14*Constants!$H72*Constants!$H124))</f>
        <v>6088939.3228881005</v>
      </c>
      <c r="BH59" s="22">
        <f>((BH14*Constants!$H72*Constants!$H90*(1-Constants!$H108))+(BH14*Constants!$H72*Constants!$H124))</f>
        <v>6096438.1690700082</v>
      </c>
      <c r="BI59" s="22">
        <f>((BI14*Constants!$H72*Constants!$H90*(1-Constants!$H108))+(BI14*Constants!$H72*Constants!$H124))</f>
        <v>6104523.6419534432</v>
      </c>
      <c r="BJ59" s="22">
        <f>((BJ14*Constants!$H72*Constants!$H90*(1-Constants!$H108))+(BJ14*Constants!$H72*Constants!$H124))</f>
        <v>6113180.6992327115</v>
      </c>
      <c r="BK59" s="22">
        <f>((BK14*Constants!$H72*Constants!$H90*(1-Constants!$H108))+(BK14*Constants!$H72*Constants!$H124))</f>
        <v>6122519.3924676124</v>
      </c>
      <c r="BL59" s="22">
        <f>((BL14*Constants!$H72*Constants!$H90*(1-Constants!$H108))+(BL14*Constants!$H72*Constants!$H124))</f>
        <v>6125781.4012818234</v>
      </c>
      <c r="BM59" s="22">
        <f>((BM14*Constants!$H72*Constants!$H90*(1-Constants!$H108))+(BM14*Constants!$H72*Constants!$H124))</f>
        <v>6128320.6759975385</v>
      </c>
      <c r="BN59" s="22">
        <f>((BN14*Constants!$H72*Constants!$H90*(1-Constants!$H108))+(BN14*Constants!$H72*Constants!$H124))</f>
        <v>6131230.3217158951</v>
      </c>
      <c r="BO59" s="22">
        <f>((BO14*Constants!$H72*Constants!$H90*(1-Constants!$H108))+(BO14*Constants!$H72*Constants!$H124))</f>
        <v>6134741.168051959</v>
      </c>
      <c r="BP59" s="22">
        <f>((BP14*Constants!$H72*Constants!$H90*(1-Constants!$H108))+(BP14*Constants!$H72*Constants!$H124))</f>
        <v>6138606.6282664118</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7962493.0176485498</v>
      </c>
      <c r="AE62" s="22">
        <f>((AE17*Constants!$H75*Constants!$H93*(1-Constants!$H111))+(AE17*Constants!$H75*Constants!$H127))</f>
        <v>7948420.2349363761</v>
      </c>
      <c r="AF62" s="22">
        <f>((AF17*Constants!$H75*Constants!$H93*(1-Constants!$H111))+(AF17*Constants!$H75*Constants!$H127))</f>
        <v>7903825.4386084108</v>
      </c>
      <c r="AG62" s="22">
        <f>((AG17*Constants!$H75*Constants!$H93*(1-Constants!$H111))+(AG17*Constants!$H75*Constants!$H127))</f>
        <v>7729417.4240341056</v>
      </c>
      <c r="AH62" s="22">
        <f>((AH17*Constants!$H75*Constants!$H93*(1-Constants!$H111))+(AH17*Constants!$H75*Constants!$H127))</f>
        <v>7564486.4534051092</v>
      </c>
      <c r="AI62" s="22">
        <f>((AI17*Constants!$H75*Constants!$H93*(1-Constants!$H111))+(AI17*Constants!$H75*Constants!$H127))</f>
        <v>7537866.2435460119</v>
      </c>
      <c r="AJ62" s="22">
        <f>((AJ17*Constants!$H75*Constants!$H93*(1-Constants!$H111))+(AJ17*Constants!$H75*Constants!$H127))</f>
        <v>7473245.2870888608</v>
      </c>
      <c r="AK62" s="22">
        <f>((AK17*Constants!$H75*Constants!$H93*(1-Constants!$H111))+(AK17*Constants!$H75*Constants!$H127))</f>
        <v>7274217.1594508123</v>
      </c>
      <c r="AL62" s="22">
        <f>((AL17*Constants!$H75*Constants!$H93*(1-Constants!$H111))+(AL17*Constants!$H75*Constants!$H127))</f>
        <v>6488265.1411964083</v>
      </c>
      <c r="AM62" s="22">
        <f>((AM17*Constants!$H75*Constants!$H93*(1-Constants!$H111))+(AM17*Constants!$H75*Constants!$H127))</f>
        <v>6627831.6979960706</v>
      </c>
      <c r="AN62" s="22">
        <f>((AN17*Constants!$H75*Constants!$H93*(1-Constants!$H111))+(AN17*Constants!$H75*Constants!$H127))</f>
        <v>6692099.5734853959</v>
      </c>
      <c r="AO62" s="22">
        <f>((AO17*Constants!$H75*Constants!$H93*(1-Constants!$H111))+(AO17*Constants!$H75*Constants!$H127))</f>
        <v>6738906.4096480133</v>
      </c>
      <c r="AP62" s="22">
        <f>((AP17*Constants!$H75*Constants!$H93*(1-Constants!$H111))+(AP17*Constants!$H75*Constants!$H127))</f>
        <v>6810767.5154969562</v>
      </c>
      <c r="AQ62" s="22">
        <f>((AQ17*Constants!$H75*Constants!$H93*(1-Constants!$H111))+(AQ17*Constants!$H75*Constants!$H127))</f>
        <v>6970349.3359691715</v>
      </c>
      <c r="AR62" s="22">
        <f>((AR17*Constants!$H75*Constants!$H93*(1-Constants!$H111))+(AR17*Constants!$H75*Constants!$H127))</f>
        <v>7149949.7841893081</v>
      </c>
      <c r="AS62" s="22">
        <f>((AS17*Constants!$H75*Constants!$H93*(1-Constants!$H111))+(AS17*Constants!$H75*Constants!$H127))</f>
        <v>7347584.3428031933</v>
      </c>
      <c r="AT62" s="22">
        <f>((AT17*Constants!$H75*Constants!$H93*(1-Constants!$H111))+(AT17*Constants!$H75*Constants!$H127))</f>
        <v>7505620.8849161137</v>
      </c>
      <c r="AU62" s="22">
        <f>((AU17*Constants!$H75*Constants!$H93*(1-Constants!$H111))+(AU17*Constants!$H75*Constants!$H127))</f>
        <v>7699187.2274221005</v>
      </c>
      <c r="AV62" s="22">
        <f>((AV17*Constants!$H75*Constants!$H93*(1-Constants!$H111))+(AV17*Constants!$H75*Constants!$H127))</f>
        <v>7936067.9159314549</v>
      </c>
      <c r="AW62" s="22">
        <f>((AW17*Constants!$H75*Constants!$H93*(1-Constants!$H111))+(AW17*Constants!$H75*Constants!$H127))</f>
        <v>8160286.753812355</v>
      </c>
      <c r="AX62" s="22">
        <f>((AX17*Constants!$H75*Constants!$H93*(1-Constants!$H111))+(AX17*Constants!$H75*Constants!$H127))</f>
        <v>8393649.084122749</v>
      </c>
      <c r="AY62" s="22">
        <f>((AY17*Constants!$H75*Constants!$H93*(1-Constants!$H111))+(AY17*Constants!$H75*Constants!$H127))</f>
        <v>8628379.740151478</v>
      </c>
      <c r="AZ62" s="22">
        <f>((AZ17*Constants!$H75*Constants!$H93*(1-Constants!$H111))+(AZ17*Constants!$H75*Constants!$H127))</f>
        <v>8896084.724308664</v>
      </c>
      <c r="BA62" s="22">
        <f>((BA17*Constants!$H75*Constants!$H93*(1-Constants!$H111))+(BA17*Constants!$H75*Constants!$H127))</f>
        <v>9113121.3378877435</v>
      </c>
      <c r="BB62" s="22">
        <f>((BB17*Constants!$H75*Constants!$H93*(1-Constants!$H111))+(BB17*Constants!$H75*Constants!$H127))</f>
        <v>9345683.4039642084</v>
      </c>
      <c r="BC62" s="22">
        <f>((BC17*Constants!$H75*Constants!$H93*(1-Constants!$H111))+(BC17*Constants!$H75*Constants!$H127))</f>
        <v>9578289.4086522125</v>
      </c>
      <c r="BD62" s="22">
        <f>((BD17*Constants!$H75*Constants!$H93*(1-Constants!$H111))+(BD17*Constants!$H75*Constants!$H127))</f>
        <v>9789401.38367787</v>
      </c>
      <c r="BE62" s="22">
        <f>((BE17*Constants!$H75*Constants!$H93*(1-Constants!$H111))+(BE17*Constants!$H75*Constants!$H127))</f>
        <v>9993965.5807197634</v>
      </c>
      <c r="BF62" s="22">
        <f>((BF17*Constants!$H75*Constants!$H93*(1-Constants!$H111))+(BF17*Constants!$H75*Constants!$H127))</f>
        <v>10204868.042463681</v>
      </c>
      <c r="BG62" s="22">
        <f>((BG17*Constants!$H75*Constants!$H93*(1-Constants!$H111))+(BG17*Constants!$H75*Constants!$H127))</f>
        <v>10427835.102836253</v>
      </c>
      <c r="BH62" s="22">
        <f>((BH17*Constants!$H75*Constants!$H93*(1-Constants!$H111))+(BH17*Constants!$H75*Constants!$H127))</f>
        <v>10623867.740863135</v>
      </c>
      <c r="BI62" s="22">
        <f>((BI17*Constants!$H75*Constants!$H93*(1-Constants!$H111))+(BI17*Constants!$H75*Constants!$H127))</f>
        <v>10818472.049567778</v>
      </c>
      <c r="BJ62" s="22">
        <f>((BJ17*Constants!$H75*Constants!$H93*(1-Constants!$H111))+(BJ17*Constants!$H75*Constants!$H127))</f>
        <v>11012165.454465628</v>
      </c>
      <c r="BK62" s="22">
        <f>((BK17*Constants!$H75*Constants!$H93*(1-Constants!$H111))+(BK17*Constants!$H75*Constants!$H127))</f>
        <v>11222049.248596665</v>
      </c>
      <c r="BL62" s="22">
        <f>((BL17*Constants!$H75*Constants!$H93*(1-Constants!$H111))+(BL17*Constants!$H75*Constants!$H127))</f>
        <v>11434977.85815523</v>
      </c>
      <c r="BM62" s="22">
        <f>((BM17*Constants!$H75*Constants!$H93*(1-Constants!$H111))+(BM17*Constants!$H75*Constants!$H127))</f>
        <v>11484763.663023602</v>
      </c>
      <c r="BN62" s="22">
        <f>((BN17*Constants!$H75*Constants!$H93*(1-Constants!$H111))+(BN17*Constants!$H75*Constants!$H127))</f>
        <v>11520853.000945644</v>
      </c>
      <c r="BO62" s="22">
        <f>((BO17*Constants!$H75*Constants!$H93*(1-Constants!$H111))+(BO17*Constants!$H75*Constants!$H127))</f>
        <v>11575031.17900655</v>
      </c>
      <c r="BP62" s="22">
        <f>((BP17*Constants!$H75*Constants!$H93*(1-Constants!$H111))+(BP17*Constants!$H75*Constants!$H127))</f>
        <v>11617333.581008023</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2020114.8852332842</v>
      </c>
      <c r="AE63" s="22">
        <f>((AE18*Constants!$H76*Constants!$H94*(1-Constants!$H112))+(AE18*Constants!$H76*Constants!$H128))</f>
        <v>2016544.5665189694</v>
      </c>
      <c r="AF63" s="22">
        <f>((AF18*Constants!$H76*Constants!$H94*(1-Constants!$H112))+(AF18*Constants!$H76*Constants!$H128))</f>
        <v>2005230.6963948268</v>
      </c>
      <c r="AG63" s="22">
        <f>((AG18*Constants!$H76*Constants!$H94*(1-Constants!$H112))+(AG18*Constants!$H76*Constants!$H128))</f>
        <v>1960982.7170792248</v>
      </c>
      <c r="AH63" s="22">
        <f>((AH18*Constants!$H76*Constants!$H94*(1-Constants!$H112))+(AH18*Constants!$H76*Constants!$H128))</f>
        <v>1919139.1000028732</v>
      </c>
      <c r="AI63" s="22">
        <f>((AI18*Constants!$H76*Constants!$H94*(1-Constants!$H112))+(AI18*Constants!$H76*Constants!$H128))</f>
        <v>1912385.4511060761</v>
      </c>
      <c r="AJ63" s="22">
        <f>((AJ18*Constants!$H76*Constants!$H94*(1-Constants!$H112))+(AJ18*Constants!$H76*Constants!$H128))</f>
        <v>1895990.8676825475</v>
      </c>
      <c r="AK63" s="22">
        <f>((AK18*Constants!$H76*Constants!$H94*(1-Constants!$H112))+(AK18*Constants!$H76*Constants!$H128))</f>
        <v>1845496.6716649709</v>
      </c>
      <c r="AL63" s="22">
        <f>((AL18*Constants!$H76*Constants!$H94*(1-Constants!$H112))+(AL18*Constants!$H76*Constants!$H128))</f>
        <v>1646097.6432908473</v>
      </c>
      <c r="AM63" s="22">
        <f>((AM18*Constants!$H76*Constants!$H94*(1-Constants!$H112))+(AM18*Constants!$H76*Constants!$H128))</f>
        <v>1681506.2117187059</v>
      </c>
      <c r="AN63" s="22">
        <f>((AN18*Constants!$H76*Constants!$H94*(1-Constants!$H112))+(AN18*Constants!$H76*Constants!$H128))</f>
        <v>1697811.2171523739</v>
      </c>
      <c r="AO63" s="22">
        <f>((AO18*Constants!$H76*Constants!$H94*(1-Constants!$H112))+(AO18*Constants!$H76*Constants!$H128))</f>
        <v>1709686.2902297636</v>
      </c>
      <c r="AP63" s="22">
        <f>((AP18*Constants!$H76*Constants!$H94*(1-Constants!$H112))+(AP18*Constants!$H76*Constants!$H128))</f>
        <v>1727917.7272022059</v>
      </c>
      <c r="AQ63" s="22">
        <f>((AQ18*Constants!$H76*Constants!$H94*(1-Constants!$H112))+(AQ18*Constants!$H76*Constants!$H128))</f>
        <v>1768404.244456792</v>
      </c>
      <c r="AR63" s="22">
        <f>((AR18*Constants!$H76*Constants!$H94*(1-Constants!$H112))+(AR18*Constants!$H76*Constants!$H128))</f>
        <v>1813969.564016873</v>
      </c>
      <c r="AS63" s="22">
        <f>((AS18*Constants!$H76*Constants!$H94*(1-Constants!$H112))+(AS18*Constants!$H76*Constants!$H128))</f>
        <v>1864110.2062513474</v>
      </c>
      <c r="AT63" s="22">
        <f>((AT18*Constants!$H76*Constants!$H94*(1-Constants!$H112))+(AT18*Constants!$H76*Constants!$H128))</f>
        <v>1904204.680485171</v>
      </c>
      <c r="AU63" s="22">
        <f>((AU18*Constants!$H76*Constants!$H94*(1-Constants!$H112))+(AU18*Constants!$H76*Constants!$H128))</f>
        <v>1953313.2007576297</v>
      </c>
      <c r="AV63" s="22">
        <f>((AV18*Constants!$H76*Constants!$H94*(1-Constants!$H112))+(AV18*Constants!$H76*Constants!$H128))</f>
        <v>2013410.7360171799</v>
      </c>
      <c r="AW63" s="22">
        <f>((AW18*Constants!$H76*Constants!$H94*(1-Constants!$H112))+(AW18*Constants!$H76*Constants!$H128))</f>
        <v>2070295.9114200312</v>
      </c>
      <c r="AX63" s="22">
        <f>((AX18*Constants!$H76*Constants!$H94*(1-Constants!$H112))+(AX18*Constants!$H76*Constants!$H128))</f>
        <v>2129500.8257688251</v>
      </c>
      <c r="AY63" s="22">
        <f>((AY18*Constants!$H76*Constants!$H94*(1-Constants!$H112))+(AY18*Constants!$H76*Constants!$H128))</f>
        <v>2189052.8895776351</v>
      </c>
      <c r="AZ63" s="22">
        <f>((AZ18*Constants!$H76*Constants!$H94*(1-Constants!$H112))+(AZ18*Constants!$H76*Constants!$H128))</f>
        <v>2256970.6663528765</v>
      </c>
      <c r="BA63" s="22">
        <f>((BA18*Constants!$H76*Constants!$H94*(1-Constants!$H112))+(BA18*Constants!$H76*Constants!$H128))</f>
        <v>2312033.6840233393</v>
      </c>
      <c r="BB63" s="22">
        <f>((BB18*Constants!$H76*Constants!$H94*(1-Constants!$H112))+(BB18*Constants!$H76*Constants!$H128))</f>
        <v>2371035.5682799881</v>
      </c>
      <c r="BC63" s="22">
        <f>((BC18*Constants!$H76*Constants!$H94*(1-Constants!$H112))+(BC18*Constants!$H76*Constants!$H128))</f>
        <v>2430048.5999301746</v>
      </c>
      <c r="BD63" s="22">
        <f>((BD18*Constants!$H76*Constants!$H94*(1-Constants!$H112))+(BD18*Constants!$H76*Constants!$H128))</f>
        <v>2483608.5141750067</v>
      </c>
      <c r="BE63" s="22">
        <f>((BE18*Constants!$H76*Constants!$H94*(1-Constants!$H112))+(BE18*Constants!$H76*Constants!$H128))</f>
        <v>2535507.2321411241</v>
      </c>
      <c r="BF63" s="22">
        <f>((BF18*Constants!$H76*Constants!$H94*(1-Constants!$H112))+(BF18*Constants!$H76*Constants!$H128))</f>
        <v>2589013.9920663023</v>
      </c>
      <c r="BG63" s="22">
        <f>((BG18*Constants!$H76*Constants!$H94*(1-Constants!$H112))+(BG18*Constants!$H76*Constants!$H128))</f>
        <v>2645581.5867350837</v>
      </c>
      <c r="BH63" s="22">
        <f>((BH18*Constants!$H76*Constants!$H94*(1-Constants!$H112))+(BH18*Constants!$H76*Constants!$H128))</f>
        <v>2695315.8155993246</v>
      </c>
      <c r="BI63" s="22">
        <f>((BI18*Constants!$H76*Constants!$H94*(1-Constants!$H112))+(BI18*Constants!$H76*Constants!$H128))</f>
        <v>2744687.6718601012</v>
      </c>
      <c r="BJ63" s="22">
        <f>((BJ18*Constants!$H76*Constants!$H94*(1-Constants!$H112))+(BJ18*Constants!$H76*Constants!$H128))</f>
        <v>2793828.4283465934</v>
      </c>
      <c r="BK63" s="22">
        <f>((BK18*Constants!$H76*Constants!$H94*(1-Constants!$H112))+(BK18*Constants!$H76*Constants!$H128))</f>
        <v>2847076.7484083618</v>
      </c>
      <c r="BL63" s="22">
        <f>((BL18*Constants!$H76*Constants!$H94*(1-Constants!$H112))+(BL18*Constants!$H76*Constants!$H128))</f>
        <v>2901097.5497714402</v>
      </c>
      <c r="BM63" s="22">
        <f>((BM18*Constants!$H76*Constants!$H94*(1-Constants!$H112))+(BM18*Constants!$H76*Constants!$H128))</f>
        <v>2913728.3985853726</v>
      </c>
      <c r="BN63" s="22">
        <f>((BN18*Constants!$H76*Constants!$H94*(1-Constants!$H112))+(BN18*Constants!$H76*Constants!$H128))</f>
        <v>2922884.4014318353</v>
      </c>
      <c r="BO63" s="22">
        <f>((BO18*Constants!$H76*Constants!$H94*(1-Constants!$H112))+(BO18*Constants!$H76*Constants!$H128))</f>
        <v>2936629.6120980266</v>
      </c>
      <c r="BP63" s="22">
        <f>((BP18*Constants!$H76*Constants!$H94*(1-Constants!$H112))+(BP18*Constants!$H76*Constants!$H128))</f>
        <v>2947361.8930274909</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10020306.329217177</v>
      </c>
      <c r="AE64" s="22">
        <f>((AE19*Constants!$H77*Constants!$H95*(1-Constants!$H113))+(AE19*Constants!$H77*Constants!$H129))</f>
        <v>10245530.611890748</v>
      </c>
      <c r="AF64" s="22">
        <f>((AF19*Constants!$H77*Constants!$H95*(1-Constants!$H113))+(AF19*Constants!$H77*Constants!$H129))</f>
        <v>10449243.508515857</v>
      </c>
      <c r="AG64" s="22">
        <f>((AG19*Constants!$H77*Constants!$H95*(1-Constants!$H113))+(AG19*Constants!$H77*Constants!$H129))</f>
        <v>10554411.620731648</v>
      </c>
      <c r="AH64" s="22">
        <f>((AH19*Constants!$H77*Constants!$H95*(1-Constants!$H113))+(AH19*Constants!$H77*Constants!$H129))</f>
        <v>10662479.048547674</v>
      </c>
      <c r="AI64" s="22">
        <f>((AI19*Constants!$H77*Constants!$H95*(1-Constants!$H113))+(AI19*Constants!$H77*Constants!$H129))</f>
        <v>10877640.996510897</v>
      </c>
      <c r="AJ64" s="22">
        <f>((AJ19*Constants!$H77*Constants!$H95*(1-Constants!$H113))+(AJ19*Constants!$H77*Constants!$H129))</f>
        <v>11061624.227815729</v>
      </c>
      <c r="AK64" s="22">
        <f>((AK19*Constants!$H77*Constants!$H95*(1-Constants!$H113))+(AK19*Constants!$H77*Constants!$H129))</f>
        <v>11131459.696017046</v>
      </c>
      <c r="AL64" s="22">
        <f>((AL19*Constants!$H77*Constants!$H95*(1-Constants!$H113))+(AL19*Constants!$H77*Constants!$H129))</f>
        <v>10689378.789319342</v>
      </c>
      <c r="AM64" s="22">
        <f>((AM19*Constants!$H77*Constants!$H95*(1-Constants!$H113))+(AM19*Constants!$H77*Constants!$H129))</f>
        <v>11007495.373652793</v>
      </c>
      <c r="AN64" s="22">
        <f>((AN19*Constants!$H77*Constants!$H95*(1-Constants!$H113))+(AN19*Constants!$H77*Constants!$H129))</f>
        <v>11264599.187495885</v>
      </c>
      <c r="AO64" s="22">
        <f>((AO19*Constants!$H77*Constants!$H95*(1-Constants!$H113))+(AO19*Constants!$H77*Constants!$H129))</f>
        <v>11509604.096777543</v>
      </c>
      <c r="AP64" s="22">
        <f>((AP19*Constants!$H77*Constants!$H95*(1-Constants!$H113))+(AP19*Constants!$H77*Constants!$H129))</f>
        <v>11781653.495842265</v>
      </c>
      <c r="AQ64" s="22">
        <f>((AQ19*Constants!$H77*Constants!$H95*(1-Constants!$H113))+(AQ19*Constants!$H77*Constants!$H129))</f>
        <v>12142774.392153794</v>
      </c>
      <c r="AR64" s="22">
        <f>((AR19*Constants!$H77*Constants!$H95*(1-Constants!$H113))+(AR19*Constants!$H77*Constants!$H129))</f>
        <v>12522063.037310595</v>
      </c>
      <c r="AS64" s="22">
        <f>((AS19*Constants!$H77*Constants!$H95*(1-Constants!$H113))+(AS19*Constants!$H77*Constants!$H129))</f>
        <v>12928633.48014834</v>
      </c>
      <c r="AT64" s="22">
        <f>((AT19*Constants!$H77*Constants!$H95*(1-Constants!$H113))+(AT19*Constants!$H77*Constants!$H129))</f>
        <v>13304712.007590251</v>
      </c>
      <c r="AU64" s="22">
        <f>((AU19*Constants!$H77*Constants!$H95*(1-Constants!$H113))+(AU19*Constants!$H77*Constants!$H129))</f>
        <v>13726636.971915994</v>
      </c>
      <c r="AV64" s="22">
        <f>((AV19*Constants!$H77*Constants!$H95*(1-Constants!$H113))+(AV19*Constants!$H77*Constants!$H129))</f>
        <v>14205202.717366934</v>
      </c>
      <c r="AW64" s="22">
        <f>((AW19*Constants!$H77*Constants!$H95*(1-Constants!$H113))+(AW19*Constants!$H77*Constants!$H129))</f>
        <v>14674274.689629065</v>
      </c>
      <c r="AX64" s="22">
        <f>((AX19*Constants!$H77*Constants!$H95*(1-Constants!$H113))+(AX19*Constants!$H77*Constants!$H129))</f>
        <v>15165547.399093302</v>
      </c>
      <c r="AY64" s="22">
        <f>((AY19*Constants!$H77*Constants!$H95*(1-Constants!$H113))+(AY19*Constants!$H77*Constants!$H129))</f>
        <v>15671078.678945864</v>
      </c>
      <c r="AZ64" s="22">
        <f>((AZ19*Constants!$H77*Constants!$H95*(1-Constants!$H113))+(AZ19*Constants!$H77*Constants!$H129))</f>
        <v>16227782.244308148</v>
      </c>
      <c r="BA64" s="22">
        <f>((BA19*Constants!$H77*Constants!$H95*(1-Constants!$H113))+(BA19*Constants!$H77*Constants!$H129))</f>
        <v>16739609.611050015</v>
      </c>
      <c r="BB64" s="22">
        <f>((BB19*Constants!$H77*Constants!$H95*(1-Constants!$H113))+(BB19*Constants!$H77*Constants!$H129))</f>
        <v>17275072.62789876</v>
      </c>
      <c r="BC64" s="22">
        <f>((BC19*Constants!$H77*Constants!$H95*(1-Constants!$H113))+(BC19*Constants!$H77*Constants!$H129))</f>
        <v>17824355.063206244</v>
      </c>
      <c r="BD64" s="22">
        <f>((BD19*Constants!$H77*Constants!$H95*(1-Constants!$H113))+(BD19*Constants!$H77*Constants!$H129))</f>
        <v>18360913.078313526</v>
      </c>
      <c r="BE64" s="22">
        <f>((BE19*Constants!$H77*Constants!$H95*(1-Constants!$H113))+(BE19*Constants!$H77*Constants!$H129))</f>
        <v>18902571.282715846</v>
      </c>
      <c r="BF64" s="22">
        <f>((BF19*Constants!$H77*Constants!$H95*(1-Constants!$H113))+(BF19*Constants!$H77*Constants!$H129))</f>
        <v>19465897.500140045</v>
      </c>
      <c r="BG64" s="22">
        <f>((BG19*Constants!$H77*Constants!$H95*(1-Constants!$H113))+(BG19*Constants!$H77*Constants!$H129))</f>
        <v>20051785.886330549</v>
      </c>
      <c r="BH64" s="22">
        <f>((BH19*Constants!$H77*Constants!$H95*(1-Constants!$H113))+(BH19*Constants!$H77*Constants!$H129))</f>
        <v>20616420.447791386</v>
      </c>
      <c r="BI64" s="22">
        <f>((BI19*Constants!$H77*Constants!$H95*(1-Constants!$H113))+(BI19*Constants!$H77*Constants!$H129))</f>
        <v>21193117.54339879</v>
      </c>
      <c r="BJ64" s="22">
        <f>((BJ19*Constants!$H77*Constants!$H95*(1-Constants!$H113))+(BJ19*Constants!$H77*Constants!$H129))</f>
        <v>21782872.504020832</v>
      </c>
      <c r="BK64" s="22">
        <f>((BK19*Constants!$H77*Constants!$H95*(1-Constants!$H113))+(BK19*Constants!$H77*Constants!$H129))</f>
        <v>22410328.289350692</v>
      </c>
      <c r="BL64" s="22">
        <f>((BL19*Constants!$H77*Constants!$H95*(1-Constants!$H113))+(BL19*Constants!$H77*Constants!$H129))</f>
        <v>23050451.569076337</v>
      </c>
      <c r="BM64" s="22">
        <f>((BM19*Constants!$H77*Constants!$H95*(1-Constants!$H113))+(BM19*Constants!$H77*Constants!$H129))</f>
        <v>23466382.140440848</v>
      </c>
      <c r="BN64" s="22">
        <f>((BN19*Constants!$H77*Constants!$H95*(1-Constants!$H113))+(BN19*Constants!$H77*Constants!$H129))</f>
        <v>23869779.068654221</v>
      </c>
      <c r="BO64" s="22">
        <f>((BO19*Constants!$H77*Constants!$H95*(1-Constants!$H113))+(BO19*Constants!$H77*Constants!$H129))</f>
        <v>24308404.199043918</v>
      </c>
      <c r="BP64" s="22">
        <f>((BP19*Constants!$H77*Constants!$H95*(1-Constants!$H113))+(BP19*Constants!$H77*Constants!$H129))</f>
        <v>24737345.98038318</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50365202.067184903</v>
      </c>
      <c r="AE65" s="22">
        <f>((AE20*Constants!$H78*Constants!$H96*(1-Constants!$H114))+(AE20*Constants!$H78*Constants!$H130))</f>
        <v>51299976.920555025</v>
      </c>
      <c r="AF65" s="22">
        <f>((AF20*Constants!$H78*Constants!$H96*(1-Constants!$H114))+(AF20*Constants!$H78*Constants!$H130))</f>
        <v>51912223.777118228</v>
      </c>
      <c r="AG65" s="22">
        <f>((AG20*Constants!$H78*Constants!$H96*(1-Constants!$H114))+(AG20*Constants!$H78*Constants!$H130))</f>
        <v>51238823.634402134</v>
      </c>
      <c r="AH65" s="22">
        <f>((AH20*Constants!$H78*Constants!$H96*(1-Constants!$H114))+(AH20*Constants!$H78*Constants!$H130))</f>
        <v>50585762.638668038</v>
      </c>
      <c r="AI65" s="22">
        <f>((AI20*Constants!$H78*Constants!$H96*(1-Constants!$H114))+(AI20*Constants!$H78*Constants!$H130))</f>
        <v>51232888.031359024</v>
      </c>
      <c r="AJ65" s="22">
        <f>((AJ20*Constants!$H78*Constants!$H96*(1-Constants!$H114))+(AJ20*Constants!$H78*Constants!$H130))</f>
        <v>51482243.814409688</v>
      </c>
      <c r="AK65" s="22">
        <f>((AK20*Constants!$H78*Constants!$H96*(1-Constants!$H114))+(AK20*Constants!$H78*Constants!$H130))</f>
        <v>50339040.399750598</v>
      </c>
      <c r="AL65" s="22">
        <f>((AL20*Constants!$H78*Constants!$H96*(1-Constants!$H114))+(AL20*Constants!$H78*Constants!$H130))</f>
        <v>43086910.518574804</v>
      </c>
      <c r="AM65" s="22">
        <f>((AM20*Constants!$H78*Constants!$H96*(1-Constants!$H114))+(AM20*Constants!$H78*Constants!$H130))</f>
        <v>45389890.905340835</v>
      </c>
      <c r="AN65" s="22">
        <f>((AN20*Constants!$H78*Constants!$H96*(1-Constants!$H114))+(AN20*Constants!$H78*Constants!$H130))</f>
        <v>46931676.664300129</v>
      </c>
      <c r="AO65" s="22">
        <f>((AO20*Constants!$H78*Constants!$H96*(1-Constants!$H114))+(AO20*Constants!$H78*Constants!$H130))</f>
        <v>48302127.516985595</v>
      </c>
      <c r="AP65" s="22">
        <f>((AP20*Constants!$H78*Constants!$H96*(1-Constants!$H114))+(AP20*Constants!$H78*Constants!$H130))</f>
        <v>49957072.974417619</v>
      </c>
      <c r="AQ65" s="22">
        <f>((AQ20*Constants!$H78*Constants!$H96*(1-Constants!$H114))+(AQ20*Constants!$H78*Constants!$H130))</f>
        <v>52598322.923826784</v>
      </c>
      <c r="AR65" s="22">
        <f>((AR20*Constants!$H78*Constants!$H96*(1-Constants!$H114))+(AR20*Constants!$H78*Constants!$H130))</f>
        <v>55552268.852981314</v>
      </c>
      <c r="AS65" s="22">
        <f>((AS20*Constants!$H78*Constants!$H96*(1-Constants!$H114))+(AS20*Constants!$H78*Constants!$H130))</f>
        <v>58764592.956985675</v>
      </c>
      <c r="AT65" s="22">
        <f>((AT20*Constants!$H78*Constants!$H96*(1-Constants!$H114))+(AT20*Constants!$H78*Constants!$H130))</f>
        <v>61585294.375552624</v>
      </c>
      <c r="AU65" s="22">
        <f>((AU20*Constants!$H78*Constants!$H96*(1-Constants!$H114))+(AU20*Constants!$H78*Constants!$H130))</f>
        <v>64869353.810619481</v>
      </c>
      <c r="AV65" s="22">
        <f>((AV20*Constants!$H78*Constants!$H96*(1-Constants!$H114))+(AV20*Constants!$H78*Constants!$H130))</f>
        <v>68725597.264276117</v>
      </c>
      <c r="AW65" s="22">
        <f>((AW20*Constants!$H78*Constants!$H96*(1-Constants!$H114))+(AW20*Constants!$H78*Constants!$H130))</f>
        <v>72543400.686031729</v>
      </c>
      <c r="AX65" s="22">
        <f>((AX20*Constants!$H78*Constants!$H96*(1-Constants!$H114))+(AX20*Constants!$H78*Constants!$H130))</f>
        <v>76548049.517884269</v>
      </c>
      <c r="AY65" s="22">
        <f>((AY20*Constants!$H78*Constants!$H96*(1-Constants!$H114))+(AY20*Constants!$H78*Constants!$H130))</f>
        <v>80650944.185920507</v>
      </c>
      <c r="AZ65" s="22">
        <f>((AZ20*Constants!$H78*Constants!$H96*(1-Constants!$H114))+(AZ20*Constants!$H78*Constants!$H130))</f>
        <v>85245217.780854374</v>
      </c>
      <c r="BA65" s="22">
        <f>((BA20*Constants!$H78*Constants!$H96*(1-Constants!$H114))+(BA20*Constants!$H78*Constants!$H130))</f>
        <v>89302380.046962038</v>
      </c>
      <c r="BB65" s="22">
        <f>((BB20*Constants!$H78*Constants!$H96*(1-Constants!$H114))+(BB20*Constants!$H78*Constants!$H130))</f>
        <v>93670602.446707353</v>
      </c>
      <c r="BC65" s="22">
        <f>((BC20*Constants!$H78*Constants!$H96*(1-Constants!$H114))+(BC20*Constants!$H78*Constants!$H130))</f>
        <v>98129743.329170823</v>
      </c>
      <c r="BD65" s="22">
        <f>((BD20*Constants!$H78*Constants!$H96*(1-Constants!$H114))+(BD20*Constants!$H78*Constants!$H130))</f>
        <v>102402437.85589482</v>
      </c>
      <c r="BE65" s="22">
        <f>((BE20*Constants!$H78*Constants!$H96*(1-Constants!$H114))+(BE20*Constants!$H78*Constants!$H130))</f>
        <v>106677194.20744097</v>
      </c>
      <c r="BF65" s="22">
        <f>((BF20*Constants!$H78*Constants!$H96*(1-Constants!$H114))+(BF20*Constants!$H78*Constants!$H130))</f>
        <v>111124893.9659868</v>
      </c>
      <c r="BG65" s="22">
        <f>((BG20*Constants!$H78*Constants!$H96*(1-Constants!$H114))+(BG20*Constants!$H78*Constants!$H130))</f>
        <v>115857437.14384595</v>
      </c>
      <c r="BH65" s="22">
        <f>((BH20*Constants!$H78*Constants!$H96*(1-Constants!$H114))+(BH20*Constants!$H78*Constants!$H130))</f>
        <v>120321849.32758781</v>
      </c>
      <c r="BI65" s="22">
        <f>((BI20*Constants!$H78*Constants!$H96*(1-Constants!$H114))+(BI20*Constants!$H78*Constants!$H130))</f>
        <v>124859908.74875304</v>
      </c>
      <c r="BJ65" s="22">
        <f>((BJ20*Constants!$H78*Constants!$H96*(1-Constants!$H114))+(BJ20*Constants!$H78*Constants!$H130))</f>
        <v>129480847.45476077</v>
      </c>
      <c r="BK65" s="22">
        <f>((BK20*Constants!$H78*Constants!$H96*(1-Constants!$H114))+(BK20*Constants!$H78*Constants!$H130))</f>
        <v>134429877.93689394</v>
      </c>
      <c r="BL65" s="22">
        <f>((BL20*Constants!$H78*Constants!$H96*(1-Constants!$H114))+(BL20*Constants!$H78*Constants!$H130))</f>
        <v>139558581.77919617</v>
      </c>
      <c r="BM65" s="22">
        <f>((BM20*Constants!$H78*Constants!$H96*(1-Constants!$H114))+(BM20*Constants!$H78*Constants!$H130))</f>
        <v>142421256.55508649</v>
      </c>
      <c r="BN65" s="22">
        <f>((BN20*Constants!$H78*Constants!$H96*(1-Constants!$H114))+(BN20*Constants!$H78*Constants!$H130))</f>
        <v>145134532.57656327</v>
      </c>
      <c r="BO65" s="22">
        <f>((BO20*Constants!$H78*Constants!$H96*(1-Constants!$H114))+(BO20*Constants!$H78*Constants!$H130))</f>
        <v>148167740.8308827</v>
      </c>
      <c r="BP65" s="22">
        <f>((BP20*Constants!$H78*Constants!$H96*(1-Constants!$H114))+(BP20*Constants!$H78*Constants!$H130))</f>
        <v>151079349.04120862</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34321487.761366524</v>
      </c>
      <c r="AE67" s="22">
        <f>AE6*Constants!$H64*(1-Constants!$H82)</f>
        <v>34553228.373710632</v>
      </c>
      <c r="AF67" s="22">
        <f>AF6*Constants!$H64*(1-Constants!$H82)</f>
        <v>34755942.708069228</v>
      </c>
      <c r="AG67" s="22">
        <f>AG6*Constants!$H64*(1-Constants!$H82)</f>
        <v>34782164.232133396</v>
      </c>
      <c r="AH67" s="22">
        <f>AH6*Constants!$H64*(1-Constants!$H82)</f>
        <v>34827328.236369483</v>
      </c>
      <c r="AI67" s="22">
        <f>AI6*Constants!$H64*(1-Constants!$H82)</f>
        <v>35086470.962063126</v>
      </c>
      <c r="AJ67" s="22">
        <f>AJ6*Constants!$H64*(1-Constants!$H82)</f>
        <v>35293690.253709756</v>
      </c>
      <c r="AK67" s="22">
        <f>AK6*Constants!$H64*(1-Constants!$H82)</f>
        <v>35295507.164919175</v>
      </c>
      <c r="AL67" s="22">
        <f>AL6*Constants!$H64*(1-Constants!$H82)</f>
        <v>34360396.732767276</v>
      </c>
      <c r="AM67" s="22">
        <f>AM6*Constants!$H64*(1-Constants!$H82)</f>
        <v>34812143.40552292</v>
      </c>
      <c r="AN67" s="22">
        <f>AN6*Constants!$H64*(1-Constants!$H82)</f>
        <v>35154107.875149935</v>
      </c>
      <c r="AO67" s="22">
        <f>AO6*Constants!$H64*(1-Constants!$H82)</f>
        <v>35476743.260001443</v>
      </c>
      <c r="AP67" s="22">
        <f>AP6*Constants!$H64*(1-Constants!$H82)</f>
        <v>35850848.49904073</v>
      </c>
      <c r="AQ67" s="22">
        <f>AQ6*Constants!$H64*(1-Constants!$H82)</f>
        <v>36386884.655601062</v>
      </c>
      <c r="AR67" s="22">
        <f>AR6*Constants!$H64*(1-Constants!$H82)</f>
        <v>36944960.666308768</v>
      </c>
      <c r="AS67" s="22">
        <f>AS6*Constants!$H64*(1-Constants!$H82)</f>
        <v>37551157.19094228</v>
      </c>
      <c r="AT67" s="22">
        <f>AT6*Constants!$H64*(1-Constants!$H82)</f>
        <v>38102430.975830719</v>
      </c>
      <c r="AU67" s="22">
        <f>AU6*Constants!$H64*(1-Constants!$H82)</f>
        <v>38734056.234108046</v>
      </c>
      <c r="AV67" s="22">
        <f>AV6*Constants!$H64*(1-Constants!$H82)</f>
        <v>39463846.579191439</v>
      </c>
      <c r="AW67" s="22">
        <f>AW6*Constants!$H64*(1-Constants!$H82)</f>
        <v>40166454.15292155</v>
      </c>
      <c r="AX67" s="22">
        <f>AX6*Constants!$H64*(1-Constants!$H82)</f>
        <v>40905691.447740965</v>
      </c>
      <c r="AY67" s="22">
        <f>AY6*Constants!$H64*(1-Constants!$H82)</f>
        <v>41667350.296851374</v>
      </c>
      <c r="AZ67" s="22">
        <f>AZ6*Constants!$H64*(1-Constants!$H82)</f>
        <v>42514860.881668434</v>
      </c>
      <c r="BA67" s="22">
        <f>BA6*Constants!$H64*(1-Constants!$H82)</f>
        <v>43282174.08578936</v>
      </c>
      <c r="BB67" s="22">
        <f>BB6*Constants!$H64*(1-Constants!$H82)</f>
        <v>44079497.790812753</v>
      </c>
      <c r="BC67" s="22">
        <f>BC6*Constants!$H64*(1-Constants!$H82)</f>
        <v>44897661.992495403</v>
      </c>
      <c r="BD67" s="22">
        <f>BD6*Constants!$H64*(1-Constants!$H82)</f>
        <v>45691369.114063539</v>
      </c>
      <c r="BE67" s="22">
        <f>BE6*Constants!$H64*(1-Constants!$H82)</f>
        <v>46491091.821830705</v>
      </c>
      <c r="BF67" s="22">
        <f>BF6*Constants!$H64*(1-Constants!$H82)</f>
        <v>47324738.610848084</v>
      </c>
      <c r="BG67" s="22">
        <f>BG6*Constants!$H64*(1-Constants!$H82)</f>
        <v>48185988.383479089</v>
      </c>
      <c r="BH67" s="22">
        <f>BH6*Constants!$H64*(1-Constants!$H82)</f>
        <v>49008570.123762719</v>
      </c>
      <c r="BI67" s="22">
        <f>BI6*Constants!$H64*(1-Constants!$H82)</f>
        <v>49848528.083668016</v>
      </c>
      <c r="BJ67" s="22">
        <f>BJ6*Constants!$H64*(1-Constants!$H82)</f>
        <v>50707376.062183149</v>
      </c>
      <c r="BK67" s="22">
        <f>BK6*Constants!$H64*(1-Constants!$H82)</f>
        <v>51625830.184315421</v>
      </c>
      <c r="BL67" s="22">
        <f>BL6*Constants!$H64*(1-Constants!$H82)</f>
        <v>52554392.633972675</v>
      </c>
      <c r="BM67" s="22">
        <f>BM6*Constants!$H64*(1-Constants!$H82)</f>
        <v>53110148.425781988</v>
      </c>
      <c r="BN67" s="22">
        <f>BN6*Constants!$H64*(1-Constants!$H82)</f>
        <v>53644311.901879318</v>
      </c>
      <c r="BO67" s="22">
        <f>BO6*Constants!$H64*(1-Constants!$H82)</f>
        <v>54235299.83266677</v>
      </c>
      <c r="BP67" s="22">
        <f>BP6*Constants!$H64*(1-Constants!$H82)</f>
        <v>54809255.340829082</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23373167.996121902</v>
      </c>
      <c r="AE68" s="22">
        <f>AE7*Constants!$H65*(1-Constants!$H83)</f>
        <v>23530984.938717846</v>
      </c>
      <c r="AF68" s="22">
        <f>AF7*Constants!$H65*(1-Constants!$H83)</f>
        <v>23669034.787405312</v>
      </c>
      <c r="AG68" s="22">
        <f>AG7*Constants!$H65*(1-Constants!$H83)</f>
        <v>23686891.824702982</v>
      </c>
      <c r="AH68" s="22">
        <f>AH7*Constants!$H65*(1-Constants!$H83)</f>
        <v>23717648.820603836</v>
      </c>
      <c r="AI68" s="22">
        <f>AI7*Constants!$H65*(1-Constants!$H83)</f>
        <v>23894126.78987848</v>
      </c>
      <c r="AJ68" s="22">
        <f>AJ7*Constants!$H65*(1-Constants!$H83)</f>
        <v>24035244.545302413</v>
      </c>
      <c r="AK68" s="22">
        <f>AK7*Constants!$H65*(1-Constants!$H83)</f>
        <v>24036481.874267489</v>
      </c>
      <c r="AL68" s="22">
        <f>AL7*Constants!$H65*(1-Constants!$H83)</f>
        <v>23399665.271864407</v>
      </c>
      <c r="AM68" s="22">
        <f>AM7*Constants!$H65*(1-Constants!$H83)</f>
        <v>23707307.846901383</v>
      </c>
      <c r="AN68" s="22">
        <f>AN7*Constants!$H65*(1-Constants!$H83)</f>
        <v>23940187.99046829</v>
      </c>
      <c r="AO68" s="22">
        <f>AO7*Constants!$H65*(1-Constants!$H83)</f>
        <v>24159904.895051781</v>
      </c>
      <c r="AP68" s="22">
        <f>AP7*Constants!$H65*(1-Constants!$H83)</f>
        <v>24414673.122498415</v>
      </c>
      <c r="AQ68" s="22">
        <f>AQ7*Constants!$H65*(1-Constants!$H83)</f>
        <v>24779717.412722427</v>
      </c>
      <c r="AR68" s="22">
        <f>AR7*Constants!$H65*(1-Constants!$H83)</f>
        <v>25159770.994419415</v>
      </c>
      <c r="AS68" s="22">
        <f>AS7*Constants!$H65*(1-Constants!$H83)</f>
        <v>25572594.975344658</v>
      </c>
      <c r="AT68" s="22">
        <f>AT7*Constants!$H65*(1-Constants!$H83)</f>
        <v>25948016.194717299</v>
      </c>
      <c r="AU68" s="22">
        <f>AU7*Constants!$H65*(1-Constants!$H83)</f>
        <v>26378157.317239612</v>
      </c>
      <c r="AV68" s="22">
        <f>AV7*Constants!$H65*(1-Constants!$H83)</f>
        <v>26875149.535530984</v>
      </c>
      <c r="AW68" s="22">
        <f>AW7*Constants!$H65*(1-Constants!$H83)</f>
        <v>27353630.100543868</v>
      </c>
      <c r="AX68" s="22">
        <f>AX7*Constants!$H65*(1-Constants!$H83)</f>
        <v>27857055.756242342</v>
      </c>
      <c r="AY68" s="22">
        <f>AY7*Constants!$H65*(1-Constants!$H83)</f>
        <v>28375750.643823214</v>
      </c>
      <c r="AZ68" s="22">
        <f>AZ7*Constants!$H65*(1-Constants!$H83)</f>
        <v>28952911.15082543</v>
      </c>
      <c r="BA68" s="22">
        <f>BA7*Constants!$H65*(1-Constants!$H83)</f>
        <v>29475456.692856058</v>
      </c>
      <c r="BB68" s="22">
        <f>BB7*Constants!$H65*(1-Constants!$H83)</f>
        <v>30018439.591335762</v>
      </c>
      <c r="BC68" s="22">
        <f>BC7*Constants!$H65*(1-Constants!$H83)</f>
        <v>30575615.010632921</v>
      </c>
      <c r="BD68" s="22">
        <f>BD7*Constants!$H65*(1-Constants!$H83)</f>
        <v>31116134.991034597</v>
      </c>
      <c r="BE68" s="22">
        <f>BE7*Constants!$H65*(1-Constants!$H83)</f>
        <v>31660751.626796979</v>
      </c>
      <c r="BF68" s="22">
        <f>BF7*Constants!$H65*(1-Constants!$H83)</f>
        <v>32228470.794002313</v>
      </c>
      <c r="BG68" s="22">
        <f>BG7*Constants!$H65*(1-Constants!$H83)</f>
        <v>32814987.781910554</v>
      </c>
      <c r="BH68" s="22">
        <f>BH7*Constants!$H65*(1-Constants!$H83)</f>
        <v>33375171.575220153</v>
      </c>
      <c r="BI68" s="22">
        <f>BI7*Constants!$H65*(1-Constants!$H83)</f>
        <v>33947188.692981742</v>
      </c>
      <c r="BJ68" s="22">
        <f>BJ7*Constants!$H65*(1-Constants!$H83)</f>
        <v>34532070.042663783</v>
      </c>
      <c r="BK68" s="22">
        <f>BK7*Constants!$H65*(1-Constants!$H83)</f>
        <v>35157543.583979577</v>
      </c>
      <c r="BL68" s="22">
        <f>BL7*Constants!$H65*(1-Constants!$H83)</f>
        <v>35789900.965501934</v>
      </c>
      <c r="BM68" s="22">
        <f>BM7*Constants!$H65*(1-Constants!$H83)</f>
        <v>36168374.462253973</v>
      </c>
      <c r="BN68" s="22">
        <f>BN7*Constants!$H65*(1-Constants!$H83)</f>
        <v>36532143.444269642</v>
      </c>
      <c r="BO68" s="22">
        <f>BO7*Constants!$H65*(1-Constants!$H83)</f>
        <v>36934610.268727183</v>
      </c>
      <c r="BP68" s="22">
        <f>BP7*Constants!$H65*(1-Constants!$H83)</f>
        <v>37325477.896839671</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490931661.84327489</v>
      </c>
      <c r="AE69" s="22">
        <f>AE8*Constants!$H66*(1-Constants!$H84)</f>
        <v>488432222.15572554</v>
      </c>
      <c r="AF69" s="22">
        <f>AF8*Constants!$H66*(1-Constants!$H84)</f>
        <v>483870286.95288318</v>
      </c>
      <c r="AG69" s="22">
        <f>AG8*Constants!$H66*(1-Constants!$H84)</f>
        <v>471382981.34922951</v>
      </c>
      <c r="AH69" s="22">
        <f>AH8*Constants!$H66*(1-Constants!$H84)</f>
        <v>459393994.58473909</v>
      </c>
      <c r="AI69" s="22">
        <f>AI8*Constants!$H66*(1-Constants!$H84)</f>
        <v>455469599.65179068</v>
      </c>
      <c r="AJ69" s="22">
        <f>AJ8*Constants!$H66*(1-Constants!$H84)</f>
        <v>449131284.30794901</v>
      </c>
      <c r="AK69" s="22">
        <f>AK8*Constants!$H66*(1-Constants!$H84)</f>
        <v>434890324.2695604</v>
      </c>
      <c r="AL69" s="22">
        <f>AL8*Constants!$H66*(1-Constants!$H84)</f>
        <v>387110440.85716224</v>
      </c>
      <c r="AM69" s="22">
        <f>AM8*Constants!$H66*(1-Constants!$H84)</f>
        <v>396569422.28953129</v>
      </c>
      <c r="AN69" s="22">
        <f>AN8*Constants!$H66*(1-Constants!$H84)</f>
        <v>401678466.77559096</v>
      </c>
      <c r="AO69" s="22">
        <f>AO8*Constants!$H66*(1-Constants!$H84)</f>
        <v>405739273.65577078</v>
      </c>
      <c r="AP69" s="22">
        <f>AP8*Constants!$H66*(1-Constants!$H84)</f>
        <v>411196736.89246583</v>
      </c>
      <c r="AQ69" s="22">
        <f>AQ8*Constants!$H66*(1-Constants!$H84)</f>
        <v>421674318.9265731</v>
      </c>
      <c r="AR69" s="22">
        <f>AR8*Constants!$H66*(1-Constants!$H84)</f>
        <v>433141790.16110158</v>
      </c>
      <c r="AS69" s="22">
        <f>AS8*Constants!$H66*(1-Constants!$H84)</f>
        <v>445636803.29478353</v>
      </c>
      <c r="AT69" s="22">
        <f>AT8*Constants!$H66*(1-Constants!$H84)</f>
        <v>455824970.27205956</v>
      </c>
      <c r="AU69" s="22">
        <f>AU8*Constants!$H66*(1-Constants!$H84)</f>
        <v>468054535.78303635</v>
      </c>
      <c r="AV69" s="22">
        <f>AV8*Constants!$H66*(1-Constants!$H84)</f>
        <v>482785326.09351194</v>
      </c>
      <c r="AW69" s="22">
        <f>AW8*Constants!$H66*(1-Constants!$H84)</f>
        <v>492488919.74030346</v>
      </c>
      <c r="AX69" s="22">
        <f>AX8*Constants!$H66*(1-Constants!$H84)</f>
        <v>502400805.23243243</v>
      </c>
      <c r="AY69" s="22">
        <f>AY8*Constants!$H66*(1-Constants!$H84)</f>
        <v>512059012.21791095</v>
      </c>
      <c r="AZ69" s="22">
        <f>AZ8*Constants!$H66*(1-Constants!$H84)</f>
        <v>523232788.33668804</v>
      </c>
      <c r="BA69" s="22">
        <f>BA8*Constants!$H66*(1-Constants!$H84)</f>
        <v>531195285.1511001</v>
      </c>
      <c r="BB69" s="22">
        <f>BB8*Constants!$H66*(1-Constants!$H84)</f>
        <v>539583651.73252726</v>
      </c>
      <c r="BC69" s="22">
        <f>BC8*Constants!$H66*(1-Constants!$H84)</f>
        <v>547610564.48325872</v>
      </c>
      <c r="BD69" s="22">
        <f>BD8*Constants!$H66*(1-Constants!$H84)</f>
        <v>554095543.87480664</v>
      </c>
      <c r="BE69" s="22">
        <f>BE8*Constants!$H66*(1-Constants!$H84)</f>
        <v>559866848.5331434</v>
      </c>
      <c r="BF69" s="22">
        <f>BF8*Constants!$H66*(1-Constants!$H84)</f>
        <v>565612240.77067804</v>
      </c>
      <c r="BG69" s="22">
        <f>BG8*Constants!$H66*(1-Constants!$H84)</f>
        <v>574455289.52453363</v>
      </c>
      <c r="BH69" s="22">
        <f>BH8*Constants!$H66*(1-Constants!$H84)</f>
        <v>581656942.00108862</v>
      </c>
      <c r="BI69" s="22">
        <f>BI8*Constants!$H66*(1-Constants!$H84)</f>
        <v>588572232.64685202</v>
      </c>
      <c r="BJ69" s="22">
        <f>BJ8*Constants!$H66*(1-Constants!$H84)</f>
        <v>595223855.95061076</v>
      </c>
      <c r="BK69" s="22">
        <f>BK8*Constants!$H66*(1-Constants!$H84)</f>
        <v>602492725.59824479</v>
      </c>
      <c r="BL69" s="22">
        <f>BL8*Constants!$H66*(1-Constants!$H84)</f>
        <v>609612504.31594396</v>
      </c>
      <c r="BM69" s="22">
        <f>BM8*Constants!$H66*(1-Constants!$H84)</f>
        <v>608145620.36718833</v>
      </c>
      <c r="BN69" s="22">
        <f>BN8*Constants!$H66*(1-Constants!$H84)</f>
        <v>605843898.18579376</v>
      </c>
      <c r="BO69" s="22">
        <f>BO8*Constants!$H66*(1-Constants!$H84)</f>
        <v>604322492.47505629</v>
      </c>
      <c r="BP69" s="22">
        <f>BP8*Constants!$H66*(1-Constants!$H84)</f>
        <v>602058531.53445506</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308698225.55720496</v>
      </c>
      <c r="AE70" s="22">
        <f>AE9*Constants!$H67*(1-Constants!$H85)</f>
        <v>307126575.8625474</v>
      </c>
      <c r="AF70" s="22">
        <f>AF9*Constants!$H67*(1-Constants!$H85)</f>
        <v>304258027.3217243</v>
      </c>
      <c r="AG70" s="22">
        <f>AG9*Constants!$H67*(1-Constants!$H85)</f>
        <v>296405999.47050571</v>
      </c>
      <c r="AH70" s="22">
        <f>AH9*Constants!$H67*(1-Constants!$H85)</f>
        <v>288867314.90791076</v>
      </c>
      <c r="AI70" s="22">
        <f>AI9*Constants!$H67*(1-Constants!$H85)</f>
        <v>286399652.20382214</v>
      </c>
      <c r="AJ70" s="22">
        <f>AJ9*Constants!$H67*(1-Constants!$H85)</f>
        <v>282414114.3953225</v>
      </c>
      <c r="AK70" s="22">
        <f>AK9*Constants!$H67*(1-Constants!$H85)</f>
        <v>273459387.218885</v>
      </c>
      <c r="AL70" s="22">
        <f>AL9*Constants!$H67*(1-Constants!$H85)</f>
        <v>243415357.93106499</v>
      </c>
      <c r="AM70" s="22">
        <f>AM9*Constants!$H67*(1-Constants!$H85)</f>
        <v>249363173.0970037</v>
      </c>
      <c r="AN70" s="22">
        <f>AN9*Constants!$H67*(1-Constants!$H85)</f>
        <v>252575744.39708593</v>
      </c>
      <c r="AO70" s="22">
        <f>AO9*Constants!$H67*(1-Constants!$H85)</f>
        <v>255129183.04379153</v>
      </c>
      <c r="AP70" s="22">
        <f>AP9*Constants!$H67*(1-Constants!$H85)</f>
        <v>258560840.3357372</v>
      </c>
      <c r="AQ70" s="22">
        <f>AQ9*Constants!$H67*(1-Constants!$H85)</f>
        <v>265149152.38290659</v>
      </c>
      <c r="AR70" s="22">
        <f>AR9*Constants!$H67*(1-Constants!$H85)</f>
        <v>272359907.55896473</v>
      </c>
      <c r="AS70" s="22">
        <f>AS9*Constants!$H67*(1-Constants!$H85)</f>
        <v>280216781.91129154</v>
      </c>
      <c r="AT70" s="22">
        <f>AT9*Constants!$H67*(1-Constants!$H85)</f>
        <v>286623109.53692687</v>
      </c>
      <c r="AU70" s="22">
        <f>AU9*Constants!$H67*(1-Constants!$H85)</f>
        <v>294313070.20965958</v>
      </c>
      <c r="AV70" s="22">
        <f>AV9*Constants!$H67*(1-Constants!$H85)</f>
        <v>303575803.05688584</v>
      </c>
      <c r="AW70" s="22">
        <f>AW9*Constants!$H67*(1-Constants!$H85)</f>
        <v>309677430.58085883</v>
      </c>
      <c r="AX70" s="22">
        <f>AX9*Constants!$H67*(1-Constants!$H85)</f>
        <v>315910032.18544471</v>
      </c>
      <c r="AY70" s="22">
        <f>AY9*Constants!$H67*(1-Constants!$H85)</f>
        <v>321983120.54011935</v>
      </c>
      <c r="AZ70" s="22">
        <f>AZ9*Constants!$H67*(1-Constants!$H85)</f>
        <v>329009199.9901368</v>
      </c>
      <c r="BA70" s="22">
        <f>BA9*Constants!$H67*(1-Constants!$H85)</f>
        <v>334016024.41939634</v>
      </c>
      <c r="BB70" s="22">
        <f>BB9*Constants!$H67*(1-Constants!$H85)</f>
        <v>339290636.10218602</v>
      </c>
      <c r="BC70" s="22">
        <f>BC9*Constants!$H67*(1-Constants!$H85)</f>
        <v>344337965.32424057</v>
      </c>
      <c r="BD70" s="22">
        <f>BD9*Constants!$H67*(1-Constants!$H85)</f>
        <v>348415725.60441768</v>
      </c>
      <c r="BE70" s="22">
        <f>BE9*Constants!$H67*(1-Constants!$H85)</f>
        <v>352044726.63582265</v>
      </c>
      <c r="BF70" s="22">
        <f>BF9*Constants!$H67*(1-Constants!$H85)</f>
        <v>355657433.91609424</v>
      </c>
      <c r="BG70" s="22">
        <f>BG9*Constants!$H67*(1-Constants!$H85)</f>
        <v>361217950.11621374</v>
      </c>
      <c r="BH70" s="22">
        <f>BH9*Constants!$H67*(1-Constants!$H85)</f>
        <v>365746355.01119459</v>
      </c>
      <c r="BI70" s="22">
        <f>BI9*Constants!$H67*(1-Constants!$H85)</f>
        <v>370094695.35564154</v>
      </c>
      <c r="BJ70" s="22">
        <f>BJ9*Constants!$H67*(1-Constants!$H85)</f>
        <v>374277241.46243721</v>
      </c>
      <c r="BK70" s="22">
        <f>BK9*Constants!$H67*(1-Constants!$H85)</f>
        <v>378847912.56889272</v>
      </c>
      <c r="BL70" s="22">
        <f>BL9*Constants!$H67*(1-Constants!$H85)</f>
        <v>383324835.17816484</v>
      </c>
      <c r="BM70" s="22">
        <f>BM9*Constants!$H67*(1-Constants!$H85)</f>
        <v>382402457.36619192</v>
      </c>
      <c r="BN70" s="22">
        <f>BN9*Constants!$H67*(1-Constants!$H85)</f>
        <v>380955132.59912699</v>
      </c>
      <c r="BO70" s="22">
        <f>BO9*Constants!$H67*(1-Constants!$H85)</f>
        <v>379998471.45917547</v>
      </c>
      <c r="BP70" s="22">
        <f>BP9*Constants!$H67*(1-Constants!$H85)</f>
        <v>378574890.99082595</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369089881.70542783</v>
      </c>
      <c r="AE72" s="22">
        <f>AE11*Constants!$H69*(1-Constants!$H87)</f>
        <v>369289072.4785682</v>
      </c>
      <c r="AF72" s="22">
        <f>AF11*Constants!$H69*(1-Constants!$H87)</f>
        <v>369746995.08304256</v>
      </c>
      <c r="AG72" s="22">
        <f>AG11*Constants!$H69*(1-Constants!$H87)</f>
        <v>370426823.85134286</v>
      </c>
      <c r="AH72" s="22">
        <f>AH11*Constants!$H69*(1-Constants!$H87)</f>
        <v>371344407.41367775</v>
      </c>
      <c r="AI72" s="22">
        <f>AI11*Constants!$H69*(1-Constants!$H87)</f>
        <v>372518186.68706262</v>
      </c>
      <c r="AJ72" s="22">
        <f>AJ11*Constants!$H69*(1-Constants!$H87)</f>
        <v>373811569.33855748</v>
      </c>
      <c r="AK72" s="22">
        <f>AK11*Constants!$H69*(1-Constants!$H87)</f>
        <v>375204467.09794593</v>
      </c>
      <c r="AL72" s="22">
        <f>AL11*Constants!$H69*(1-Constants!$H87)</f>
        <v>376584468.32285666</v>
      </c>
      <c r="AM72" s="22">
        <f>AM11*Constants!$H69*(1-Constants!$H87)</f>
        <v>377149226.39266163</v>
      </c>
      <c r="AN72" s="22">
        <f>AN11*Constants!$H69*(1-Constants!$H87)</f>
        <v>377790526.71531808</v>
      </c>
      <c r="AO72" s="22">
        <f>AO11*Constants!$H69*(1-Constants!$H87)</f>
        <v>378515792.00218862</v>
      </c>
      <c r="AP72" s="22">
        <f>AP11*Constants!$H69*(1-Constants!$H87)</f>
        <v>379330283.2453925</v>
      </c>
      <c r="AQ72" s="22">
        <f>AQ11*Constants!$H69*(1-Constants!$H87)</f>
        <v>380245515.48869348</v>
      </c>
      <c r="AR72" s="22">
        <f>AR11*Constants!$H69*(1-Constants!$H87)</f>
        <v>380820973.65681744</v>
      </c>
      <c r="AS72" s="22">
        <f>AS11*Constants!$H69*(1-Constants!$H87)</f>
        <v>381468968.84983528</v>
      </c>
      <c r="AT72" s="22">
        <f>AT11*Constants!$H69*(1-Constants!$H87)</f>
        <v>382171466.47044551</v>
      </c>
      <c r="AU72" s="22">
        <f>AU11*Constants!$H69*(1-Constants!$H87)</f>
        <v>382944936.48926628</v>
      </c>
      <c r="AV72" s="22">
        <f>AV11*Constants!$H69*(1-Constants!$H87)</f>
        <v>383789290.33998513</v>
      </c>
      <c r="AW72" s="22">
        <f>AW11*Constants!$H69*(1-Constants!$H87)</f>
        <v>384348151.64385003</v>
      </c>
      <c r="AX72" s="22">
        <f>AX11*Constants!$H69*(1-Constants!$H87)</f>
        <v>384961386.93933374</v>
      </c>
      <c r="AY72" s="22">
        <f>AY11*Constants!$H69*(1-Constants!$H87)</f>
        <v>385624876.69660503</v>
      </c>
      <c r="AZ72" s="22">
        <f>AZ11*Constants!$H69*(1-Constants!$H87)</f>
        <v>386345803.24039561</v>
      </c>
      <c r="BA72" s="22">
        <f>BA11*Constants!$H69*(1-Constants!$H87)</f>
        <v>387098654.85382599</v>
      </c>
      <c r="BB72" s="22">
        <f>BB11*Constants!$H69*(1-Constants!$H87)</f>
        <v>387580308.95670712</v>
      </c>
      <c r="BC72" s="22">
        <f>BC11*Constants!$H69*(1-Constants!$H87)</f>
        <v>388102821.55832958</v>
      </c>
      <c r="BD72" s="22">
        <f>BD11*Constants!$H69*(1-Constants!$H87)</f>
        <v>388658279.22721368</v>
      </c>
      <c r="BE72" s="22">
        <f>BE11*Constants!$H69*(1-Constants!$H87)</f>
        <v>389249722.56177491</v>
      </c>
      <c r="BF72" s="22">
        <f>BF11*Constants!$H69*(1-Constants!$H87)</f>
        <v>389879922.32384467</v>
      </c>
      <c r="BG72" s="22">
        <f>BG11*Constants!$H69*(1-Constants!$H87)</f>
        <v>390251353.25065172</v>
      </c>
      <c r="BH72" s="22">
        <f>BH11*Constants!$H69*(1-Constants!$H87)</f>
        <v>390647121.38723469</v>
      </c>
      <c r="BI72" s="22">
        <f>BI11*Constants!$H69*(1-Constants!$H87)</f>
        <v>391074201.14583027</v>
      </c>
      <c r="BJ72" s="22">
        <f>BJ11*Constants!$H69*(1-Constants!$H87)</f>
        <v>391531839.12776214</v>
      </c>
      <c r="BK72" s="22">
        <f>BK11*Constants!$H69*(1-Constants!$H87)</f>
        <v>392024948.74074906</v>
      </c>
      <c r="BL72" s="22">
        <f>BL11*Constants!$H69*(1-Constants!$H87)</f>
        <v>392247192.93498212</v>
      </c>
      <c r="BM72" s="22">
        <f>BM11*Constants!$H69*(1-Constants!$H87)</f>
        <v>392440098.09085977</v>
      </c>
      <c r="BN72" s="22">
        <f>BN11*Constants!$H69*(1-Constants!$H87)</f>
        <v>392653059.44233406</v>
      </c>
      <c r="BO72" s="22">
        <f>BO11*Constants!$H69*(1-Constants!$H87)</f>
        <v>392896532.08414632</v>
      </c>
      <c r="BP72" s="22">
        <f>BP11*Constants!$H69*(1-Constants!$H87)</f>
        <v>393159267.29787219</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41201328.883680604</v>
      </c>
      <c r="AE73" s="22">
        <f>AE12*Constants!$H70*(1-Constants!$H88)</f>
        <v>41223564.455451988</v>
      </c>
      <c r="AF73" s="22">
        <f>AF12*Constants!$H70*(1-Constants!$H88)</f>
        <v>41274682.139152892</v>
      </c>
      <c r="AG73" s="22">
        <f>AG12*Constants!$H70*(1-Constants!$H88)</f>
        <v>41350571.102941073</v>
      </c>
      <c r="AH73" s="22">
        <f>AH12*Constants!$H70*(1-Constants!$H88)</f>
        <v>41453000.521908969</v>
      </c>
      <c r="AI73" s="22">
        <f>AI12*Constants!$H70*(1-Constants!$H88)</f>
        <v>41584028.946898885</v>
      </c>
      <c r="AJ73" s="22">
        <f>AJ12*Constants!$H70*(1-Constants!$H88)</f>
        <v>41728408.640404597</v>
      </c>
      <c r="AK73" s="22">
        <f>AK12*Constants!$H70*(1-Constants!$H88)</f>
        <v>41883897.1583253</v>
      </c>
      <c r="AL73" s="22">
        <f>AL12*Constants!$H70*(1-Constants!$H88)</f>
        <v>42037946.042203426</v>
      </c>
      <c r="AM73" s="22">
        <f>AM12*Constants!$H70*(1-Constants!$H88)</f>
        <v>42100989.718356863</v>
      </c>
      <c r="AN73" s="22">
        <f>AN12*Constants!$H70*(1-Constants!$H88)</f>
        <v>42172577.769985065</v>
      </c>
      <c r="AO73" s="22">
        <f>AO12*Constants!$H70*(1-Constants!$H88)</f>
        <v>42253538.790845886</v>
      </c>
      <c r="AP73" s="22">
        <f>AP12*Constants!$H70*(1-Constants!$H88)</f>
        <v>42344460.063000686</v>
      </c>
      <c r="AQ73" s="22">
        <f>AQ12*Constants!$H70*(1-Constants!$H88)</f>
        <v>42446627.005337216</v>
      </c>
      <c r="AR73" s="22">
        <f>AR12*Constants!$H70*(1-Constants!$H88)</f>
        <v>42510865.128403932</v>
      </c>
      <c r="AS73" s="22">
        <f>AS12*Constants!$H70*(1-Constants!$H88)</f>
        <v>42583200.525243342</v>
      </c>
      <c r="AT73" s="22">
        <f>AT12*Constants!$H70*(1-Constants!$H88)</f>
        <v>42661620.002290577</v>
      </c>
      <c r="AU73" s="22">
        <f>AU12*Constants!$H70*(1-Constants!$H88)</f>
        <v>42747962.094574034</v>
      </c>
      <c r="AV73" s="22">
        <f>AV12*Constants!$H70*(1-Constants!$H88)</f>
        <v>42842216.91547817</v>
      </c>
      <c r="AW73" s="22">
        <f>AW12*Constants!$H70*(1-Constants!$H88)</f>
        <v>42904602.338439383</v>
      </c>
      <c r="AX73" s="22">
        <f>AX12*Constants!$H70*(1-Constants!$H88)</f>
        <v>42973057.504361458</v>
      </c>
      <c r="AY73" s="22">
        <f>AY12*Constants!$H70*(1-Constants!$H88)</f>
        <v>43047122.552078225</v>
      </c>
      <c r="AZ73" s="22">
        <f>AZ12*Constants!$H70*(1-Constants!$H88)</f>
        <v>43127599.241101623</v>
      </c>
      <c r="BA73" s="22">
        <f>BA12*Constants!$H70*(1-Constants!$H88)</f>
        <v>43211639.710545622</v>
      </c>
      <c r="BB73" s="22">
        <f>BB12*Constants!$H70*(1-Constants!$H88)</f>
        <v>43265406.530186638</v>
      </c>
      <c r="BC73" s="22">
        <f>BC12*Constants!$H70*(1-Constants!$H88)</f>
        <v>43323734.364712588</v>
      </c>
      <c r="BD73" s="22">
        <f>BD12*Constants!$H70*(1-Constants!$H88)</f>
        <v>43385739.841511108</v>
      </c>
      <c r="BE73" s="22">
        <f>BE12*Constants!$H70*(1-Constants!$H88)</f>
        <v>43451762.381144866</v>
      </c>
      <c r="BF73" s="22">
        <f>BF12*Constants!$H70*(1-Constants!$H88)</f>
        <v>43522111.282446302</v>
      </c>
      <c r="BG73" s="22">
        <f>BG12*Constants!$H70*(1-Constants!$H88)</f>
        <v>43563573.941087164</v>
      </c>
      <c r="BH73" s="22">
        <f>BH12*Constants!$H70*(1-Constants!$H88)</f>
        <v>43607753.350941725</v>
      </c>
      <c r="BI73" s="22">
        <f>BI12*Constants!$H70*(1-Constants!$H88)</f>
        <v>43655428.062348485</v>
      </c>
      <c r="BJ73" s="22">
        <f>BJ12*Constants!$H70*(1-Constants!$H88)</f>
        <v>43706513.973769613</v>
      </c>
      <c r="BK73" s="22">
        <f>BK12*Constants!$H70*(1-Constants!$H88)</f>
        <v>43761559.566584297</v>
      </c>
      <c r="BL73" s="22">
        <f>BL12*Constants!$H70*(1-Constants!$H88)</f>
        <v>43786368.580846012</v>
      </c>
      <c r="BM73" s="22">
        <f>BM12*Constants!$H70*(1-Constants!$H88)</f>
        <v>43807902.492135994</v>
      </c>
      <c r="BN73" s="22">
        <f>BN12*Constants!$H70*(1-Constants!$H88)</f>
        <v>43831675.267052129</v>
      </c>
      <c r="BO73" s="22">
        <f>BO12*Constants!$H70*(1-Constants!$H88)</f>
        <v>43858854.002874248</v>
      </c>
      <c r="BP73" s="22">
        <f>BP12*Constants!$H70*(1-Constants!$H88)</f>
        <v>43888183.010486223</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45620842.138791963</v>
      </c>
      <c r="AE74" s="22">
        <f>AE13*Constants!$H71*(1-Constants!$H89)</f>
        <v>45739418.292978734</v>
      </c>
      <c r="AF74" s="22">
        <f>AF13*Constants!$H71*(1-Constants!$H89)</f>
        <v>45899320.549148209</v>
      </c>
      <c r="AG74" s="22">
        <f>AG13*Constants!$H71*(1-Constants!$H89)</f>
        <v>46094077.437549464</v>
      </c>
      <c r="AH74" s="22">
        <f>AH13*Constants!$H71*(1-Constants!$H89)</f>
        <v>46327349.209071808</v>
      </c>
      <c r="AI74" s="22">
        <f>AI13*Constants!$H71*(1-Constants!$H89)</f>
        <v>46603130.296033055</v>
      </c>
      <c r="AJ74" s="22">
        <f>AJ13*Constants!$H71*(1-Constants!$H89)</f>
        <v>46895403.821118496</v>
      </c>
      <c r="AK74" s="22">
        <f>AK13*Constants!$H71*(1-Constants!$H89)</f>
        <v>47200749.949933372</v>
      </c>
      <c r="AL74" s="22">
        <f>AL13*Constants!$H71*(1-Constants!$H89)</f>
        <v>47498022.744630873</v>
      </c>
      <c r="AM74" s="22">
        <f>AM13*Constants!$H71*(1-Constants!$H89)</f>
        <v>47634369.57021977</v>
      </c>
      <c r="AN74" s="22">
        <f>AN13*Constants!$H71*(1-Constants!$H89)</f>
        <v>47781405.587950803</v>
      </c>
      <c r="AO74" s="22">
        <f>AO13*Constants!$H71*(1-Constants!$H89)</f>
        <v>47940768.73750177</v>
      </c>
      <c r="AP74" s="22">
        <f>AP13*Constants!$H71*(1-Constants!$H89)</f>
        <v>48113638.74906189</v>
      </c>
      <c r="AQ74" s="22">
        <f>AQ13*Constants!$H71*(1-Constants!$H89)</f>
        <v>48302341.2115454</v>
      </c>
      <c r="AR74" s="22">
        <f>AR13*Constants!$H71*(1-Constants!$H89)</f>
        <v>48423796.583886482</v>
      </c>
      <c r="AS74" s="22">
        <f>AS13*Constants!$H71*(1-Constants!$H89)</f>
        <v>48556339.064082876</v>
      </c>
      <c r="AT74" s="22">
        <f>AT13*Constants!$H71*(1-Constants!$H89)</f>
        <v>48696671.671887644</v>
      </c>
      <c r="AU74" s="22">
        <f>AU13*Constants!$H71*(1-Constants!$H89)</f>
        <v>48847984.891972974</v>
      </c>
      <c r="AV74" s="22">
        <f>AV13*Constants!$H71*(1-Constants!$H89)</f>
        <v>49010329.734524556</v>
      </c>
      <c r="AW74" s="22">
        <f>AW13*Constants!$H71*(1-Constants!$H89)</f>
        <v>49117187.16721075</v>
      </c>
      <c r="AX74" s="22">
        <f>AX13*Constants!$H71*(1-Constants!$H89)</f>
        <v>49232373.076779142</v>
      </c>
      <c r="AY74" s="22">
        <f>AY13*Constants!$H71*(1-Constants!$H89)</f>
        <v>49355170.38353274</v>
      </c>
      <c r="AZ74" s="22">
        <f>AZ13*Constants!$H71*(1-Constants!$H89)</f>
        <v>49486959.299857825</v>
      </c>
      <c r="BA74" s="22">
        <f>BA13*Constants!$H71*(1-Constants!$H89)</f>
        <v>49623043.6714876</v>
      </c>
      <c r="BB74" s="22">
        <f>BB13*Constants!$H71*(1-Constants!$H89)</f>
        <v>49707404.326408952</v>
      </c>
      <c r="BC74" s="22">
        <f>BC13*Constants!$H71*(1-Constants!$H89)</f>
        <v>49798020.808987498</v>
      </c>
      <c r="BD74" s="22">
        <f>BD13*Constants!$H71*(1-Constants!$H89)</f>
        <v>49893462.547404259</v>
      </c>
      <c r="BE74" s="22">
        <f>BE13*Constants!$H71*(1-Constants!$H89)</f>
        <v>49994320.617508568</v>
      </c>
      <c r="BF74" s="22">
        <f>BF13*Constants!$H71*(1-Constants!$H89)</f>
        <v>50101128.65622583</v>
      </c>
      <c r="BG74" s="22">
        <f>BG13*Constants!$H71*(1-Constants!$H89)</f>
        <v>50159366.587642968</v>
      </c>
      <c r="BH74" s="22">
        <f>BH13*Constants!$H71*(1-Constants!$H89)</f>
        <v>50221140.462315805</v>
      </c>
      <c r="BI74" s="22">
        <f>BI13*Constants!$H71*(1-Constants!$H89)</f>
        <v>50287746.841011375</v>
      </c>
      <c r="BJ74" s="22">
        <f>BJ13*Constants!$H71*(1-Constants!$H89)</f>
        <v>50359061.808465362</v>
      </c>
      <c r="BK74" s="22">
        <f>BK13*Constants!$H71*(1-Constants!$H89)</f>
        <v>50435991.945650041</v>
      </c>
      <c r="BL74" s="22">
        <f>BL13*Constants!$H71*(1-Constants!$H89)</f>
        <v>50462863.669483639</v>
      </c>
      <c r="BM74" s="22">
        <f>BM13*Constants!$H71*(1-Constants!$H89)</f>
        <v>50483781.665965147</v>
      </c>
      <c r="BN74" s="22">
        <f>BN13*Constants!$H71*(1-Constants!$H89)</f>
        <v>50507750.698745377</v>
      </c>
      <c r="BO74" s="22">
        <f>BO13*Constants!$H71*(1-Constants!$H89)</f>
        <v>50536672.292321056</v>
      </c>
      <c r="BP74" s="22">
        <f>BP13*Constants!$H71*(1-Constants!$H89)</f>
        <v>50568515.118410304</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75501567.060704887</v>
      </c>
      <c r="AE75" s="22">
        <f>AE14*Constants!$H72*(1-Constants!$H90)</f>
        <v>75697808.18729122</v>
      </c>
      <c r="AF75" s="22">
        <f>AF14*Constants!$H72*(1-Constants!$H90)</f>
        <v>75962443.173217341</v>
      </c>
      <c r="AG75" s="22">
        <f>AG14*Constants!$H72*(1-Constants!$H90)</f>
        <v>76284761.867498055</v>
      </c>
      <c r="AH75" s="22">
        <f>AH14*Constants!$H72*(1-Constants!$H90)</f>
        <v>76670821.91100584</v>
      </c>
      <c r="AI75" s="22">
        <f>AI14*Constants!$H72*(1-Constants!$H90)</f>
        <v>77127234.008089259</v>
      </c>
      <c r="AJ75" s="22">
        <f>AJ14*Constants!$H72*(1-Constants!$H90)</f>
        <v>77610940.755263567</v>
      </c>
      <c r="AK75" s="22">
        <f>AK14*Constants!$H72*(1-Constants!$H90)</f>
        <v>78116282.396071181</v>
      </c>
      <c r="AL75" s="22">
        <f>AL14*Constants!$H72*(1-Constants!$H90)</f>
        <v>78608262.832905158</v>
      </c>
      <c r="AM75" s="22">
        <f>AM14*Constants!$H72*(1-Constants!$H90)</f>
        <v>78833914.059693038</v>
      </c>
      <c r="AN75" s="22">
        <f>AN14*Constants!$H72*(1-Constants!$H90)</f>
        <v>79077255.682350621</v>
      </c>
      <c r="AO75" s="22">
        <f>AO14*Constants!$H72*(1-Constants!$H90)</f>
        <v>79340998.45777379</v>
      </c>
      <c r="AP75" s="22">
        <f>AP14*Constants!$H72*(1-Constants!$H90)</f>
        <v>79627094.815462291</v>
      </c>
      <c r="AQ75" s="22">
        <f>AQ14*Constants!$H72*(1-Constants!$H90)</f>
        <v>79939393.557830423</v>
      </c>
      <c r="AR75" s="22">
        <f>AR14*Constants!$H72*(1-Constants!$H90)</f>
        <v>80140399.731977627</v>
      </c>
      <c r="AS75" s="22">
        <f>AS14*Constants!$H72*(1-Constants!$H90)</f>
        <v>80359754.84441717</v>
      </c>
      <c r="AT75" s="22">
        <f>AT14*Constants!$H72*(1-Constants!$H90)</f>
        <v>80592002.459810585</v>
      </c>
      <c r="AU75" s="22">
        <f>AU14*Constants!$H72*(1-Constants!$H90)</f>
        <v>80842422.765483335</v>
      </c>
      <c r="AV75" s="22">
        <f>AV14*Constants!$H72*(1-Constants!$H90)</f>
        <v>81111100.182256505</v>
      </c>
      <c r="AW75" s="22">
        <f>AW14*Constants!$H72*(1-Constants!$H90)</f>
        <v>81287947.062797353</v>
      </c>
      <c r="AX75" s="22">
        <f>AX14*Constants!$H72*(1-Constants!$H90)</f>
        <v>81478577.403405026</v>
      </c>
      <c r="AY75" s="22">
        <f>AY14*Constants!$H72*(1-Constants!$H90)</f>
        <v>81681804.451746747</v>
      </c>
      <c r="AZ75" s="22">
        <f>AZ14*Constants!$H72*(1-Constants!$H90)</f>
        <v>81899912.431286111</v>
      </c>
      <c r="BA75" s="22">
        <f>BA14*Constants!$H72*(1-Constants!$H90)</f>
        <v>82125129.302102774</v>
      </c>
      <c r="BB75" s="22">
        <f>BB14*Constants!$H72*(1-Constants!$H90)</f>
        <v>82264744.472411349</v>
      </c>
      <c r="BC75" s="22">
        <f>BC14*Constants!$H72*(1-Constants!$H90)</f>
        <v>82414712.910420343</v>
      </c>
      <c r="BD75" s="22">
        <f>BD14*Constants!$H72*(1-Constants!$H90)</f>
        <v>82572667.048828006</v>
      </c>
      <c r="BE75" s="22">
        <f>BE14*Constants!$H72*(1-Constants!$H90)</f>
        <v>82739585.106158584</v>
      </c>
      <c r="BF75" s="22">
        <f>BF14*Constants!$H72*(1-Constants!$H90)</f>
        <v>82916350.240684181</v>
      </c>
      <c r="BG75" s="22">
        <f>BG14*Constants!$H72*(1-Constants!$H90)</f>
        <v>83012732.83421436</v>
      </c>
      <c r="BH75" s="22">
        <f>BH14*Constants!$H72*(1-Constants!$H90)</f>
        <v>83114967.342008442</v>
      </c>
      <c r="BI75" s="22">
        <f>BI14*Constants!$H72*(1-Constants!$H90)</f>
        <v>83225199.54579933</v>
      </c>
      <c r="BJ75" s="22">
        <f>BJ14*Constants!$H72*(1-Constants!$H90)</f>
        <v>83343224.36834158</v>
      </c>
      <c r="BK75" s="22">
        <f>BK14*Constants!$H72*(1-Constants!$H90)</f>
        <v>83470542.182729289</v>
      </c>
      <c r="BL75" s="22">
        <f>BL14*Constants!$H72*(1-Constants!$H90)</f>
        <v>83515014.339838669</v>
      </c>
      <c r="BM75" s="22">
        <f>BM14*Constants!$H72*(1-Constants!$H90)</f>
        <v>83549633.19911617</v>
      </c>
      <c r="BN75" s="22">
        <f>BN14*Constants!$H72*(1-Constants!$H90)</f>
        <v>83589301.461493537</v>
      </c>
      <c r="BO75" s="22">
        <f>BO14*Constants!$H72*(1-Constants!$H90)</f>
        <v>83637166.111387819</v>
      </c>
      <c r="BP75" s="22">
        <f>BP14*Constants!$H72*(1-Constants!$H90)</f>
        <v>83689865.341754198</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12206614.485582067</v>
      </c>
      <c r="AE76" s="22">
        <f>AE15*Constants!$H73*(1-Constants!$H91)</f>
        <v>12288824.885681525</v>
      </c>
      <c r="AF76" s="22">
        <f>AF15*Constants!$H73*(1-Constants!$H91)</f>
        <v>12338564.712281439</v>
      </c>
      <c r="AG76" s="22">
        <f>AG15*Constants!$H73*(1-Constants!$H91)</f>
        <v>12273120.262884431</v>
      </c>
      <c r="AH76" s="22">
        <f>AH15*Constants!$H73*(1-Constants!$H91)</f>
        <v>12206240.973741442</v>
      </c>
      <c r="AI76" s="22">
        <f>AI15*Constants!$H73*(1-Constants!$H91)</f>
        <v>12247680.920602001</v>
      </c>
      <c r="AJ76" s="22">
        <f>AJ15*Constants!$H73*(1-Constants!$H91)</f>
        <v>12253034.337857204</v>
      </c>
      <c r="AK76" s="22">
        <f>AK15*Constants!$H73*(1-Constants!$H91)</f>
        <v>12138761.974807283</v>
      </c>
      <c r="AL76" s="22">
        <f>AL15*Constants!$H73*(1-Constants!$H91)</f>
        <v>11510990.707137149</v>
      </c>
      <c r="AM76" s="22">
        <f>AM15*Constants!$H73*(1-Constants!$H91)</f>
        <v>11702551.519655393</v>
      </c>
      <c r="AN76" s="22">
        <f>AN15*Constants!$H73*(1-Constants!$H91)</f>
        <v>11828440.270767068</v>
      </c>
      <c r="AO76" s="22">
        <f>AO15*Constants!$H73*(1-Constants!$H91)</f>
        <v>11938283.179706464</v>
      </c>
      <c r="AP76" s="22">
        <f>AP15*Constants!$H73*(1-Constants!$H91)</f>
        <v>12070117.706026463</v>
      </c>
      <c r="AQ76" s="22">
        <f>AQ15*Constants!$H73*(1-Constants!$H91)</f>
        <v>12281961.223487321</v>
      </c>
      <c r="AR76" s="22">
        <f>AR15*Constants!$H73*(1-Constants!$H91)</f>
        <v>12524159.76712832</v>
      </c>
      <c r="AS76" s="22">
        <f>AS15*Constants!$H73*(1-Constants!$H91)</f>
        <v>12785891.164138207</v>
      </c>
      <c r="AT76" s="22">
        <f>AT15*Constants!$H73*(1-Constants!$H91)</f>
        <v>13013298.02635044</v>
      </c>
      <c r="AU76" s="22">
        <f>AU15*Constants!$H73*(1-Constants!$H91)</f>
        <v>13276914.876288114</v>
      </c>
      <c r="AV76" s="22">
        <f>AV15*Constants!$H73*(1-Constants!$H91)</f>
        <v>13585351.309727853</v>
      </c>
      <c r="AW76" s="22">
        <f>AW15*Constants!$H73*(1-Constants!$H91)</f>
        <v>13895325.726289913</v>
      </c>
      <c r="AX76" s="22">
        <f>AX15*Constants!$H73*(1-Constants!$H91)</f>
        <v>14218825.185645172</v>
      </c>
      <c r="AY76" s="22">
        <f>AY15*Constants!$H73*(1-Constants!$H91)</f>
        <v>14548440.16734408</v>
      </c>
      <c r="AZ76" s="22">
        <f>AZ15*Constants!$H73*(1-Constants!$H91)</f>
        <v>14916154.221886791</v>
      </c>
      <c r="BA76" s="22">
        <f>BA15*Constants!$H73*(1-Constants!$H91)</f>
        <v>15237802.73781155</v>
      </c>
      <c r="BB76" s="22">
        <f>BB15*Constants!$H73*(1-Constants!$H91)</f>
        <v>15591267.930191036</v>
      </c>
      <c r="BC76" s="22">
        <f>BC15*Constants!$H73*(1-Constants!$H91)</f>
        <v>15950598.633868814</v>
      </c>
      <c r="BD76" s="22">
        <f>BD15*Constants!$H73*(1-Constants!$H91)</f>
        <v>16293133.462278379</v>
      </c>
      <c r="BE76" s="22">
        <f>BE15*Constants!$H73*(1-Constants!$H91)</f>
        <v>16634156.806120386</v>
      </c>
      <c r="BF76" s="22">
        <f>BF15*Constants!$H73*(1-Constants!$H91)</f>
        <v>16987463.924982347</v>
      </c>
      <c r="BG76" s="22">
        <f>BG15*Constants!$H73*(1-Constants!$H91)</f>
        <v>17371934.88497879</v>
      </c>
      <c r="BH76" s="22">
        <f>BH15*Constants!$H73*(1-Constants!$H91)</f>
        <v>17733513.444077395</v>
      </c>
      <c r="BI76" s="22">
        <f>BI15*Constants!$H73*(1-Constants!$H91)</f>
        <v>18099859.59617136</v>
      </c>
      <c r="BJ76" s="22">
        <f>BJ15*Constants!$H73*(1-Constants!$H91)</f>
        <v>18471649.599740617</v>
      </c>
      <c r="BK76" s="22">
        <f>BK15*Constants!$H73*(1-Constants!$H91)</f>
        <v>18868667.754018646</v>
      </c>
      <c r="BL76" s="22">
        <f>BL15*Constants!$H73*(1-Constants!$H91)</f>
        <v>19290806.323431011</v>
      </c>
      <c r="BM76" s="22">
        <f>BM15*Constants!$H73*(1-Constants!$H91)</f>
        <v>19528691.933975082</v>
      </c>
      <c r="BN76" s="22">
        <f>BN15*Constants!$H73*(1-Constants!$H91)</f>
        <v>19753692.366402764</v>
      </c>
      <c r="BO76" s="22">
        <f>BO15*Constants!$H73*(1-Constants!$H91)</f>
        <v>20003832.502783023</v>
      </c>
      <c r="BP76" s="22">
        <f>BP15*Constants!$H73*(1-Constants!$H91)</f>
        <v>20243299.37085842</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100578742.33032477</v>
      </c>
      <c r="AF82" s="22">
        <f>((AF41*Constants!$H$45*Constants!$H$48)*(1+Constants!$H$51))*Constants!$H$54*Constants!$H$42*Constants!$H$57*Constants!$H$58*ttokg</f>
        <v>100968257.89338747</v>
      </c>
      <c r="AG82" s="22">
        <f>((AG41*Constants!$H$45*Constants!$H$48)*(1+Constants!$H$51))*Constants!$H$54*Constants!$H$42*Constants!$H$57*Constants!$H$58*ttokg</f>
        <v>101299759.97524396</v>
      </c>
      <c r="AH82" s="22">
        <f>((AH41*Constants!$H$45*Constants!$H$48)*(1+Constants!$H$51))*Constants!$H$54*Constants!$H$42*Constants!$H$57*Constants!$H$58*ttokg</f>
        <v>101408230.77949364</v>
      </c>
      <c r="AI82" s="22">
        <f>((AI41*Constants!$H$45*Constants!$H$48)*(1+Constants!$H$51))*Constants!$H$54*Constants!$H$42*Constants!$H$57*Constants!$H$58*ttokg</f>
        <v>101518020.450268</v>
      </c>
      <c r="AJ82" s="22">
        <f>((AJ41*Constants!$H$45*Constants!$H$48)*(1+Constants!$H$51))*Constants!$H$54*Constants!$H$42*Constants!$H$57*Constants!$H$58*ttokg</f>
        <v>101852725.20857102</v>
      </c>
      <c r="AK82" s="22">
        <f>((AK41*Constants!$H$45*Constants!$H$48)*(1+Constants!$H$51))*Constants!$H$54*Constants!$H$42*Constants!$H$57*Constants!$H$58*ttokg</f>
        <v>102115022.94675548</v>
      </c>
      <c r="AL82" s="22">
        <f>((AL41*Constants!$H$45*Constants!$H$48)*(1+Constants!$H$51))*Constants!$H$54*Constants!$H$42*Constants!$H$57*Constants!$H$58*ttokg</f>
        <v>102132682.3173642</v>
      </c>
      <c r="AM82" s="22">
        <f>((AM41*Constants!$H$45*Constants!$H$48)*(1+Constants!$H$51))*Constants!$H$54*Constants!$H$42*Constants!$H$57*Constants!$H$58*ttokg</f>
        <v>101041652.55527557</v>
      </c>
      <c r="AN82" s="22">
        <f>((AN41*Constants!$H$45*Constants!$H$48)*(1+Constants!$H$51))*Constants!$H$54*Constants!$H$42*Constants!$H$57*Constants!$H$58*ttokg</f>
        <v>101638404.7232798</v>
      </c>
      <c r="AO82" s="22">
        <f>((AO41*Constants!$H$45*Constants!$H$48)*(1+Constants!$H$51))*Constants!$H$54*Constants!$H$42*Constants!$H$57*Constants!$H$58*ttokg</f>
        <v>102089734.88182831</v>
      </c>
      <c r="AP82" s="22">
        <f>((AP41*Constants!$H$45*Constants!$H$48)*(1+Constants!$H$51))*Constants!$H$54*Constants!$H$42*Constants!$H$57*Constants!$H$58*ttokg</f>
        <v>102505840.15855132</v>
      </c>
      <c r="AQ82" s="22">
        <f>((AQ41*Constants!$H$45*Constants!$H$48)*(1+Constants!$H$51))*Constants!$H$54*Constants!$H$42*Constants!$H$57*Constants!$H$58*ttokg</f>
        <v>102968156.38050488</v>
      </c>
      <c r="AR82" s="22">
        <f>((AR41*Constants!$H$45*Constants!$H$48)*(1+Constants!$H$51))*Constants!$H$54*Constants!$H$42*Constants!$H$57*Constants!$H$58*ttokg</f>
        <v>103596440.68370077</v>
      </c>
      <c r="AS82" s="22">
        <f>((AS41*Constants!$H$45*Constants!$H$48)*(1+Constants!$H$51))*Constants!$H$54*Constants!$H$42*Constants!$H$57*Constants!$H$58*ttokg</f>
        <v>104254328.85371687</v>
      </c>
      <c r="AT82" s="22">
        <f>((AT41*Constants!$H$45*Constants!$H$48)*(1+Constants!$H$51))*Constants!$H$54*Constants!$H$42*Constants!$H$57*Constants!$H$58*ttokg</f>
        <v>104943111.42290951</v>
      </c>
      <c r="AU82" s="22">
        <f>((AU41*Constants!$H$45*Constants!$H$48)*(1+Constants!$H$51))*Constants!$H$54*Constants!$H$42*Constants!$H$57*Constants!$H$58*ttokg</f>
        <v>105555277.36825544</v>
      </c>
      <c r="AV82" s="22">
        <f>((AV41*Constants!$H$45*Constants!$H$48)*(1+Constants!$H$51))*Constants!$H$54*Constants!$H$42*Constants!$H$57*Constants!$H$58*ttokg</f>
        <v>106230620.84404986</v>
      </c>
      <c r="AW82" s="22">
        <f>((AW41*Constants!$H$45*Constants!$H$48)*(1+Constants!$H$51))*Constants!$H$54*Constants!$H$42*Constants!$H$57*Constants!$H$58*ttokg</f>
        <v>106981267.64110547</v>
      </c>
      <c r="AX82" s="22">
        <f>((AX41*Constants!$H$45*Constants!$H$48)*(1+Constants!$H$51))*Constants!$H$54*Constants!$H$42*Constants!$H$57*Constants!$H$58*ttokg</f>
        <v>107700273.03202239</v>
      </c>
      <c r="AY82" s="22">
        <f>((AY41*Constants!$H$45*Constants!$H$48)*(1+Constants!$H$51))*Constants!$H$54*Constants!$H$42*Constants!$H$57*Constants!$H$58*ttokg</f>
        <v>108431266.40512682</v>
      </c>
      <c r="AZ82" s="22">
        <f>((AZ41*Constants!$H$45*Constants!$H$48)*(1+Constants!$H$51))*Constants!$H$54*Constants!$H$42*Constants!$H$57*Constants!$H$58*ttokg</f>
        <v>109160167.10296915</v>
      </c>
      <c r="BA82" s="22">
        <f>((BA41*Constants!$H$45*Constants!$H$48)*(1+Constants!$H$51))*Constants!$H$54*Constants!$H$42*Constants!$H$57*Constants!$H$58*ttokg</f>
        <v>109941112.39432411</v>
      </c>
      <c r="BB82" s="22">
        <f>((BB41*Constants!$H$45*Constants!$H$48)*(1+Constants!$H$51))*Constants!$H$54*Constants!$H$42*Constants!$H$57*Constants!$H$58*ttokg</f>
        <v>110630575.31080344</v>
      </c>
      <c r="BC82" s="22">
        <f>((BC41*Constants!$H$45*Constants!$H$48)*(1+Constants!$H$51))*Constants!$H$54*Constants!$H$42*Constants!$H$57*Constants!$H$58*ttokg</f>
        <v>111339160.92038092</v>
      </c>
      <c r="BD82" s="22">
        <f>((BD41*Constants!$H$45*Constants!$H$48)*(1+Constants!$H$51))*Constants!$H$54*Constants!$H$42*Constants!$H$57*Constants!$H$58*ttokg</f>
        <v>112043936.64628683</v>
      </c>
      <c r="BE82" s="22">
        <f>((BE41*Constants!$H$45*Constants!$H$48)*(1+Constants!$H$51))*Constants!$H$54*Constants!$H$42*Constants!$H$57*Constants!$H$58*ttokg</f>
        <v>112709941.11468957</v>
      </c>
      <c r="BF82" s="22">
        <f>((BF41*Constants!$H$45*Constants!$H$48)*(1+Constants!$H$51))*Constants!$H$54*Constants!$H$42*Constants!$H$57*Constants!$H$58*ttokg</f>
        <v>113362552.23721662</v>
      </c>
      <c r="BG82" s="22">
        <f>((BG41*Constants!$H$45*Constants!$H$48)*(1+Constants!$H$51))*Constants!$H$54*Constants!$H$42*Constants!$H$57*Constants!$H$58*ttokg</f>
        <v>114022743.23903453</v>
      </c>
      <c r="BH82" s="22">
        <f>((BH41*Constants!$H$45*Constants!$H$48)*(1+Constants!$H$51))*Constants!$H$54*Constants!$H$42*Constants!$H$57*Constants!$H$58*ttokg</f>
        <v>114696584.05961479</v>
      </c>
      <c r="BI82" s="22">
        <f>((BI41*Constants!$H$45*Constants!$H$48)*(1+Constants!$H$51))*Constants!$H$54*Constants!$H$42*Constants!$H$57*Constants!$H$58*ttokg</f>
        <v>115325591.67320937</v>
      </c>
      <c r="BJ82" s="22">
        <f>((BJ41*Constants!$H$45*Constants!$H$48)*(1+Constants!$H$51))*Constants!$H$54*Constants!$H$42*Constants!$H$57*Constants!$H$58*ttokg</f>
        <v>115950527.71867128</v>
      </c>
      <c r="BK82" s="22">
        <f>((BK41*Constants!$H$45*Constants!$H$48)*(1+Constants!$H$51))*Constants!$H$54*Constants!$H$42*Constants!$H$57*Constants!$H$58*ttokg</f>
        <v>116572331.52849481</v>
      </c>
      <c r="BL82" s="22">
        <f>((BL41*Constants!$H$45*Constants!$H$48)*(1+Constants!$H$51))*Constants!$H$54*Constants!$H$42*Constants!$H$57*Constants!$H$58*ttokg</f>
        <v>117217012.8691895</v>
      </c>
      <c r="BM82" s="22">
        <f>((BM41*Constants!$H$45*Constants!$H$48)*(1+Constants!$H$51))*Constants!$H$54*Constants!$H$42*Constants!$H$57*Constants!$H$58*ttokg</f>
        <v>117861806.53329037</v>
      </c>
      <c r="BN82" s="22">
        <f>((BN41*Constants!$H$45*Constants!$H$48)*(1+Constants!$H$51))*Constants!$H$54*Constants!$H$42*Constants!$H$57*Constants!$H$58*ttokg</f>
        <v>118261846.96028872</v>
      </c>
      <c r="BO82" s="22">
        <f>((BO41*Constants!$H$45*Constants!$H$48)*(1+Constants!$H$51))*Constants!$H$54*Constants!$H$42*Constants!$H$57*Constants!$H$58*ttokg</f>
        <v>118642131.02625793</v>
      </c>
      <c r="BP82" s="22">
        <f>((BP41*Constants!$H$45*Constants!$H$48)*(1+Constants!$H$51))*Constants!$H$54*Constants!$H$42*Constants!$H$57*Constants!$H$58*ttokg</f>
        <v>119050348.02105318</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188070579.83220795</v>
      </c>
      <c r="AF85" s="22">
        <f>SUM(AF82:AF84)/Constants!$H$41</f>
        <v>188719772.43731242</v>
      </c>
      <c r="AG85" s="22">
        <f>SUM(AG82:AG84)/Constants!$H$41</f>
        <v>189272275.90707326</v>
      </c>
      <c r="AH85" s="22">
        <f>SUM(AH82:AH84)/Constants!$H$41</f>
        <v>189453060.58082277</v>
      </c>
      <c r="AI85" s="22">
        <f>SUM(AI82:AI84)/Constants!$H$41</f>
        <v>189636043.36544666</v>
      </c>
      <c r="AJ85" s="22">
        <f>SUM(AJ82:AJ84)/Constants!$H$41</f>
        <v>190193884.62928501</v>
      </c>
      <c r="AK85" s="22">
        <f>SUM(AK82:AK84)/Constants!$H$41</f>
        <v>190631047.52625915</v>
      </c>
      <c r="AL85" s="22">
        <f>SUM(AL82:AL84)/Constants!$H$41</f>
        <v>190660479.81060702</v>
      </c>
      <c r="AM85" s="22">
        <f>SUM(AM82:AM84)/Constants!$H$41</f>
        <v>188842096.87379265</v>
      </c>
      <c r="AN85" s="22">
        <f>SUM(AN82:AN84)/Constants!$H$41</f>
        <v>189836683.82046634</v>
      </c>
      <c r="AO85" s="22">
        <f>SUM(AO82:AO84)/Constants!$H$41</f>
        <v>190588900.7513805</v>
      </c>
      <c r="AP85" s="22">
        <f>SUM(AP82:AP84)/Constants!$H$41</f>
        <v>191282409.54591888</v>
      </c>
      <c r="AQ85" s="22">
        <f>SUM(AQ82:AQ84)/Constants!$H$41</f>
        <v>192052936.58250812</v>
      </c>
      <c r="AR85" s="22">
        <f>SUM(AR82:AR84)/Constants!$H$41</f>
        <v>193100077.0878346</v>
      </c>
      <c r="AS85" s="22">
        <f>SUM(AS82:AS84)/Constants!$H$41</f>
        <v>194196557.37119478</v>
      </c>
      <c r="AT85" s="22">
        <f>SUM(AT82:AT84)/Constants!$H$41</f>
        <v>195344528.31984919</v>
      </c>
      <c r="AU85" s="22">
        <f>SUM(AU82:AU84)/Constants!$H$41</f>
        <v>196364804.89542571</v>
      </c>
      <c r="AV85" s="22">
        <f>SUM(AV82:AV84)/Constants!$H$41</f>
        <v>197490377.35508311</v>
      </c>
      <c r="AW85" s="22">
        <f>SUM(AW82:AW84)/Constants!$H$41</f>
        <v>198741455.35017577</v>
      </c>
      <c r="AX85" s="22">
        <f>SUM(AX82:AX84)/Constants!$H$41</f>
        <v>199939797.66837063</v>
      </c>
      <c r="AY85" s="22">
        <f>SUM(AY82:AY84)/Constants!$H$41</f>
        <v>201158119.95687807</v>
      </c>
      <c r="AZ85" s="22">
        <f>SUM(AZ82:AZ84)/Constants!$H$41</f>
        <v>202372954.45328194</v>
      </c>
      <c r="BA85" s="22">
        <f>SUM(BA82:BA84)/Constants!$H$41</f>
        <v>203674529.93887353</v>
      </c>
      <c r="BB85" s="22">
        <f>SUM(BB82:BB84)/Constants!$H$41</f>
        <v>204823634.79967239</v>
      </c>
      <c r="BC85" s="22">
        <f>SUM(BC82:BC84)/Constants!$H$41</f>
        <v>206004610.81563485</v>
      </c>
      <c r="BD85" s="22">
        <f>SUM(BD82:BD84)/Constants!$H$41</f>
        <v>207179237.02547807</v>
      </c>
      <c r="BE85" s="22">
        <f>SUM(BE82:BE84)/Constants!$H$41</f>
        <v>208289244.47281596</v>
      </c>
      <c r="BF85" s="22">
        <f>SUM(BF82:BF84)/Constants!$H$41</f>
        <v>209376929.6770277</v>
      </c>
      <c r="BG85" s="22">
        <f>SUM(BG82:BG84)/Constants!$H$41</f>
        <v>210477248.01339087</v>
      </c>
      <c r="BH85" s="22">
        <f>SUM(BH82:BH84)/Constants!$H$41</f>
        <v>211600316.04769135</v>
      </c>
      <c r="BI85" s="22">
        <f>SUM(BI82:BI84)/Constants!$H$41</f>
        <v>212648662.07034895</v>
      </c>
      <c r="BJ85" s="22">
        <f>SUM(BJ82:BJ84)/Constants!$H$41</f>
        <v>213690222.14611882</v>
      </c>
      <c r="BK85" s="22">
        <f>SUM(BK82:BK84)/Constants!$H$41</f>
        <v>214726561.82915801</v>
      </c>
      <c r="BL85" s="22">
        <f>SUM(BL82:BL84)/Constants!$H$41</f>
        <v>215801030.73031583</v>
      </c>
      <c r="BM85" s="22">
        <f>SUM(BM82:BM84)/Constants!$H$41</f>
        <v>216875686.83715063</v>
      </c>
      <c r="BN85" s="22">
        <f>SUM(BN82:BN84)/Constants!$H$41</f>
        <v>217542420.88214788</v>
      </c>
      <c r="BO85" s="22">
        <f>SUM(BO82:BO84)/Constants!$H$41</f>
        <v>218176227.6587632</v>
      </c>
      <c r="BP85" s="22">
        <f>SUM(BP82:BP84)/Constants!$H$41</f>
        <v>218856589.31675532</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RowHeight="15" x14ac:dyDescent="0.25"/>
  <cols>
    <col min="1" max="1" width="19.42578125" customWidth="1"/>
    <col min="2" max="2" width="33.140625" customWidth="1"/>
    <col min="3" max="3" width="27.7109375" customWidth="1"/>
    <col min="4" max="4" width="27.5703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1023</v>
      </c>
      <c r="K3" s="18"/>
      <c r="L3" s="18" t="s">
        <v>1024</v>
      </c>
      <c r="M3" s="18"/>
      <c r="N3" s="18" t="s">
        <v>1025</v>
      </c>
      <c r="O3" s="18"/>
      <c r="P3" s="18" t="s">
        <v>1026</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6">
        <f>SUM('Aggregated EF'!H8:H10)</f>
        <v>122.43852137301079</v>
      </c>
      <c r="J4">
        <v>6</v>
      </c>
      <c r="L4">
        <f>((H4*55.65)/365)/(J4/100)</f>
        <v>311.12802348895207</v>
      </c>
      <c r="N4">
        <f>L4/18.4515</f>
        <v>16.861936617020408</v>
      </c>
      <c r="P4">
        <f>(J4+POWER(9,-15))/0.3016</f>
        <v>19.893899204244047</v>
      </c>
      <c r="R4">
        <f>P4*N4*0.001*365</f>
        <v>122.4391286182849</v>
      </c>
      <c r="T4" s="108">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6">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8">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6">
        <f>SUM('Aggregated EF'!H12:H21)</f>
        <v>43.047261887683739</v>
      </c>
      <c r="J6">
        <v>7</v>
      </c>
      <c r="L6">
        <f t="shared" si="1"/>
        <v>93.760474522489218</v>
      </c>
      <c r="N6">
        <f t="shared" ref="N6:N17" si="7">L6/18.4515</f>
        <v>5.0814554113480863</v>
      </c>
      <c r="P6">
        <f t="shared" si="2"/>
        <v>23.209549071618053</v>
      </c>
      <c r="R6">
        <f t="shared" si="3"/>
        <v>43.047475384596716</v>
      </c>
      <c r="T6" s="108">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6">
        <f>SUM('Aggregated EF'!H22:H24,'Aggregated EF'!H26:H28)</f>
        <v>77.790815813890134</v>
      </c>
      <c r="J7">
        <v>7</v>
      </c>
      <c r="L7">
        <f t="shared" si="1"/>
        <v>169.43479060833602</v>
      </c>
      <c r="N7">
        <f t="shared" si="7"/>
        <v>9.1827109236829543</v>
      </c>
      <c r="P7">
        <f t="shared" si="2"/>
        <v>23.209549071618053</v>
      </c>
      <c r="R7">
        <f t="shared" si="3"/>
        <v>77.791201624701472</v>
      </c>
      <c r="T7" s="108">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6">
        <f>SUM('Aggregated EF'!H29:H34)</f>
        <v>61.771690572163486</v>
      </c>
      <c r="J8">
        <v>7</v>
      </c>
      <c r="L8">
        <f t="shared" si="1"/>
        <v>134.54381919142457</v>
      </c>
      <c r="N8">
        <f t="shared" si="7"/>
        <v>7.2917550980367221</v>
      </c>
      <c r="P8">
        <f t="shared" si="2"/>
        <v>23.209549071618053</v>
      </c>
      <c r="R8">
        <f t="shared" si="3"/>
        <v>61.771996934628113</v>
      </c>
      <c r="T8" s="108">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6">
        <f>'Aggregated EF'!H25</f>
        <v>58.9</v>
      </c>
      <c r="J9">
        <v>3</v>
      </c>
      <c r="L9">
        <f t="shared" si="1"/>
        <v>299.34109589041094</v>
      </c>
      <c r="N9">
        <f t="shared" si="7"/>
        <v>16.223130688042215</v>
      </c>
      <c r="P9">
        <f t="shared" si="2"/>
        <v>9.9469496021220323</v>
      </c>
      <c r="R9">
        <f t="shared" si="3"/>
        <v>58.900292120047261</v>
      </c>
      <c r="T9" s="108">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6">
        <f>SUM('Aggregated EF'!H36:H59)</f>
        <v>6.9715683106127573</v>
      </c>
      <c r="J10">
        <v>6.7</v>
      </c>
      <c r="L10">
        <f t="shared" si="1"/>
        <v>15.864558433269265</v>
      </c>
      <c r="N10">
        <f t="shared" si="7"/>
        <v>0.85979776350265646</v>
      </c>
      <c r="P10">
        <f t="shared" si="2"/>
        <v>22.214854111405852</v>
      </c>
      <c r="R10">
        <f t="shared" si="3"/>
        <v>6.9716028867564583</v>
      </c>
      <c r="T10" s="108">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6">
        <f>SUM('Aggregated EF'!H60:H83)</f>
        <v>5.0562757874656858</v>
      </c>
      <c r="J11">
        <v>6.7</v>
      </c>
      <c r="L11">
        <f t="shared" si="1"/>
        <v>11.506102947146408</v>
      </c>
      <c r="N11">
        <f t="shared" si="7"/>
        <v>0.62358631803085973</v>
      </c>
      <c r="P11">
        <f t="shared" si="2"/>
        <v>22.214854111405852</v>
      </c>
      <c r="R11">
        <f t="shared" si="3"/>
        <v>5.0563008645373637</v>
      </c>
      <c r="T11" s="108">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6">
        <f>SUM('Aggregated EF'!H85:H102)</f>
        <v>7.3127480970496874</v>
      </c>
      <c r="J12">
        <v>5.5</v>
      </c>
      <c r="L12">
        <f t="shared" si="1"/>
        <v>20.271702694934749</v>
      </c>
      <c r="N12">
        <f t="shared" si="7"/>
        <v>1.0986479524664525</v>
      </c>
      <c r="P12">
        <f t="shared" si="2"/>
        <v>18.236074270557044</v>
      </c>
      <c r="R12">
        <f t="shared" si="3"/>
        <v>7.3127843653063831</v>
      </c>
      <c r="T12" s="108">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6">
        <f>SUM('Aggregated EF'!H103:H108)</f>
        <v>5.5750300000000008</v>
      </c>
      <c r="J13">
        <v>5.5</v>
      </c>
      <c r="L13">
        <f t="shared" si="1"/>
        <v>15.454566351183065</v>
      </c>
      <c r="N13">
        <f t="shared" si="7"/>
        <v>0.83757777693862645</v>
      </c>
      <c r="P13">
        <f t="shared" si="2"/>
        <v>18.236074270557044</v>
      </c>
      <c r="R13">
        <f t="shared" si="3"/>
        <v>5.5750576498816118</v>
      </c>
      <c r="T13" s="108">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6">
        <f>'Aggregated EF'!H110</f>
        <v>18</v>
      </c>
      <c r="J14">
        <v>6.5</v>
      </c>
      <c r="L14">
        <f t="shared" si="1"/>
        <v>42.221285563751316</v>
      </c>
      <c r="N14">
        <f t="shared" si="7"/>
        <v>2.2882305267187664</v>
      </c>
      <c r="P14">
        <f t="shared" si="2"/>
        <v>21.55172413793105</v>
      </c>
      <c r="R14">
        <f t="shared" si="3"/>
        <v>18.000089272679965</v>
      </c>
      <c r="T14" s="108">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6">
        <f>'Aggregated EF'!H112</f>
        <v>10</v>
      </c>
      <c r="J15">
        <v>6.5</v>
      </c>
      <c r="L15">
        <f t="shared" si="1"/>
        <v>23.456269757639621</v>
      </c>
      <c r="N15">
        <f t="shared" si="7"/>
        <v>1.2712391815104258</v>
      </c>
      <c r="P15">
        <f t="shared" si="2"/>
        <v>21.55172413793105</v>
      </c>
      <c r="R15">
        <f t="shared" si="3"/>
        <v>10.000049595933314</v>
      </c>
      <c r="T15" s="108">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6">
        <f>SUM('Aggregated EF'!H114:H123)</f>
        <v>1.1111400000000002</v>
      </c>
      <c r="J16">
        <v>0.7</v>
      </c>
      <c r="L16">
        <f t="shared" si="1"/>
        <v>24.201542465753434</v>
      </c>
      <c r="N16">
        <f t="shared" si="7"/>
        <v>1.3116300824189597</v>
      </c>
      <c r="P16">
        <f t="shared" si="2"/>
        <v>2.3209549071618198</v>
      </c>
      <c r="R16">
        <f t="shared" si="3"/>
        <v>1.1111455108025416</v>
      </c>
      <c r="T16" s="108">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6">
        <f>SUM('Aggregated EF'!H124:H133)</f>
        <v>1.1290500000000001</v>
      </c>
      <c r="J17">
        <v>0.7</v>
      </c>
      <c r="L17">
        <f t="shared" si="1"/>
        <v>24.591636986301374</v>
      </c>
      <c r="N17">
        <f t="shared" si="7"/>
        <v>1.3327716980354647</v>
      </c>
      <c r="P17">
        <f t="shared" si="2"/>
        <v>2.3209549071618198</v>
      </c>
      <c r="R17">
        <f t="shared" si="3"/>
        <v>1.129055599628858</v>
      </c>
      <c r="T17" s="108">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6">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6">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6">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6">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6">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6">
        <f>'Aggregated EF'!N25</f>
        <v>0.87</v>
      </c>
      <c r="N23" t="s">
        <v>1026</v>
      </c>
      <c r="O23" s="18" t="s">
        <v>1023</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6">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6">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6">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6">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6">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6">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6">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6">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6">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6">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6">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6">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6">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6">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6">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6">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6">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6">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6">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6">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6">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6">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6">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6">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6">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6">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6">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6">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6">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6">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6">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6">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6">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6">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6">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6">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6">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6">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6">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6">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6">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6">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6">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6">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6">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6">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6">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6">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6">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6">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6">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6">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6">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6">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6">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6">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6">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6">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6">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6">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6">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6">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6">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6">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6">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6">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6">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6">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6">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6">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6">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6">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6">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6">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6">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6">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6">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6">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6">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6">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6">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6">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6">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6">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6">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6">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6">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6">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6">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6">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6">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6">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6">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6">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6">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6">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6">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6">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6">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6">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6">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6">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6">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6">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6">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6">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6">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6">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6">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6">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6">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6">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6">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6">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6">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6">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6">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6">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6">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6">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6">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6">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6">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6">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6">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6">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6">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6">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6">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6">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6">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6">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6">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6">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6">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6">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6">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6">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6">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6">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6">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6">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6">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6">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6">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6">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6">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6">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6">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6">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6">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6">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6">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6">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6">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6">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6">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6">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6">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6">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6">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6">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6">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6">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6">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6">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6">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6">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6">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6">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6">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6">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6">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6">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6">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6">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6">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6">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6">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6">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6">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6">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6">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6">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6">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6">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6">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6">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6">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6">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6">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6">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6">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6">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6">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6">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6">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6">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6">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6">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6">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6">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6">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6">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6">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6">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6">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6">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6">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6">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6">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6">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6">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6">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6">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6">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6">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6">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6">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6">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6">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6">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6">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6">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6">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6">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6">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6">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6">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6">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6">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6">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6">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6">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6">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6">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6">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6">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6">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6">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6">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6">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6">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6">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6">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6">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6">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6">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6">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6">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6">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6">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6">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6">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6">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6">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6">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6">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6">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6">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6">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6">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6">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6">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6">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6">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6">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6">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6">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6">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6">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6">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6">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6">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6">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6">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6">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6">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6">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6">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6">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6">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6">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6">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6">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6">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6">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6">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6">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6">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6">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6">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6">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6">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6">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6">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6">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6">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6">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6">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6">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6">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6">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6">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6">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6">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6">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6">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6">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6">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6">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6">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6">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6">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6">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6">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6">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6">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6">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6">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6">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6">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6">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6">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6">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6">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6">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6">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6">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6">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6">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6">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6">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6">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6">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6">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6">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6">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6">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6">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6">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6">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6">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6">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6">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6">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6">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6">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6">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6">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6">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6">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6">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6">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6">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6">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6">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6">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6">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6">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6">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6">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6">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6">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6">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6">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6">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6">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6">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6">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6">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6">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6">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6">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6">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6">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6">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6">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6">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6">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6">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6">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6">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6">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6">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6">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6">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6">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6">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6">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6">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6">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6">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6">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6">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6">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6">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6">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6">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6">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6">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6">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6">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6">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6">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6">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6">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6">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6">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6">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6">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6">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6">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6">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6">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6">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6">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6">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6">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6">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6">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6">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6">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6">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6">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6">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6">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6">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6">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6">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6">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6">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6">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6">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6">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6">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6">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6">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6">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6">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6">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6">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6">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6">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6">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6">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6">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6">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6">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6">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6">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6">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6">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6">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6">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6">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6">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6">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6">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6">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6">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6">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6">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6">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6">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6">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6">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6">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6">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6">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6">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6">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6">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6">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6">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6">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6">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6">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6">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6">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6">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6">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6">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6">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6">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6">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6">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6">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6">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6">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6">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6">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6">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6">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6">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6">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6">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6">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6">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6">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6">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6">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6">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6">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6">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6">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6">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6">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6">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6">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6">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6">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6">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6">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6">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6">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6">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6">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6">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6">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6">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6">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6">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6">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6">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6">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6">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6">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6">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6">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6">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6">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6">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6">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6">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6">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6">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6">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6">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6">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6">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6">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6">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6">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6">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6">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6">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6">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6">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6">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6">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6">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6">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6">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6">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6">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6">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6">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6">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6">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6">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6">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6">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6">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6">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6">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6">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6">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6">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6">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6">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6">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6">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6">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6">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6">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6">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6">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6">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6">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6">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6">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6">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6">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6">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6">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6">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6">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6">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6">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6">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6">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6">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6">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6">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6">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6">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6">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6">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6">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6">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6">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6">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6">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6">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6">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6">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6">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6">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6">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6">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6">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6">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6">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6">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6">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6">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6">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6">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6">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6">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6">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6">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6">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6">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6">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6">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6">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6">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6">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6">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6">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6">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6">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6">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6">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6">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6">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6">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6">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6">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6">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7">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7">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7">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7">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7">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7">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7">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7">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7">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7">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54">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54">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54">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54">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54">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54">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54">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54">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54">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54">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54">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54">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54">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54">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54">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54">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7">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54">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54">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7">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7">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7">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7">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7">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7">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7">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54">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7">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7">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7">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7">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54">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7">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7">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7">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7">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7">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7">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7">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7">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7">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7">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7">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7">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7">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7">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7">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7">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7">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7">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7">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7">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7">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7">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7">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7">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7">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7">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7">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7">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7">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7">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7">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7">
        <v>0</v>
      </c>
    </row>
    <row r="149" spans="1:8" x14ac:dyDescent="0.25">
      <c r="A149" t="str">
        <f>'IPCC Categories'!A59</f>
        <v>3C Aggregated and non-CO2 emissions on land</v>
      </c>
      <c r="B149" t="str">
        <f>'IPCC Categories'!B71</f>
        <v>3C2 Liming (CO2)</v>
      </c>
      <c r="E149" t="s">
        <v>378</v>
      </c>
      <c r="F149" t="s">
        <v>380</v>
      </c>
      <c r="G149" t="s">
        <v>379</v>
      </c>
      <c r="H149" s="27">
        <v>0.125</v>
      </c>
    </row>
    <row r="150" spans="1:8" x14ac:dyDescent="0.25">
      <c r="A150" t="str">
        <f>A149</f>
        <v>3C Aggregated and non-CO2 emissions on land</v>
      </c>
      <c r="B150" t="str">
        <f>'IPCC Categories'!B72</f>
        <v>3C3 Urea application (CO2)</v>
      </c>
      <c r="E150" t="s">
        <v>385</v>
      </c>
      <c r="F150" t="s">
        <v>380</v>
      </c>
      <c r="G150" t="s">
        <v>386</v>
      </c>
      <c r="H150" s="27">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54">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54">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54">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54">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54">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54">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54">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54">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54">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54">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54">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54">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54">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54">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54">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54">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54">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54">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54">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54">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54">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54">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54">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54">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7">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7">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7">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7">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7">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7">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7">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7">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7">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7">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7">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7">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7">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7">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7">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7">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7">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7">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7">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7">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7">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7">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7">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7">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7">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7">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7">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7">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7">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7">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7">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7">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RowHeight="15" x14ac:dyDescent="0.25"/>
  <cols>
    <col min="1" max="1" width="62.85546875" customWidth="1"/>
    <col min="2" max="2" width="20.42578125" customWidth="1"/>
    <col min="3" max="3" width="8.5703125" customWidth="1"/>
    <col min="5" max="5" width="15.28515625" customWidth="1"/>
    <col min="6" max="6" width="19.140625" customWidth="1"/>
    <col min="8" max="8" width="10.5703125" customWidth="1"/>
    <col min="10" max="10" width="23.28515625" customWidth="1"/>
    <col min="13" max="13" width="15.42578125" customWidth="1"/>
    <col min="14" max="14" width="10.7109375" customWidth="1"/>
    <col min="16" max="16" width="21.7109375" customWidth="1"/>
    <col min="19" max="19" width="13.28515625" customWidth="1"/>
    <col min="20" max="20" width="10.5703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RowHeight="15" x14ac:dyDescent="0.25"/>
  <cols>
    <col min="1" max="1" width="15.42578125" customWidth="1"/>
    <col min="2" max="2" width="31" customWidth="1"/>
    <col min="3" max="3" width="27.7109375" customWidth="1"/>
    <col min="4" max="4" width="48.42578125" customWidth="1"/>
    <col min="5" max="5" width="33.28515625" customWidth="1"/>
    <col min="6" max="6" width="7.5703125" customWidth="1"/>
    <col min="7" max="7" width="14" customWidth="1"/>
    <col min="8" max="35" width="9.7109375" customWidth="1"/>
    <col min="36" max="36" width="9.5703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8">
        <f>IF(('Activity data'!H5*EF!$H4)*kgtoGg=0,"NO",('Activity data'!H5*EF!$H4)*kgtoGg)</f>
        <v>59.718917014778661</v>
      </c>
      <c r="I4" s="28">
        <f>IF(('Activity data'!I5*EF!$H4)*kgtoGg=0,"NO",('Activity data'!I5*EF!$H4)*kgtoGg)</f>
        <v>68.751985275543859</v>
      </c>
      <c r="J4" s="28">
        <f>IF(('Activity data'!J5*EF!$H4)*kgtoGg=0,"NO",('Activity data'!J5*EF!$H4)*kgtoGg)</f>
        <v>59.479363059114746</v>
      </c>
      <c r="K4" s="28">
        <f>IF(('Activity data'!K5*EF!$H4)*kgtoGg=0,"NO",('Activity data'!K5*EF!$H4)*kgtoGg)</f>
        <v>63.083438863990956</v>
      </c>
      <c r="L4" s="28">
        <f>IF(('Activity data'!L5*EF!$H4)*kgtoGg=0,"NO",('Activity data'!L5*EF!$H4)*kgtoGg)</f>
        <v>58.521147236459079</v>
      </c>
      <c r="M4" s="28">
        <f>IF(('Activity data'!M5*EF!$H4)*kgtoGg=0,"NO",('Activity data'!M5*EF!$H4)*kgtoGg)</f>
        <v>62.604330952663126</v>
      </c>
      <c r="N4" s="28">
        <f>IF(('Activity data'!N5*EF!$H4)*kgtoGg=0,"NO",('Activity data'!N5*EF!$H4)*kgtoGg)</f>
        <v>62.843884908327048</v>
      </c>
      <c r="O4" s="28">
        <f>IF(('Activity data'!O5*EF!$H4)*kgtoGg=0,"NO",('Activity data'!O5*EF!$H4)*kgtoGg)</f>
        <v>60.585617843135758</v>
      </c>
      <c r="P4" s="28">
        <f>IF(('Activity data'!P5*EF!$H4)*kgtoGg=0,"NO",('Activity data'!P5*EF!$H4)*kgtoGg)</f>
        <v>59.866955976144006</v>
      </c>
      <c r="Q4" s="28">
        <f>IF(('Activity data'!Q5*EF!$H4)*kgtoGg=0,"NO",('Activity data'!Q5*EF!$H4)*kgtoGg)</f>
        <v>58.80645868927229</v>
      </c>
      <c r="R4" s="28">
        <f>IF(('Activity data'!R5*EF!$H4)*kgtoGg=0,"NO",('Activity data'!R5*EF!$H4)*kgtoGg)</f>
        <v>75.720582929632371</v>
      </c>
      <c r="S4" s="28">
        <f>IF(('Activity data'!S5*EF!$H4)*kgtoGg=0,"NO",('Activity data'!S5*EF!$H4)*kgtoGg)</f>
        <v>75.481028973968449</v>
      </c>
      <c r="T4" s="28">
        <f>IF(('Activity data'!T5*EF!$H4)*kgtoGg=0,"NO",('Activity data'!T5*EF!$H4)*kgtoGg)</f>
        <v>65.820813840510098</v>
      </c>
      <c r="U4" s="28">
        <f>IF(('Activity data'!U5*EF!$H4)*kgtoGg=0,"NO",('Activity data'!U5*EF!$H4)*kgtoGg)</f>
        <v>59.866955976144006</v>
      </c>
      <c r="V4" s="28">
        <f>IF(('Activity data'!V5*EF!$H4)*kgtoGg=0,"NO",('Activity data'!V5*EF!$H4)*kgtoGg)</f>
        <v>57.802485369467341</v>
      </c>
      <c r="W4" s="28">
        <f>IF(('Activity data'!W5*EF!$H4)*kgtoGg=0,"NO",('Activity data'!W5*EF!$H4)*kgtoGg)</f>
        <v>61.885669085671374</v>
      </c>
      <c r="X4" s="28">
        <f>IF(('Activity data'!X5*EF!$H4)*kgtoGg=0,"NO",('Activity data'!X5*EF!$H4)*kgtoGg)</f>
        <v>60.539860345986469</v>
      </c>
      <c r="Y4" s="28">
        <f>IF(('Activity data'!Y5*EF!$H4)*kgtoGg=0,"NO",('Activity data'!Y5*EF!$H4)*kgtoGg)</f>
        <v>60.106509931807928</v>
      </c>
      <c r="Z4" s="28">
        <f>IF(('Activity data'!Z5*EF!$H4)*kgtoGg=0,"NO",('Activity data'!Z5*EF!$H4)*kgtoGg)</f>
        <v>73.610354825806411</v>
      </c>
      <c r="AA4" s="28">
        <f>IF(('Activity data'!AA5*EF!$H4)*kgtoGg=0,"NO",('Activity data'!AA5*EF!$H4)*kgtoGg)</f>
        <v>75.435271476819167</v>
      </c>
      <c r="AB4" s="28">
        <f>IF(('Activity data'!AB5*EF!$H4)*kgtoGg=0,"NO",('Activity data'!AB5*EF!$H4)*kgtoGg)</f>
        <v>75.435271476819167</v>
      </c>
      <c r="AC4" s="28">
        <f>IF(('Activity data'!AC5*EF!$H4)*kgtoGg=0,"NO",('Activity data'!AC5*EF!$H4)*kgtoGg)</f>
        <v>72.697896500300033</v>
      </c>
      <c r="AD4" s="28">
        <f>IF(('Activity data'!AD5*EF!$H4)*kgtoGg=0,"NO",('Activity data'!AD5*EF!$H4)*kgtoGg)</f>
        <v>72.319515891788683</v>
      </c>
      <c r="AE4" s="28">
        <f>IF(('Activity data'!AE5*EF!$H4)*kgtoGg=0,"NO",('Activity data'!AE5*EF!$H4)*kgtoGg)</f>
        <v>72.807821323468076</v>
      </c>
      <c r="AF4" s="28">
        <f>IF(('Activity data'!AF5*EF!$H4)*kgtoGg=0,"NO",('Activity data'!AF5*EF!$H4)*kgtoGg)</f>
        <v>73.234964885165326</v>
      </c>
      <c r="AG4" s="28">
        <f>IF(('Activity data'!AG5*EF!$H4)*kgtoGg=0,"NO",('Activity data'!AG5*EF!$H4)*kgtoGg)</f>
        <v>73.290216800217806</v>
      </c>
      <c r="AH4" s="28">
        <f>IF(('Activity data'!AH5*EF!$H4)*kgtoGg=0,"NO",('Activity data'!AH5*EF!$H4)*kgtoGg)</f>
        <v>73.385382806563399</v>
      </c>
      <c r="AI4" s="28">
        <f>IF(('Activity data'!AI5*EF!$H4)*kgtoGg=0,"NO",('Activity data'!AI5*EF!$H4)*kgtoGg)</f>
        <v>73.931427797367633</v>
      </c>
      <c r="AJ4" s="28">
        <f>IF(('Activity data'!AJ5*EF!$H4)*kgtoGg=0,"NO",('Activity data'!AJ5*EF!$H4)*kgtoGg)</f>
        <v>74.368063847632101</v>
      </c>
      <c r="AK4" s="28">
        <f>IF(('Activity data'!AK5*EF!$H4)*kgtoGg=0,"NO",('Activity data'!AK5*EF!$H4)*kgtoGg)</f>
        <v>74.371892298776103</v>
      </c>
      <c r="AL4" s="28">
        <f>IF(('Activity data'!AL5*EF!$H4)*kgtoGg=0,"NO",('Activity data'!AL5*EF!$H4)*kgtoGg)</f>
        <v>72.401501789227453</v>
      </c>
      <c r="AM4" s="28">
        <f>IF(('Activity data'!AM5*EF!$H4)*kgtoGg=0,"NO",('Activity data'!AM5*EF!$H4)*kgtoGg)</f>
        <v>73.35338653579106</v>
      </c>
      <c r="AN4" s="28">
        <f>IF(('Activity data'!AN5*EF!$H4)*kgtoGg=0,"NO",('Activity data'!AN5*EF!$H4)*kgtoGg)</f>
        <v>74.073946934208749</v>
      </c>
      <c r="AO4" s="28">
        <f>IF(('Activity data'!AO5*EF!$H4)*kgtoGg=0,"NO",('Activity data'!AO5*EF!$H4)*kgtoGg)</f>
        <v>74.753778618786441</v>
      </c>
      <c r="AP4" s="28">
        <f>IF(('Activity data'!AP5*EF!$H4)*kgtoGg=0,"NO",('Activity data'!AP5*EF!$H4)*kgtoGg)</f>
        <v>75.542063496412212</v>
      </c>
      <c r="AQ4" s="28">
        <f>IF(('Activity data'!AQ5*EF!$H4)*kgtoGg=0,"NO",('Activity data'!AQ5*EF!$H4)*kgtoGg)</f>
        <v>76.67155635559341</v>
      </c>
      <c r="AR4" s="28">
        <f>IF(('Activity data'!AR5*EF!$H4)*kgtoGg=0,"NO",('Activity data'!AR5*EF!$H4)*kgtoGg)</f>
        <v>77.847489846758435</v>
      </c>
      <c r="AS4" s="28">
        <f>IF(('Activity data'!AS5*EF!$H4)*kgtoGg=0,"NO",('Activity data'!AS5*EF!$H4)*kgtoGg)</f>
        <v>79.124819066913304</v>
      </c>
      <c r="AT4" s="28">
        <f>IF(('Activity data'!AT5*EF!$H4)*kgtoGg=0,"NO",('Activity data'!AT5*EF!$H4)*kgtoGg)</f>
        <v>80.286419447530889</v>
      </c>
      <c r="AU4" s="28">
        <f>IF(('Activity data'!AU5*EF!$H4)*kgtoGg=0,"NO",('Activity data'!AU5*EF!$H4)*kgtoGg)</f>
        <v>81.617330077665642</v>
      </c>
      <c r="AV4" s="28">
        <f>IF(('Activity data'!AV5*EF!$H4)*kgtoGg=0,"NO",('Activity data'!AV5*EF!$H4)*kgtoGg)</f>
        <v>83.15508639015107</v>
      </c>
      <c r="AW4" s="28">
        <f>IF(('Activity data'!AW5*EF!$H4)*kgtoGg=0,"NO",('Activity data'!AW5*EF!$H4)*kgtoGg)</f>
        <v>84.635565323563185</v>
      </c>
      <c r="AX4" s="28">
        <f>IF(('Activity data'!AX5*EF!$H4)*kgtoGg=0,"NO",('Activity data'!AX5*EF!$H4)*kgtoGg)</f>
        <v>86.193227498997032</v>
      </c>
      <c r="AY4" s="28">
        <f>IF(('Activity data'!AY5*EF!$H4)*kgtoGg=0,"NO",('Activity data'!AY5*EF!$H4)*kgtoGg)</f>
        <v>87.798134594672661</v>
      </c>
      <c r="AZ4" s="28">
        <f>IF(('Activity data'!AZ5*EF!$H4)*kgtoGg=0,"NO",('Activity data'!AZ5*EF!$H4)*kgtoGg)</f>
        <v>89.583941656222265</v>
      </c>
      <c r="BA4" s="28">
        <f>IF(('Activity data'!BA5*EF!$H4)*kgtoGg=0,"NO",('Activity data'!BA5*EF!$H4)*kgtoGg)</f>
        <v>91.200763160150927</v>
      </c>
      <c r="BB4" s="28">
        <f>IF(('Activity data'!BB5*EF!$H4)*kgtoGg=0,"NO",('Activity data'!BB5*EF!$H4)*kgtoGg)</f>
        <v>92.880820410502608</v>
      </c>
      <c r="BC4" s="28">
        <f>IF(('Activity data'!BC5*EF!$H4)*kgtoGg=0,"NO",('Activity data'!BC5*EF!$H4)*kgtoGg)</f>
        <v>94.604791101897987</v>
      </c>
      <c r="BD4" s="28">
        <f>IF(('Activity data'!BD5*EF!$H4)*kgtoGg=0,"NO",('Activity data'!BD5*EF!$H4)*kgtoGg)</f>
        <v>96.277227774537934</v>
      </c>
      <c r="BE4" s="28">
        <f>IF(('Activity data'!BE5*EF!$H4)*kgtoGg=0,"NO",('Activity data'!BE5*EF!$H4)*kgtoGg)</f>
        <v>97.962340013130714</v>
      </c>
      <c r="BF4" s="28">
        <f>IF(('Activity data'!BF5*EF!$H4)*kgtoGg=0,"NO",('Activity data'!BF5*EF!$H4)*kgtoGg)</f>
        <v>99.718934384145854</v>
      </c>
      <c r="BG4" s="28">
        <f>IF(('Activity data'!BG5*EF!$H4)*kgtoGg=0,"NO",('Activity data'!BG5*EF!$H4)*kgtoGg)</f>
        <v>101.53369157216896</v>
      </c>
      <c r="BH4" s="28">
        <f>IF(('Activity data'!BH5*EF!$H4)*kgtoGg=0,"NO",('Activity data'!BH5*EF!$H4)*kgtoGg)</f>
        <v>103.26697055041011</v>
      </c>
      <c r="BI4" s="28">
        <f>IF(('Activity data'!BI5*EF!$H4)*kgtoGg=0,"NO",('Activity data'!BI5*EF!$H4)*kgtoGg)</f>
        <v>105.03686331998236</v>
      </c>
      <c r="BJ4" s="28">
        <f>IF(('Activity data'!BJ5*EF!$H4)*kgtoGg=0,"NO",('Activity data'!BJ5*EF!$H4)*kgtoGg)</f>
        <v>106.8465596380065</v>
      </c>
      <c r="BK4" s="28">
        <f>IF(('Activity data'!BK5*EF!$H4)*kgtoGg=0,"NO",('Activity data'!BK5*EF!$H4)*kgtoGg)</f>
        <v>108.78185329261875</v>
      </c>
      <c r="BL4" s="28">
        <f>IF(('Activity data'!BL5*EF!$H4)*kgtoGg=0,"NO",('Activity data'!BL5*EF!$H4)*kgtoGg)</f>
        <v>110.73844641298153</v>
      </c>
      <c r="BM4" s="28">
        <f>IF(('Activity data'!BM5*EF!$H4)*kgtoGg=0,"NO",('Activity data'!BM5*EF!$H4)*kgtoGg)</f>
        <v>111.90949092297359</v>
      </c>
      <c r="BN4" s="28">
        <f>IF(('Activity data'!BN5*EF!$H4)*kgtoGg=0,"NO",('Activity data'!BN5*EF!$H4)*kgtoGg)</f>
        <v>113.03503781846446</v>
      </c>
      <c r="BO4" s="28">
        <f>IF(('Activity data'!BO5*EF!$H4)*kgtoGg=0,"NO",('Activity data'!BO5*EF!$H4)*kgtoGg)</f>
        <v>114.28032069633981</v>
      </c>
      <c r="BP4" s="28">
        <f>IF(('Activity data'!BP5*EF!$H4)*kgtoGg=0,"NO",('Activity data'!BP5*EF!$H4)*kgtoGg)</f>
        <v>115.48971420463774</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8">
        <f>IF(('Activity data'!H6*EF!$H5)*kgtoGg=0,"NO",('Activity data'!H6*EF!$H5)*kgtoGg)</f>
        <v>47.244302499713584</v>
      </c>
      <c r="I5" s="28">
        <f>IF(('Activity data'!I6*EF!$H5)*kgtoGg=0,"NO",('Activity data'!I6*EF!$H5)*kgtoGg)</f>
        <v>54.390463728768381</v>
      </c>
      <c r="J5" s="28">
        <f>IF(('Activity data'!J6*EF!$H5)*kgtoGg=0,"NO",('Activity data'!J6*EF!$H5)*kgtoGg)</f>
        <v>47.054788688811946</v>
      </c>
      <c r="K5" s="28">
        <f>IF(('Activity data'!K6*EF!$H5)*kgtoGg=0,"NO",('Activity data'!K6*EF!$H5)*kgtoGg)</f>
        <v>49.90601332698369</v>
      </c>
      <c r="L5" s="28">
        <f>IF(('Activity data'!L6*EF!$H5)*kgtoGg=0,"NO",('Activity data'!L6*EF!$H5)*kgtoGg)</f>
        <v>46.296733445205426</v>
      </c>
      <c r="M5" s="28">
        <f>IF(('Activity data'!M6*EF!$H5)*kgtoGg=0,"NO",('Activity data'!M6*EF!$H5)*kgtoGg)</f>
        <v>49.526985705180429</v>
      </c>
      <c r="N5" s="28">
        <f>IF(('Activity data'!N6*EF!$H5)*kgtoGg=0,"NO",('Activity data'!N6*EF!$H5)*kgtoGg)</f>
        <v>49.71649951608206</v>
      </c>
      <c r="O5" s="28">
        <f>IF(('Activity data'!O6*EF!$H5)*kgtoGg=0,"NO",('Activity data'!O6*EF!$H5)*kgtoGg)</f>
        <v>47.929959208818367</v>
      </c>
      <c r="P5" s="28">
        <f>IF(('Activity data'!P6*EF!$H5)*kgtoGg=0,"NO",('Activity data'!P6*EF!$H5)*kgtoGg)</f>
        <v>47.36141777611347</v>
      </c>
      <c r="Q5" s="28">
        <f>IF(('Activity data'!Q6*EF!$H5)*kgtoGg=0,"NO",('Activity data'!Q6*EF!$H5)*kgtoGg)</f>
        <v>46.522446523357921</v>
      </c>
      <c r="R5" s="28">
        <f>IF(('Activity data'!R6*EF!$H5)*kgtoGg=0,"NO",('Activity data'!R6*EF!$H5)*kgtoGg)</f>
        <v>59.903399194210245</v>
      </c>
      <c r="S5" s="28">
        <f>IF(('Activity data'!S6*EF!$H5)*kgtoGg=0,"NO",('Activity data'!S6*EF!$H5)*kgtoGg)</f>
        <v>59.713885383308607</v>
      </c>
      <c r="T5" s="28">
        <f>IF(('Activity data'!T6*EF!$H5)*kgtoGg=0,"NO",('Activity data'!T6*EF!$H5)*kgtoGg)</f>
        <v>52.071581256050649</v>
      </c>
      <c r="U5" s="28">
        <f>IF(('Activity data'!U6*EF!$H5)*kgtoGg=0,"NO",('Activity data'!U6*EF!$H5)*kgtoGg)</f>
        <v>47.36141777611347</v>
      </c>
      <c r="V5" s="28">
        <f>IF(('Activity data'!V6*EF!$H5)*kgtoGg=0,"NO",('Activity data'!V6*EF!$H5)*kgtoGg)</f>
        <v>45.728192012500521</v>
      </c>
      <c r="W5" s="28">
        <f>IF(('Activity data'!W6*EF!$H5)*kgtoGg=0,"NO",('Activity data'!W6*EF!$H5)*kgtoGg)</f>
        <v>48.958444272475539</v>
      </c>
      <c r="X5" s="28">
        <f>IF(('Activity data'!X6*EF!$H5)*kgtoGg=0,"NO",('Activity data'!X6*EF!$H5)*kgtoGg)</f>
        <v>47.893759941567488</v>
      </c>
      <c r="Y5" s="28">
        <f>IF(('Activity data'!Y6*EF!$H5)*kgtoGg=0,"NO",('Activity data'!Y6*EF!$H5)*kgtoGg)</f>
        <v>47.550931587015107</v>
      </c>
      <c r="Z5" s="28">
        <f>IF(('Activity data'!Z6*EF!$H5)*kgtoGg=0,"NO",('Activity data'!Z6*EF!$H5)*kgtoGg)</f>
        <v>58.233974163346424</v>
      </c>
      <c r="AA5" s="28">
        <f>IF(('Activity data'!AA6*EF!$H5)*kgtoGg=0,"NO",('Activity data'!AA6*EF!$H5)*kgtoGg)</f>
        <v>59.677686116057721</v>
      </c>
      <c r="AB5" s="28">
        <f>IF(('Activity data'!AB6*EF!$H5)*kgtoGg=0,"NO",('Activity data'!AB6*EF!$H5)*kgtoGg)</f>
        <v>59.677686116057721</v>
      </c>
      <c r="AC5" s="28">
        <f>IF(('Activity data'!AC6*EF!$H5)*kgtoGg=0,"NO",('Activity data'!AC6*EF!$H5)*kgtoGg)</f>
        <v>57.512118186990755</v>
      </c>
      <c r="AD5" s="28">
        <f>IF(('Activity data'!AD6*EF!$H5)*kgtoGg=0,"NO",('Activity data'!AD6*EF!$H5)*kgtoGg)</f>
        <v>57.842346035228502</v>
      </c>
      <c r="AE5" s="28">
        <f>IF(('Activity data'!AE6*EF!$H5)*kgtoGg=0,"NO",('Activity data'!AE6*EF!$H5)*kgtoGg)</f>
        <v>58.232900803215919</v>
      </c>
      <c r="AF5" s="28">
        <f>IF(('Activity data'!AF6*EF!$H5)*kgtoGg=0,"NO",('Activity data'!AF6*EF!$H5)*kgtoGg)</f>
        <v>58.574537295077718</v>
      </c>
      <c r="AG5" s="28">
        <f>IF(('Activity data'!AG6*EF!$H5)*kgtoGg=0,"NO",('Activity data'!AG6*EF!$H5)*kgtoGg)</f>
        <v>58.618728691413338</v>
      </c>
      <c r="AH5" s="28">
        <f>IF(('Activity data'!AH6*EF!$H5)*kgtoGg=0,"NO",('Activity data'!AH6*EF!$H5)*kgtoGg)</f>
        <v>58.6948440387294</v>
      </c>
      <c r="AI5" s="28">
        <f>IF(('Activity data'!AI6*EF!$H5)*kgtoGg=0,"NO",('Activity data'!AI6*EF!$H5)*kgtoGg)</f>
        <v>59.13157986196363</v>
      </c>
      <c r="AJ5" s="28">
        <f>IF(('Activity data'!AJ6*EF!$H5)*kgtoGg=0,"NO",('Activity data'!AJ6*EF!$H5)*kgtoGg)</f>
        <v>59.480808603326388</v>
      </c>
      <c r="AK5" s="28">
        <f>IF(('Activity data'!AK6*EF!$H5)*kgtoGg=0,"NO",('Activity data'!AK6*EF!$H5)*kgtoGg)</f>
        <v>59.483870661930055</v>
      </c>
      <c r="AL5" s="28">
        <f>IF(('Activity data'!AL6*EF!$H5)*kgtoGg=0,"NO",('Activity data'!AL6*EF!$H5)*kgtoGg)</f>
        <v>57.907919713248667</v>
      </c>
      <c r="AM5" s="28">
        <f>IF(('Activity data'!AM6*EF!$H5)*kgtoGg=0,"NO",('Activity data'!AM6*EF!$H5)*kgtoGg)</f>
        <v>58.669252891678312</v>
      </c>
      <c r="AN5" s="28">
        <f>IF(('Activity data'!AN6*EF!$H5)*kgtoGg=0,"NO",('Activity data'!AN6*EF!$H5)*kgtoGg)</f>
        <v>59.245569026964958</v>
      </c>
      <c r="AO5" s="28">
        <f>IF(('Activity data'!AO6*EF!$H5)*kgtoGg=0,"NO",('Activity data'!AO6*EF!$H5)*kgtoGg)</f>
        <v>59.78930966267238</v>
      </c>
      <c r="AP5" s="28">
        <f>IF(('Activity data'!AP6*EF!$H5)*kgtoGg=0,"NO",('Activity data'!AP6*EF!$H5)*kgtoGg)</f>
        <v>60.419792957585386</v>
      </c>
      <c r="AQ5" s="28">
        <f>IF(('Activity data'!AQ6*EF!$H5)*kgtoGg=0,"NO",('Activity data'!AQ6*EF!$H5)*kgtoGg)</f>
        <v>61.323180044728431</v>
      </c>
      <c r="AR5" s="28">
        <f>IF(('Activity data'!AR6*EF!$H5)*kgtoGg=0,"NO",('Activity data'!AR6*EF!$H5)*kgtoGg)</f>
        <v>62.263711118141018</v>
      </c>
      <c r="AS5" s="28">
        <f>IF(('Activity data'!AS6*EF!$H5)*kgtoGg=0,"NO",('Activity data'!AS6*EF!$H5)*kgtoGg)</f>
        <v>63.285340174171438</v>
      </c>
      <c r="AT5" s="28">
        <f>IF(('Activity data'!AT6*EF!$H5)*kgtoGg=0,"NO",('Activity data'!AT6*EF!$H5)*kgtoGg)</f>
        <v>64.214407388488411</v>
      </c>
      <c r="AU5" s="28">
        <f>IF(('Activity data'!AU6*EF!$H5)*kgtoGg=0,"NO",('Activity data'!AU6*EF!$H5)*kgtoGg)</f>
        <v>65.278891743242767</v>
      </c>
      <c r="AV5" s="28">
        <f>IF(('Activity data'!AV6*EF!$H5)*kgtoGg=0,"NO",('Activity data'!AV6*EF!$H5)*kgtoGg)</f>
        <v>66.508814699001078</v>
      </c>
      <c r="AW5" s="28">
        <f>IF(('Activity data'!AW6*EF!$H5)*kgtoGg=0,"NO",('Activity data'!AW6*EF!$H5)*kgtoGg)</f>
        <v>67.692926258769063</v>
      </c>
      <c r="AX5" s="28">
        <f>IF(('Activity data'!AX6*EF!$H5)*kgtoGg=0,"NO",('Activity data'!AX6*EF!$H5)*kgtoGg)</f>
        <v>68.938770253248308</v>
      </c>
      <c r="AY5" s="28">
        <f>IF(('Activity data'!AY6*EF!$H5)*kgtoGg=0,"NO",('Activity data'!AY6*EF!$H5)*kgtoGg)</f>
        <v>70.222401517060504</v>
      </c>
      <c r="AZ5" s="28">
        <f>IF(('Activity data'!AZ6*EF!$H5)*kgtoGg=0,"NO",('Activity data'!AZ6*EF!$H5)*kgtoGg)</f>
        <v>71.650719568316063</v>
      </c>
      <c r="BA5" s="28">
        <f>IF(('Activity data'!BA6*EF!$H5)*kgtoGg=0,"NO",('Activity data'!BA6*EF!$H5)*kgtoGg)</f>
        <v>72.943880173088047</v>
      </c>
      <c r="BB5" s="28">
        <f>IF(('Activity data'!BB6*EF!$H5)*kgtoGg=0,"NO",('Activity data'!BB6*EF!$H5)*kgtoGg)</f>
        <v>74.287617774695377</v>
      </c>
      <c r="BC5" s="28">
        <f>IF(('Activity data'!BC6*EF!$H5)*kgtoGg=0,"NO",('Activity data'!BC6*EF!$H5)*kgtoGg)</f>
        <v>75.66647807342153</v>
      </c>
      <c r="BD5" s="28">
        <f>IF(('Activity data'!BD6*EF!$H5)*kgtoGg=0,"NO",('Activity data'!BD6*EF!$H5)*kgtoGg)</f>
        <v>77.004120610818973</v>
      </c>
      <c r="BE5" s="28">
        <f>IF(('Activity data'!BE6*EF!$H5)*kgtoGg=0,"NO",('Activity data'!BE6*EF!$H5)*kgtoGg)</f>
        <v>78.351901275705174</v>
      </c>
      <c r="BF5" s="28">
        <f>IF(('Activity data'!BF6*EF!$H5)*kgtoGg=0,"NO",('Activity data'!BF6*EF!$H5)*kgtoGg)</f>
        <v>79.75685453346513</v>
      </c>
      <c r="BG5" s="28">
        <f>IF(('Activity data'!BG6*EF!$H5)*kgtoGg=0,"NO",('Activity data'!BG6*EF!$H5)*kgtoGg)</f>
        <v>81.20832737513372</v>
      </c>
      <c r="BH5" s="28">
        <f>IF(('Activity data'!BH6*EF!$H5)*kgtoGg=0,"NO",('Activity data'!BH6*EF!$H5)*kgtoGg)</f>
        <v>82.594632595774641</v>
      </c>
      <c r="BI5" s="28">
        <f>IF(('Activity data'!BI6*EF!$H5)*kgtoGg=0,"NO",('Activity data'!BI6*EF!$H5)*kgtoGg)</f>
        <v>84.010222132851055</v>
      </c>
      <c r="BJ5" s="28">
        <f>IF(('Activity data'!BJ6*EF!$H5)*kgtoGg=0,"NO",('Activity data'!BJ6*EF!$H5)*kgtoGg)</f>
        <v>85.457647206913492</v>
      </c>
      <c r="BK5" s="28">
        <f>IF(('Activity data'!BK6*EF!$H5)*kgtoGg=0,"NO",('Activity data'!BK6*EF!$H5)*kgtoGg)</f>
        <v>87.005527110000244</v>
      </c>
      <c r="BL5" s="28">
        <f>IF(('Activity data'!BL6*EF!$H5)*kgtoGg=0,"NO",('Activity data'!BL6*EF!$H5)*kgtoGg)</f>
        <v>88.570442678399701</v>
      </c>
      <c r="BM5" s="28">
        <f>IF(('Activity data'!BM6*EF!$H5)*kgtoGg=0,"NO",('Activity data'!BM6*EF!$H5)*kgtoGg)</f>
        <v>89.50706346373471</v>
      </c>
      <c r="BN5" s="28">
        <f>IF(('Activity data'!BN6*EF!$H5)*kgtoGg=0,"NO",('Activity data'!BN6*EF!$H5)*kgtoGg)</f>
        <v>90.407294503794148</v>
      </c>
      <c r="BO5" s="28">
        <f>IF(('Activity data'!BO6*EF!$H5)*kgtoGg=0,"NO",('Activity data'!BO6*EF!$H5)*kgtoGg)</f>
        <v>91.403292364753156</v>
      </c>
      <c r="BP5" s="28">
        <f>IF(('Activity data'!BP6*EF!$H5)*kgtoGg=0,"NO",('Activity data'!BP6*EF!$H5)*kgtoGg)</f>
        <v>92.370585313787814</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8">
        <f>IF(('Activity data'!H7*EF!$H6)*kgtoGg=0,"NO",('Activity data'!H7*EF!$H6)*kgtoGg)</f>
        <v>25.216780378245733</v>
      </c>
      <c r="I6" s="28">
        <f>IF(('Activity data'!I7*EF!$H6)*kgtoGg=0,"NO",('Activity data'!I7*EF!$H6)*kgtoGg)</f>
        <v>28.66289621274522</v>
      </c>
      <c r="J6" s="28">
        <f>IF(('Activity data'!J7*EF!$H6)*kgtoGg=0,"NO",('Activity data'!J7*EF!$H6)*kgtoGg)</f>
        <v>24.793479863671994</v>
      </c>
      <c r="K6" s="28">
        <f>IF(('Activity data'!K7*EF!$H6)*kgtoGg=0,"NO",('Activity data'!K7*EF!$H6)*kgtoGg)</f>
        <v>25.947161118330968</v>
      </c>
      <c r="L6" s="28">
        <f>IF(('Activity data'!L7*EF!$H6)*kgtoGg=0,"NO",('Activity data'!L7*EF!$H6)*kgtoGg)</f>
        <v>23.100277805377079</v>
      </c>
      <c r="M6" s="28">
        <f>IF(('Activity data'!M7*EF!$H6)*kgtoGg=0,"NO",('Activity data'!M7*EF!$H6)*kgtoGg)</f>
        <v>25.100560089183503</v>
      </c>
      <c r="N6" s="28">
        <f>IF(('Activity data'!N7*EF!$H6)*kgtoGg=0,"NO",('Activity data'!N7*EF!$H6)*kgtoGg)</f>
        <v>25.523860603757235</v>
      </c>
      <c r="O6" s="28">
        <f>IF(('Activity data'!O7*EF!$H6)*kgtoGg=0,"NO",('Activity data'!O7*EF!$H6)*kgtoGg)</f>
        <v>24.662331645132362</v>
      </c>
      <c r="P6" s="28">
        <f>IF(('Activity data'!P7*EF!$H6)*kgtoGg=0,"NO",('Activity data'!P7*EF!$H6)*kgtoGg)</f>
        <v>23.392430101411172</v>
      </c>
      <c r="Q6" s="28">
        <f>IF(('Activity data'!Q7*EF!$H6)*kgtoGg=0,"NO",('Activity data'!Q7*EF!$H6)*kgtoGg)</f>
        <v>24.647403715654953</v>
      </c>
      <c r="R6" s="28">
        <f>IF(('Activity data'!R7*EF!$H6)*kgtoGg=0,"NO",('Activity data'!R7*EF!$H6)*kgtoGg)</f>
        <v>30.546958207489421</v>
      </c>
      <c r="S6" s="28">
        <f>IF(('Activity data'!S7*EF!$H6)*kgtoGg=0,"NO",('Activity data'!S7*EF!$H6)*kgtoGg)</f>
        <v>30.123657692915693</v>
      </c>
      <c r="T6" s="28">
        <f>IF(('Activity data'!T7*EF!$H6)*kgtoGg=0,"NO",('Activity data'!T7*EF!$H6)*kgtoGg)</f>
        <v>27.655291106103299</v>
      </c>
      <c r="U6" s="28">
        <f>IF(('Activity data'!U7*EF!$H6)*kgtoGg=0,"NO",('Activity data'!U7*EF!$H6)*kgtoGg)</f>
        <v>23.392430101411172</v>
      </c>
      <c r="V6" s="28">
        <f>IF(('Activity data'!V7*EF!$H6)*kgtoGg=0,"NO",('Activity data'!V7*EF!$H6)*kgtoGg)</f>
        <v>21.830376261655886</v>
      </c>
      <c r="W6" s="28">
        <f>IF(('Activity data'!W7*EF!$H6)*kgtoGg=0,"NO",('Activity data'!W7*EF!$H6)*kgtoGg)</f>
        <v>23.830658545462317</v>
      </c>
      <c r="X6" s="28">
        <f>IF(('Activity data'!X7*EF!$H6)*kgtoGg=0,"NO",('Activity data'!X7*EF!$H6)*kgtoGg)</f>
        <v>23.53850624942822</v>
      </c>
      <c r="Y6" s="28">
        <f>IF(('Activity data'!Y7*EF!$H6)*kgtoGg=0,"NO",('Activity data'!Y7*EF!$H6)*kgtoGg)</f>
        <v>23.815730615984904</v>
      </c>
      <c r="Z6" s="28">
        <f>IF(('Activity data'!Z7*EF!$H6)*kgtoGg=0,"NO",('Activity data'!Z7*EF!$H6)*kgtoGg)</f>
        <v>27.861078972029997</v>
      </c>
      <c r="AA6" s="28">
        <f>IF(('Activity data'!AA7*EF!$H6)*kgtoGg=0,"NO",('Activity data'!AA7*EF!$H6)*kgtoGg)</f>
        <v>28.999832297211544</v>
      </c>
      <c r="AB6" s="28">
        <f>IF(('Activity data'!AB7*EF!$H6)*kgtoGg=0,"NO",('Activity data'!AB7*EF!$H6)*kgtoGg)</f>
        <v>28.999832297211544</v>
      </c>
      <c r="AC6" s="28">
        <f>IF(('Activity data'!AC7*EF!$H6)*kgtoGg=0,"NO",('Activity data'!AC7*EF!$H6)*kgtoGg)</f>
        <v>27.29170230943922</v>
      </c>
      <c r="AD6" s="28">
        <f>IF(('Activity data'!AD7*EF!$H6)*kgtoGg=0,"NO",('Activity data'!AD7*EF!$H6)*kgtoGg)</f>
        <v>26.152753652516633</v>
      </c>
      <c r="AE6" s="28">
        <f>IF(('Activity data'!AE7*EF!$H6)*kgtoGg=0,"NO",('Activity data'!AE7*EF!$H6)*kgtoGg)</f>
        <v>26.329338513524345</v>
      </c>
      <c r="AF6" s="28">
        <f>IF(('Activity data'!AF7*EF!$H6)*kgtoGg=0,"NO",('Activity data'!AF7*EF!$H6)*kgtoGg)</f>
        <v>26.483805536783215</v>
      </c>
      <c r="AG6" s="28">
        <f>IF(('Activity data'!AG7*EF!$H6)*kgtoGg=0,"NO",('Activity data'!AG7*EF!$H6)*kgtoGg)</f>
        <v>26.503786170024174</v>
      </c>
      <c r="AH6" s="28">
        <f>IF(('Activity data'!AH7*EF!$H6)*kgtoGg=0,"NO",('Activity data'!AH7*EF!$H6)*kgtoGg)</f>
        <v>26.538200851723289</v>
      </c>
      <c r="AI6" s="28">
        <f>IF(('Activity data'!AI7*EF!$H6)*kgtoGg=0,"NO",('Activity data'!AI7*EF!$H6)*kgtoGg)</f>
        <v>26.735665947439109</v>
      </c>
      <c r="AJ6" s="28">
        <f>IF(('Activity data'!AJ7*EF!$H6)*kgtoGg=0,"NO",('Activity data'!AJ7*EF!$H6)*kgtoGg)</f>
        <v>26.893565719271944</v>
      </c>
      <c r="AK6" s="28">
        <f>IF(('Activity data'!AK7*EF!$H6)*kgtoGg=0,"NO",('Activity data'!AK7*EF!$H6)*kgtoGg)</f>
        <v>26.894950193966014</v>
      </c>
      <c r="AL6" s="28">
        <f>IF(('Activity data'!AL7*EF!$H6)*kgtoGg=0,"NO",('Activity data'!AL7*EF!$H6)*kgtoGg)</f>
        <v>26.182402039293791</v>
      </c>
      <c r="AM6" s="28">
        <f>IF(('Activity data'!AM7*EF!$H6)*kgtoGg=0,"NO",('Activity data'!AM7*EF!$H6)*kgtoGg)</f>
        <v>26.526630107962227</v>
      </c>
      <c r="AN6" s="28">
        <f>IF(('Activity data'!AN7*EF!$H6)*kgtoGg=0,"NO",('Activity data'!AN7*EF!$H6)*kgtoGg)</f>
        <v>26.787204841617442</v>
      </c>
      <c r="AO6" s="28">
        <f>IF(('Activity data'!AO7*EF!$H6)*kgtoGg=0,"NO",('Activity data'!AO7*EF!$H6)*kgtoGg)</f>
        <v>27.033050936584925</v>
      </c>
      <c r="AP6" s="28">
        <f>IF(('Activity data'!AP7*EF!$H6)*kgtoGg=0,"NO",('Activity data'!AP7*EF!$H6)*kgtoGg)</f>
        <v>27.318116730490384</v>
      </c>
      <c r="AQ6" s="28">
        <f>IF(('Activity data'!AQ7*EF!$H6)*kgtoGg=0,"NO",('Activity data'!AQ7*EF!$H6)*kgtoGg)</f>
        <v>27.72657284547105</v>
      </c>
      <c r="AR6" s="28">
        <f>IF(('Activity data'!AR7*EF!$H6)*kgtoGg=0,"NO",('Activity data'!AR7*EF!$H6)*kgtoGg)</f>
        <v>28.151823188023119</v>
      </c>
      <c r="AS6" s="28">
        <f>IF(('Activity data'!AS7*EF!$H6)*kgtoGg=0,"NO",('Activity data'!AS7*EF!$H6)*kgtoGg)</f>
        <v>28.61374105370485</v>
      </c>
      <c r="AT6" s="28">
        <f>IF(('Activity data'!AT7*EF!$H6)*kgtoGg=0,"NO",('Activity data'!AT7*EF!$H6)*kgtoGg)</f>
        <v>29.033808143789049</v>
      </c>
      <c r="AU6" s="28">
        <f>IF(('Activity data'!AU7*EF!$H6)*kgtoGg=0,"NO",('Activity data'!AU7*EF!$H6)*kgtoGg)</f>
        <v>29.515102541493693</v>
      </c>
      <c r="AV6" s="28">
        <f>IF(('Activity data'!AV7*EF!$H6)*kgtoGg=0,"NO",('Activity data'!AV7*EF!$H6)*kgtoGg)</f>
        <v>30.071198106046545</v>
      </c>
      <c r="AW6" s="28">
        <f>IF(('Activity data'!AW7*EF!$H6)*kgtoGg=0,"NO",('Activity data'!AW7*EF!$H6)*kgtoGg)</f>
        <v>30.606580573086323</v>
      </c>
      <c r="AX6" s="28">
        <f>IF(('Activity data'!AX7*EF!$H6)*kgtoGg=0,"NO",('Activity data'!AX7*EF!$H6)*kgtoGg)</f>
        <v>31.169874652777334</v>
      </c>
      <c r="AY6" s="28">
        <f>IF(('Activity data'!AY7*EF!$H6)*kgtoGg=0,"NO",('Activity data'!AY7*EF!$H6)*kgtoGg)</f>
        <v>31.750253813102248</v>
      </c>
      <c r="AZ6" s="28">
        <f>IF(('Activity data'!AZ7*EF!$H6)*kgtoGg=0,"NO",('Activity data'!AZ7*EF!$H6)*kgtoGg)</f>
        <v>32.396051445673713</v>
      </c>
      <c r="BA6" s="28">
        <f>IF(('Activity data'!BA7*EF!$H6)*kgtoGg=0,"NO",('Activity data'!BA7*EF!$H6)*kgtoGg)</f>
        <v>32.980739188268778</v>
      </c>
      <c r="BB6" s="28">
        <f>IF(('Activity data'!BB7*EF!$H6)*kgtoGg=0,"NO",('Activity data'!BB7*EF!$H6)*kgtoGg)</f>
        <v>33.588294740165949</v>
      </c>
      <c r="BC6" s="28">
        <f>IF(('Activity data'!BC7*EF!$H6)*kgtoGg=0,"NO",('Activity data'!BC7*EF!$H6)*kgtoGg)</f>
        <v>34.211730616917187</v>
      </c>
      <c r="BD6" s="28">
        <f>IF(('Activity data'!BD7*EF!$H6)*kgtoGg=0,"NO",('Activity data'!BD7*EF!$H6)*kgtoGg)</f>
        <v>34.816530355405931</v>
      </c>
      <c r="BE6" s="28">
        <f>IF(('Activity data'!BE7*EF!$H6)*kgtoGg=0,"NO",('Activity data'!BE7*EF!$H6)*kgtoGg)</f>
        <v>35.42591393201478</v>
      </c>
      <c r="BF6" s="28">
        <f>IF(('Activity data'!BF7*EF!$H6)*kgtoGg=0,"NO",('Activity data'!BF7*EF!$H6)*kgtoGg)</f>
        <v>36.061147441062253</v>
      </c>
      <c r="BG6" s="28">
        <f>IF(('Activity data'!BG7*EF!$H6)*kgtoGg=0,"NO",('Activity data'!BG7*EF!$H6)*kgtoGg)</f>
        <v>36.717414246671382</v>
      </c>
      <c r="BH6" s="28">
        <f>IF(('Activity data'!BH7*EF!$H6)*kgtoGg=0,"NO",('Activity data'!BH7*EF!$H6)*kgtoGg)</f>
        <v>37.344216259517445</v>
      </c>
      <c r="BI6" s="28">
        <f>IF(('Activity data'!BI7*EF!$H6)*kgtoGg=0,"NO",('Activity data'!BI7*EF!$H6)*kgtoGg)</f>
        <v>37.984258840323065</v>
      </c>
      <c r="BJ6" s="28">
        <f>IF(('Activity data'!BJ7*EF!$H6)*kgtoGg=0,"NO",('Activity data'!BJ7*EF!$H6)*kgtoGg)</f>
        <v>38.638695494212854</v>
      </c>
      <c r="BK6" s="28">
        <f>IF(('Activity data'!BK7*EF!$H6)*kgtoGg=0,"NO",('Activity data'!BK7*EF!$H6)*kgtoGg)</f>
        <v>39.338551647427231</v>
      </c>
      <c r="BL6" s="28">
        <f>IF(('Activity data'!BL7*EF!$H6)*kgtoGg=0,"NO",('Activity data'!BL7*EF!$H6)*kgtoGg)</f>
        <v>40.046110281415082</v>
      </c>
      <c r="BM6" s="28">
        <f>IF(('Activity data'!BM7*EF!$H6)*kgtoGg=0,"NO",('Activity data'!BM7*EF!$H6)*kgtoGg)</f>
        <v>40.469592632040602</v>
      </c>
      <c r="BN6" s="28">
        <f>IF(('Activity data'!BN7*EF!$H6)*kgtoGg=0,"NO",('Activity data'!BN7*EF!$H6)*kgtoGg)</f>
        <v>40.876621776513481</v>
      </c>
      <c r="BO6" s="28">
        <f>IF(('Activity data'!BO7*EF!$H6)*kgtoGg=0,"NO",('Activity data'!BO7*EF!$H6)*kgtoGg)</f>
        <v>41.326950791180863</v>
      </c>
      <c r="BP6" s="28">
        <f>IF(('Activity data'!BP7*EF!$H6)*kgtoGg=0,"NO",('Activity data'!BP7*EF!$H6)*kgtoGg)</f>
        <v>41.764301208996081</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8">
        <f>IF(('Activity data'!H8*EF!$H7)*kgtoGg=0,"NO",('Activity data'!H8*EF!$H7)*kgtoGg)</f>
        <v>530.30777048487039</v>
      </c>
      <c r="I7" s="28">
        <f>IF(('Activity data'!I8*EF!$H7)*kgtoGg=0,"NO",('Activity data'!I8*EF!$H7)*kgtoGg)</f>
        <v>507.4186008397914</v>
      </c>
      <c r="J7" s="28">
        <f>IF(('Activity data'!J8*EF!$H7)*kgtoGg=0,"NO",('Activity data'!J8*EF!$H7)*kgtoGg)</f>
        <v>507.23423660631244</v>
      </c>
      <c r="K7" s="28">
        <f>IF(('Activity data'!K8*EF!$H7)*kgtoGg=0,"NO",('Activity data'!K8*EF!$H7)*kgtoGg)</f>
        <v>474.53564508710184</v>
      </c>
      <c r="L7" s="28">
        <f>IF(('Activity data'!L8*EF!$H7)*kgtoGg=0,"NO",('Activity data'!L8*EF!$H7)*kgtoGg)</f>
        <v>488.84137611527626</v>
      </c>
      <c r="M7" s="28">
        <f>IF(('Activity data'!M8*EF!$H7)*kgtoGg=0,"NO",('Activity data'!M8*EF!$H7)*kgtoGg)</f>
        <v>499.9561278787649</v>
      </c>
      <c r="N7" s="28">
        <f>IF(('Activity data'!N8*EF!$H7)*kgtoGg=0,"NO",('Activity data'!N8*EF!$H7)*kgtoGg)</f>
        <v>520.69593728290613</v>
      </c>
      <c r="O7" s="28">
        <f>IF(('Activity data'!O8*EF!$H7)*kgtoGg=0,"NO",('Activity data'!O8*EF!$H7)*kgtoGg)</f>
        <v>540.42057654067605</v>
      </c>
      <c r="P7" s="28">
        <f>IF(('Activity data'!P8*EF!$H7)*kgtoGg=0,"NO",('Activity data'!P8*EF!$H7)*kgtoGg)</f>
        <v>545.10124992819794</v>
      </c>
      <c r="Q7" s="28">
        <f>IF(('Activity data'!Q8*EF!$H7)*kgtoGg=0,"NO",('Activity data'!Q8*EF!$H7)*kgtoGg)</f>
        <v>536.28054932306088</v>
      </c>
      <c r="R7" s="28">
        <f>IF(('Activity data'!R8*EF!$H7)*kgtoGg=0,"NO",('Activity data'!R8*EF!$H7)*kgtoGg)</f>
        <v>499.85033236925801</v>
      </c>
      <c r="S7" s="28">
        <f>IF(('Activity data'!S8*EF!$H7)*kgtoGg=0,"NO",('Activity data'!S8*EF!$H7)*kgtoGg)</f>
        <v>502.44776770928382</v>
      </c>
      <c r="T7" s="28">
        <f>IF(('Activity data'!T8*EF!$H7)*kgtoGg=0,"NO",('Activity data'!T8*EF!$H7)*kgtoGg)</f>
        <v>468.28593094461399</v>
      </c>
      <c r="U7" s="28">
        <f>IF(('Activity data'!U8*EF!$H7)*kgtoGg=0,"NO",('Activity data'!U8*EF!$H7)*kgtoGg)</f>
        <v>480.5348728026691</v>
      </c>
      <c r="V7" s="28">
        <f>IF(('Activity data'!V8*EF!$H7)*kgtoGg=0,"NO",('Activity data'!V8*EF!$H7)*kgtoGg)</f>
        <v>484.96505976327012</v>
      </c>
      <c r="W7" s="28">
        <f>IF(('Activity data'!W8*EF!$H7)*kgtoGg=0,"NO",('Activity data'!W8*EF!$H7)*kgtoGg)</f>
        <v>489.07863810350864</v>
      </c>
      <c r="X7" s="28">
        <f>IF(('Activity data'!X8*EF!$H7)*kgtoGg=0,"NO",('Activity data'!X8*EF!$H7)*kgtoGg)</f>
        <v>477.93743746264329</v>
      </c>
      <c r="Y7" s="28">
        <f>IF(('Activity data'!Y8*EF!$H7)*kgtoGg=0,"NO",('Activity data'!Y8*EF!$H7)*kgtoGg)</f>
        <v>491.93978430914353</v>
      </c>
      <c r="Z7" s="28">
        <f>IF(('Activity data'!Z8*EF!$H7)*kgtoGg=0,"NO",('Activity data'!Z8*EF!$H7)*kgtoGg)</f>
        <v>478.26977927550422</v>
      </c>
      <c r="AA7" s="28">
        <f>IF(('Activity data'!AA8*EF!$H7)*kgtoGg=0,"NO",('Activity data'!AA8*EF!$H7)*kgtoGg)</f>
        <v>470.23930370767658</v>
      </c>
      <c r="AB7" s="28">
        <f>IF(('Activity data'!AB8*EF!$H7)*kgtoGg=0,"NO",('Activity data'!AB8*EF!$H7)*kgtoGg)</f>
        <v>468.76105131733328</v>
      </c>
      <c r="AC7" s="28">
        <f>IF(('Activity data'!AC8*EF!$H7)*kgtoGg=0,"NO",('Activity data'!AC8*EF!$H7)*kgtoGg)</f>
        <v>467.07782660988823</v>
      </c>
      <c r="AD7" s="28">
        <f>IF(('Activity data'!AD8*EF!$H7)*kgtoGg=0,"NO",('Activity data'!AD8*EF!$H7)*kgtoGg)</f>
        <v>465.52056336079949</v>
      </c>
      <c r="AE7" s="28">
        <f>IF(('Activity data'!AE8*EF!$H7)*kgtoGg=0,"NO",('Activity data'!AE8*EF!$H7)*kgtoGg)</f>
        <v>463.15049709319385</v>
      </c>
      <c r="AF7" s="28">
        <f>IF(('Activity data'!AF8*EF!$H7)*kgtoGg=0,"NO",('Activity data'!AF8*EF!$H7)*kgtoGg)</f>
        <v>458.82469207652616</v>
      </c>
      <c r="AG7" s="28">
        <f>IF(('Activity data'!AG8*EF!$H7)*kgtoGg=0,"NO",('Activity data'!AG8*EF!$H7)*kgtoGg)</f>
        <v>446.98374150991339</v>
      </c>
      <c r="AH7" s="28">
        <f>IF(('Activity data'!AH8*EF!$H7)*kgtoGg=0,"NO",('Activity data'!AH8*EF!$H7)*kgtoGg)</f>
        <v>435.61531631652565</v>
      </c>
      <c r="AI7" s="28">
        <f>IF(('Activity data'!AI8*EF!$H7)*kgtoGg=0,"NO",('Activity data'!AI8*EF!$H7)*kgtoGg)</f>
        <v>431.8940518676672</v>
      </c>
      <c r="AJ7" s="28">
        <f>IF(('Activity data'!AJ8*EF!$H7)*kgtoGg=0,"NO",('Activity data'!AJ8*EF!$H7)*kgtoGg)</f>
        <v>425.88381386723944</v>
      </c>
      <c r="AK7" s="28">
        <f>IF(('Activity data'!AK8*EF!$H7)*kgtoGg=0,"NO",('Activity data'!AK8*EF!$H7)*kgtoGg)</f>
        <v>412.37997971855566</v>
      </c>
      <c r="AL7" s="28">
        <f>IF(('Activity data'!AL8*EF!$H7)*kgtoGg=0,"NO",('Activity data'!AL8*EF!$H7)*kgtoGg)</f>
        <v>367.07322936568551</v>
      </c>
      <c r="AM7" s="28">
        <f>IF(('Activity data'!AM8*EF!$H7)*kgtoGg=0,"NO",('Activity data'!AM8*EF!$H7)*kgtoGg)</f>
        <v>376.04260475427378</v>
      </c>
      <c r="AN7" s="28">
        <f>IF(('Activity data'!AN8*EF!$H7)*kgtoGg=0,"NO",('Activity data'!AN8*EF!$H7)*kgtoGg)</f>
        <v>380.88720014756319</v>
      </c>
      <c r="AO7" s="28">
        <f>IF(('Activity data'!AO8*EF!$H7)*kgtoGg=0,"NO",('Activity data'!AO8*EF!$H7)*kgtoGg)</f>
        <v>384.73781572909445</v>
      </c>
      <c r="AP7" s="28">
        <f>IF(('Activity data'!AP8*EF!$H7)*kgtoGg=0,"NO",('Activity data'!AP8*EF!$H7)*kgtoGg)</f>
        <v>389.91279538090225</v>
      </c>
      <c r="AQ7" s="28">
        <f>IF(('Activity data'!AQ8*EF!$H7)*kgtoGg=0,"NO",('Activity data'!AQ8*EF!$H7)*kgtoGg)</f>
        <v>399.84804761715691</v>
      </c>
      <c r="AR7" s="28">
        <f>IF(('Activity data'!AR8*EF!$H7)*kgtoGg=0,"NO",('Activity data'!AR8*EF!$H7)*kgtoGg)</f>
        <v>410.72195142971174</v>
      </c>
      <c r="AS7" s="28">
        <f>IF(('Activity data'!AS8*EF!$H7)*kgtoGg=0,"NO",('Activity data'!AS8*EF!$H7)*kgtoGg)</f>
        <v>422.57021057713075</v>
      </c>
      <c r="AT7" s="28">
        <f>IF(('Activity data'!AT8*EF!$H7)*kgtoGg=0,"NO",('Activity data'!AT8*EF!$H7)*kgtoGg)</f>
        <v>432.23102816031104</v>
      </c>
      <c r="AU7" s="28">
        <f>IF(('Activity data'!AU8*EF!$H7)*kgtoGg=0,"NO",('Activity data'!AU8*EF!$H7)*kgtoGg)</f>
        <v>443.82757951116929</v>
      </c>
      <c r="AV7" s="28">
        <f>IF(('Activity data'!AV8*EF!$H7)*kgtoGg=0,"NO",('Activity data'!AV8*EF!$H7)*kgtoGg)</f>
        <v>457.79588984245851</v>
      </c>
      <c r="AW7" s="28">
        <f>IF(('Activity data'!AW8*EF!$H7)*kgtoGg=0,"NO",('Activity data'!AW8*EF!$H7)*kgtoGg)</f>
        <v>466.99721608024504</v>
      </c>
      <c r="AX7" s="28">
        <f>IF(('Activity data'!AX8*EF!$H7)*kgtoGg=0,"NO",('Activity data'!AX8*EF!$H7)*kgtoGg)</f>
        <v>476.39605277563965</v>
      </c>
      <c r="AY7" s="28">
        <f>IF(('Activity data'!AY8*EF!$H7)*kgtoGg=0,"NO",('Activity data'!AY8*EF!$H7)*kgtoGg)</f>
        <v>485.55434160967809</v>
      </c>
      <c r="AZ7" s="28">
        <f>IF(('Activity data'!AZ8*EF!$H7)*kgtoGg=0,"NO",('Activity data'!AZ8*EF!$H7)*kgtoGg)</f>
        <v>496.149752250235</v>
      </c>
      <c r="BA7" s="28">
        <f>IF(('Activity data'!BA8*EF!$H7)*kgtoGg=0,"NO",('Activity data'!BA8*EF!$H7)*kgtoGg)</f>
        <v>503.70010251464106</v>
      </c>
      <c r="BB7" s="28">
        <f>IF(('Activity data'!BB8*EF!$H7)*kgtoGg=0,"NO",('Activity data'!BB8*EF!$H7)*kgtoGg)</f>
        <v>511.6542791142947</v>
      </c>
      <c r="BC7" s="28">
        <f>IF(('Activity data'!BC8*EF!$H7)*kgtoGg=0,"NO",('Activity data'!BC8*EF!$H7)*kgtoGg)</f>
        <v>519.26571108374344</v>
      </c>
      <c r="BD7" s="28">
        <f>IF(('Activity data'!BD8*EF!$H7)*kgtoGg=0,"NO",('Activity data'!BD8*EF!$H7)*kgtoGg)</f>
        <v>525.41502165866484</v>
      </c>
      <c r="BE7" s="28">
        <f>IF(('Activity data'!BE8*EF!$H7)*kgtoGg=0,"NO",('Activity data'!BE8*EF!$H7)*kgtoGg)</f>
        <v>530.88759799604804</v>
      </c>
      <c r="BF7" s="28">
        <f>IF(('Activity data'!BF8*EF!$H7)*kgtoGg=0,"NO",('Activity data'!BF8*EF!$H7)*kgtoGg)</f>
        <v>536.33560316463638</v>
      </c>
      <c r="BG7" s="28">
        <f>IF(('Activity data'!BG8*EF!$H7)*kgtoGg=0,"NO",('Activity data'!BG8*EF!$H7)*kgtoGg)</f>
        <v>544.72092714693053</v>
      </c>
      <c r="BH7" s="28">
        <f>IF(('Activity data'!BH8*EF!$H7)*kgtoGg=0,"NO",('Activity data'!BH8*EF!$H7)*kgtoGg)</f>
        <v>551.54981511359176</v>
      </c>
      <c r="BI7" s="28">
        <f>IF(('Activity data'!BI8*EF!$H7)*kgtoGg=0,"NO",('Activity data'!BI8*EF!$H7)*kgtoGg)</f>
        <v>558.10716361528034</v>
      </c>
      <c r="BJ7" s="28">
        <f>IF(('Activity data'!BJ8*EF!$H7)*kgtoGg=0,"NO",('Activity data'!BJ8*EF!$H7)*kgtoGg)</f>
        <v>564.41449245205456</v>
      </c>
      <c r="BK7" s="28">
        <f>IF(('Activity data'!BK8*EF!$H7)*kgtoGg=0,"NO",('Activity data'!BK8*EF!$H7)*kgtoGg)</f>
        <v>571.30711836389287</v>
      </c>
      <c r="BL7" s="28">
        <f>IF(('Activity data'!BL8*EF!$H7)*kgtoGg=0,"NO",('Activity data'!BL8*EF!$H7)*kgtoGg)</f>
        <v>578.05837043678457</v>
      </c>
      <c r="BM7" s="28">
        <f>IF(('Activity data'!BM8*EF!$H7)*kgtoGg=0,"NO",('Activity data'!BM8*EF!$H7)*kgtoGg)</f>
        <v>576.66741382248574</v>
      </c>
      <c r="BN7" s="28">
        <f>IF(('Activity data'!BN8*EF!$H7)*kgtoGg=0,"NO",('Activity data'!BN8*EF!$H7)*kgtoGg)</f>
        <v>574.48483101134718</v>
      </c>
      <c r="BO7" s="28">
        <f>IF(('Activity data'!BO8*EF!$H7)*kgtoGg=0,"NO",('Activity data'!BO8*EF!$H7)*kgtoGg)</f>
        <v>573.04217473429298</v>
      </c>
      <c r="BP7" s="28">
        <f>IF(('Activity data'!BP8*EF!$H7)*kgtoGg=0,"NO",('Activity data'!BP8*EF!$H7)*kgtoGg)</f>
        <v>570.89539860553714</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8">
        <f>IF(('Activity data'!H9*EF!$H8)*kgtoGg=0,"NO",('Activity data'!H9*EF!$H8)*kgtoGg)</f>
        <v>283.53205972623039</v>
      </c>
      <c r="I8" s="28">
        <f>IF(('Activity data'!I9*EF!$H8)*kgtoGg=0,"NO",('Activity data'!I9*EF!$H8)*kgtoGg)</f>
        <v>300.82813308643614</v>
      </c>
      <c r="J8" s="28">
        <f>IF(('Activity data'!J9*EF!$H8)*kgtoGg=0,"NO",('Activity data'!J9*EF!$H8)*kgtoGg)</f>
        <v>315.03562191803377</v>
      </c>
      <c r="K8" s="28">
        <f>IF(('Activity data'!K9*EF!$H8)*kgtoGg=0,"NO",('Activity data'!K9*EF!$H8)*kgtoGg)</f>
        <v>311.32932048370395</v>
      </c>
      <c r="L8" s="28">
        <f>IF(('Activity data'!L9*EF!$H8)*kgtoGg=0,"NO",('Activity data'!L9*EF!$H8)*kgtoGg)</f>
        <v>271.17772161179766</v>
      </c>
      <c r="M8" s="28">
        <f>IF(('Activity data'!M9*EF!$H8)*kgtoGg=0,"NO",('Activity data'!M9*EF!$H8)*kgtoGg)</f>
        <v>261.91196802597318</v>
      </c>
      <c r="N8" s="28">
        <f>IF(('Activity data'!N9*EF!$H8)*kgtoGg=0,"NO",('Activity data'!N9*EF!$H8)*kgtoGg)</f>
        <v>269.32457089463281</v>
      </c>
      <c r="O8" s="28">
        <f>IF(('Activity data'!O9*EF!$H8)*kgtoGg=0,"NO",('Activity data'!O9*EF!$H8)*kgtoGg)</f>
        <v>281.67890900906548</v>
      </c>
      <c r="P8" s="28">
        <f>IF(('Activity data'!P9*EF!$H8)*kgtoGg=0,"NO",('Activity data'!P9*EF!$H8)*kgtoGg)</f>
        <v>298.97498236927129</v>
      </c>
      <c r="Q8" s="28">
        <f>IF(('Activity data'!Q9*EF!$H8)*kgtoGg=0,"NO",('Activity data'!Q9*EF!$H8)*kgtoGg)</f>
        <v>311.32932048370395</v>
      </c>
      <c r="R8" s="28">
        <f>IF(('Activity data'!R9*EF!$H8)*kgtoGg=0,"NO",('Activity data'!R9*EF!$H8)*kgtoGg)</f>
        <v>303.91671761504432</v>
      </c>
      <c r="S8" s="28">
        <f>IF(('Activity data'!S9*EF!$H8)*kgtoGg=0,"NO",('Activity data'!S9*EF!$H8)*kgtoGg)</f>
        <v>296.50411474638474</v>
      </c>
      <c r="T8" s="28">
        <f>IF(('Activity data'!T9*EF!$H8)*kgtoGg=0,"NO",('Activity data'!T9*EF!$H8)*kgtoGg)</f>
        <v>336.03799671256934</v>
      </c>
      <c r="U8" s="28">
        <f>IF(('Activity data'!U9*EF!$H8)*kgtoGg=0,"NO",('Activity data'!U9*EF!$H8)*kgtoGg)</f>
        <v>344.06831648695061</v>
      </c>
      <c r="V8" s="28">
        <f>IF(('Activity data'!V9*EF!$H8)*kgtoGg=0,"NO",('Activity data'!V9*EF!$H8)*kgtoGg)</f>
        <v>338.50886433545588</v>
      </c>
      <c r="W8" s="28">
        <f>IF(('Activity data'!W9*EF!$H8)*kgtoGg=0,"NO",('Activity data'!W9*EF!$H8)*kgtoGg)</f>
        <v>328.62539384390971</v>
      </c>
      <c r="X8" s="28">
        <f>IF(('Activity data'!X9*EF!$H8)*kgtoGg=0,"NO",('Activity data'!X9*EF!$H8)*kgtoGg)</f>
        <v>339.12658124117752</v>
      </c>
      <c r="Y8" s="28">
        <f>IF(('Activity data'!Y9*EF!$H8)*kgtoGg=0,"NO",('Activity data'!Y9*EF!$H8)*kgtoGg)</f>
        <v>352.71635316705351</v>
      </c>
      <c r="Z8" s="28">
        <f>IF(('Activity data'!Z9*EF!$H8)*kgtoGg=0,"NO",('Activity data'!Z9*EF!$H8)*kgtoGg)</f>
        <v>347.15690101555879</v>
      </c>
      <c r="AA8" s="28">
        <f>IF(('Activity data'!AA9*EF!$H8)*kgtoGg=0,"NO",('Activity data'!AA9*EF!$H8)*kgtoGg)</f>
        <v>343.45059958122897</v>
      </c>
      <c r="AB8" s="28">
        <f>IF(('Activity data'!AB9*EF!$H8)*kgtoGg=0,"NO",('Activity data'!AB9*EF!$H8)*kgtoGg)</f>
        <v>338.50886433545588</v>
      </c>
      <c r="AC8" s="28">
        <f>IF(('Activity data'!AC9*EF!$H8)*kgtoGg=0,"NO",('Activity data'!AC9*EF!$H8)*kgtoGg)</f>
        <v>340.97973195834243</v>
      </c>
      <c r="AD8" s="28">
        <f>IF(('Activity data'!AD9*EF!$H8)*kgtoGg=0,"NO",('Activity data'!AD9*EF!$H8)*kgtoGg)</f>
        <v>327.80986528142375</v>
      </c>
      <c r="AE8" s="28">
        <f>IF(('Activity data'!AE9*EF!$H8)*kgtoGg=0,"NO",('Activity data'!AE9*EF!$H8)*kgtoGg)</f>
        <v>326.14091407917653</v>
      </c>
      <c r="AF8" s="28">
        <f>IF(('Activity data'!AF9*EF!$H8)*kgtoGg=0,"NO",('Activity data'!AF9*EF!$H8)*kgtoGg)</f>
        <v>323.0947724662044</v>
      </c>
      <c r="AG8" s="28">
        <f>IF(('Activity data'!AG9*EF!$H8)*kgtoGg=0,"NO",('Activity data'!AG9*EF!$H8)*kgtoGg)</f>
        <v>314.75662219842133</v>
      </c>
      <c r="AH8" s="28">
        <f>IF(('Activity data'!AH9*EF!$H8)*kgtoGg=0,"NO",('Activity data'!AH9*EF!$H8)*kgtoGg)</f>
        <v>306.75121443683565</v>
      </c>
      <c r="AI8" s="28">
        <f>IF(('Activity data'!AI9*EF!$H8)*kgtoGg=0,"NO",('Activity data'!AI9*EF!$H8)*kgtoGg)</f>
        <v>304.13077767492297</v>
      </c>
      <c r="AJ8" s="28">
        <f>IF(('Activity data'!AJ9*EF!$H8)*kgtoGg=0,"NO",('Activity data'!AJ9*EF!$H8)*kgtoGg)</f>
        <v>299.89849350898703</v>
      </c>
      <c r="AK8" s="28">
        <f>IF(('Activity data'!AK9*EF!$H8)*kgtoGg=0,"NO",('Activity data'!AK9*EF!$H8)*kgtoGg)</f>
        <v>290.38937532717256</v>
      </c>
      <c r="AL8" s="28">
        <f>IF(('Activity data'!AL9*EF!$H8)*kgtoGg=0,"NO",('Activity data'!AL9*EF!$H8)*kgtoGg)</f>
        <v>258.48530728280883</v>
      </c>
      <c r="AM8" s="28">
        <f>IF(('Activity data'!AM9*EF!$H8)*kgtoGg=0,"NO",('Activity data'!AM9*EF!$H8)*kgtoGg)</f>
        <v>264.80135424014338</v>
      </c>
      <c r="AN8" s="28">
        <f>IF(('Activity data'!AN9*EF!$H8)*kgtoGg=0,"NO",('Activity data'!AN9*EF!$H8)*kgtoGg)</f>
        <v>268.21281720915158</v>
      </c>
      <c r="AO8" s="28">
        <f>IF(('Activity data'!AO9*EF!$H8)*kgtoGg=0,"NO",('Activity data'!AO9*EF!$H8)*kgtoGg)</f>
        <v>270.92434033912764</v>
      </c>
      <c r="AP8" s="28">
        <f>IF(('Activity data'!AP9*EF!$H8)*kgtoGg=0,"NO",('Activity data'!AP9*EF!$H8)*kgtoGg)</f>
        <v>274.56845300784875</v>
      </c>
      <c r="AQ8" s="28">
        <f>IF(('Activity data'!AQ9*EF!$H8)*kgtoGg=0,"NO",('Activity data'!AQ9*EF!$H8)*kgtoGg)</f>
        <v>281.56465028341216</v>
      </c>
      <c r="AR8" s="28">
        <f>IF(('Activity data'!AR9*EF!$H8)*kgtoGg=0,"NO",('Activity data'!AR9*EF!$H8)*kgtoGg)</f>
        <v>289.22182640930129</v>
      </c>
      <c r="AS8" s="28">
        <f>IF(('Activity data'!AS9*EF!$H8)*kgtoGg=0,"NO",('Activity data'!AS9*EF!$H8)*kgtoGg)</f>
        <v>297.56512322715759</v>
      </c>
      <c r="AT8" s="28">
        <f>IF(('Activity data'!AT9*EF!$H8)*kgtoGg=0,"NO",('Activity data'!AT9*EF!$H8)*kgtoGg)</f>
        <v>304.36806934749092</v>
      </c>
      <c r="AU8" s="28">
        <f>IF(('Activity data'!AU9*EF!$H8)*kgtoGg=0,"NO",('Activity data'!AU9*EF!$H8)*kgtoGg)</f>
        <v>312.53411878816331</v>
      </c>
      <c r="AV8" s="28">
        <f>IF(('Activity data'!AV9*EF!$H8)*kgtoGg=0,"NO",('Activity data'!AV9*EF!$H8)*kgtoGg)</f>
        <v>322.37031140412756</v>
      </c>
      <c r="AW8" s="28">
        <f>IF(('Activity data'!AW9*EF!$H8)*kgtoGg=0,"NO",('Activity data'!AW9*EF!$H8)*kgtoGg)</f>
        <v>328.8496933086418</v>
      </c>
      <c r="AX8" s="28">
        <f>IF(('Activity data'!AX9*EF!$H8)*kgtoGg=0,"NO",('Activity data'!AX9*EF!$H8)*kgtoGg)</f>
        <v>335.46815795535053</v>
      </c>
      <c r="AY8" s="28">
        <f>IF(('Activity data'!AY9*EF!$H8)*kgtoGg=0,"NO",('Activity data'!AY9*EF!$H8)*kgtoGg)</f>
        <v>341.91723381833816</v>
      </c>
      <c r="AZ8" s="28">
        <f>IF(('Activity data'!AZ9*EF!$H8)*kgtoGg=0,"NO",('Activity data'!AZ9*EF!$H8)*kgtoGg)</f>
        <v>349.37830086467267</v>
      </c>
      <c r="BA8" s="28">
        <f>IF(('Activity data'!BA9*EF!$H8)*kgtoGg=0,"NO",('Activity data'!BA9*EF!$H8)*kgtoGg)</f>
        <v>354.6950999446828</v>
      </c>
      <c r="BB8" s="28">
        <f>IF(('Activity data'!BB9*EF!$H8)*kgtoGg=0,"NO",('Activity data'!BB9*EF!$H8)*kgtoGg)</f>
        <v>360.29626510209863</v>
      </c>
      <c r="BC8" s="28">
        <f>IF(('Activity data'!BC9*EF!$H8)*kgtoGg=0,"NO",('Activity data'!BC9*EF!$H8)*kgtoGg)</f>
        <v>365.65607664402177</v>
      </c>
      <c r="BD8" s="28">
        <f>IF(('Activity data'!BD9*EF!$H8)*kgtoGg=0,"NO",('Activity data'!BD9*EF!$H8)*kgtoGg)</f>
        <v>369.98629281446455</v>
      </c>
      <c r="BE8" s="28">
        <f>IF(('Activity data'!BE9*EF!$H8)*kgtoGg=0,"NO",('Activity data'!BE9*EF!$H8)*kgtoGg)</f>
        <v>373.83996685831022</v>
      </c>
      <c r="BF8" s="28">
        <f>IF(('Activity data'!BF9*EF!$H8)*kgtoGg=0,"NO",('Activity data'!BF9*EF!$H8)*kgtoGg)</f>
        <v>377.67633839789198</v>
      </c>
      <c r="BG8" s="28">
        <f>IF(('Activity data'!BG9*EF!$H8)*kgtoGg=0,"NO",('Activity data'!BG9*EF!$H8)*kgtoGg)</f>
        <v>383.58110854409597</v>
      </c>
      <c r="BH8" s="28">
        <f>IF(('Activity data'!BH9*EF!$H8)*kgtoGg=0,"NO",('Activity data'!BH9*EF!$H8)*kgtoGg)</f>
        <v>388.38986893098826</v>
      </c>
      <c r="BI8" s="28">
        <f>IF(('Activity data'!BI9*EF!$H8)*kgtoGg=0,"NO",('Activity data'!BI9*EF!$H8)*kgtoGg)</f>
        <v>393.00741689368874</v>
      </c>
      <c r="BJ8" s="28">
        <f>IF(('Activity data'!BJ9*EF!$H8)*kgtoGg=0,"NO",('Activity data'!BJ9*EF!$H8)*kgtoGg)</f>
        <v>397.44890622627946</v>
      </c>
      <c r="BK8" s="28">
        <f>IF(('Activity data'!BK9*EF!$H8)*kgtoGg=0,"NO",('Activity data'!BK9*EF!$H8)*kgtoGg)</f>
        <v>402.30254954395133</v>
      </c>
      <c r="BL8" s="28">
        <f>IF(('Activity data'!BL9*EF!$H8)*kgtoGg=0,"NO",('Activity data'!BL9*EF!$H8)*kgtoGg)</f>
        <v>407.05664035471597</v>
      </c>
      <c r="BM8" s="28">
        <f>IF(('Activity data'!BM9*EF!$H8)*kgtoGg=0,"NO",('Activity data'!BM9*EF!$H8)*kgtoGg)</f>
        <v>406.07715773626023</v>
      </c>
      <c r="BN8" s="28">
        <f>IF(('Activity data'!BN9*EF!$H8)*kgtoGg=0,"NO",('Activity data'!BN9*EF!$H8)*kgtoGg)</f>
        <v>404.54022847126805</v>
      </c>
      <c r="BO8" s="28">
        <f>IF(('Activity data'!BO9*EF!$H8)*kgtoGg=0,"NO",('Activity data'!BO9*EF!$H8)*kgtoGg)</f>
        <v>403.52434002927453</v>
      </c>
      <c r="BP8" s="28">
        <f>IF(('Activity data'!BP9*EF!$H8)*kgtoGg=0,"NO",('Activity data'!BP9*EF!$H8)*kgtoGg)</f>
        <v>402.01262508272896</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8">
        <f>IF(('Activity data'!H10*EF!$H9)*kgtoGg=0,"NO",('Activity data'!H10*EF!$H9)*kgtoGg)</f>
        <v>24.738</v>
      </c>
      <c r="I9" s="28">
        <f>IF(('Activity data'!I10*EF!$H9)*kgtoGg=0,"NO",('Activity data'!I10*EF!$H9)*kgtoGg)</f>
        <v>24.738</v>
      </c>
      <c r="J9" s="28">
        <f>IF(('Activity data'!J10*EF!$H9)*kgtoGg=0,"NO",('Activity data'!J10*EF!$H9)*kgtoGg)</f>
        <v>24.738</v>
      </c>
      <c r="K9" s="28">
        <f>IF(('Activity data'!K10*EF!$H9)*kgtoGg=0,"NO",('Activity data'!K10*EF!$H9)*kgtoGg)</f>
        <v>24.738</v>
      </c>
      <c r="L9" s="28">
        <f>IF(('Activity data'!L10*EF!$H9)*kgtoGg=0,"NO",('Activity data'!L10*EF!$H9)*kgtoGg)</f>
        <v>24.738</v>
      </c>
      <c r="M9" s="28">
        <f>IF(('Activity data'!M10*EF!$H9)*kgtoGg=0,"NO",('Activity data'!M10*EF!$H9)*kgtoGg)</f>
        <v>24.738</v>
      </c>
      <c r="N9" s="28">
        <f>IF(('Activity data'!N10*EF!$H9)*kgtoGg=0,"NO",('Activity data'!N10*EF!$H9)*kgtoGg)</f>
        <v>24.738</v>
      </c>
      <c r="O9" s="28">
        <f>IF(('Activity data'!O10*EF!$H9)*kgtoGg=0,"NO",('Activity data'!O10*EF!$H9)*kgtoGg)</f>
        <v>24.738</v>
      </c>
      <c r="P9" s="28">
        <f>IF(('Activity data'!P10*EF!$H9)*kgtoGg=0,"NO",('Activity data'!P10*EF!$H9)*kgtoGg)</f>
        <v>24.738</v>
      </c>
      <c r="Q9" s="28">
        <f>IF(('Activity data'!Q10*EF!$H9)*kgtoGg=0,"NO",('Activity data'!Q10*EF!$H9)*kgtoGg)</f>
        <v>24.738</v>
      </c>
      <c r="R9" s="28">
        <f>IF(('Activity data'!R10*EF!$H9)*kgtoGg=0,"NO",('Activity data'!R10*EF!$H9)*kgtoGg)</f>
        <v>24.738</v>
      </c>
      <c r="S9" s="28">
        <f>IF(('Activity data'!S10*EF!$H9)*kgtoGg=0,"NO",('Activity data'!S10*EF!$H9)*kgtoGg)</f>
        <v>24.738</v>
      </c>
      <c r="T9" s="28">
        <f>IF(('Activity data'!T10*EF!$H9)*kgtoGg=0,"NO",('Activity data'!T10*EF!$H9)*kgtoGg)</f>
        <v>24.738</v>
      </c>
      <c r="U9" s="28">
        <f>IF(('Activity data'!U10*EF!$H9)*kgtoGg=0,"NO",('Activity data'!U10*EF!$H9)*kgtoGg)</f>
        <v>24.738</v>
      </c>
      <c r="V9" s="28">
        <f>IF(('Activity data'!V10*EF!$H9)*kgtoGg=0,"NO",('Activity data'!V10*EF!$H9)*kgtoGg)</f>
        <v>24.738</v>
      </c>
      <c r="W9" s="28">
        <f>IF(('Activity data'!W10*EF!$H9)*kgtoGg=0,"NO",('Activity data'!W10*EF!$H9)*kgtoGg)</f>
        <v>24.738</v>
      </c>
      <c r="X9" s="28">
        <f>IF(('Activity data'!X10*EF!$H9)*kgtoGg=0,"NO",('Activity data'!X10*EF!$H9)*kgtoGg)</f>
        <v>24.738</v>
      </c>
      <c r="Y9" s="28">
        <f>IF(('Activity data'!Y10*EF!$H9)*kgtoGg=0,"NO",('Activity data'!Y10*EF!$H9)*kgtoGg)</f>
        <v>24.738</v>
      </c>
      <c r="Z9" s="28">
        <f>IF(('Activity data'!Z10*EF!$H9)*kgtoGg=0,"NO",('Activity data'!Z10*EF!$H9)*kgtoGg)</f>
        <v>23.038602474999998</v>
      </c>
      <c r="AA9" s="28">
        <f>IF(('Activity data'!AA10*EF!$H9)*kgtoGg=0,"NO",('Activity data'!AA10*EF!$H9)*kgtoGg)</f>
        <v>23.608263641666664</v>
      </c>
      <c r="AB9" s="28">
        <f>IF(('Activity data'!AB10*EF!$H9)*kgtoGg=0,"NO",('Activity data'!AB10*EF!$H9)*kgtoGg)</f>
        <v>23.549535433333329</v>
      </c>
      <c r="AC9" s="28">
        <f>IF(('Activity data'!AC10*EF!$H9)*kgtoGg=0,"NO",('Activity data'!AC10*EF!$H9)*kgtoGg)</f>
        <v>27.200029816666664</v>
      </c>
      <c r="AD9" s="28">
        <f>IF(('Activity data'!AD10*EF!$H9)*kgtoGg=0,"NO",('Activity data'!AD10*EF!$H9)*kgtoGg)</f>
        <v>31.983141266454435</v>
      </c>
      <c r="AE9" s="28">
        <f>IF(('Activity data'!AE10*EF!$H9)*kgtoGg=0,"NO",('Activity data'!AE10*EF!$H9)*kgtoGg)</f>
        <v>33.176305480896438</v>
      </c>
      <c r="AF9" s="28">
        <f>IF(('Activity data'!AF10*EF!$H9)*kgtoGg=0,"NO",('Activity data'!AF10*EF!$H9)*kgtoGg)</f>
        <v>34.248209769984797</v>
      </c>
      <c r="AG9" s="28">
        <f>IF(('Activity data'!AG10*EF!$H9)*kgtoGg=0,"NO",('Activity data'!AG10*EF!$H9)*kgtoGg)</f>
        <v>34.751225456913808</v>
      </c>
      <c r="AH9" s="28">
        <f>IF(('Activity data'!AH10*EF!$H9)*kgtoGg=0,"NO",('Activity data'!AH10*EF!$H9)*kgtoGg)</f>
        <v>35.261937727399058</v>
      </c>
      <c r="AI9" s="28">
        <f>IF(('Activity data'!AI10*EF!$H9)*kgtoGg=0,"NO",('Activity data'!AI10*EF!$H9)*kgtoGg)</f>
        <v>36.389263474395328</v>
      </c>
      <c r="AJ9" s="28">
        <f>IF(('Activity data'!AJ10*EF!$H9)*kgtoGg=0,"NO",('Activity data'!AJ10*EF!$H9)*kgtoGg)</f>
        <v>37.34016796495505</v>
      </c>
      <c r="AK9" s="28">
        <f>IF(('Activity data'!AK10*EF!$H9)*kgtoGg=0,"NO",('Activity data'!AK10*EF!$H9)*kgtoGg)</f>
        <v>37.617758099633058</v>
      </c>
      <c r="AL9" s="28">
        <f>IF(('Activity data'!AL10*EF!$H9)*kgtoGg=0,"NO",('Activity data'!AL10*EF!$H9)*kgtoGg)</f>
        <v>34.833912391780601</v>
      </c>
      <c r="AM9" s="28">
        <f>IF(('Activity data'!AM10*EF!$H9)*kgtoGg=0,"NO",('Activity data'!AM10*EF!$H9)*kgtoGg)</f>
        <v>36.540465751152517</v>
      </c>
      <c r="AN9" s="28">
        <f>IF(('Activity data'!AN10*EF!$H9)*kgtoGg=0,"NO",('Activity data'!AN10*EF!$H9)*kgtoGg)</f>
        <v>37.886226913175705</v>
      </c>
      <c r="AO9" s="28">
        <f>IF(('Activity data'!AO10*EF!$H9)*kgtoGg=0,"NO",('Activity data'!AO10*EF!$H9)*kgtoGg)</f>
        <v>39.162499493928941</v>
      </c>
      <c r="AP9" s="28">
        <f>IF(('Activity data'!AP10*EF!$H9)*kgtoGg=0,"NO",('Activity data'!AP10*EF!$H9)*kgtoGg)</f>
        <v>40.604769600531014</v>
      </c>
      <c r="AQ9" s="28">
        <f>IF(('Activity data'!AQ10*EF!$H9)*kgtoGg=0,"NO",('Activity data'!AQ10*EF!$H9)*kgtoGg)</f>
        <v>42.589435911948605</v>
      </c>
      <c r="AR9" s="28">
        <f>IF(('Activity data'!AR10*EF!$H9)*kgtoGg=0,"NO",('Activity data'!AR10*EF!$H9)*kgtoGg)</f>
        <v>44.735714463964371</v>
      </c>
      <c r="AS9" s="28">
        <f>IF(('Activity data'!AS10*EF!$H9)*kgtoGg=0,"NO",('Activity data'!AS10*EF!$H9)*kgtoGg)</f>
        <v>47.056021695269649</v>
      </c>
      <c r="AT9" s="28">
        <f>IF(('Activity data'!AT10*EF!$H9)*kgtoGg=0,"NO",('Activity data'!AT10*EF!$H9)*kgtoGg)</f>
        <v>49.199405224000948</v>
      </c>
      <c r="AU9" s="28">
        <f>IF(('Activity data'!AU10*EF!$H9)*kgtoGg=0,"NO",('Activity data'!AU10*EF!$H9)*kgtoGg)</f>
        <v>51.630970984411839</v>
      </c>
      <c r="AV9" s="28">
        <f>IF(('Activity data'!AV10*EF!$H9)*kgtoGg=0,"NO",('Activity data'!AV10*EF!$H9)*kgtoGg)</f>
        <v>54.419025309229532</v>
      </c>
      <c r="AW9" s="28">
        <f>IF(('Activity data'!AW10*EF!$H9)*kgtoGg=0,"NO",('Activity data'!AW10*EF!$H9)*kgtoGg)</f>
        <v>57.347688713152579</v>
      </c>
      <c r="AX9" s="28">
        <f>IF(('Activity data'!AX10*EF!$H9)*kgtoGg=0,"NO",('Activity data'!AX10*EF!$H9)*kgtoGg)</f>
        <v>60.439332031947394</v>
      </c>
      <c r="AY9" s="28">
        <f>IF(('Activity data'!AY10*EF!$H9)*kgtoGg=0,"NO",('Activity data'!AY10*EF!$H9)*kgtoGg)</f>
        <v>63.646606559627351</v>
      </c>
      <c r="AZ9" s="28">
        <f>IF(('Activity data'!AZ10*EF!$H9)*kgtoGg=0,"NO",('Activity data'!AZ10*EF!$H9)*kgtoGg)</f>
        <v>67.201805489878737</v>
      </c>
      <c r="BA9" s="28">
        <f>IF(('Activity data'!BA10*EF!$H9)*kgtoGg=0,"NO",('Activity data'!BA10*EF!$H9)*kgtoGg)</f>
        <v>70.505749505379512</v>
      </c>
      <c r="BB9" s="28">
        <f>IF(('Activity data'!BB10*EF!$H9)*kgtoGg=0,"NO",('Activity data'!BB10*EF!$H9)*kgtoGg)</f>
        <v>74.024544515923196</v>
      </c>
      <c r="BC9" s="28">
        <f>IF(('Activity data'!BC10*EF!$H9)*kgtoGg=0,"NO",('Activity data'!BC10*EF!$H9)*kgtoGg)</f>
        <v>77.661626466040673</v>
      </c>
      <c r="BD9" s="28">
        <f>IF(('Activity data'!BD10*EF!$H9)*kgtoGg=0,"NO",('Activity data'!BD10*EF!$H9)*kgtoGg)</f>
        <v>81.248794021185191</v>
      </c>
      <c r="BE9" s="28">
        <f>IF(('Activity data'!BE10*EF!$H9)*kgtoGg=0,"NO",('Activity data'!BE10*EF!$H9)*kgtoGg)</f>
        <v>84.899176335457057</v>
      </c>
      <c r="BF9" s="28">
        <f>IF(('Activity data'!BF10*EF!$H9)*kgtoGg=0,"NO",('Activity data'!BF10*EF!$H9)*kgtoGg)</f>
        <v>88.7200879854786</v>
      </c>
      <c r="BG9" s="28">
        <f>IF(('Activity data'!BG10*EF!$H9)*kgtoGg=0,"NO",('Activity data'!BG10*EF!$H9)*kgtoGg)</f>
        <v>92.640415904854649</v>
      </c>
      <c r="BH9" s="28">
        <f>IF(('Activity data'!BH10*EF!$H9)*kgtoGg=0,"NO",('Activity data'!BH10*EF!$H9)*kgtoGg)</f>
        <v>96.448102767830918</v>
      </c>
      <c r="BI9" s="28">
        <f>IF(('Activity data'!BI10*EF!$H9)*kgtoGg=0,"NO",('Activity data'!BI10*EF!$H9)*kgtoGg)</f>
        <v>100.35888492083421</v>
      </c>
      <c r="BJ9" s="28">
        <f>IF(('Activity data'!BJ10*EF!$H9)*kgtoGg=0,"NO",('Activity data'!BJ10*EF!$H9)*kgtoGg)</f>
        <v>104.38012848298382</v>
      </c>
      <c r="BK9" s="28">
        <f>IF(('Activity data'!BK10*EF!$H9)*kgtoGg=0,"NO",('Activity data'!BK10*EF!$H9)*kgtoGg)</f>
        <v>108.6746674258483</v>
      </c>
      <c r="BL9" s="28">
        <f>IF(('Activity data'!BL10*EF!$H9)*kgtoGg=0,"NO",('Activity data'!BL10*EF!$H9)*kgtoGg)</f>
        <v>113.11818854540739</v>
      </c>
      <c r="BM9" s="28">
        <f>IF(('Activity data'!BM10*EF!$H9)*kgtoGg=0,"NO",('Activity data'!BM10*EF!$H9)*kgtoGg)</f>
        <v>116.10657737098944</v>
      </c>
      <c r="BN9" s="28">
        <f>IF(('Activity data'!BN10*EF!$H9)*kgtoGg=0,"NO",('Activity data'!BN10*EF!$H9)*kgtoGg)</f>
        <v>119.02957765065928</v>
      </c>
      <c r="BO9" s="28">
        <f>IF(('Activity data'!BO10*EF!$H9)*kgtoGg=0,"NO",('Activity data'!BO10*EF!$H9)*kgtoGg)</f>
        <v>122.20468195250368</v>
      </c>
      <c r="BP9" s="28">
        <f>IF(('Activity data'!BP10*EF!$H9)*kgtoGg=0,"NO",('Activity data'!BP10*EF!$H9)*kgtoGg)</f>
        <v>125.33392924864043</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8">
        <f>IF(('Activity data'!H11*EF!$H10)*kgtoGg=0,"NO",('Activity data'!H11*EF!$H10)*kgtoGg)</f>
        <v>209.00064638385984</v>
      </c>
      <c r="I10" s="28">
        <f>IF(('Activity data'!I11*EF!$H10)*kgtoGg=0,"NO",('Activity data'!I11*EF!$H10)*kgtoGg)</f>
        <v>199.60297230115387</v>
      </c>
      <c r="J10" s="28">
        <f>IF(('Activity data'!J11*EF!$H10)*kgtoGg=0,"NO",('Activity data'!J11*EF!$H10)*kgtoGg)</f>
        <v>191.35560698969897</v>
      </c>
      <c r="K10" s="28">
        <f>IF(('Activity data'!K11*EF!$H10)*kgtoGg=0,"NO",('Activity data'!K11*EF!$H10)*kgtoGg)</f>
        <v>178.96015853342948</v>
      </c>
      <c r="L10" s="28">
        <f>IF(('Activity data'!L11*EF!$H10)*kgtoGg=0,"NO",('Activity data'!L11*EF!$H10)*kgtoGg)</f>
        <v>180.22201239765039</v>
      </c>
      <c r="M10" s="28">
        <f>IF(('Activity data'!M11*EF!$H10)*kgtoGg=0,"NO",('Activity data'!M11*EF!$H10)*kgtoGg)</f>
        <v>177.64253212272365</v>
      </c>
      <c r="N10" s="28">
        <f>IF(('Activity data'!N11*EF!$H10)*kgtoGg=0,"NO",('Activity data'!N11*EF!$H10)*kgtoGg)</f>
        <v>178.23511542912576</v>
      </c>
      <c r="O10" s="28">
        <f>IF(('Activity data'!O11*EF!$H10)*kgtoGg=0,"NO",('Activity data'!O11*EF!$H10)*kgtoGg)</f>
        <v>174.35892344842506</v>
      </c>
      <c r="P10" s="28">
        <f>IF(('Activity data'!P11*EF!$H10)*kgtoGg=0,"NO",('Activity data'!P11*EF!$H10)*kgtoGg)</f>
        <v>174.83996166185733</v>
      </c>
      <c r="Q10" s="28">
        <f>IF(('Activity data'!Q11*EF!$H10)*kgtoGg=0,"NO",('Activity data'!Q11*EF!$H10)*kgtoGg)</f>
        <v>170.54547558251988</v>
      </c>
      <c r="R10" s="28">
        <f>IF(('Activity data'!R11*EF!$H10)*kgtoGg=0,"NO",('Activity data'!R11*EF!$H10)*kgtoGg)</f>
        <v>164.4314101741125</v>
      </c>
      <c r="S10" s="28">
        <f>IF(('Activity data'!S11*EF!$H10)*kgtoGg=0,"NO",('Activity data'!S11*EF!$H10)*kgtoGg)</f>
        <v>160.33212800747219</v>
      </c>
      <c r="T10" s="28">
        <f>IF(('Activity data'!T11*EF!$H10)*kgtoGg=0,"NO",('Activity data'!T11*EF!$H10)*kgtoGg)</f>
        <v>157.65504577619689</v>
      </c>
      <c r="U10" s="28">
        <f>IF(('Activity data'!U11*EF!$H10)*kgtoGg=0,"NO",('Activity data'!U11*EF!$H10)*kgtoGg)</f>
        <v>158.20579967273531</v>
      </c>
      <c r="V10" s="28">
        <f>IF(('Activity data'!V11*EF!$H10)*kgtoGg=0,"NO",('Activity data'!V11*EF!$H10)*kgtoGg)</f>
        <v>155.38928607524772</v>
      </c>
      <c r="W10" s="28">
        <f>IF(('Activity data'!W11*EF!$H10)*kgtoGg=0,"NO",('Activity data'!W11*EF!$H10)*kgtoGg)</f>
        <v>155.01979295478526</v>
      </c>
      <c r="X10" s="28">
        <f>IF(('Activity data'!X11*EF!$H10)*kgtoGg=0,"NO",('Activity data'!X11*EF!$H10)*kgtoGg)</f>
        <v>152.99106657639697</v>
      </c>
      <c r="Y10" s="28">
        <f>IF(('Activity data'!Y11*EF!$H10)*kgtoGg=0,"NO",('Activity data'!Y11*EF!$H10)*kgtoGg)</f>
        <v>152.84466364187409</v>
      </c>
      <c r="Z10" s="28">
        <f>IF(('Activity data'!Z11*EF!$H10)*kgtoGg=0,"NO",('Activity data'!Z11*EF!$H10)*kgtoGg)</f>
        <v>153.3396449919276</v>
      </c>
      <c r="AA10" s="28">
        <f>IF(('Activity data'!AA11*EF!$H10)*kgtoGg=0,"NO",('Activity data'!AA11*EF!$H10)*kgtoGg)</f>
        <v>152.79586266369981</v>
      </c>
      <c r="AB10" s="28">
        <f>IF(('Activity data'!AB11*EF!$H10)*kgtoGg=0,"NO",('Activity data'!AB11*EF!$H10)*kgtoGg)</f>
        <v>149.83991769999997</v>
      </c>
      <c r="AC10" s="28">
        <f>IF(('Activity data'!AC11*EF!$H10)*kgtoGg=0,"NO",('Activity data'!AC11*EF!$H10)*kgtoGg)</f>
        <v>148.66869422381706</v>
      </c>
      <c r="AD10" s="28">
        <f>IF(('Activity data'!AD11*EF!$H10)*kgtoGg=0,"NO",('Activity data'!AD11*EF!$H10)*kgtoGg)</f>
        <v>132.57119038642557</v>
      </c>
      <c r="AE10" s="28">
        <f>IF(('Activity data'!AE11*EF!$H10)*kgtoGg=0,"NO",('Activity data'!AE11*EF!$H10)*kgtoGg)</f>
        <v>132.64273653065254</v>
      </c>
      <c r="AF10" s="28">
        <f>IF(('Activity data'!AF11*EF!$H10)*kgtoGg=0,"NO",('Activity data'!AF11*EF!$H10)*kgtoGg)</f>
        <v>132.80721501621684</v>
      </c>
      <c r="AG10" s="28">
        <f>IF(('Activity data'!AG11*EF!$H10)*kgtoGg=0,"NO",('Activity data'!AG11*EF!$H10)*kgtoGg)</f>
        <v>133.051398651531</v>
      </c>
      <c r="AH10" s="28">
        <f>IF(('Activity data'!AH11*EF!$H10)*kgtoGg=0,"NO",('Activity data'!AH11*EF!$H10)*kgtoGg)</f>
        <v>133.38098001143086</v>
      </c>
      <c r="AI10" s="28">
        <f>IF(('Activity data'!AI11*EF!$H10)*kgtoGg=0,"NO",('Activity data'!AI11*EF!$H10)*kgtoGg)</f>
        <v>133.80258277876908</v>
      </c>
      <c r="AJ10" s="28">
        <f>IF(('Activity data'!AJ11*EF!$H10)*kgtoGg=0,"NO",('Activity data'!AJ11*EF!$H10)*kgtoGg)</f>
        <v>134.26714516921325</v>
      </c>
      <c r="AK10" s="28">
        <f>IF(('Activity data'!AK11*EF!$H10)*kgtoGg=0,"NO",('Activity data'!AK11*EF!$H10)*kgtoGg)</f>
        <v>134.76745179695249</v>
      </c>
      <c r="AL10" s="28">
        <f>IF(('Activity data'!AL11*EF!$H10)*kgtoGg=0,"NO",('Activity data'!AL11*EF!$H10)*kgtoGg)</f>
        <v>135.2631261954914</v>
      </c>
      <c r="AM10" s="28">
        <f>IF(('Activity data'!AM11*EF!$H10)*kgtoGg=0,"NO",('Activity data'!AM11*EF!$H10)*kgtoGg)</f>
        <v>135.46597827382104</v>
      </c>
      <c r="AN10" s="28">
        <f>IF(('Activity data'!AN11*EF!$H10)*kgtoGg=0,"NO",('Activity data'!AN11*EF!$H10)*kgtoGg)</f>
        <v>135.69632310683818</v>
      </c>
      <c r="AO10" s="28">
        <f>IF(('Activity data'!AO11*EF!$H10)*kgtoGg=0,"NO",('Activity data'!AO11*EF!$H10)*kgtoGg)</f>
        <v>135.95682681390846</v>
      </c>
      <c r="AP10" s="28">
        <f>IF(('Activity data'!AP11*EF!$H10)*kgtoGg=0,"NO",('Activity data'!AP11*EF!$H10)*kgtoGg)</f>
        <v>136.24937905937216</v>
      </c>
      <c r="AQ10" s="28">
        <f>IF(('Activity data'!AQ11*EF!$H10)*kgtoGg=0,"NO",('Activity data'!AQ11*EF!$H10)*kgtoGg)</f>
        <v>136.57811586303043</v>
      </c>
      <c r="AR10" s="28">
        <f>IF(('Activity data'!AR11*EF!$H10)*kgtoGg=0,"NO",('Activity data'!AR11*EF!$H10)*kgtoGg)</f>
        <v>136.78481124577374</v>
      </c>
      <c r="AS10" s="28">
        <f>IF(('Activity data'!AS11*EF!$H10)*kgtoGg=0,"NO",('Activity data'!AS11*EF!$H10)*kgtoGg)</f>
        <v>137.01756076929394</v>
      </c>
      <c r="AT10" s="28">
        <f>IF(('Activity data'!AT11*EF!$H10)*kgtoGg=0,"NO",('Activity data'!AT11*EF!$H10)*kgtoGg)</f>
        <v>137.26988669428977</v>
      </c>
      <c r="AU10" s="28">
        <f>IF(('Activity data'!AU11*EF!$H10)*kgtoGg=0,"NO",('Activity data'!AU11*EF!$H10)*kgtoGg)</f>
        <v>137.54770477114812</v>
      </c>
      <c r="AV10" s="28">
        <f>IF(('Activity data'!AV11*EF!$H10)*kgtoGg=0,"NO",('Activity data'!AV11*EF!$H10)*kgtoGg)</f>
        <v>137.85098318826414</v>
      </c>
      <c r="AW10" s="28">
        <f>IF(('Activity data'!AW11*EF!$H10)*kgtoGg=0,"NO",('Activity data'!AW11*EF!$H10)*kgtoGg)</f>
        <v>138.0517172424515</v>
      </c>
      <c r="AX10" s="28">
        <f>IF(('Activity data'!AX11*EF!$H10)*kgtoGg=0,"NO",('Activity data'!AX11*EF!$H10)*kgtoGg)</f>
        <v>138.27198156596427</v>
      </c>
      <c r="AY10" s="28">
        <f>IF(('Activity data'!AY11*EF!$H10)*kgtoGg=0,"NO",('Activity data'!AY11*EF!$H10)*kgtoGg)</f>
        <v>138.51029648948435</v>
      </c>
      <c r="AZ10" s="28">
        <f>IF(('Activity data'!AZ11*EF!$H10)*kgtoGg=0,"NO",('Activity data'!AZ11*EF!$H10)*kgtoGg)</f>
        <v>138.76924178933888</v>
      </c>
      <c r="BA10" s="28">
        <f>IF(('Activity data'!BA11*EF!$H10)*kgtoGg=0,"NO",('Activity data'!BA11*EF!$H10)*kgtoGg)</f>
        <v>139.03965406429921</v>
      </c>
      <c r="BB10" s="28">
        <f>IF(('Activity data'!BB11*EF!$H10)*kgtoGg=0,"NO",('Activity data'!BB11*EF!$H10)*kgtoGg)</f>
        <v>139.21265652505053</v>
      </c>
      <c r="BC10" s="28">
        <f>IF(('Activity data'!BC11*EF!$H10)*kgtoGg=0,"NO",('Activity data'!BC11*EF!$H10)*kgtoGg)</f>
        <v>139.40033470595577</v>
      </c>
      <c r="BD10" s="28">
        <f>IF(('Activity data'!BD11*EF!$H10)*kgtoGg=0,"NO",('Activity data'!BD11*EF!$H10)*kgtoGg)</f>
        <v>139.59984622882109</v>
      </c>
      <c r="BE10" s="28">
        <f>IF(('Activity data'!BE11*EF!$H10)*kgtoGg=0,"NO",('Activity data'!BE11*EF!$H10)*kgtoGg)</f>
        <v>139.81228322803275</v>
      </c>
      <c r="BF10" s="28">
        <f>IF(('Activity data'!BF11*EF!$H10)*kgtoGg=0,"NO",('Activity data'!BF11*EF!$H10)*kgtoGg)</f>
        <v>140.03864091698591</v>
      </c>
      <c r="BG10" s="28">
        <f>IF(('Activity data'!BG11*EF!$H10)*kgtoGg=0,"NO",('Activity data'!BG11*EF!$H10)*kgtoGg)</f>
        <v>140.17205297338157</v>
      </c>
      <c r="BH10" s="28">
        <f>IF(('Activity data'!BH11*EF!$H10)*kgtoGg=0,"NO",('Activity data'!BH11*EF!$H10)*kgtoGg)</f>
        <v>140.3142065668136</v>
      </c>
      <c r="BI10" s="28">
        <f>IF(('Activity data'!BI11*EF!$H10)*kgtoGg=0,"NO",('Activity data'!BI11*EF!$H10)*kgtoGg)</f>
        <v>140.46760679476171</v>
      </c>
      <c r="BJ10" s="28">
        <f>IF(('Activity data'!BJ11*EF!$H10)*kgtoGg=0,"NO",('Activity data'!BJ11*EF!$H10)*kgtoGg)</f>
        <v>140.63198304845474</v>
      </c>
      <c r="BK10" s="28">
        <f>IF(('Activity data'!BK11*EF!$H10)*kgtoGg=0,"NO",('Activity data'!BK11*EF!$H10)*kgtoGg)</f>
        <v>140.80910014546811</v>
      </c>
      <c r="BL10" s="28">
        <f>IF(('Activity data'!BL11*EF!$H10)*kgtoGg=0,"NO",('Activity data'!BL11*EF!$H10)*kgtoGg)</f>
        <v>140.88892671034117</v>
      </c>
      <c r="BM10" s="28">
        <f>IF(('Activity data'!BM11*EF!$H10)*kgtoGg=0,"NO",('Activity data'!BM11*EF!$H10)*kgtoGg)</f>
        <v>140.95821516124155</v>
      </c>
      <c r="BN10" s="28">
        <f>IF(('Activity data'!BN11*EF!$H10)*kgtoGg=0,"NO",('Activity data'!BN11*EF!$H10)*kgtoGg)</f>
        <v>141.03470747726172</v>
      </c>
      <c r="BO10" s="28">
        <f>IF(('Activity data'!BO11*EF!$H10)*kgtoGg=0,"NO",('Activity data'!BO11*EF!$H10)*kgtoGg)</f>
        <v>141.12215896144338</v>
      </c>
      <c r="BP10" s="28">
        <f>IF(('Activity data'!BP11*EF!$H10)*kgtoGg=0,"NO",('Activity data'!BP11*EF!$H10)*kgtoGg)</f>
        <v>141.21652925379365</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8">
        <f>IF(('Activity data'!H12*EF!$H11)*kgtoGg=0,"NO",('Activity data'!H12*EF!$H11)*kgtoGg)</f>
        <v>21.154764000453479</v>
      </c>
      <c r="I11" s="28">
        <f>IF(('Activity data'!I12*EF!$H11)*kgtoGg=0,"NO",('Activity data'!I12*EF!$H11)*kgtoGg)</f>
        <v>20.20354408409165</v>
      </c>
      <c r="J11" s="28">
        <f>IF(('Activity data'!J12*EF!$H11)*kgtoGg=0,"NO",('Activity data'!J12*EF!$H11)*kgtoGg)</f>
        <v>19.368756872625738</v>
      </c>
      <c r="K11" s="28">
        <f>IF(('Activity data'!K12*EF!$H11)*kgtoGg=0,"NO",('Activity data'!K12*EF!$H11)*kgtoGg)</f>
        <v>18.114106270777572</v>
      </c>
      <c r="L11" s="28">
        <f>IF(('Activity data'!L12*EF!$H11)*kgtoGg=0,"NO",('Activity data'!L12*EF!$H11)*kgtoGg)</f>
        <v>18.241829419784612</v>
      </c>
      <c r="M11" s="28">
        <f>IF(('Activity data'!M12*EF!$H11)*kgtoGg=0,"NO",('Activity data'!M12*EF!$H11)*kgtoGg)</f>
        <v>17.98073789971497</v>
      </c>
      <c r="N11" s="28">
        <f>IF(('Activity data'!N12*EF!$H11)*kgtoGg=0,"NO",('Activity data'!N12*EF!$H11)*kgtoGg)</f>
        <v>18.040718384055292</v>
      </c>
      <c r="O11" s="28">
        <f>IF(('Activity data'!O12*EF!$H11)*kgtoGg=0,"NO",('Activity data'!O12*EF!$H11)*kgtoGg)</f>
        <v>17.648375451193886</v>
      </c>
      <c r="P11" s="28">
        <f>IF(('Activity data'!P12*EF!$H11)*kgtoGg=0,"NO",('Activity data'!P12*EF!$H11)*kgtoGg)</f>
        <v>17.697065491423142</v>
      </c>
      <c r="Q11" s="28">
        <f>IF(('Activity data'!Q12*EF!$H11)*kgtoGg=0,"NO",('Activity data'!Q12*EF!$H11)*kgtoGg)</f>
        <v>17.26238339314504</v>
      </c>
      <c r="R11" s="28">
        <f>IF(('Activity data'!R12*EF!$H11)*kgtoGg=0,"NO",('Activity data'!R12*EF!$H11)*kgtoGg)</f>
        <v>16.643525925304292</v>
      </c>
      <c r="S11" s="28">
        <f>IF(('Activity data'!S12*EF!$H11)*kgtoGg=0,"NO",('Activity data'!S12*EF!$H11)*kgtoGg)</f>
        <v>16.228602104220641</v>
      </c>
      <c r="T11" s="28">
        <f>IF(('Activity data'!T12*EF!$H11)*kgtoGg=0,"NO",('Activity data'!T12*EF!$H11)*kgtoGg)</f>
        <v>15.957631445553769</v>
      </c>
      <c r="U11" s="28">
        <f>IF(('Activity data'!U12*EF!$H11)*kgtoGg=0,"NO",('Activity data'!U12*EF!$H11)*kgtoGg)</f>
        <v>16.013378013352426</v>
      </c>
      <c r="V11" s="28">
        <f>IF(('Activity data'!V12*EF!$H11)*kgtoGg=0,"NO",('Activity data'!V12*EF!$H11)*kgtoGg)</f>
        <v>15.728294299546651</v>
      </c>
      <c r="W11" s="28">
        <f>IF(('Activity data'!W12*EF!$H11)*kgtoGg=0,"NO",('Activity data'!W12*EF!$H11)*kgtoGg)</f>
        <v>15.690894703428569</v>
      </c>
      <c r="X11" s="28">
        <f>IF(('Activity data'!X12*EF!$H11)*kgtoGg=0,"NO",('Activity data'!X12*EF!$H11)*kgtoGg)</f>
        <v>15.485549751157579</v>
      </c>
      <c r="Y11" s="28">
        <f>IF(('Activity data'!Y12*EF!$H11)*kgtoGg=0,"NO",('Activity data'!Y12*EF!$H11)*kgtoGg)</f>
        <v>15.470731043261734</v>
      </c>
      <c r="Z11" s="28">
        <f>IF(('Activity data'!Z12*EF!$H11)*kgtoGg=0,"NO",('Activity data'!Z12*EF!$H11)*kgtoGg)</f>
        <v>15.520832389004827</v>
      </c>
      <c r="AA11" s="28">
        <f>IF(('Activity data'!AA12*EF!$H11)*kgtoGg=0,"NO",('Activity data'!AA12*EF!$H11)*kgtoGg)</f>
        <v>15.465791473963119</v>
      </c>
      <c r="AB11" s="28">
        <f>IF(('Activity data'!AB12*EF!$H11)*kgtoGg=0,"NO",('Activity data'!AB12*EF!$H11)*kgtoGg)</f>
        <v>15.166594705018449</v>
      </c>
      <c r="AC11" s="28">
        <f>IF(('Activity data'!AC12*EF!$H11)*kgtoGg=0,"NO",('Activity data'!AC12*EF!$H11)*kgtoGg)</f>
        <v>15.048045041851694</v>
      </c>
      <c r="AD11" s="28">
        <f>IF(('Activity data'!AD12*EF!$H11)*kgtoGg=0,"NO",('Activity data'!AD12*EF!$H11)*kgtoGg)</f>
        <v>14.367245816070934</v>
      </c>
      <c r="AE11" s="28">
        <f>IF(('Activity data'!AE12*EF!$H11)*kgtoGg=0,"NO",('Activity data'!AE12*EF!$H11)*kgtoGg)</f>
        <v>14.374999544752898</v>
      </c>
      <c r="AF11" s="28">
        <f>IF(('Activity data'!AF12*EF!$H11)*kgtoGg=0,"NO",('Activity data'!AF12*EF!$H11)*kgtoGg)</f>
        <v>14.392824705910984</v>
      </c>
      <c r="AG11" s="28">
        <f>IF(('Activity data'!AG12*EF!$H11)*kgtoGg=0,"NO",('Activity data'!AG12*EF!$H11)*kgtoGg)</f>
        <v>14.419287818315681</v>
      </c>
      <c r="AH11" s="28">
        <f>IF(('Activity data'!AH12*EF!$H11)*kgtoGg=0,"NO",('Activity data'!AH12*EF!$H11)*kgtoGg)</f>
        <v>14.455005808025765</v>
      </c>
      <c r="AI11" s="28">
        <f>IF(('Activity data'!AI12*EF!$H11)*kgtoGg=0,"NO",('Activity data'!AI12*EF!$H11)*kgtoGg)</f>
        <v>14.500696508829069</v>
      </c>
      <c r="AJ11" s="28">
        <f>IF(('Activity data'!AJ12*EF!$H11)*kgtoGg=0,"NO",('Activity data'!AJ12*EF!$H11)*kgtoGg)</f>
        <v>14.551042907929491</v>
      </c>
      <c r="AK11" s="28">
        <f>IF(('Activity data'!AK12*EF!$H11)*kgtoGg=0,"NO",('Activity data'!AK12*EF!$H11)*kgtoGg)</f>
        <v>14.605263046431578</v>
      </c>
      <c r="AL11" s="28">
        <f>IF(('Activity data'!AL12*EF!$H11)*kgtoGg=0,"NO",('Activity data'!AL12*EF!$H11)*kgtoGg)</f>
        <v>14.658981172577873</v>
      </c>
      <c r="AM11" s="28">
        <f>IF(('Activity data'!AM12*EF!$H11)*kgtoGg=0,"NO",('Activity data'!AM12*EF!$H11)*kgtoGg)</f>
        <v>14.680965026424001</v>
      </c>
      <c r="AN11" s="28">
        <f>IF(('Activity data'!AN12*EF!$H11)*kgtoGg=0,"NO",('Activity data'!AN12*EF!$H11)*kgtoGg)</f>
        <v>14.705928375012579</v>
      </c>
      <c r="AO11" s="28">
        <f>IF(('Activity data'!AO12*EF!$H11)*kgtoGg=0,"NO",('Activity data'!AO12*EF!$H11)*kgtoGg)</f>
        <v>14.734160155873615</v>
      </c>
      <c r="AP11" s="28">
        <f>IF(('Activity data'!AP12*EF!$H11)*kgtoGg=0,"NO",('Activity data'!AP12*EF!$H11)*kgtoGg)</f>
        <v>14.765865159142944</v>
      </c>
      <c r="AQ11" s="28">
        <f>IF(('Activity data'!AQ12*EF!$H11)*kgtoGg=0,"NO",('Activity data'!AQ12*EF!$H11)*kgtoGg)</f>
        <v>14.801491621070163</v>
      </c>
      <c r="AR11" s="28">
        <f>IF(('Activity data'!AR12*EF!$H11)*kgtoGg=0,"NO",('Activity data'!AR12*EF!$H11)*kgtoGg)</f>
        <v>14.823891988482297</v>
      </c>
      <c r="AS11" s="28">
        <f>IF(('Activity data'!AS12*EF!$H11)*kgtoGg=0,"NO",('Activity data'!AS12*EF!$H11)*kgtoGg)</f>
        <v>14.84911594255739</v>
      </c>
      <c r="AT11" s="28">
        <f>IF(('Activity data'!AT12*EF!$H11)*kgtoGg=0,"NO",('Activity data'!AT12*EF!$H11)*kgtoGg)</f>
        <v>14.876461465967234</v>
      </c>
      <c r="AU11" s="28">
        <f>IF(('Activity data'!AU12*EF!$H11)*kgtoGg=0,"NO",('Activity data'!AU12*EF!$H11)*kgtoGg)</f>
        <v>14.906569671156744</v>
      </c>
      <c r="AV11" s="28">
        <f>IF(('Activity data'!AV12*EF!$H11)*kgtoGg=0,"NO",('Activity data'!AV12*EF!$H11)*kgtoGg)</f>
        <v>14.939437110580908</v>
      </c>
      <c r="AW11" s="28">
        <f>IF(('Activity data'!AW12*EF!$H11)*kgtoGg=0,"NO",('Activity data'!AW12*EF!$H11)*kgtoGg)</f>
        <v>14.961191426068007</v>
      </c>
      <c r="AX11" s="28">
        <f>IF(('Activity data'!AX12*EF!$H11)*kgtoGg=0,"NO",('Activity data'!AX12*EF!$H11)*kgtoGg)</f>
        <v>14.985062311372678</v>
      </c>
      <c r="AY11" s="28">
        <f>IF(('Activity data'!AY12*EF!$H11)*kgtoGg=0,"NO",('Activity data'!AY12*EF!$H11)*kgtoGg)</f>
        <v>15.01088940908426</v>
      </c>
      <c r="AZ11" s="28">
        <f>IF(('Activity data'!AZ12*EF!$H11)*kgtoGg=0,"NO",('Activity data'!AZ12*EF!$H11)*kgtoGg)</f>
        <v>15.038952299408185</v>
      </c>
      <c r="BA11" s="28">
        <f>IF(('Activity data'!BA12*EF!$H11)*kgtoGg=0,"NO",('Activity data'!BA12*EF!$H11)*kgtoGg)</f>
        <v>15.068257909584224</v>
      </c>
      <c r="BB11" s="28">
        <f>IF(('Activity data'!BB12*EF!$H11)*kgtoGg=0,"NO",('Activity data'!BB12*EF!$H11)*kgtoGg)</f>
        <v>15.087006846462247</v>
      </c>
      <c r="BC11" s="28">
        <f>IF(('Activity data'!BC12*EF!$H11)*kgtoGg=0,"NO",('Activity data'!BC12*EF!$H11)*kgtoGg)</f>
        <v>15.107346247138357</v>
      </c>
      <c r="BD11" s="28">
        <f>IF(('Activity data'!BD12*EF!$H11)*kgtoGg=0,"NO",('Activity data'!BD12*EF!$H11)*kgtoGg)</f>
        <v>15.128968072240701</v>
      </c>
      <c r="BE11" s="28">
        <f>IF(('Activity data'!BE12*EF!$H11)*kgtoGg=0,"NO",('Activity data'!BE12*EF!$H11)*kgtoGg)</f>
        <v>15.151990680540484</v>
      </c>
      <c r="BF11" s="28">
        <f>IF(('Activity data'!BF12*EF!$H11)*kgtoGg=0,"NO",('Activity data'!BF12*EF!$H11)*kgtoGg)</f>
        <v>15.176521927111235</v>
      </c>
      <c r="BG11" s="28">
        <f>IF(('Activity data'!BG12*EF!$H11)*kgtoGg=0,"NO",('Activity data'!BG12*EF!$H11)*kgtoGg)</f>
        <v>15.190980300785611</v>
      </c>
      <c r="BH11" s="28">
        <f>IF(('Activity data'!BH12*EF!$H11)*kgtoGg=0,"NO",('Activity data'!BH12*EF!$H11)*kgtoGg)</f>
        <v>15.206386028187788</v>
      </c>
      <c r="BI11" s="28">
        <f>IF(('Activity data'!BI12*EF!$H11)*kgtoGg=0,"NO",('Activity data'!BI12*EF!$H11)*kgtoGg)</f>
        <v>15.223010596291525</v>
      </c>
      <c r="BJ11" s="28">
        <f>IF(('Activity data'!BJ12*EF!$H11)*kgtoGg=0,"NO",('Activity data'!BJ12*EF!$H11)*kgtoGg)</f>
        <v>15.240824678191588</v>
      </c>
      <c r="BK11" s="28">
        <f>IF(('Activity data'!BK12*EF!$H11)*kgtoGg=0,"NO",('Activity data'!BK12*EF!$H11)*kgtoGg)</f>
        <v>15.260019533903467</v>
      </c>
      <c r="BL11" s="28">
        <f>IF(('Activity data'!BL12*EF!$H11)*kgtoGg=0,"NO",('Activity data'!BL12*EF!$H11)*kgtoGg)</f>
        <v>15.268670643370319</v>
      </c>
      <c r="BM11" s="28">
        <f>IF(('Activity data'!BM12*EF!$H11)*kgtoGg=0,"NO",('Activity data'!BM12*EF!$H11)*kgtoGg)</f>
        <v>15.276179697210745</v>
      </c>
      <c r="BN11" s="28">
        <f>IF(('Activity data'!BN12*EF!$H11)*kgtoGg=0,"NO",('Activity data'!BN12*EF!$H11)*kgtoGg)</f>
        <v>15.284469461405354</v>
      </c>
      <c r="BO11" s="28">
        <f>IF(('Activity data'!BO12*EF!$H11)*kgtoGg=0,"NO",('Activity data'!BO12*EF!$H11)*kgtoGg)</f>
        <v>15.293946912475652</v>
      </c>
      <c r="BP11" s="28">
        <f>IF(('Activity data'!BP12*EF!$H11)*kgtoGg=0,"NO",('Activity data'!BP12*EF!$H11)*kgtoGg)</f>
        <v>15.304174181190511</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8">
        <f>IF(('Activity data'!H13*EF!$H12)*kgtoGg=0,"NO",('Activity data'!H13*EF!$H12)*kgtoGg)</f>
        <v>20.285563221215835</v>
      </c>
      <c r="I12" s="28">
        <f>IF(('Activity data'!I13*EF!$H12)*kgtoGg=0,"NO",('Activity data'!I13*EF!$H12)*kgtoGg)</f>
        <v>17.938171082062887</v>
      </c>
      <c r="J12" s="28">
        <f>IF(('Activity data'!J13*EF!$H12)*kgtoGg=0,"NO",('Activity data'!J13*EF!$H12)*kgtoGg)</f>
        <v>16.709629401758534</v>
      </c>
      <c r="K12" s="28">
        <f>IF(('Activity data'!K13*EF!$H12)*kgtoGg=0,"NO",('Activity data'!K13*EF!$H12)*kgtoGg)</f>
        <v>15.788223141530271</v>
      </c>
      <c r="L12" s="28">
        <f>IF(('Activity data'!L13*EF!$H12)*kgtoGg=0,"NO",('Activity data'!L13*EF!$H12)*kgtoGg)</f>
        <v>17.089892302805115</v>
      </c>
      <c r="M12" s="28">
        <f>IF(('Activity data'!M13*EF!$H12)*kgtoGg=0,"NO",('Activity data'!M13*EF!$H12)*kgtoGg)</f>
        <v>17.32390024191071</v>
      </c>
      <c r="N12" s="28">
        <f>IF(('Activity data'!N13*EF!$H12)*kgtoGg=0,"NO",('Activity data'!N13*EF!$H12)*kgtoGg)</f>
        <v>17.594471921501544</v>
      </c>
      <c r="O12" s="28">
        <f>IF(('Activity data'!O13*EF!$H12)*kgtoGg=0,"NO",('Activity data'!O13*EF!$H12)*kgtoGg)</f>
        <v>17.506718944336949</v>
      </c>
      <c r="P12" s="28">
        <f>IF(('Activity data'!P13*EF!$H12)*kgtoGg=0,"NO",('Activity data'!P13*EF!$H12)*kgtoGg)</f>
        <v>17.258085509037262</v>
      </c>
      <c r="Q12" s="28">
        <f>IF(('Activity data'!Q13*EF!$H12)*kgtoGg=0,"NO",('Activity data'!Q13*EF!$H12)*kgtoGg)</f>
        <v>17.002139325640524</v>
      </c>
      <c r="R12" s="28">
        <f>IF(('Activity data'!R13*EF!$H12)*kgtoGg=0,"NO",('Activity data'!R13*EF!$H12)*kgtoGg)</f>
        <v>17.221521768552012</v>
      </c>
      <c r="S12" s="28">
        <f>IF(('Activity data'!S13*EF!$H12)*kgtoGg=0,"NO",('Activity data'!S13*EF!$H12)*kgtoGg)</f>
        <v>17.748039631539594</v>
      </c>
      <c r="T12" s="28">
        <f>IF(('Activity data'!T13*EF!$H12)*kgtoGg=0,"NO",('Activity data'!T13*EF!$H12)*kgtoGg)</f>
        <v>16.205049783062112</v>
      </c>
      <c r="U12" s="28">
        <f>IF(('Activity data'!U13*EF!$H12)*kgtoGg=0,"NO",('Activity data'!U13*EF!$H12)*kgtoGg)</f>
        <v>15.795535889627324</v>
      </c>
      <c r="V12" s="28">
        <f>IF(('Activity data'!V13*EF!$H12)*kgtoGg=0,"NO",('Activity data'!V13*EF!$H12)*kgtoGg)</f>
        <v>15.824786882015525</v>
      </c>
      <c r="W12" s="28">
        <f>IF(('Activity data'!W13*EF!$H12)*kgtoGg=0,"NO",('Activity data'!W13*EF!$H12)*kgtoGg)</f>
        <v>15.620029935298131</v>
      </c>
      <c r="X12" s="28">
        <f>IF(('Activity data'!X13*EF!$H12)*kgtoGg=0,"NO",('Activity data'!X13*EF!$H12)*kgtoGg)</f>
        <v>15.949103599665367</v>
      </c>
      <c r="Y12" s="28">
        <f>IF(('Activity data'!Y13*EF!$H12)*kgtoGg=0,"NO",('Activity data'!Y13*EF!$H12)*kgtoGg)</f>
        <v>15.473774973357138</v>
      </c>
      <c r="Z12" s="28">
        <f>IF(('Activity data'!Z13*EF!$H12)*kgtoGg=0,"NO",('Activity data'!Z13*EF!$H12)*kgtoGg)</f>
        <v>15.459149477163042</v>
      </c>
      <c r="AA12" s="28">
        <f>IF(('Activity data'!AA13*EF!$H12)*kgtoGg=0,"NO",('Activity data'!AA13*EF!$H12)*kgtoGg)</f>
        <v>15.188577797572201</v>
      </c>
      <c r="AB12" s="28">
        <f>IF(('Activity data'!AB13*EF!$H12)*kgtoGg=0,"NO",('Activity data'!AB13*EF!$H12)*kgtoGg)</f>
        <v>15.005759095145958</v>
      </c>
      <c r="AC12" s="28">
        <f>IF(('Activity data'!AC13*EF!$H12)*kgtoGg=0,"NO",('Activity data'!AC13*EF!$H12)*kgtoGg)</f>
        <v>14.866816881302015</v>
      </c>
      <c r="AD12" s="28">
        <f>IF(('Activity data'!AD13*EF!$H12)*kgtoGg=0,"NO",('Activity data'!AD13*EF!$H12)*kgtoGg)</f>
        <v>15.11994504352057</v>
      </c>
      <c r="AE12" s="28">
        <f>IF(('Activity data'!AE13*EF!$H12)*kgtoGg=0,"NO",('Activity data'!AE13*EF!$H12)*kgtoGg)</f>
        <v>15.159244294711982</v>
      </c>
      <c r="AF12" s="28">
        <f>IF(('Activity data'!AF13*EF!$H12)*kgtoGg=0,"NO",('Activity data'!AF13*EF!$H12)*kgtoGg)</f>
        <v>15.212240101283504</v>
      </c>
      <c r="AG12" s="28">
        <f>IF(('Activity data'!AG13*EF!$H12)*kgtoGg=0,"NO",('Activity data'!AG13*EF!$H12)*kgtoGg)</f>
        <v>15.276787648225215</v>
      </c>
      <c r="AH12" s="28">
        <f>IF(('Activity data'!AH13*EF!$H12)*kgtoGg=0,"NO",('Activity data'!AH13*EF!$H12)*kgtoGg)</f>
        <v>15.354100038796439</v>
      </c>
      <c r="AI12" s="28">
        <f>IF(('Activity data'!AI13*EF!$H12)*kgtoGg=0,"NO",('Activity data'!AI13*EF!$H12)*kgtoGg)</f>
        <v>15.445501132757192</v>
      </c>
      <c r="AJ12" s="28">
        <f>IF(('Activity data'!AJ13*EF!$H12)*kgtoGg=0,"NO",('Activity data'!AJ13*EF!$H12)*kgtoGg)</f>
        <v>15.542368253787608</v>
      </c>
      <c r="AK12" s="28">
        <f>IF(('Activity data'!AK13*EF!$H12)*kgtoGg=0,"NO",('Activity data'!AK13*EF!$H12)*kgtoGg)</f>
        <v>15.643567978967758</v>
      </c>
      <c r="AL12" s="28">
        <f>IF(('Activity data'!AL13*EF!$H12)*kgtoGg=0,"NO",('Activity data'!AL13*EF!$H12)*kgtoGg)</f>
        <v>15.742091989223546</v>
      </c>
      <c r="AM12" s="28">
        <f>IF(('Activity data'!AM13*EF!$H12)*kgtoGg=0,"NO",('Activity data'!AM13*EF!$H12)*kgtoGg)</f>
        <v>15.787280907558081</v>
      </c>
      <c r="AN12" s="28">
        <f>IF(('Activity data'!AN13*EF!$H12)*kgtoGg=0,"NO",('Activity data'!AN13*EF!$H12)*kgtoGg)</f>
        <v>15.836012504856258</v>
      </c>
      <c r="AO12" s="28">
        <f>IF(('Activity data'!AO13*EF!$H12)*kgtoGg=0,"NO",('Activity data'!AO13*EF!$H12)*kgtoGg)</f>
        <v>15.888829637337995</v>
      </c>
      <c r="AP12" s="28">
        <f>IF(('Activity data'!AP13*EF!$H12)*kgtoGg=0,"NO",('Activity data'!AP13*EF!$H12)*kgtoGg)</f>
        <v>15.946123298566558</v>
      </c>
      <c r="AQ12" s="28">
        <f>IF(('Activity data'!AQ13*EF!$H12)*kgtoGg=0,"NO",('Activity data'!AQ13*EF!$H12)*kgtoGg)</f>
        <v>16.008664249775823</v>
      </c>
      <c r="AR12" s="28">
        <f>IF(('Activity data'!AR13*EF!$H12)*kgtoGg=0,"NO",('Activity data'!AR13*EF!$H12)*kgtoGg)</f>
        <v>16.048917749469023</v>
      </c>
      <c r="AS12" s="28">
        <f>IF(('Activity data'!AS13*EF!$H12)*kgtoGg=0,"NO",('Activity data'!AS13*EF!$H12)*kgtoGg)</f>
        <v>16.092845807842092</v>
      </c>
      <c r="AT12" s="28">
        <f>IF(('Activity data'!AT13*EF!$H12)*kgtoGg=0,"NO",('Activity data'!AT13*EF!$H12)*kgtoGg)</f>
        <v>16.139355719065712</v>
      </c>
      <c r="AU12" s="28">
        <f>IF(('Activity data'!AU13*EF!$H12)*kgtoGg=0,"NO",('Activity data'!AU13*EF!$H12)*kgtoGg)</f>
        <v>16.189504893539258</v>
      </c>
      <c r="AV12" s="28">
        <f>IF(('Activity data'!AV13*EF!$H12)*kgtoGg=0,"NO",('Activity data'!AV13*EF!$H12)*kgtoGg)</f>
        <v>16.243310237377745</v>
      </c>
      <c r="AW12" s="28">
        <f>IF(('Activity data'!AW13*EF!$H12)*kgtoGg=0,"NO",('Activity data'!AW13*EF!$H12)*kgtoGg)</f>
        <v>16.27872559654169</v>
      </c>
      <c r="AX12" s="28">
        <f>IF(('Activity data'!AX13*EF!$H12)*kgtoGg=0,"NO",('Activity data'!AX13*EF!$H12)*kgtoGg)</f>
        <v>16.316901231642056</v>
      </c>
      <c r="AY12" s="28">
        <f>IF(('Activity data'!AY13*EF!$H12)*kgtoGg=0,"NO",('Activity data'!AY13*EF!$H12)*kgtoGg)</f>
        <v>16.357599483637454</v>
      </c>
      <c r="AZ12" s="28">
        <f>IF(('Activity data'!AZ13*EF!$H12)*kgtoGg=0,"NO",('Activity data'!AZ13*EF!$H12)*kgtoGg)</f>
        <v>16.401277791155717</v>
      </c>
      <c r="BA12" s="28">
        <f>IF(('Activity data'!BA13*EF!$H12)*kgtoGg=0,"NO",('Activity data'!BA13*EF!$H12)*kgtoGg)</f>
        <v>16.446379725356415</v>
      </c>
      <c r="BB12" s="28">
        <f>IF(('Activity data'!BB13*EF!$H12)*kgtoGg=0,"NO",('Activity data'!BB13*EF!$H12)*kgtoGg)</f>
        <v>16.474339061625695</v>
      </c>
      <c r="BC12" s="28">
        <f>IF(('Activity data'!BC13*EF!$H12)*kgtoGg=0,"NO",('Activity data'!BC13*EF!$H12)*kgtoGg)</f>
        <v>16.504371743452488</v>
      </c>
      <c r="BD12" s="28">
        <f>IF(('Activity data'!BD13*EF!$H12)*kgtoGg=0,"NO",('Activity data'!BD13*EF!$H12)*kgtoGg)</f>
        <v>16.53600364177057</v>
      </c>
      <c r="BE12" s="28">
        <f>IF(('Activity data'!BE13*EF!$H12)*kgtoGg=0,"NO",('Activity data'!BE13*EF!$H12)*kgtoGg)</f>
        <v>16.569430654637483</v>
      </c>
      <c r="BF12" s="28">
        <f>IF(('Activity data'!BF13*EF!$H12)*kgtoGg=0,"NO",('Activity data'!BF13*EF!$H12)*kgtoGg)</f>
        <v>16.604829643343088</v>
      </c>
      <c r="BG12" s="28">
        <f>IF(('Activity data'!BG13*EF!$H12)*kgtoGg=0,"NO",('Activity data'!BG13*EF!$H12)*kgtoGg)</f>
        <v>16.624131223085882</v>
      </c>
      <c r="BH12" s="28">
        <f>IF(('Activity data'!BH13*EF!$H12)*kgtoGg=0,"NO",('Activity data'!BH13*EF!$H12)*kgtoGg)</f>
        <v>16.644604707274034</v>
      </c>
      <c r="BI12" s="28">
        <f>IF(('Activity data'!BI13*EF!$H12)*kgtoGg=0,"NO",('Activity data'!BI13*EF!$H12)*kgtoGg)</f>
        <v>16.66667981019215</v>
      </c>
      <c r="BJ12" s="28">
        <f>IF(('Activity data'!BJ13*EF!$H12)*kgtoGg=0,"NO",('Activity data'!BJ13*EF!$H12)*kgtoGg)</f>
        <v>16.690315463067741</v>
      </c>
      <c r="BK12" s="28">
        <f>IF(('Activity data'!BK13*EF!$H12)*kgtoGg=0,"NO",('Activity data'!BK13*EF!$H12)*kgtoGg)</f>
        <v>16.715812130640956</v>
      </c>
      <c r="BL12" s="28">
        <f>IF(('Activity data'!BL13*EF!$H12)*kgtoGg=0,"NO",('Activity data'!BL13*EF!$H12)*kgtoGg)</f>
        <v>16.724718125544612</v>
      </c>
      <c r="BM12" s="28">
        <f>IF(('Activity data'!BM13*EF!$H12)*kgtoGg=0,"NO",('Activity data'!BM13*EF!$H12)*kgtoGg)</f>
        <v>16.731650898864725</v>
      </c>
      <c r="BN12" s="28">
        <f>IF(('Activity data'!BN13*EF!$H12)*kgtoGg=0,"NO",('Activity data'!BN13*EF!$H12)*kgtoGg)</f>
        <v>16.739594865731469</v>
      </c>
      <c r="BO12" s="28">
        <f>IF(('Activity data'!BO13*EF!$H12)*kgtoGg=0,"NO",('Activity data'!BO13*EF!$H12)*kgtoGg)</f>
        <v>16.749180241295228</v>
      </c>
      <c r="BP12" s="28">
        <f>IF(('Activity data'!BP13*EF!$H12)*kgtoGg=0,"NO",('Activity data'!BP13*EF!$H12)*kgtoGg)</f>
        <v>16.759733790022693</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8">
        <f>IF(('Activity data'!H14*EF!$H13)*kgtoGg=0,"NO",('Activity data'!H14*EF!$H13)*kgtoGg)</f>
        <v>30.547177763222784</v>
      </c>
      <c r="I13" s="28">
        <f>IF(('Activity data'!I14*EF!$H13)*kgtoGg=0,"NO",('Activity data'!I14*EF!$H13)*kgtoGg)</f>
        <v>27.012338519533348</v>
      </c>
      <c r="J13" s="28">
        <f>IF(('Activity data'!J14*EF!$H13)*kgtoGg=0,"NO",('Activity data'!J14*EF!$H13)*kgtoGg)</f>
        <v>25.162329195733268</v>
      </c>
      <c r="K13" s="28">
        <f>IF(('Activity data'!K14*EF!$H13)*kgtoGg=0,"NO",('Activity data'!K14*EF!$H13)*kgtoGg)</f>
        <v>23.774822202883204</v>
      </c>
      <c r="L13" s="28">
        <f>IF(('Activity data'!L14*EF!$H13)*kgtoGg=0,"NO",('Activity data'!L14*EF!$H13)*kgtoGg)</f>
        <v>25.734951129290433</v>
      </c>
      <c r="M13" s="28">
        <f>IF(('Activity data'!M14*EF!$H13)*kgtoGg=0,"NO",('Activity data'!M14*EF!$H13)*kgtoGg)</f>
        <v>26.087333857633308</v>
      </c>
      <c r="N13" s="28">
        <f>IF(('Activity data'!N14*EF!$H13)*kgtoGg=0,"NO",('Activity data'!N14*EF!$H13)*kgtoGg)</f>
        <v>26.494776387279753</v>
      </c>
      <c r="O13" s="28">
        <f>IF(('Activity data'!O14*EF!$H13)*kgtoGg=0,"NO",('Activity data'!O14*EF!$H13)*kgtoGg)</f>
        <v>26.362632864151173</v>
      </c>
      <c r="P13" s="28">
        <f>IF(('Activity data'!P14*EF!$H13)*kgtoGg=0,"NO",('Activity data'!P14*EF!$H13)*kgtoGg)</f>
        <v>25.988226215286872</v>
      </c>
      <c r="Q13" s="28">
        <f>IF(('Activity data'!Q14*EF!$H13)*kgtoGg=0,"NO",('Activity data'!Q14*EF!$H13)*kgtoGg)</f>
        <v>25.602807606161857</v>
      </c>
      <c r="R13" s="28">
        <f>IF(('Activity data'!R14*EF!$H13)*kgtoGg=0,"NO",('Activity data'!R14*EF!$H13)*kgtoGg)</f>
        <v>25.933166413983301</v>
      </c>
      <c r="S13" s="28">
        <f>IF(('Activity data'!S14*EF!$H13)*kgtoGg=0,"NO",('Activity data'!S14*EF!$H13)*kgtoGg)</f>
        <v>26.726027552754761</v>
      </c>
      <c r="T13" s="28">
        <f>IF(('Activity data'!T14*EF!$H13)*kgtoGg=0,"NO",('Activity data'!T14*EF!$H13)*kgtoGg)</f>
        <v>24.402503937743941</v>
      </c>
      <c r="U13" s="28">
        <f>IF(('Activity data'!U14*EF!$H13)*kgtoGg=0,"NO",('Activity data'!U14*EF!$H13)*kgtoGg)</f>
        <v>23.785834163143917</v>
      </c>
      <c r="V13" s="28">
        <f>IF(('Activity data'!V14*EF!$H13)*kgtoGg=0,"NO",('Activity data'!V14*EF!$H13)*kgtoGg)</f>
        <v>23.829882004186778</v>
      </c>
      <c r="W13" s="28">
        <f>IF(('Activity data'!W14*EF!$H13)*kgtoGg=0,"NO",('Activity data'!W14*EF!$H13)*kgtoGg)</f>
        <v>23.521547116886765</v>
      </c>
      <c r="X13" s="28">
        <f>IF(('Activity data'!X14*EF!$H13)*kgtoGg=0,"NO",('Activity data'!X14*EF!$H13)*kgtoGg)</f>
        <v>24.017085328618933</v>
      </c>
      <c r="Y13" s="28">
        <f>IF(('Activity data'!Y14*EF!$H13)*kgtoGg=0,"NO",('Activity data'!Y14*EF!$H13)*kgtoGg)</f>
        <v>23.301307911672467</v>
      </c>
      <c r="Z13" s="28">
        <f>IF(('Activity data'!Z14*EF!$H13)*kgtoGg=0,"NO",('Activity data'!Z14*EF!$H13)*kgtoGg)</f>
        <v>23.279283991151036</v>
      </c>
      <c r="AA13" s="28">
        <f>IF(('Activity data'!AA14*EF!$H13)*kgtoGg=0,"NO",('Activity data'!AA14*EF!$H13)*kgtoGg)</f>
        <v>22.871841461504591</v>
      </c>
      <c r="AB13" s="28">
        <f>IF(('Activity data'!AB14*EF!$H13)*kgtoGg=0,"NO",('Activity data'!AB14*EF!$H13)*kgtoGg)</f>
        <v>22.596542454986725</v>
      </c>
      <c r="AC13" s="28">
        <f>IF(('Activity data'!AC14*EF!$H13)*kgtoGg=0,"NO",('Activity data'!AC14*EF!$H13)*kgtoGg)</f>
        <v>22.38731521003314</v>
      </c>
      <c r="AD13" s="28">
        <f>IF(('Activity data'!AD14*EF!$H13)*kgtoGg=0,"NO",('Activity data'!AD14*EF!$H13)*kgtoGg)</f>
        <v>22.375967695369447</v>
      </c>
      <c r="AE13" s="28">
        <f>IF(('Activity data'!AE14*EF!$H13)*kgtoGg=0,"NO",('Activity data'!AE14*EF!$H13)*kgtoGg)</f>
        <v>22.434126555906317</v>
      </c>
      <c r="AF13" s="28">
        <f>IF(('Activity data'!AF14*EF!$H13)*kgtoGg=0,"NO",('Activity data'!AF14*EF!$H13)*kgtoGg)</f>
        <v>22.512554913444735</v>
      </c>
      <c r="AG13" s="28">
        <f>IF(('Activity data'!AG14*EF!$H13)*kgtoGg=0,"NO",('Activity data'!AG14*EF!$H13)*kgtoGg)</f>
        <v>22.60807866178018</v>
      </c>
      <c r="AH13" s="28">
        <f>IF(('Activity data'!AH14*EF!$H13)*kgtoGg=0,"NO",('Activity data'!AH14*EF!$H13)*kgtoGg)</f>
        <v>22.722493069299134</v>
      </c>
      <c r="AI13" s="28">
        <f>IF(('Activity data'!AI14*EF!$H13)*kgtoGg=0,"NO",('Activity data'!AI14*EF!$H13)*kgtoGg)</f>
        <v>22.85775731264793</v>
      </c>
      <c r="AJ13" s="28">
        <f>IF(('Activity data'!AJ14*EF!$H13)*kgtoGg=0,"NO",('Activity data'!AJ14*EF!$H13)*kgtoGg)</f>
        <v>23.001110715367403</v>
      </c>
      <c r="AK13" s="28">
        <f>IF(('Activity data'!AK14*EF!$H13)*kgtoGg=0,"NO",('Activity data'!AK14*EF!$H13)*kgtoGg)</f>
        <v>23.150875927799948</v>
      </c>
      <c r="AL13" s="28">
        <f>IF(('Activity data'!AL14*EF!$H13)*kgtoGg=0,"NO",('Activity data'!AL14*EF!$H13)*kgtoGg)</f>
        <v>23.296681356613096</v>
      </c>
      <c r="AM13" s="28">
        <f>IF(('Activity data'!AM14*EF!$H13)*kgtoGg=0,"NO",('Activity data'!AM14*EF!$H13)*kgtoGg)</f>
        <v>23.363556320373338</v>
      </c>
      <c r="AN13" s="28">
        <f>IF(('Activity data'!AN14*EF!$H13)*kgtoGg=0,"NO",('Activity data'!AN14*EF!$H13)*kgtoGg)</f>
        <v>23.435674085599938</v>
      </c>
      <c r="AO13" s="28">
        <f>IF(('Activity data'!AO14*EF!$H13)*kgtoGg=0,"NO",('Activity data'!AO14*EF!$H13)*kgtoGg)</f>
        <v>23.513838023813449</v>
      </c>
      <c r="AP13" s="28">
        <f>IF(('Activity data'!AP14*EF!$H13)*kgtoGg=0,"NO",('Activity data'!AP14*EF!$H13)*kgtoGg)</f>
        <v>23.598626765380281</v>
      </c>
      <c r="AQ13" s="28">
        <f>IF(('Activity data'!AQ14*EF!$H13)*kgtoGg=0,"NO",('Activity data'!AQ14*EF!$H13)*kgtoGg)</f>
        <v>23.691180957863665</v>
      </c>
      <c r="AR13" s="28">
        <f>IF(('Activity data'!AR14*EF!$H13)*kgtoGg=0,"NO",('Activity data'!AR14*EF!$H13)*kgtoGg)</f>
        <v>23.750752008298576</v>
      </c>
      <c r="AS13" s="28">
        <f>IF(('Activity data'!AS14*EF!$H13)*kgtoGg=0,"NO",('Activity data'!AS14*EF!$H13)*kgtoGg)</f>
        <v>23.815761028651949</v>
      </c>
      <c r="AT13" s="28">
        <f>IF(('Activity data'!AT14*EF!$H13)*kgtoGg=0,"NO",('Activity data'!AT14*EF!$H13)*kgtoGg)</f>
        <v>23.884590926383627</v>
      </c>
      <c r="AU13" s="28">
        <f>IF(('Activity data'!AU14*EF!$H13)*kgtoGg=0,"NO",('Activity data'!AU14*EF!$H13)*kgtoGg)</f>
        <v>23.958806560417987</v>
      </c>
      <c r="AV13" s="28">
        <f>IF(('Activity data'!AV14*EF!$H13)*kgtoGg=0,"NO",('Activity data'!AV14*EF!$H13)*kgtoGg)</f>
        <v>24.038432950071041</v>
      </c>
      <c r="AW13" s="28">
        <f>IF(('Activity data'!AW14*EF!$H13)*kgtoGg=0,"NO",('Activity data'!AW14*EF!$H13)*kgtoGg)</f>
        <v>24.090844048807938</v>
      </c>
      <c r="AX13" s="28">
        <f>IF(('Activity data'!AX14*EF!$H13)*kgtoGg=0,"NO",('Activity data'!AX14*EF!$H13)*kgtoGg)</f>
        <v>24.147340072788001</v>
      </c>
      <c r="AY13" s="28">
        <f>IF(('Activity data'!AY14*EF!$H13)*kgtoGg=0,"NO",('Activity data'!AY14*EF!$H13)*kgtoGg)</f>
        <v>24.207569311008498</v>
      </c>
      <c r="AZ13" s="28">
        <f>IF(('Activity data'!AZ14*EF!$H13)*kgtoGg=0,"NO",('Activity data'!AZ14*EF!$H13)*kgtoGg)</f>
        <v>24.272208725715629</v>
      </c>
      <c r="BA13" s="28">
        <f>IF(('Activity data'!BA14*EF!$H13)*kgtoGg=0,"NO",('Activity data'!BA14*EF!$H13)*kgtoGg)</f>
        <v>24.338954961880422</v>
      </c>
      <c r="BB13" s="28">
        <f>IF(('Activity data'!BB14*EF!$H13)*kgtoGg=0,"NO",('Activity data'!BB14*EF!$H13)*kgtoGg)</f>
        <v>24.380331911554812</v>
      </c>
      <c r="BC13" s="28">
        <f>IF(('Activity data'!BC14*EF!$H13)*kgtoGg=0,"NO",('Activity data'!BC14*EF!$H13)*kgtoGg)</f>
        <v>24.424777199975328</v>
      </c>
      <c r="BD13" s="28">
        <f>IF(('Activity data'!BD14*EF!$H13)*kgtoGg=0,"NO",('Activity data'!BD14*EF!$H13)*kgtoGg)</f>
        <v>24.471589164759028</v>
      </c>
      <c r="BE13" s="28">
        <f>IF(('Activity data'!BE14*EF!$H13)*kgtoGg=0,"NO",('Activity data'!BE14*EF!$H13)*kgtoGg)</f>
        <v>24.521057714936269</v>
      </c>
      <c r="BF13" s="28">
        <f>IF(('Activity data'!BF14*EF!$H13)*kgtoGg=0,"NO",('Activity data'!BF14*EF!$H13)*kgtoGg)</f>
        <v>24.573444587074068</v>
      </c>
      <c r="BG13" s="28">
        <f>IF(('Activity data'!BG14*EF!$H13)*kgtoGg=0,"NO",('Activity data'!BG14*EF!$H13)*kgtoGg)</f>
        <v>24.602008945181939</v>
      </c>
      <c r="BH13" s="28">
        <f>IF(('Activity data'!BH14*EF!$H13)*kgtoGg=0,"NO",('Activity data'!BH14*EF!$H13)*kgtoGg)</f>
        <v>24.632307601657676</v>
      </c>
      <c r="BI13" s="28">
        <f>IF(('Activity data'!BI14*EF!$H13)*kgtoGg=0,"NO",('Activity data'!BI14*EF!$H13)*kgtoGg)</f>
        <v>24.664976489563418</v>
      </c>
      <c r="BJ13" s="28">
        <f>IF(('Activity data'!BJ14*EF!$H13)*kgtoGg=0,"NO",('Activity data'!BJ14*EF!$H13)*kgtoGg)</f>
        <v>24.699954831328611</v>
      </c>
      <c r="BK13" s="28">
        <f>IF(('Activity data'!BK14*EF!$H13)*kgtoGg=0,"NO",('Activity data'!BK14*EF!$H13)*kgtoGg)</f>
        <v>24.737687283947693</v>
      </c>
      <c r="BL13" s="28">
        <f>IF(('Activity data'!BL14*EF!$H13)*kgtoGg=0,"NO",('Activity data'!BL14*EF!$H13)*kgtoGg)</f>
        <v>24.75086724284872</v>
      </c>
      <c r="BM13" s="28">
        <f>IF(('Activity data'!BM14*EF!$H13)*kgtoGg=0,"NO",('Activity data'!BM14*EF!$H13)*kgtoGg)</f>
        <v>24.76112703621461</v>
      </c>
      <c r="BN13" s="28">
        <f>IF(('Activity data'!BN14*EF!$H13)*kgtoGg=0,"NO",('Activity data'!BN14*EF!$H13)*kgtoGg)</f>
        <v>24.772883292303622</v>
      </c>
      <c r="BO13" s="28">
        <f>IF(('Activity data'!BO14*EF!$H13)*kgtoGg=0,"NO",('Activity data'!BO14*EF!$H13)*kgtoGg)</f>
        <v>24.787068664892292</v>
      </c>
      <c r="BP13" s="28">
        <f>IF(('Activity data'!BP14*EF!$H13)*kgtoGg=0,"NO",('Activity data'!BP14*EF!$H13)*kgtoGg)</f>
        <v>24.802686834450295</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8">
        <f>IF(('Activity data'!H15*EF!$H14)*kgtoGg=0,"NO",('Activity data'!H15*EF!$H14)*kgtoGg)</f>
        <v>4.1399999999999997</v>
      </c>
      <c r="I14" s="28">
        <f>IF(('Activity data'!I15*EF!$H14)*kgtoGg=0,"NO",('Activity data'!I15*EF!$H14)*kgtoGg)</f>
        <v>4.1399999999999997</v>
      </c>
      <c r="J14" s="28">
        <f>IF(('Activity data'!J15*EF!$H14)*kgtoGg=0,"NO",('Activity data'!J15*EF!$H14)*kgtoGg)</f>
        <v>4.1399999999999997</v>
      </c>
      <c r="K14" s="28">
        <f>IF(('Activity data'!K15*EF!$H14)*kgtoGg=0,"NO",('Activity data'!K15*EF!$H14)*kgtoGg)</f>
        <v>4.2299999999999995</v>
      </c>
      <c r="L14" s="28">
        <f>IF(('Activity data'!L15*EF!$H14)*kgtoGg=0,"NO",('Activity data'!L15*EF!$H14)*kgtoGg)</f>
        <v>4.3199999999999994</v>
      </c>
      <c r="M14" s="28">
        <f>IF(('Activity data'!M15*EF!$H14)*kgtoGg=0,"NO",('Activity data'!M15*EF!$H14)*kgtoGg)</f>
        <v>4.41</v>
      </c>
      <c r="N14" s="28">
        <f>IF(('Activity data'!N15*EF!$H14)*kgtoGg=0,"NO",('Activity data'!N15*EF!$H14)*kgtoGg)</f>
        <v>4.5</v>
      </c>
      <c r="O14" s="28">
        <f>IF(('Activity data'!O15*EF!$H14)*kgtoGg=0,"NO",('Activity data'!O15*EF!$H14)*kgtoGg)</f>
        <v>4.59</v>
      </c>
      <c r="P14" s="28">
        <f>IF(('Activity data'!P15*EF!$H14)*kgtoGg=0,"NO",('Activity data'!P15*EF!$H14)*kgtoGg)</f>
        <v>4.68</v>
      </c>
      <c r="Q14" s="28">
        <f>IF(('Activity data'!Q15*EF!$H14)*kgtoGg=0,"NO",('Activity data'!Q15*EF!$H14)*kgtoGg)</f>
        <v>4.6440000000000001</v>
      </c>
      <c r="R14" s="28">
        <f>IF(('Activity data'!R15*EF!$H14)*kgtoGg=0,"NO",('Activity data'!R15*EF!$H14)*kgtoGg)</f>
        <v>4.8599999999999994</v>
      </c>
      <c r="S14" s="28">
        <f>IF(('Activity data'!S15*EF!$H14)*kgtoGg=0,"NO",('Activity data'!S15*EF!$H14)*kgtoGg)</f>
        <v>4.8599999999999994</v>
      </c>
      <c r="T14" s="28">
        <f>IF(('Activity data'!T15*EF!$H14)*kgtoGg=0,"NO",('Activity data'!T15*EF!$H14)*kgtoGg)</f>
        <v>4.8599999999999994</v>
      </c>
      <c r="U14" s="28">
        <f>IF(('Activity data'!U15*EF!$H14)*kgtoGg=0,"NO",('Activity data'!U15*EF!$H14)*kgtoGg)</f>
        <v>4.8599999999999994</v>
      </c>
      <c r="V14" s="28">
        <f>IF(('Activity data'!V15*EF!$H14)*kgtoGg=0,"NO",('Activity data'!V15*EF!$H14)*kgtoGg)</f>
        <v>4.8599999999999994</v>
      </c>
      <c r="W14" s="28">
        <f>IF(('Activity data'!W15*EF!$H14)*kgtoGg=0,"NO",('Activity data'!W15*EF!$H14)*kgtoGg)</f>
        <v>4.8599999999999994</v>
      </c>
      <c r="X14" s="28">
        <f>IF(('Activity data'!X15*EF!$H14)*kgtoGg=0,"NO",('Activity data'!X15*EF!$H14)*kgtoGg)</f>
        <v>5.04</v>
      </c>
      <c r="Y14" s="28">
        <f>IF(('Activity data'!Y15*EF!$H14)*kgtoGg=0,"NO",('Activity data'!Y15*EF!$H14)*kgtoGg)</f>
        <v>5.22</v>
      </c>
      <c r="Z14" s="28">
        <f>IF(('Activity data'!Z15*EF!$H14)*kgtoGg=0,"NO",('Activity data'!Z15*EF!$H14)*kgtoGg)</f>
        <v>5.3639999999999999</v>
      </c>
      <c r="AA14" s="28">
        <f>IF(('Activity data'!AA15*EF!$H14)*kgtoGg=0,"NO",('Activity data'!AA15*EF!$H14)*kgtoGg)</f>
        <v>5.3999999999999995</v>
      </c>
      <c r="AB14" s="28">
        <f>IF(('Activity data'!AB15*EF!$H14)*kgtoGg=0,"NO",('Activity data'!AB15*EF!$H14)*kgtoGg)</f>
        <v>5.3999999999999995</v>
      </c>
      <c r="AC14" s="28">
        <f>IF(('Activity data'!AC15*EF!$H14)*kgtoGg=0,"NO",('Activity data'!AC15*EF!$H14)*kgtoGg)</f>
        <v>5.4899999999999993</v>
      </c>
      <c r="AD14" s="28">
        <f>IF(('Activity data'!AD15*EF!$H14)*kgtoGg=0,"NO",('Activity data'!AD15*EF!$H14)*kgtoGg)</f>
        <v>5.5625078668475236</v>
      </c>
      <c r="AE14" s="28">
        <f>IF(('Activity data'!AE15*EF!$H14)*kgtoGg=0,"NO",('Activity data'!AE15*EF!$H14)*kgtoGg)</f>
        <v>5.5999708339814545</v>
      </c>
      <c r="AF14" s="28">
        <f>IF(('Activity data'!AF15*EF!$H14)*kgtoGg=0,"NO",('Activity data'!AF15*EF!$H14)*kgtoGg)</f>
        <v>5.6226370840776179</v>
      </c>
      <c r="AG14" s="28">
        <f>IF(('Activity data'!AG15*EF!$H14)*kgtoGg=0,"NO",('Activity data'!AG15*EF!$H14)*kgtoGg)</f>
        <v>5.5928142970106265</v>
      </c>
      <c r="AH14" s="28">
        <f>IF(('Activity data'!AH15*EF!$H14)*kgtoGg=0,"NO",('Activity data'!AH15*EF!$H14)*kgtoGg)</f>
        <v>5.5623376589201499</v>
      </c>
      <c r="AI14" s="28">
        <f>IF(('Activity data'!AI15*EF!$H14)*kgtoGg=0,"NO",('Activity data'!AI15*EF!$H14)*kgtoGg)</f>
        <v>5.5812216853376206</v>
      </c>
      <c r="AJ14" s="28">
        <f>IF(('Activity data'!AJ15*EF!$H14)*kgtoGg=0,"NO",('Activity data'!AJ15*EF!$H14)*kgtoGg)</f>
        <v>5.5836612172513842</v>
      </c>
      <c r="AK14" s="28">
        <f>IF(('Activity data'!AK15*EF!$H14)*kgtoGg=0,"NO",('Activity data'!AK15*EF!$H14)*kgtoGg)</f>
        <v>5.5315877353552168</v>
      </c>
      <c r="AL14" s="28">
        <f>IF(('Activity data'!AL15*EF!$H14)*kgtoGg=0,"NO",('Activity data'!AL15*EF!$H14)*kgtoGg)</f>
        <v>5.2455147526194601</v>
      </c>
      <c r="AM14" s="28">
        <f>IF(('Activity data'!AM15*EF!$H14)*kgtoGg=0,"NO",('Activity data'!AM15*EF!$H14)*kgtoGg)</f>
        <v>5.332808287437901</v>
      </c>
      <c r="AN14" s="28">
        <f>IF(('Activity data'!AN15*EF!$H14)*kgtoGg=0,"NO",('Activity data'!AN15*EF!$H14)*kgtoGg)</f>
        <v>5.3901753132609427</v>
      </c>
      <c r="AO14" s="28">
        <f>IF(('Activity data'!AO15*EF!$H14)*kgtoGg=0,"NO",('Activity data'!AO15*EF!$H14)*kgtoGg)</f>
        <v>5.440230309739654</v>
      </c>
      <c r="AP14" s="28">
        <f>IF(('Activity data'!AP15*EF!$H14)*kgtoGg=0,"NO",('Activity data'!AP15*EF!$H14)*kgtoGg)</f>
        <v>5.5003068027462358</v>
      </c>
      <c r="AQ14" s="28">
        <f>IF(('Activity data'!AQ15*EF!$H14)*kgtoGg=0,"NO",('Activity data'!AQ15*EF!$H14)*kgtoGg)</f>
        <v>5.5968430891840955</v>
      </c>
      <c r="AR14" s="28">
        <f>IF(('Activity data'!AR15*EF!$H14)*kgtoGg=0,"NO",('Activity data'!AR15*EF!$H14)*kgtoGg)</f>
        <v>5.7072120457799942</v>
      </c>
      <c r="AS14" s="28">
        <f>IF(('Activity data'!AS15*EF!$H14)*kgtoGg=0,"NO",('Activity data'!AS15*EF!$H14)*kgtoGg)</f>
        <v>5.8264820494807026</v>
      </c>
      <c r="AT14" s="28">
        <f>IF(('Activity data'!AT15*EF!$H14)*kgtoGg=0,"NO",('Activity data'!AT15*EF!$H14)*kgtoGg)</f>
        <v>5.9301104930204529</v>
      </c>
      <c r="AU14" s="28">
        <f>IF(('Activity data'!AU15*EF!$H14)*kgtoGg=0,"NO",('Activity data'!AU15*EF!$H14)*kgtoGg)</f>
        <v>6.0502396904604057</v>
      </c>
      <c r="AV14" s="28">
        <f>IF(('Activity data'!AV15*EF!$H14)*kgtoGg=0,"NO",('Activity data'!AV15*EF!$H14)*kgtoGg)</f>
        <v>6.1907930019013007</v>
      </c>
      <c r="AW14" s="28">
        <f>IF(('Activity data'!AW15*EF!$H14)*kgtoGg=0,"NO",('Activity data'!AW15*EF!$H14)*kgtoGg)</f>
        <v>6.3320471664105931</v>
      </c>
      <c r="AX14" s="28">
        <f>IF(('Activity data'!AX15*EF!$H14)*kgtoGg=0,"NO",('Activity data'!AX15*EF!$H14)*kgtoGg)</f>
        <v>6.4794646415598249</v>
      </c>
      <c r="AY14" s="28">
        <f>IF(('Activity data'!AY15*EF!$H14)*kgtoGg=0,"NO",('Activity data'!AY15*EF!$H14)*kgtoGg)</f>
        <v>6.6296689370175557</v>
      </c>
      <c r="AZ14" s="28">
        <f>IF(('Activity data'!AZ15*EF!$H14)*kgtoGg=0,"NO",('Activity data'!AZ15*EF!$H14)*kgtoGg)</f>
        <v>6.7972348352901832</v>
      </c>
      <c r="BA14" s="28">
        <f>IF(('Activity data'!BA15*EF!$H14)*kgtoGg=0,"NO",('Activity data'!BA15*EF!$H14)*kgtoGg)</f>
        <v>6.9438088425470355</v>
      </c>
      <c r="BB14" s="28">
        <f>IF(('Activity data'!BB15*EF!$H14)*kgtoGg=0,"NO",('Activity data'!BB15*EF!$H14)*kgtoGg)</f>
        <v>7.1048815884414847</v>
      </c>
      <c r="BC14" s="28">
        <f>IF(('Activity data'!BC15*EF!$H14)*kgtoGg=0,"NO",('Activity data'!BC15*EF!$H14)*kgtoGg)</f>
        <v>7.268627225560472</v>
      </c>
      <c r="BD14" s="28">
        <f>IF(('Activity data'!BD15*EF!$H14)*kgtoGg=0,"NO",('Activity data'!BD15*EF!$H14)*kgtoGg)</f>
        <v>7.42471904610154</v>
      </c>
      <c r="BE14" s="28">
        <f>IF(('Activity data'!BE15*EF!$H14)*kgtoGg=0,"NO",('Activity data'!BE15*EF!$H14)*kgtoGg)</f>
        <v>7.5801220888649867</v>
      </c>
      <c r="BF14" s="28">
        <f>IF(('Activity data'!BF15*EF!$H14)*kgtoGg=0,"NO",('Activity data'!BF15*EF!$H14)*kgtoGg)</f>
        <v>7.7411228012577773</v>
      </c>
      <c r="BG14" s="28">
        <f>IF(('Activity data'!BG15*EF!$H14)*kgtoGg=0,"NO",('Activity data'!BG15*EF!$H14)*kgtoGg)</f>
        <v>7.9163247577118536</v>
      </c>
      <c r="BH14" s="28">
        <f>IF(('Activity data'!BH15*EF!$H14)*kgtoGg=0,"NO",('Activity data'!BH15*EF!$H14)*kgtoGg)</f>
        <v>8.0810947340099517</v>
      </c>
      <c r="BI14" s="28">
        <f>IF(('Activity data'!BI15*EF!$H14)*kgtoGg=0,"NO",('Activity data'!BI15*EF!$H14)*kgtoGg)</f>
        <v>8.2480372843312519</v>
      </c>
      <c r="BJ14" s="28">
        <f>IF(('Activity data'!BJ15*EF!$H14)*kgtoGg=0,"NO",('Activity data'!BJ15*EF!$H14)*kgtoGg)</f>
        <v>8.4174605770969908</v>
      </c>
      <c r="BK14" s="28">
        <f>IF(('Activity data'!BK15*EF!$H14)*kgtoGg=0,"NO",('Activity data'!BK15*EF!$H14)*kgtoGg)</f>
        <v>8.5983802423376101</v>
      </c>
      <c r="BL14" s="28">
        <f>IF(('Activity data'!BL15*EF!$H14)*kgtoGg=0,"NO",('Activity data'!BL15*EF!$H14)*kgtoGg)</f>
        <v>8.7907471853609671</v>
      </c>
      <c r="BM14" s="28">
        <f>IF(('Activity data'!BM15*EF!$H14)*kgtoGg=0,"NO",('Activity data'!BM15*EF!$H14)*kgtoGg)</f>
        <v>8.8991507547228217</v>
      </c>
      <c r="BN14" s="28">
        <f>IF(('Activity data'!BN15*EF!$H14)*kgtoGg=0,"NO",('Activity data'!BN15*EF!$H14)*kgtoGg)</f>
        <v>9.0016825973480952</v>
      </c>
      <c r="BO14" s="28">
        <f>IF(('Activity data'!BO15*EF!$H14)*kgtoGg=0,"NO",('Activity data'!BO15*EF!$H14)*kgtoGg)</f>
        <v>9.1156705075973274</v>
      </c>
      <c r="BP14" s="28">
        <f>IF(('Activity data'!BP15*EF!$H14)*kgtoGg=0,"NO",('Activity data'!BP15*EF!$H14)*kgtoGg)</f>
        <v>9.2247946500114306</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8">
        <f>IF(('Activity data'!H16*EF!$H15)*kgtoGg=0,"NO",('Activity data'!H16*EF!$H15)*kgtoGg)</f>
        <v>2.2399999999999998</v>
      </c>
      <c r="I15" s="28">
        <f>IF(('Activity data'!I16*EF!$H15)*kgtoGg=0,"NO",('Activity data'!I16*EF!$H15)*kgtoGg)</f>
        <v>2.2399999999999998</v>
      </c>
      <c r="J15" s="28">
        <f>IF(('Activity data'!J16*EF!$H15)*kgtoGg=0,"NO",('Activity data'!J16*EF!$H15)*kgtoGg)</f>
        <v>2.2399999999999998</v>
      </c>
      <c r="K15" s="28">
        <f>IF(('Activity data'!K16*EF!$H15)*kgtoGg=0,"NO",('Activity data'!K16*EF!$H15)*kgtoGg)</f>
        <v>2.2399999999999998</v>
      </c>
      <c r="L15" s="28">
        <f>IF(('Activity data'!L16*EF!$H15)*kgtoGg=0,"NO",('Activity data'!L16*EF!$H15)*kgtoGg)</f>
        <v>2.2399999999999998</v>
      </c>
      <c r="M15" s="28">
        <f>IF(('Activity data'!M16*EF!$H15)*kgtoGg=0,"NO",('Activity data'!M16*EF!$H15)*kgtoGg)</f>
        <v>2.2399999999999998</v>
      </c>
      <c r="N15" s="28">
        <f>IF(('Activity data'!N16*EF!$H15)*kgtoGg=0,"NO",('Activity data'!N16*EF!$H15)*kgtoGg)</f>
        <v>2.2399999999999998</v>
      </c>
      <c r="O15" s="28">
        <f>IF(('Activity data'!O16*EF!$H15)*kgtoGg=0,"NO",('Activity data'!O16*EF!$H15)*kgtoGg)</f>
        <v>2.2399999999999998</v>
      </c>
      <c r="P15" s="28">
        <f>IF(('Activity data'!P16*EF!$H15)*kgtoGg=0,"NO",('Activity data'!P16*EF!$H15)*kgtoGg)</f>
        <v>2.2399999999999998</v>
      </c>
      <c r="Q15" s="28">
        <f>IF(('Activity data'!Q16*EF!$H15)*kgtoGg=0,"NO",('Activity data'!Q16*EF!$H15)*kgtoGg)</f>
        <v>2.2399999999999998</v>
      </c>
      <c r="R15" s="28">
        <f>IF(('Activity data'!R16*EF!$H15)*kgtoGg=0,"NO",('Activity data'!R16*EF!$H15)*kgtoGg)</f>
        <v>1.64</v>
      </c>
      <c r="S15" s="28">
        <f>IF(('Activity data'!S16*EF!$H15)*kgtoGg=0,"NO",('Activity data'!S16*EF!$H15)*kgtoGg)</f>
        <v>1.64</v>
      </c>
      <c r="T15" s="28">
        <f>IF(('Activity data'!T16*EF!$H15)*kgtoGg=0,"NO",('Activity data'!T16*EF!$H15)*kgtoGg)</f>
        <v>1.64</v>
      </c>
      <c r="U15" s="28">
        <f>IF(('Activity data'!U16*EF!$H15)*kgtoGg=0,"NO",('Activity data'!U16*EF!$H15)*kgtoGg)</f>
        <v>1.64</v>
      </c>
      <c r="V15" s="28">
        <f>IF(('Activity data'!V16*EF!$H15)*kgtoGg=0,"NO",('Activity data'!V16*EF!$H15)*kgtoGg)</f>
        <v>1.64</v>
      </c>
      <c r="W15" s="28">
        <f>IF(('Activity data'!W16*EF!$H15)*kgtoGg=0,"NO",('Activity data'!W16*EF!$H15)*kgtoGg)</f>
        <v>1.64</v>
      </c>
      <c r="X15" s="28">
        <f>IF(('Activity data'!X16*EF!$H15)*kgtoGg=0,"NO",('Activity data'!X16*EF!$H15)*kgtoGg)</f>
        <v>1.6404999999999998</v>
      </c>
      <c r="Y15" s="28">
        <f>IF(('Activity data'!Y16*EF!$H15)*kgtoGg=0,"NO",('Activity data'!Y16*EF!$H15)*kgtoGg)</f>
        <v>1.6459999999999999</v>
      </c>
      <c r="Z15" s="28">
        <f>IF(('Activity data'!Z16*EF!$H15)*kgtoGg=0,"NO",('Activity data'!Z16*EF!$H15)*kgtoGg)</f>
        <v>1.647</v>
      </c>
      <c r="AA15" s="28">
        <f>IF(('Activity data'!AA16*EF!$H15)*kgtoGg=0,"NO",('Activity data'!AA16*EF!$H15)*kgtoGg)</f>
        <v>1.6479999999999999</v>
      </c>
      <c r="AB15" s="28">
        <f>IF(('Activity data'!AB16*EF!$H15)*kgtoGg=0,"NO",('Activity data'!AB16*EF!$H15)*kgtoGg)</f>
        <v>1.663</v>
      </c>
      <c r="AC15" s="28">
        <f>IF(('Activity data'!AC16*EF!$H15)*kgtoGg=0,"NO",('Activity data'!AC16*EF!$H15)*kgtoGg)</f>
        <v>1.67</v>
      </c>
      <c r="AD15" s="28">
        <f>IF(('Activity data'!AD16*EF!$H15)*kgtoGg=0,"NO",('Activity data'!AD16*EF!$H15)*kgtoGg)</f>
        <v>1.67</v>
      </c>
      <c r="AE15" s="28">
        <f>IF(('Activity data'!AE16*EF!$H15)*kgtoGg=0,"NO",('Activity data'!AE16*EF!$H15)*kgtoGg)</f>
        <v>1.67</v>
      </c>
      <c r="AF15" s="28">
        <f>IF(('Activity data'!AF16*EF!$H15)*kgtoGg=0,"NO",('Activity data'!AF16*EF!$H15)*kgtoGg)</f>
        <v>1.67</v>
      </c>
      <c r="AG15" s="28">
        <f>IF(('Activity data'!AG16*EF!$H15)*kgtoGg=0,"NO",('Activity data'!AG16*EF!$H15)*kgtoGg)</f>
        <v>1.67</v>
      </c>
      <c r="AH15" s="28">
        <f>IF(('Activity data'!AH16*EF!$H15)*kgtoGg=0,"NO",('Activity data'!AH16*EF!$H15)*kgtoGg)</f>
        <v>1.67</v>
      </c>
      <c r="AI15" s="28">
        <f>IF(('Activity data'!AI16*EF!$H15)*kgtoGg=0,"NO",('Activity data'!AI16*EF!$H15)*kgtoGg)</f>
        <v>1.67</v>
      </c>
      <c r="AJ15" s="28">
        <f>IF(('Activity data'!AJ16*EF!$H15)*kgtoGg=0,"NO",('Activity data'!AJ16*EF!$H15)*kgtoGg)</f>
        <v>1.67</v>
      </c>
      <c r="AK15" s="28">
        <f>IF(('Activity data'!AK16*EF!$H15)*kgtoGg=0,"NO",('Activity data'!AK16*EF!$H15)*kgtoGg)</f>
        <v>1.67</v>
      </c>
      <c r="AL15" s="28">
        <f>IF(('Activity data'!AL16*EF!$H15)*kgtoGg=0,"NO",('Activity data'!AL16*EF!$H15)*kgtoGg)</f>
        <v>1.67</v>
      </c>
      <c r="AM15" s="28">
        <f>IF(('Activity data'!AM16*EF!$H15)*kgtoGg=0,"NO",('Activity data'!AM16*EF!$H15)*kgtoGg)</f>
        <v>1.67</v>
      </c>
      <c r="AN15" s="28">
        <f>IF(('Activity data'!AN16*EF!$H15)*kgtoGg=0,"NO",('Activity data'!AN16*EF!$H15)*kgtoGg)</f>
        <v>1.67</v>
      </c>
      <c r="AO15" s="28">
        <f>IF(('Activity data'!AO16*EF!$H15)*kgtoGg=0,"NO",('Activity data'!AO16*EF!$H15)*kgtoGg)</f>
        <v>1.67</v>
      </c>
      <c r="AP15" s="28">
        <f>IF(('Activity data'!AP16*EF!$H15)*kgtoGg=0,"NO",('Activity data'!AP16*EF!$H15)*kgtoGg)</f>
        <v>1.67</v>
      </c>
      <c r="AQ15" s="28">
        <f>IF(('Activity data'!AQ16*EF!$H15)*kgtoGg=0,"NO",('Activity data'!AQ16*EF!$H15)*kgtoGg)</f>
        <v>1.67</v>
      </c>
      <c r="AR15" s="28">
        <f>IF(('Activity data'!AR16*EF!$H15)*kgtoGg=0,"NO",('Activity data'!AR16*EF!$H15)*kgtoGg)</f>
        <v>1.67</v>
      </c>
      <c r="AS15" s="28">
        <f>IF(('Activity data'!AS16*EF!$H15)*kgtoGg=0,"NO",('Activity data'!AS16*EF!$H15)*kgtoGg)</f>
        <v>1.67</v>
      </c>
      <c r="AT15" s="28">
        <f>IF(('Activity data'!AT16*EF!$H15)*kgtoGg=0,"NO",('Activity data'!AT16*EF!$H15)*kgtoGg)</f>
        <v>1.67</v>
      </c>
      <c r="AU15" s="28">
        <f>IF(('Activity data'!AU16*EF!$H15)*kgtoGg=0,"NO",('Activity data'!AU16*EF!$H15)*kgtoGg)</f>
        <v>1.67</v>
      </c>
      <c r="AV15" s="28">
        <f>IF(('Activity data'!AV16*EF!$H15)*kgtoGg=0,"NO",('Activity data'!AV16*EF!$H15)*kgtoGg)</f>
        <v>1.67</v>
      </c>
      <c r="AW15" s="28">
        <f>IF(('Activity data'!AW16*EF!$H15)*kgtoGg=0,"NO",('Activity data'!AW16*EF!$H15)*kgtoGg)</f>
        <v>1.67</v>
      </c>
      <c r="AX15" s="28">
        <f>IF(('Activity data'!AX16*EF!$H15)*kgtoGg=0,"NO",('Activity data'!AX16*EF!$H15)*kgtoGg)</f>
        <v>1.67</v>
      </c>
      <c r="AY15" s="28">
        <f>IF(('Activity data'!AY16*EF!$H15)*kgtoGg=0,"NO",('Activity data'!AY16*EF!$H15)*kgtoGg)</f>
        <v>1.67</v>
      </c>
      <c r="AZ15" s="28">
        <f>IF(('Activity data'!AZ16*EF!$H15)*kgtoGg=0,"NO",('Activity data'!AZ16*EF!$H15)*kgtoGg)</f>
        <v>1.67</v>
      </c>
      <c r="BA15" s="28">
        <f>IF(('Activity data'!BA16*EF!$H15)*kgtoGg=0,"NO",('Activity data'!BA16*EF!$H15)*kgtoGg)</f>
        <v>1.67</v>
      </c>
      <c r="BB15" s="28">
        <f>IF(('Activity data'!BB16*EF!$H15)*kgtoGg=0,"NO",('Activity data'!BB16*EF!$H15)*kgtoGg)</f>
        <v>1.67</v>
      </c>
      <c r="BC15" s="28">
        <f>IF(('Activity data'!BC16*EF!$H15)*kgtoGg=0,"NO",('Activity data'!BC16*EF!$H15)*kgtoGg)</f>
        <v>1.67</v>
      </c>
      <c r="BD15" s="28">
        <f>IF(('Activity data'!BD16*EF!$H15)*kgtoGg=0,"NO",('Activity data'!BD16*EF!$H15)*kgtoGg)</f>
        <v>1.67</v>
      </c>
      <c r="BE15" s="28">
        <f>IF(('Activity data'!BE16*EF!$H15)*kgtoGg=0,"NO",('Activity data'!BE16*EF!$H15)*kgtoGg)</f>
        <v>1.67</v>
      </c>
      <c r="BF15" s="28">
        <f>IF(('Activity data'!BF16*EF!$H15)*kgtoGg=0,"NO",('Activity data'!BF16*EF!$H15)*kgtoGg)</f>
        <v>1.67</v>
      </c>
      <c r="BG15" s="28">
        <f>IF(('Activity data'!BG16*EF!$H15)*kgtoGg=0,"NO",('Activity data'!BG16*EF!$H15)*kgtoGg)</f>
        <v>1.67</v>
      </c>
      <c r="BH15" s="28">
        <f>IF(('Activity data'!BH16*EF!$H15)*kgtoGg=0,"NO",('Activity data'!BH16*EF!$H15)*kgtoGg)</f>
        <v>1.67</v>
      </c>
      <c r="BI15" s="28">
        <f>IF(('Activity data'!BI16*EF!$H15)*kgtoGg=0,"NO",('Activity data'!BI16*EF!$H15)*kgtoGg)</f>
        <v>1.67</v>
      </c>
      <c r="BJ15" s="28">
        <f>IF(('Activity data'!BJ16*EF!$H15)*kgtoGg=0,"NO",('Activity data'!BJ16*EF!$H15)*kgtoGg)</f>
        <v>1.67</v>
      </c>
      <c r="BK15" s="28">
        <f>IF(('Activity data'!BK16*EF!$H15)*kgtoGg=0,"NO",('Activity data'!BK16*EF!$H15)*kgtoGg)</f>
        <v>1.67</v>
      </c>
      <c r="BL15" s="28">
        <f>IF(('Activity data'!BL16*EF!$H15)*kgtoGg=0,"NO",('Activity data'!BL16*EF!$H15)*kgtoGg)</f>
        <v>1.67</v>
      </c>
      <c r="BM15" s="28">
        <f>IF(('Activity data'!BM16*EF!$H15)*kgtoGg=0,"NO",('Activity data'!BM16*EF!$H15)*kgtoGg)</f>
        <v>1.67</v>
      </c>
      <c r="BN15" s="28">
        <f>IF(('Activity data'!BN16*EF!$H15)*kgtoGg=0,"NO",('Activity data'!BN16*EF!$H15)*kgtoGg)</f>
        <v>1.67</v>
      </c>
      <c r="BO15" s="28">
        <f>IF(('Activity data'!BO16*EF!$H15)*kgtoGg=0,"NO",('Activity data'!BO16*EF!$H15)*kgtoGg)</f>
        <v>1.67</v>
      </c>
      <c r="BP15" s="28">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8">
        <f>IF(('Activity data'!H17*EF!$H16)*kgtoGg=0,"NO",('Activity data'!H17*EF!$H16)*kgtoGg)</f>
        <v>1.6933773600000002</v>
      </c>
      <c r="I16" s="28">
        <f>IF(('Activity data'!I17*EF!$H16)*kgtoGg=0,"NO",('Activity data'!I17*EF!$H16)*kgtoGg)</f>
        <v>1.8500481000000002</v>
      </c>
      <c r="J16" s="28">
        <f>IF(('Activity data'!J17*EF!$H16)*kgtoGg=0,"NO",('Activity data'!J17*EF!$H16)*kgtoGg)</f>
        <v>1.8378255600000002</v>
      </c>
      <c r="K16" s="28">
        <f>IF(('Activity data'!K17*EF!$H16)*kgtoGg=0,"NO",('Activity data'!K17*EF!$H16)*kgtoGg)</f>
        <v>1.8367144200000003</v>
      </c>
      <c r="L16" s="28">
        <f>IF(('Activity data'!L17*EF!$H16)*kgtoGg=0,"NO",('Activity data'!L17*EF!$H16)*kgtoGg)</f>
        <v>1.7444898000000002</v>
      </c>
      <c r="M16" s="28">
        <f>IF(('Activity data'!M17*EF!$H16)*kgtoGg=0,"NO",('Activity data'!M17*EF!$H16)*kgtoGg)</f>
        <v>1.7611569000000002</v>
      </c>
      <c r="N16" s="28">
        <f>IF(('Activity data'!N17*EF!$H16)*kgtoGg=0,"NO",('Activity data'!N17*EF!$H16)*kgtoGg)</f>
        <v>1.8967159800000004</v>
      </c>
      <c r="O16" s="28">
        <f>IF(('Activity data'!O17*EF!$H16)*kgtoGg=0,"NO",('Activity data'!O17*EF!$H16)*kgtoGg)</f>
        <v>1.8878268600000003</v>
      </c>
      <c r="P16" s="28">
        <f>IF(('Activity data'!P17*EF!$H16)*kgtoGg=0,"NO",('Activity data'!P17*EF!$H16)*kgtoGg)</f>
        <v>1.9289390400000004</v>
      </c>
      <c r="Q16" s="28">
        <f>IF(('Activity data'!Q17*EF!$H16)*kgtoGg=0,"NO",('Activity data'!Q17*EF!$H16)*kgtoGg)</f>
        <v>1.9778292000000004</v>
      </c>
      <c r="R16" s="28">
        <f>IF(('Activity data'!R17*EF!$H16)*kgtoGg=0,"NO",('Activity data'!R17*EF!$H16)*kgtoGg)</f>
        <v>1.8300475800000002</v>
      </c>
      <c r="S16" s="28">
        <f>IF(('Activity data'!S17*EF!$H16)*kgtoGg=0,"NO",('Activity data'!S17*EF!$H16)*kgtoGg)</f>
        <v>1.8644929200000002</v>
      </c>
      <c r="T16" s="28">
        <f>IF(('Activity data'!T17*EF!$H16)*kgtoGg=0,"NO",('Activity data'!T17*EF!$H16)*kgtoGg)</f>
        <v>1.9000494000000003</v>
      </c>
      <c r="U16" s="28">
        <f>IF(('Activity data'!U17*EF!$H16)*kgtoGg=0,"NO",('Activity data'!U17*EF!$H16)*kgtoGg)</f>
        <v>1.8478258200000002</v>
      </c>
      <c r="V16" s="28">
        <f>IF(('Activity data'!V17*EF!$H16)*kgtoGg=0,"NO",('Activity data'!V17*EF!$H16)*kgtoGg)</f>
        <v>1.8478258200000002</v>
      </c>
      <c r="W16" s="28">
        <f>IF(('Activity data'!W17*EF!$H16)*kgtoGg=0,"NO",('Activity data'!W17*EF!$H16)*kgtoGg)</f>
        <v>1.8344921400000003</v>
      </c>
      <c r="X16" s="28">
        <f>IF(('Activity data'!X17*EF!$H16)*kgtoGg=0,"NO",('Activity data'!X17*EF!$H16)*kgtoGg)</f>
        <v>1.8022690800000003</v>
      </c>
      <c r="Y16" s="28">
        <f>IF(('Activity data'!Y17*EF!$H16)*kgtoGg=0,"NO",('Activity data'!Y17*EF!$H16)*kgtoGg)</f>
        <v>1.8344921400000003</v>
      </c>
      <c r="Z16" s="28">
        <f>IF(('Activity data'!Z17*EF!$H16)*kgtoGg=0,"NO",('Activity data'!Z17*EF!$H16)*kgtoGg)</f>
        <v>1.7944911000000003</v>
      </c>
      <c r="AA16" s="28">
        <f>IF(('Activity data'!AA17*EF!$H16)*kgtoGg=0,"NO",('Activity data'!AA17*EF!$H16)*kgtoGg)</f>
        <v>1.7922688200000003</v>
      </c>
      <c r="AB16" s="28">
        <f>IF(('Activity data'!AB17*EF!$H16)*kgtoGg=0,"NO",('Activity data'!AB17*EF!$H16)*kgtoGg)</f>
        <v>1.7711571600000002</v>
      </c>
      <c r="AC16" s="28">
        <f>IF(('Activity data'!AC17*EF!$H16)*kgtoGg=0,"NO",('Activity data'!AC17*EF!$H16)*kgtoGg)</f>
        <v>1.7600457600000003</v>
      </c>
      <c r="AD16" s="28">
        <f>IF(('Activity data'!AD17*EF!$H16)*kgtoGg=0,"NO",('Activity data'!AD17*EF!$H16)*kgtoGg)</f>
        <v>1.8474255451679995</v>
      </c>
      <c r="AE16" s="28">
        <f>IF(('Activity data'!AE17*EF!$H16)*kgtoGg=0,"NO",('Activity data'!AE17*EF!$H16)*kgtoGg)</f>
        <v>1.8441604348292597</v>
      </c>
      <c r="AF16" s="28">
        <f>IF(('Activity data'!AF17*EF!$H16)*kgtoGg=0,"NO",('Activity data'!AF17*EF!$H16)*kgtoGg)</f>
        <v>1.8338137298795358</v>
      </c>
      <c r="AG16" s="28">
        <f>IF(('Activity data'!AG17*EF!$H16)*kgtoGg=0,"NO",('Activity data'!AG17*EF!$H16)*kgtoGg)</f>
        <v>1.7933482851133742</v>
      </c>
      <c r="AH16" s="28">
        <f>IF(('Activity data'!AH17*EF!$H16)*kgtoGg=0,"NO",('Activity data'!AH17*EF!$H16)*kgtoGg)</f>
        <v>1.7550816658957487</v>
      </c>
      <c r="AI16" s="28">
        <f>IF(('Activity data'!AI17*EF!$H16)*kgtoGg=0,"NO",('Activity data'!AI17*EF!$H16)*kgtoGg)</f>
        <v>1.7489053520701128</v>
      </c>
      <c r="AJ16" s="28">
        <f>IF(('Activity data'!AJ17*EF!$H16)*kgtoGg=0,"NO",('Activity data'!AJ17*EF!$H16)*kgtoGg)</f>
        <v>1.7339122581424293</v>
      </c>
      <c r="AK16" s="28">
        <f>IF(('Activity data'!AK17*EF!$H16)*kgtoGg=0,"NO",('Activity data'!AK17*EF!$H16)*kgtoGg)</f>
        <v>1.6877345539497199</v>
      </c>
      <c r="AL16" s="28">
        <f>IF(('Activity data'!AL17*EF!$H16)*kgtoGg=0,"NO",('Activity data'!AL17*EF!$H16)*kgtoGg)</f>
        <v>1.5053811336602128</v>
      </c>
      <c r="AM16" s="28">
        <f>IF(('Activity data'!AM17*EF!$H16)*kgtoGg=0,"NO",('Activity data'!AM17*EF!$H16)*kgtoGg)</f>
        <v>1.5377628037868112</v>
      </c>
      <c r="AN16" s="28">
        <f>IF(('Activity data'!AN17*EF!$H16)*kgtoGg=0,"NO",('Activity data'!AN17*EF!$H16)*kgtoGg)</f>
        <v>1.552673977291076</v>
      </c>
      <c r="AO16" s="28">
        <f>IF(('Activity data'!AO17*EF!$H16)*kgtoGg=0,"NO",('Activity data'!AO17*EF!$H16)*kgtoGg)</f>
        <v>1.5635339108098432</v>
      </c>
      <c r="AP16" s="28">
        <f>IF(('Activity data'!AP17*EF!$H16)*kgtoGg=0,"NO",('Activity data'!AP17*EF!$H16)*kgtoGg)</f>
        <v>1.5802068350253002</v>
      </c>
      <c r="AQ16" s="28">
        <f>IF(('Activity data'!AQ17*EF!$H16)*kgtoGg=0,"NO",('Activity data'!AQ17*EF!$H16)*kgtoGg)</f>
        <v>1.6172323659778973</v>
      </c>
      <c r="AR16" s="28">
        <f>IF(('Activity data'!AR17*EF!$H16)*kgtoGg=0,"NO",('Activity data'!AR17*EF!$H16)*kgtoGg)</f>
        <v>1.6589025382757046</v>
      </c>
      <c r="AS16" s="28">
        <f>IF(('Activity data'!AS17*EF!$H16)*kgtoGg=0,"NO",('Activity data'!AS17*EF!$H16)*kgtoGg)</f>
        <v>1.7047569121988</v>
      </c>
      <c r="AT16" s="28">
        <f>IF(('Activity data'!AT17*EF!$H16)*kgtoGg=0,"NO",('Activity data'!AT17*EF!$H16)*kgtoGg)</f>
        <v>1.7414239138931573</v>
      </c>
      <c r="AU16" s="28">
        <f>IF(('Activity data'!AU17*EF!$H16)*kgtoGg=0,"NO",('Activity data'!AU17*EF!$H16)*kgtoGg)</f>
        <v>1.7863343967077348</v>
      </c>
      <c r="AV16" s="28">
        <f>IF(('Activity data'!AV17*EF!$H16)*kgtoGg=0,"NO",('Activity data'!AV17*EF!$H16)*kgtoGg)</f>
        <v>1.8412944995472851</v>
      </c>
      <c r="AW16" s="28">
        <f>IF(('Activity data'!AW17*EF!$H16)*kgtoGg=0,"NO",('Activity data'!AW17*EF!$H16)*kgtoGg)</f>
        <v>1.8933168508248233</v>
      </c>
      <c r="AX16" s="28">
        <f>IF(('Activity data'!AX17*EF!$H16)*kgtoGg=0,"NO",('Activity data'!AX17*EF!$H16)*kgtoGg)</f>
        <v>1.9474606383722404</v>
      </c>
      <c r="AY16" s="28">
        <f>IF(('Activity data'!AY17*EF!$H16)*kgtoGg=0,"NO",('Activity data'!AY17*EF!$H16)*kgtoGg)</f>
        <v>2.0019218993391705</v>
      </c>
      <c r="AZ16" s="28">
        <f>IF(('Activity data'!AZ17*EF!$H16)*kgtoGg=0,"NO",('Activity data'!AZ17*EF!$H16)*kgtoGg)</f>
        <v>2.0640337310487364</v>
      </c>
      <c r="BA16" s="28">
        <f>IF(('Activity data'!BA17*EF!$H16)*kgtoGg=0,"NO",('Activity data'!BA17*EF!$H16)*kgtoGg)</f>
        <v>2.1143896915844675</v>
      </c>
      <c r="BB16" s="28">
        <f>IF(('Activity data'!BB17*EF!$H16)*kgtoGg=0,"NO",('Activity data'!BB17*EF!$H16)*kgtoGg)</f>
        <v>2.1683478050489855</v>
      </c>
      <c r="BC16" s="28">
        <f>IF(('Activity data'!BC17*EF!$H16)*kgtoGg=0,"NO",('Activity data'!BC17*EF!$H16)*kgtoGg)</f>
        <v>2.2223161129731017</v>
      </c>
      <c r="BD16" s="28">
        <f>IF(('Activity data'!BD17*EF!$H16)*kgtoGg=0,"NO",('Activity data'!BD17*EF!$H16)*kgtoGg)</f>
        <v>2.2712974627449407</v>
      </c>
      <c r="BE16" s="28">
        <f>IF(('Activity data'!BE17*EF!$H16)*kgtoGg=0,"NO",('Activity data'!BE17*EF!$H16)*kgtoGg)</f>
        <v>2.3187596234531931</v>
      </c>
      <c r="BF16" s="28">
        <f>IF(('Activity data'!BF17*EF!$H16)*kgtoGg=0,"NO",('Activity data'!BF17*EF!$H16)*kgtoGg)</f>
        <v>2.3676923627976345</v>
      </c>
      <c r="BG16" s="28">
        <f>IF(('Activity data'!BG17*EF!$H16)*kgtoGg=0,"NO",('Activity data'!BG17*EF!$H16)*kgtoGg)</f>
        <v>2.4194242817017155</v>
      </c>
      <c r="BH16" s="28">
        <f>IF(('Activity data'!BH17*EF!$H16)*kgtoGg=0,"NO",('Activity data'!BH17*EF!$H16)*kgtoGg)</f>
        <v>2.4649069844651375</v>
      </c>
      <c r="BI16" s="28">
        <f>IF(('Activity data'!BI17*EF!$H16)*kgtoGg=0,"NO",('Activity data'!BI17*EF!$H16)*kgtoGg)</f>
        <v>2.5100582920146528</v>
      </c>
      <c r="BJ16" s="28">
        <f>IF(('Activity data'!BJ17*EF!$H16)*kgtoGg=0,"NO",('Activity data'!BJ17*EF!$H16)*kgtoGg)</f>
        <v>2.5549982553333939</v>
      </c>
      <c r="BK16" s="28">
        <f>IF(('Activity data'!BK17*EF!$H16)*kgtoGg=0,"NO",('Activity data'!BK17*EF!$H16)*kgtoGg)</f>
        <v>2.6036946475230054</v>
      </c>
      <c r="BL16" s="28">
        <f>IF(('Activity data'!BL17*EF!$H16)*kgtoGg=0,"NO",('Activity data'!BL17*EF!$H16)*kgtoGg)</f>
        <v>2.653097485519059</v>
      </c>
      <c r="BM16" s="28">
        <f>IF(('Activity data'!BM17*EF!$H16)*kgtoGg=0,"NO",('Activity data'!BM17*EF!$H16)*kgtoGg)</f>
        <v>2.6646485873532106</v>
      </c>
      <c r="BN16" s="28">
        <f>IF(('Activity data'!BN17*EF!$H16)*kgtoGg=0,"NO",('Activity data'!BN17*EF!$H16)*kgtoGg)</f>
        <v>2.6730218901162521</v>
      </c>
      <c r="BO16" s="28">
        <f>IF(('Activity data'!BO17*EF!$H16)*kgtoGg=0,"NO",('Activity data'!BO17*EF!$H16)*kgtoGg)</f>
        <v>2.6855920926795118</v>
      </c>
      <c r="BP16" s="28">
        <f>IF(('Activity data'!BP17*EF!$H16)*kgtoGg=0,"NO",('Activity data'!BP17*EF!$H16)*kgtoGg)</f>
        <v>2.6954069255347832</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8">
        <f>IF(('Activity data'!H18*EF!$H17)*kgtoGg=0,"NO",('Activity data'!H18*EF!$H17)*kgtoGg)</f>
        <v>0.22469223109375691</v>
      </c>
      <c r="I17" s="28">
        <f>IF(('Activity data'!I18*EF!$H17)*kgtoGg=0,"NO",('Activity data'!I18*EF!$H17)*kgtoGg)</f>
        <v>0.24548068554534469</v>
      </c>
      <c r="J17" s="28">
        <f>IF(('Activity data'!J18*EF!$H17)*kgtoGg=0,"NO",('Activity data'!J18*EF!$H17)*kgtoGg)</f>
        <v>0.24385889122642646</v>
      </c>
      <c r="K17" s="28">
        <f>IF(('Activity data'!K18*EF!$H17)*kgtoGg=0,"NO",('Activity data'!K18*EF!$H17)*kgtoGg)</f>
        <v>0.2437114553792521</v>
      </c>
      <c r="L17" s="28">
        <f>IF(('Activity data'!L18*EF!$H17)*kgtoGg=0,"NO",('Activity data'!L18*EF!$H17)*kgtoGg)</f>
        <v>0.23147428006377843</v>
      </c>
      <c r="M17" s="28">
        <f>IF(('Activity data'!M18*EF!$H17)*kgtoGg=0,"NO",('Activity data'!M18*EF!$H17)*kgtoGg)</f>
        <v>0.23368581777139416</v>
      </c>
      <c r="N17" s="28">
        <f>IF(('Activity data'!N18*EF!$H17)*kgtoGg=0,"NO",('Activity data'!N18*EF!$H17)*kgtoGg)</f>
        <v>0.25167299112666869</v>
      </c>
      <c r="O17" s="28">
        <f>IF(('Activity data'!O18*EF!$H17)*kgtoGg=0,"NO",('Activity data'!O18*EF!$H17)*kgtoGg)</f>
        <v>0.25049350434927364</v>
      </c>
      <c r="P17" s="28">
        <f>IF(('Activity data'!P18*EF!$H17)*kgtoGg=0,"NO",('Activity data'!P18*EF!$H17)*kgtoGg)</f>
        <v>0.25594863069472573</v>
      </c>
      <c r="Q17" s="28">
        <f>IF(('Activity data'!Q18*EF!$H17)*kgtoGg=0,"NO",('Activity data'!Q18*EF!$H17)*kgtoGg)</f>
        <v>0.2624358079703985</v>
      </c>
      <c r="R17" s="28">
        <f>IF(('Activity data'!R18*EF!$H17)*kgtoGg=0,"NO",('Activity data'!R18*EF!$H17)*kgtoGg)</f>
        <v>0.24282684029620583</v>
      </c>
      <c r="S17" s="28">
        <f>IF(('Activity data'!S18*EF!$H17)*kgtoGg=0,"NO",('Activity data'!S18*EF!$H17)*kgtoGg)</f>
        <v>0.24739735155861162</v>
      </c>
      <c r="T17" s="28">
        <f>IF(('Activity data'!T18*EF!$H17)*kgtoGg=0,"NO",('Activity data'!T18*EF!$H17)*kgtoGg)</f>
        <v>0.25211529866819182</v>
      </c>
      <c r="U17" s="28">
        <f>IF(('Activity data'!U18*EF!$H17)*kgtoGg=0,"NO",('Activity data'!U18*EF!$H17)*kgtoGg)</f>
        <v>0.24518581385099592</v>
      </c>
      <c r="V17" s="28">
        <f>IF(('Activity data'!V18*EF!$H17)*kgtoGg=0,"NO",('Activity data'!V18*EF!$H17)*kgtoGg)</f>
        <v>0.24518581385099592</v>
      </c>
      <c r="W17" s="28">
        <f>IF(('Activity data'!W18*EF!$H17)*kgtoGg=0,"NO",('Activity data'!W18*EF!$H17)*kgtoGg)</f>
        <v>0.24341658368490332</v>
      </c>
      <c r="X17" s="28">
        <f>IF(('Activity data'!X18*EF!$H17)*kgtoGg=0,"NO",('Activity data'!X18*EF!$H17)*kgtoGg)</f>
        <v>0.23914094411684628</v>
      </c>
      <c r="Y17" s="28">
        <f>IF(('Activity data'!Y18*EF!$H17)*kgtoGg=0,"NO",('Activity data'!Y18*EF!$H17)*kgtoGg)</f>
        <v>0.24341658368490332</v>
      </c>
      <c r="Z17" s="28">
        <f>IF(('Activity data'!Z18*EF!$H17)*kgtoGg=0,"NO",('Activity data'!Z18*EF!$H17)*kgtoGg)</f>
        <v>0.23810889318662562</v>
      </c>
      <c r="AA17" s="28">
        <f>IF(('Activity data'!AA18*EF!$H17)*kgtoGg=0,"NO",('Activity data'!AA18*EF!$H17)*kgtoGg)</f>
        <v>0.23781402149227684</v>
      </c>
      <c r="AB17" s="28">
        <f>IF(('Activity data'!AB18*EF!$H17)*kgtoGg=0,"NO",('Activity data'!AB18*EF!$H17)*kgtoGg)</f>
        <v>0.23501274039596362</v>
      </c>
      <c r="AC17" s="28">
        <f>IF(('Activity data'!AC18*EF!$H17)*kgtoGg=0,"NO",('Activity data'!AC18*EF!$H17)*kgtoGg)</f>
        <v>0.2335383819242198</v>
      </c>
      <c r="AD17" s="28">
        <f>IF(('Activity data'!AD18*EF!$H17)*kgtoGg=0,"NO",('Activity data'!AD18*EF!$H17)*kgtoGg)</f>
        <v>0.25598228499623599</v>
      </c>
      <c r="AE17" s="28">
        <f>IF(('Activity data'!AE18*EF!$H17)*kgtoGg=0,"NO",('Activity data'!AE18*EF!$H17)*kgtoGg)</f>
        <v>0.25552986600297178</v>
      </c>
      <c r="AF17" s="28">
        <f>IF(('Activity data'!AF18*EF!$H17)*kgtoGg=0,"NO",('Activity data'!AF18*EF!$H17)*kgtoGg)</f>
        <v>0.2540962097551519</v>
      </c>
      <c r="AG17" s="28">
        <f>IF(('Activity data'!AG18*EF!$H17)*kgtoGg=0,"NO",('Activity data'!AG18*EF!$H17)*kgtoGg)</f>
        <v>0.24848925198533875</v>
      </c>
      <c r="AH17" s="28">
        <f>IF(('Activity data'!AH18*EF!$H17)*kgtoGg=0,"NO",('Activity data'!AH18*EF!$H17)*kgtoGg)</f>
        <v>0.24318696705589768</v>
      </c>
      <c r="AI17" s="28">
        <f>IF(('Activity data'!AI18*EF!$H17)*kgtoGg=0,"NO",('Activity data'!AI18*EF!$H17)*kgtoGg)</f>
        <v>0.24233116697774282</v>
      </c>
      <c r="AJ17" s="28">
        <f>IF(('Activity data'!AJ18*EF!$H17)*kgtoGg=0,"NO",('Activity data'!AJ18*EF!$H17)*kgtoGg)</f>
        <v>0.24025369952428582</v>
      </c>
      <c r="AK17" s="28">
        <f>IF(('Activity data'!AK18*EF!$H17)*kgtoGg=0,"NO",('Activity data'!AK18*EF!$H17)*kgtoGg)</f>
        <v>0.23385524180779091</v>
      </c>
      <c r="AL17" s="28">
        <f>IF(('Activity data'!AL18*EF!$H17)*kgtoGg=0,"NO",('Activity data'!AL18*EF!$H17)*kgtoGg)</f>
        <v>0.20858805562825686</v>
      </c>
      <c r="AM17" s="28">
        <f>IF(('Activity data'!AM18*EF!$H17)*kgtoGg=0,"NO",('Activity data'!AM18*EF!$H17)*kgtoGg)</f>
        <v>0.21307491245054205</v>
      </c>
      <c r="AN17" s="28">
        <f>IF(('Activity data'!AN18*EF!$H17)*kgtoGg=0,"NO",('Activity data'!AN18*EF!$H17)*kgtoGg)</f>
        <v>0.21514102887703648</v>
      </c>
      <c r="AO17" s="28">
        <f>IF(('Activity data'!AO18*EF!$H17)*kgtoGg=0,"NO",('Activity data'!AO18*EF!$H17)*kgtoGg)</f>
        <v>0.21664579890921035</v>
      </c>
      <c r="AP17" s="28">
        <f>IF(('Activity data'!AP18*EF!$H17)*kgtoGg=0,"NO",('Activity data'!AP18*EF!$H17)*kgtoGg)</f>
        <v>0.21895602637651193</v>
      </c>
      <c r="AQ17" s="28">
        <f>IF(('Activity data'!AQ18*EF!$H17)*kgtoGg=0,"NO",('Activity data'!AQ18*EF!$H17)*kgtoGg)</f>
        <v>0.22408634409959116</v>
      </c>
      <c r="AR17" s="28">
        <f>IF(('Activity data'!AR18*EF!$H17)*kgtoGg=0,"NO",('Activity data'!AR18*EF!$H17)*kgtoGg)</f>
        <v>0.22986023087347443</v>
      </c>
      <c r="AS17" s="28">
        <f>IF(('Activity data'!AS18*EF!$H17)*kgtoGg=0,"NO",('Activity data'!AS18*EF!$H17)*kgtoGg)</f>
        <v>0.23621388742250649</v>
      </c>
      <c r="AT17" s="28">
        <f>IF(('Activity data'!AT18*EF!$H17)*kgtoGg=0,"NO",('Activity data'!AT18*EF!$H17)*kgtoGg)</f>
        <v>0.24129452674907209</v>
      </c>
      <c r="AU17" s="28">
        <f>IF(('Activity data'!AU18*EF!$H17)*kgtoGg=0,"NO",('Activity data'!AU18*EF!$H17)*kgtoGg)</f>
        <v>0.24751739621259586</v>
      </c>
      <c r="AV17" s="28">
        <f>IF(('Activity data'!AV18*EF!$H17)*kgtoGg=0,"NO",('Activity data'!AV18*EF!$H17)*kgtoGg)</f>
        <v>0.25513275735410096</v>
      </c>
      <c r="AW17" s="28">
        <f>IF(('Activity data'!AW18*EF!$H17)*kgtoGg=0,"NO",('Activity data'!AW18*EF!$H17)*kgtoGg)</f>
        <v>0.26234105886629538</v>
      </c>
      <c r="AX17" s="28">
        <f>IF(('Activity data'!AX18*EF!$H17)*kgtoGg=0,"NO",('Activity data'!AX18*EF!$H17)*kgtoGg)</f>
        <v>0.26984331003467904</v>
      </c>
      <c r="AY17" s="28">
        <f>IF(('Activity data'!AY18*EF!$H17)*kgtoGg=0,"NO",('Activity data'!AY18*EF!$H17)*kgtoGg)</f>
        <v>0.27738955083586025</v>
      </c>
      <c r="AZ17" s="28">
        <f>IF(('Activity data'!AZ18*EF!$H17)*kgtoGg=0,"NO",('Activity data'!AZ18*EF!$H17)*kgtoGg)</f>
        <v>0.28599586714879749</v>
      </c>
      <c r="BA17" s="28">
        <f>IF(('Activity data'!BA18*EF!$H17)*kgtoGg=0,"NO",('Activity data'!BA18*EF!$H17)*kgtoGg)</f>
        <v>0.29297327085247121</v>
      </c>
      <c r="BB17" s="28">
        <f>IF(('Activity data'!BB18*EF!$H17)*kgtoGg=0,"NO",('Activity data'!BB18*EF!$H17)*kgtoGg)</f>
        <v>0.30044979471826921</v>
      </c>
      <c r="BC17" s="28">
        <f>IF(('Activity data'!BC18*EF!$H17)*kgtoGg=0,"NO",('Activity data'!BC18*EF!$H17)*kgtoGg)</f>
        <v>0.30792773114495187</v>
      </c>
      <c r="BD17" s="28">
        <f>IF(('Activity data'!BD18*EF!$H17)*kgtoGg=0,"NO",('Activity data'!BD18*EF!$H17)*kgtoGg)</f>
        <v>0.31471466654789126</v>
      </c>
      <c r="BE17" s="28">
        <f>IF(('Activity data'!BE18*EF!$H17)*kgtoGg=0,"NO",('Activity data'!BE18*EF!$H17)*kgtoGg)</f>
        <v>0.32129110064599836</v>
      </c>
      <c r="BF17" s="28">
        <f>IF(('Activity data'!BF18*EF!$H17)*kgtoGg=0,"NO",('Activity data'!BF18*EF!$H17)*kgtoGg)</f>
        <v>0.32807130050914157</v>
      </c>
      <c r="BG17" s="28">
        <f>IF(('Activity data'!BG18*EF!$H17)*kgtoGg=0,"NO",('Activity data'!BG18*EF!$H17)*kgtoGg)</f>
        <v>0.33523935923981285</v>
      </c>
      <c r="BH17" s="28">
        <f>IF(('Activity data'!BH18*EF!$H17)*kgtoGg=0,"NO",('Activity data'!BH18*EF!$H17)*kgtoGg)</f>
        <v>0.3415415164291174</v>
      </c>
      <c r="BI17" s="28">
        <f>IF(('Activity data'!BI18*EF!$H17)*kgtoGg=0,"NO",('Activity data'!BI18*EF!$H17)*kgtoGg)</f>
        <v>0.34779775495917498</v>
      </c>
      <c r="BJ17" s="28">
        <f>IF(('Activity data'!BJ18*EF!$H17)*kgtoGg=0,"NO",('Activity data'!BJ18*EF!$H17)*kgtoGg)</f>
        <v>0.35402470928925173</v>
      </c>
      <c r="BK17" s="28">
        <f>IF(('Activity data'!BK18*EF!$H17)*kgtoGg=0,"NO",('Activity data'!BK18*EF!$H17)*kgtoGg)</f>
        <v>0.36077216050663552</v>
      </c>
      <c r="BL17" s="28">
        <f>IF(('Activity data'!BL18*EF!$H17)*kgtoGg=0,"NO",('Activity data'!BL18*EF!$H17)*kgtoGg)</f>
        <v>0.36761749800270155</v>
      </c>
      <c r="BM17" s="28">
        <f>IF(('Activity data'!BM18*EF!$H17)*kgtoGg=0,"NO",('Activity data'!BM18*EF!$H17)*kgtoGg)</f>
        <v>0.36921803743957582</v>
      </c>
      <c r="BN17" s="28">
        <f>IF(('Activity data'!BN18*EF!$H17)*kgtoGg=0,"NO",('Activity data'!BN18*EF!$H17)*kgtoGg)</f>
        <v>0.37037825587428075</v>
      </c>
      <c r="BO17" s="28">
        <f>IF(('Activity data'!BO18*EF!$H17)*kgtoGg=0,"NO",('Activity data'!BO18*EF!$H17)*kgtoGg)</f>
        <v>0.37212000356388308</v>
      </c>
      <c r="BP17" s="28">
        <f>IF(('Activity data'!BP18*EF!$H17)*kgtoGg=0,"NO",('Activity data'!BP18*EF!$H17)*kgtoGg)</f>
        <v>0.37347996275017875</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8">
        <f>IF(('Activity data'!H5*EF!$H18)*kgtoGg=0,"NO",('Activity data'!H5*EF!$H18)*kgtoGg)</f>
        <v>6.0766424349879422</v>
      </c>
      <c r="I18" s="28">
        <f>IF(('Activity data'!I5*EF!$H18)*kgtoGg=0,"NO",('Activity data'!I5*EF!$H18)*kgtoGg)</f>
        <v>6.9957938304816798</v>
      </c>
      <c r="J18" s="28">
        <f>IF(('Activity data'!J5*EF!$H18)*kgtoGg=0,"NO",('Activity data'!J5*EF!$H18)*kgtoGg)</f>
        <v>6.0522668467284246</v>
      </c>
      <c r="K18" s="28">
        <f>IF(('Activity data'!K5*EF!$H18)*kgtoGg=0,"NO",('Activity data'!K5*EF!$H18)*kgtoGg)</f>
        <v>6.4189962026778016</v>
      </c>
      <c r="L18" s="28">
        <f>IF(('Activity data'!L5*EF!$H18)*kgtoGg=0,"NO",('Activity data'!L5*EF!$H18)*kgtoGg)</f>
        <v>5.9547644936903517</v>
      </c>
      <c r="M18" s="28">
        <f>IF(('Activity data'!M5*EF!$H18)*kgtoGg=0,"NO",('Activity data'!M5*EF!$H18)*kgtoGg)</f>
        <v>6.3702450261587664</v>
      </c>
      <c r="N18" s="28">
        <f>IF(('Activity data'!N5*EF!$H18)*kgtoGg=0,"NO",('Activity data'!N5*EF!$H18)*kgtoGg)</f>
        <v>6.3946206144182849</v>
      </c>
      <c r="O18" s="28">
        <f>IF(('Activity data'!O5*EF!$H18)*kgtoGg=0,"NO",('Activity data'!O5*EF!$H18)*kgtoGg)</f>
        <v>6.1648327655448512</v>
      </c>
      <c r="P18" s="28">
        <f>IF(('Activity data'!P5*EF!$H18)*kgtoGg=0,"NO",('Activity data'!P5*EF!$H18)*kgtoGg)</f>
        <v>6.0917060007662966</v>
      </c>
      <c r="Q18" s="28">
        <f>IF(('Activity data'!Q5*EF!$H18)*kgtoGg=0,"NO",('Activity data'!Q5*EF!$H18)*kgtoGg)</f>
        <v>5.9837960931904526</v>
      </c>
      <c r="R18" s="28">
        <f>IF(('Activity data'!R5*EF!$H18)*kgtoGg=0,"NO",('Activity data'!R5*EF!$H18)*kgtoGg)</f>
        <v>7.7048769541209179</v>
      </c>
      <c r="S18" s="28">
        <f>IF(('Activity data'!S5*EF!$H18)*kgtoGg=0,"NO",('Activity data'!S5*EF!$H18)*kgtoGg)</f>
        <v>7.6805013658613994</v>
      </c>
      <c r="T18" s="28">
        <f>IF(('Activity data'!T5*EF!$H18)*kgtoGg=0,"NO",('Activity data'!T5*EF!$H18)*kgtoGg)</f>
        <v>6.697535228070274</v>
      </c>
      <c r="U18" s="28">
        <f>IF(('Activity data'!U5*EF!$H18)*kgtoGg=0,"NO",('Activity data'!U5*EF!$H18)*kgtoGg)</f>
        <v>6.0917060007662966</v>
      </c>
      <c r="V18" s="28">
        <f>IF(('Activity data'!V5*EF!$H18)*kgtoGg=0,"NO",('Activity data'!V5*EF!$H18)*kgtoGg)</f>
        <v>5.881637728911798</v>
      </c>
      <c r="W18" s="28">
        <f>IF(('Activity data'!W5*EF!$H18)*kgtoGg=0,"NO",('Activity data'!W5*EF!$H18)*kgtoGg)</f>
        <v>6.2971182613802119</v>
      </c>
      <c r="X18" s="28">
        <f>IF(('Activity data'!X5*EF!$H18)*kgtoGg=0,"NO",('Activity data'!X5*EF!$H18)*kgtoGg)</f>
        <v>6.1601767543042687</v>
      </c>
      <c r="Y18" s="28">
        <f>IF(('Activity data'!Y5*EF!$H18)*kgtoGg=0,"NO",('Activity data'!Y5*EF!$H18)*kgtoGg)</f>
        <v>6.1160815890258151</v>
      </c>
      <c r="Z18" s="28">
        <f>IF(('Activity data'!Z5*EF!$H18)*kgtoGg=0,"NO",('Activity data'!Z5*EF!$H18)*kgtoGg)</f>
        <v>7.4901526710258377</v>
      </c>
      <c r="AA18" s="28">
        <f>IF(('Activity data'!AA5*EF!$H18)*kgtoGg=0,"NO",('Activity data'!AA5*EF!$H18)*kgtoGg)</f>
        <v>7.6758453546208179</v>
      </c>
      <c r="AB18" s="28">
        <f>IF(('Activity data'!AB5*EF!$H18)*kgtoGg=0,"NO",('Activity data'!AB5*EF!$H18)*kgtoGg)</f>
        <v>7.6758453546208179</v>
      </c>
      <c r="AC18" s="28">
        <f>IF(('Activity data'!AC5*EF!$H18)*kgtoGg=0,"NO",('Activity data'!AC5*EF!$H18)*kgtoGg)</f>
        <v>7.3973063292283463</v>
      </c>
      <c r="AD18" s="28">
        <f>IF(('Activity data'!AD5*EF!$H18)*kgtoGg=0,"NO",('Activity data'!AD5*EF!$H18)*kgtoGg)</f>
        <v>7.3588045650103595</v>
      </c>
      <c r="AE18" s="28">
        <f>IF(('Activity data'!AE5*EF!$H18)*kgtoGg=0,"NO",('Activity data'!AE5*EF!$H18)*kgtoGg)</f>
        <v>7.4084916265932694</v>
      </c>
      <c r="AF18" s="28">
        <f>IF(('Activity data'!AF5*EF!$H18)*kgtoGg=0,"NO",('Activity data'!AF5*EF!$H18)*kgtoGg)</f>
        <v>7.4519552194142697</v>
      </c>
      <c r="AG18" s="28">
        <f>IF(('Activity data'!AG5*EF!$H18)*kgtoGg=0,"NO",('Activity data'!AG5*EF!$H18)*kgtoGg)</f>
        <v>7.4575773262508553</v>
      </c>
      <c r="AH18" s="28">
        <f>IF(('Activity data'!AH5*EF!$H18)*kgtoGg=0,"NO",('Activity data'!AH5*EF!$H18)*kgtoGg)</f>
        <v>7.4672608540413012</v>
      </c>
      <c r="AI18" s="28">
        <f>IF(('Activity data'!AI5*EF!$H18)*kgtoGg=0,"NO",('Activity data'!AI5*EF!$H18)*kgtoGg)</f>
        <v>7.5228231503520746</v>
      </c>
      <c r="AJ18" s="28">
        <f>IF(('Activity data'!AJ5*EF!$H18)*kgtoGg=0,"NO",('Activity data'!AJ5*EF!$H18)*kgtoGg)</f>
        <v>7.5672526424513036</v>
      </c>
      <c r="AK18" s="28">
        <f>IF(('Activity data'!AK5*EF!$H18)*kgtoGg=0,"NO",('Activity data'!AK5*EF!$H18)*kgtoGg)</f>
        <v>7.5676422029096111</v>
      </c>
      <c r="AL18" s="28">
        <f>IF(('Activity data'!AL5*EF!$H18)*kgtoGg=0,"NO",('Activity data'!AL5*EF!$H18)*kgtoGg)</f>
        <v>7.3671469631707884</v>
      </c>
      <c r="AM18" s="28">
        <f>IF(('Activity data'!AM5*EF!$H18)*kgtoGg=0,"NO",('Activity data'!AM5*EF!$H18)*kgtoGg)</f>
        <v>7.4640051034943111</v>
      </c>
      <c r="AN18" s="28">
        <f>IF(('Activity data'!AN5*EF!$H18)*kgtoGg=0,"NO",('Activity data'!AN5*EF!$H18)*kgtoGg)</f>
        <v>7.5373250515588941</v>
      </c>
      <c r="AO18" s="28">
        <f>IF(('Activity data'!AO5*EF!$H18)*kgtoGg=0,"NO",('Activity data'!AO5*EF!$H18)*kgtoGg)</f>
        <v>7.6065006875157843</v>
      </c>
      <c r="AP18" s="28">
        <f>IF(('Activity data'!AP5*EF!$H18)*kgtoGg=0,"NO",('Activity data'!AP5*EF!$H18)*kgtoGg)</f>
        <v>7.686711876493888</v>
      </c>
      <c r="AQ18" s="28">
        <f>IF(('Activity data'!AQ5*EF!$H18)*kgtoGg=0,"NO",('Activity data'!AQ5*EF!$H18)*kgtoGg)</f>
        <v>7.801642363870573</v>
      </c>
      <c r="AR18" s="28">
        <f>IF(('Activity data'!AR5*EF!$H18)*kgtoGg=0,"NO",('Activity data'!AR5*EF!$H18)*kgtoGg)</f>
        <v>7.9212983742327268</v>
      </c>
      <c r="AS18" s="28">
        <f>IF(('Activity data'!AS5*EF!$H18)*kgtoGg=0,"NO",('Activity data'!AS5*EF!$H18)*kgtoGg)</f>
        <v>8.051271811974777</v>
      </c>
      <c r="AT18" s="28">
        <f>IF(('Activity data'!AT5*EF!$H18)*kgtoGg=0,"NO",('Activity data'!AT5*EF!$H18)*kgtoGg)</f>
        <v>8.1694693701055154</v>
      </c>
      <c r="AU18" s="28">
        <f>IF(('Activity data'!AU5*EF!$H18)*kgtoGg=0,"NO",('Activity data'!AU5*EF!$H18)*kgtoGg)</f>
        <v>8.304894934006013</v>
      </c>
      <c r="AV18" s="28">
        <f>IF(('Activity data'!AV5*EF!$H18)*kgtoGg=0,"NO",('Activity data'!AV5*EF!$H18)*kgtoGg)</f>
        <v>8.4613678864677428</v>
      </c>
      <c r="AW18" s="28">
        <f>IF(('Activity data'!AW5*EF!$H18)*kgtoGg=0,"NO",('Activity data'!AW5*EF!$H18)*kgtoGg)</f>
        <v>8.6120126328996225</v>
      </c>
      <c r="AX18" s="28">
        <f>IF(('Activity data'!AX5*EF!$H18)*kgtoGg=0,"NO",('Activity data'!AX5*EF!$H18)*kgtoGg)</f>
        <v>8.7705110877908012</v>
      </c>
      <c r="AY18" s="28">
        <f>IF(('Activity data'!AY5*EF!$H18)*kgtoGg=0,"NO",('Activity data'!AY5*EF!$H18)*kgtoGg)</f>
        <v>8.9338169052653935</v>
      </c>
      <c r="AZ18" s="28">
        <f>IF(('Activity data'!AZ5*EF!$H18)*kgtoGg=0,"NO",('Activity data'!AZ5*EF!$H18)*kgtoGg)</f>
        <v>9.1155300292362771</v>
      </c>
      <c r="BA18" s="28">
        <f>IF(('Activity data'!BA5*EF!$H18)*kgtoGg=0,"NO",('Activity data'!BA5*EF!$H18)*kgtoGg)</f>
        <v>9.2800481861570177</v>
      </c>
      <c r="BB18" s="28">
        <f>IF(('Activity data'!BB5*EF!$H18)*kgtoGg=0,"NO",('Activity data'!BB5*EF!$H18)*kgtoGg)</f>
        <v>9.4510008371933658</v>
      </c>
      <c r="BC18" s="28">
        <f>IF(('Activity data'!BC5*EF!$H18)*kgtoGg=0,"NO",('Activity data'!BC5*EF!$H18)*kgtoGg)</f>
        <v>9.6264218592694402</v>
      </c>
      <c r="BD18" s="28">
        <f>IF(('Activity data'!BD5*EF!$H18)*kgtoGg=0,"NO",('Activity data'!BD5*EF!$H18)*kgtoGg)</f>
        <v>9.7965990855623915</v>
      </c>
      <c r="BE18" s="28">
        <f>IF(('Activity data'!BE5*EF!$H18)*kgtoGg=0,"NO",('Activity data'!BE5*EF!$H18)*kgtoGg)</f>
        <v>9.9680661021899084</v>
      </c>
      <c r="BF18" s="28">
        <f>IF(('Activity data'!BF5*EF!$H18)*kgtoGg=0,"NO",('Activity data'!BF5*EF!$H18)*kgtoGg)</f>
        <v>10.146806716212263</v>
      </c>
      <c r="BG18" s="28">
        <f>IF(('Activity data'!BG5*EF!$H18)*kgtoGg=0,"NO",('Activity data'!BG5*EF!$H18)*kgtoGg)</f>
        <v>10.331465633171717</v>
      </c>
      <c r="BH18" s="28">
        <f>IF(('Activity data'!BH5*EF!$H18)*kgtoGg=0,"NO",('Activity data'!BH5*EF!$H18)*kgtoGg)</f>
        <v>10.50783381125248</v>
      </c>
      <c r="BI18" s="28">
        <f>IF(('Activity data'!BI5*EF!$H18)*kgtoGg=0,"NO",('Activity data'!BI5*EF!$H18)*kgtoGg)</f>
        <v>10.68792759135736</v>
      </c>
      <c r="BJ18" s="28">
        <f>IF(('Activity data'!BJ5*EF!$H18)*kgtoGg=0,"NO",('Activity data'!BJ5*EF!$H18)*kgtoGg)</f>
        <v>10.872071544232886</v>
      </c>
      <c r="BK18" s="28">
        <f>IF(('Activity data'!BK5*EF!$H18)*kgtoGg=0,"NO",('Activity data'!BK5*EF!$H18)*kgtoGg)</f>
        <v>11.068995536388829</v>
      </c>
      <c r="BL18" s="28">
        <f>IF(('Activity data'!BL5*EF!$H18)*kgtoGg=0,"NO",('Activity data'!BL5*EF!$H18)*kgtoGg)</f>
        <v>11.268086835721329</v>
      </c>
      <c r="BM18" s="28">
        <f>IF(('Activity data'!BM5*EF!$H18)*kgtoGg=0,"NO",('Activity data'!BM5*EF!$H18)*kgtoGg)</f>
        <v>11.387245372385955</v>
      </c>
      <c r="BN18" s="28">
        <f>IF(('Activity data'!BN5*EF!$H18)*kgtoGg=0,"NO",('Activity data'!BN5*EF!$H18)*kgtoGg)</f>
        <v>11.501774341925307</v>
      </c>
      <c r="BO18" s="28">
        <f>IF(('Activity data'!BO5*EF!$H18)*kgtoGg=0,"NO",('Activity data'!BO5*EF!$H18)*kgtoGg)</f>
        <v>11.628486934141081</v>
      </c>
      <c r="BP18" s="28">
        <f>IF(('Activity data'!BP5*EF!$H18)*kgtoGg=0,"NO",('Activity data'!BP5*EF!$H18)*kgtoGg)</f>
        <v>11.75154763718939</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8">
        <f>IF(('Activity data'!H6*EF!$H19)*kgtoGg=0,"NO",('Activity data'!H6*EF!$H19)*kgtoGg)</f>
        <v>1.7124372347402925</v>
      </c>
      <c r="I19" s="28">
        <f>IF(('Activity data'!I6*EF!$H19)*kgtoGg=0,"NO",('Activity data'!I6*EF!$H19)*kgtoGg)</f>
        <v>1.9714600571042187</v>
      </c>
      <c r="J19" s="28">
        <f>IF(('Activity data'!J6*EF!$H19)*kgtoGg=0,"NO",('Activity data'!J6*EF!$H19)*kgtoGg)</f>
        <v>1.7055680359350514</v>
      </c>
      <c r="K19" s="28">
        <f>IF(('Activity data'!K6*EF!$H19)*kgtoGg=0,"NO",('Activity data'!K6*EF!$H19)*kgtoGg)</f>
        <v>1.8089147460498598</v>
      </c>
      <c r="L19" s="28">
        <f>IF(('Activity data'!L6*EF!$H19)*kgtoGg=0,"NO",('Activity data'!L6*EF!$H19)*kgtoGg)</f>
        <v>1.6780912407140869</v>
      </c>
      <c r="M19" s="28">
        <f>IF(('Activity data'!M6*EF!$H19)*kgtoGg=0,"NO",('Activity data'!M6*EF!$H19)*kgtoGg)</f>
        <v>1.7951763484393775</v>
      </c>
      <c r="N19" s="28">
        <f>IF(('Activity data'!N6*EF!$H19)*kgtoGg=0,"NO",('Activity data'!N6*EF!$H19)*kgtoGg)</f>
        <v>1.8020455472446186</v>
      </c>
      <c r="O19" s="28">
        <f>IF(('Activity data'!O6*EF!$H19)*kgtoGg=0,"NO",('Activity data'!O6*EF!$H19)*kgtoGg)</f>
        <v>1.7372898416536373</v>
      </c>
      <c r="P19" s="28">
        <f>IF(('Activity data'!P6*EF!$H19)*kgtoGg=0,"NO",('Activity data'!P6*EF!$H19)*kgtoGg)</f>
        <v>1.7166822452379138</v>
      </c>
      <c r="Q19" s="28">
        <f>IF(('Activity data'!Q6*EF!$H19)*kgtoGg=0,"NO",('Activity data'!Q6*EF!$H19)*kgtoGg)</f>
        <v>1.6862725336731379</v>
      </c>
      <c r="R19" s="28">
        <f>IF(('Activity data'!R6*EF!$H19)*kgtoGg=0,"NO",('Activity data'!R6*EF!$H19)*kgtoGg)</f>
        <v>2.1712842785285944</v>
      </c>
      <c r="S19" s="28">
        <f>IF(('Activity data'!S6*EF!$H19)*kgtoGg=0,"NO",('Activity data'!S6*EF!$H19)*kgtoGg)</f>
        <v>2.1644150797233528</v>
      </c>
      <c r="T19" s="28">
        <f>IF(('Activity data'!T6*EF!$H19)*kgtoGg=0,"NO",('Activity data'!T6*EF!$H19)*kgtoGg)</f>
        <v>1.8874088492513235</v>
      </c>
      <c r="U19" s="28">
        <f>IF(('Activity data'!U6*EF!$H19)*kgtoGg=0,"NO",('Activity data'!U6*EF!$H19)*kgtoGg)</f>
        <v>1.7166822452379138</v>
      </c>
      <c r="V19" s="28">
        <f>IF(('Activity data'!V6*EF!$H19)*kgtoGg=0,"NO",('Activity data'!V6*EF!$H19)*kgtoGg)</f>
        <v>1.6574836442983631</v>
      </c>
      <c r="W19" s="28">
        <f>IF(('Activity data'!W6*EF!$H19)*kgtoGg=0,"NO",('Activity data'!W6*EF!$H19)*kgtoGg)</f>
        <v>1.7745687520236539</v>
      </c>
      <c r="X19" s="28">
        <f>IF(('Activity data'!X6*EF!$H19)*kgtoGg=0,"NO",('Activity data'!X6*EF!$H19)*kgtoGg)</f>
        <v>1.735977747499827</v>
      </c>
      <c r="Y19" s="28">
        <f>IF(('Activity data'!Y6*EF!$H19)*kgtoGg=0,"NO",('Activity data'!Y6*EF!$H19)*kgtoGg)</f>
        <v>1.723551444043155</v>
      </c>
      <c r="Z19" s="28">
        <f>IF(('Activity data'!Z6*EF!$H19)*kgtoGg=0,"NO",('Activity data'!Z6*EF!$H19)*kgtoGg)</f>
        <v>2.1107735834352335</v>
      </c>
      <c r="AA19" s="28">
        <f>IF(('Activity data'!AA6*EF!$H19)*kgtoGg=0,"NO",('Activity data'!AA6*EF!$H19)*kgtoGg)</f>
        <v>2.1631029855695427</v>
      </c>
      <c r="AB19" s="28">
        <f>IF(('Activity data'!AB6*EF!$H19)*kgtoGg=0,"NO",('Activity data'!AB6*EF!$H19)*kgtoGg)</f>
        <v>2.1631029855695427</v>
      </c>
      <c r="AC19" s="28">
        <f>IF(('Activity data'!AC6*EF!$H19)*kgtoGg=0,"NO",('Activity data'!AC6*EF!$H19)*kgtoGg)</f>
        <v>2.0846088823680784</v>
      </c>
      <c r="AD19" s="28">
        <f>IF(('Activity data'!AD6*EF!$H19)*kgtoGg=0,"NO",('Activity data'!AD6*EF!$H19)*kgtoGg)</f>
        <v>2.0965784624729791</v>
      </c>
      <c r="AE19" s="28">
        <f>IF(('Activity data'!AE6*EF!$H19)*kgtoGg=0,"NO",('Activity data'!AE6*EF!$H19)*kgtoGg)</f>
        <v>2.11073467796396</v>
      </c>
      <c r="AF19" s="28">
        <f>IF(('Activity data'!AF6*EF!$H19)*kgtoGg=0,"NO",('Activity data'!AF6*EF!$H19)*kgtoGg)</f>
        <v>2.123117780654781</v>
      </c>
      <c r="AG19" s="28">
        <f>IF(('Activity data'!AG6*EF!$H19)*kgtoGg=0,"NO",('Activity data'!AG6*EF!$H19)*kgtoGg)</f>
        <v>2.1247195609443885</v>
      </c>
      <c r="AH19" s="28">
        <f>IF(('Activity data'!AH6*EF!$H19)*kgtoGg=0,"NO",('Activity data'!AH6*EF!$H19)*kgtoGg)</f>
        <v>2.1274784704420999</v>
      </c>
      <c r="AI19" s="28">
        <f>IF(('Activity data'!AI6*EF!$H19)*kgtoGg=0,"NO",('Activity data'!AI6*EF!$H19)*kgtoGg)</f>
        <v>2.1433085842522419</v>
      </c>
      <c r="AJ19" s="28">
        <f>IF(('Activity data'!AJ6*EF!$H19)*kgtoGg=0,"NO",('Activity data'!AJ6*EF!$H19)*kgtoGg)</f>
        <v>2.1559668788721003</v>
      </c>
      <c r="AK19" s="28">
        <f>IF(('Activity data'!AK6*EF!$H19)*kgtoGg=0,"NO",('Activity data'!AK6*EF!$H19)*kgtoGg)</f>
        <v>2.1560778675604801</v>
      </c>
      <c r="AL19" s="28">
        <f>IF(('Activity data'!AL6*EF!$H19)*kgtoGg=0,"NO",('Activity data'!AL6*EF!$H19)*kgtoGg)</f>
        <v>2.0989552741078059</v>
      </c>
      <c r="AM19" s="28">
        <f>IF(('Activity data'!AM6*EF!$H19)*kgtoGg=0,"NO",('Activity data'!AM6*EF!$H19)*kgtoGg)</f>
        <v>2.1265508827591137</v>
      </c>
      <c r="AN19" s="28">
        <f>IF(('Activity data'!AN6*EF!$H19)*kgtoGg=0,"NO",('Activity data'!AN6*EF!$H19)*kgtoGg)</f>
        <v>2.14744028437643</v>
      </c>
      <c r="AO19" s="28">
        <f>IF(('Activity data'!AO6*EF!$H19)*kgtoGg=0,"NO",('Activity data'!AO6*EF!$H19)*kgtoGg)</f>
        <v>2.1671489404759119</v>
      </c>
      <c r="AP19" s="28">
        <f>IF(('Activity data'!AP6*EF!$H19)*kgtoGg=0,"NO",('Activity data'!AP6*EF!$H19)*kgtoGg)</f>
        <v>2.1900017081741403</v>
      </c>
      <c r="AQ19" s="28">
        <f>IF(('Activity data'!AQ6*EF!$H19)*kgtoGg=0,"NO",('Activity data'!AQ6*EF!$H19)*kgtoGg)</f>
        <v>2.2227462636772444</v>
      </c>
      <c r="AR19" s="28">
        <f>IF(('Activity data'!AR6*EF!$H19)*kgtoGg=0,"NO",('Activity data'!AR6*EF!$H19)*kgtoGg)</f>
        <v>2.2568371560245644</v>
      </c>
      <c r="AS19" s="28">
        <f>IF(('Activity data'!AS6*EF!$H19)*kgtoGg=0,"NO",('Activity data'!AS6*EF!$H19)*kgtoGg)</f>
        <v>2.2938675606040304</v>
      </c>
      <c r="AT19" s="28">
        <f>IF(('Activity data'!AT6*EF!$H19)*kgtoGg=0,"NO",('Activity data'!AT6*EF!$H19)*kgtoGg)</f>
        <v>2.3275429290017851</v>
      </c>
      <c r="AU19" s="28">
        <f>IF(('Activity data'!AU6*EF!$H19)*kgtoGg=0,"NO",('Activity data'!AU6*EF!$H19)*kgtoGg)</f>
        <v>2.3661266851042466</v>
      </c>
      <c r="AV19" s="28">
        <f>IF(('Activity data'!AV6*EF!$H19)*kgtoGg=0,"NO",('Activity data'!AV6*EF!$H19)*kgtoGg)</f>
        <v>2.4107069996366737</v>
      </c>
      <c r="AW19" s="28">
        <f>IF(('Activity data'!AW6*EF!$H19)*kgtoGg=0,"NO",('Activity data'!AW6*EF!$H19)*kgtoGg)</f>
        <v>2.4536268146777656</v>
      </c>
      <c r="AX19" s="28">
        <f>IF(('Activity data'!AX6*EF!$H19)*kgtoGg=0,"NO",('Activity data'!AX6*EF!$H19)*kgtoGg)</f>
        <v>2.4987842100025621</v>
      </c>
      <c r="AY19" s="28">
        <f>IF(('Activity data'!AY6*EF!$H19)*kgtoGg=0,"NO",('Activity data'!AY6*EF!$H19)*kgtoGg)</f>
        <v>2.545311258885167</v>
      </c>
      <c r="AZ19" s="28">
        <f>IF(('Activity data'!AZ6*EF!$H19)*kgtoGg=0,"NO",('Activity data'!AZ6*EF!$H19)*kgtoGg)</f>
        <v>2.5970826870703236</v>
      </c>
      <c r="BA19" s="28">
        <f>IF(('Activity data'!BA6*EF!$H19)*kgtoGg=0,"NO",('Activity data'!BA6*EF!$H19)*kgtoGg)</f>
        <v>2.6439551405291128</v>
      </c>
      <c r="BB19" s="28">
        <f>IF(('Activity data'!BB6*EF!$H19)*kgtoGg=0,"NO",('Activity data'!BB6*EF!$H19)*kgtoGg)</f>
        <v>2.6926608294897441</v>
      </c>
      <c r="BC19" s="28">
        <f>IF(('Activity data'!BC6*EF!$H19)*kgtoGg=0,"NO",('Activity data'!BC6*EF!$H19)*kgtoGg)</f>
        <v>2.74263959078182</v>
      </c>
      <c r="BD19" s="28">
        <f>IF(('Activity data'!BD6*EF!$H19)*kgtoGg=0,"NO",('Activity data'!BD6*EF!$H19)*kgtoGg)</f>
        <v>2.7911243554330865</v>
      </c>
      <c r="BE19" s="28">
        <f>IF(('Activity data'!BE6*EF!$H19)*kgtoGg=0,"NO",('Activity data'!BE6*EF!$H19)*kgtoGg)</f>
        <v>2.83997659099796</v>
      </c>
      <c r="BF19" s="28">
        <f>IF(('Activity data'!BF6*EF!$H19)*kgtoGg=0,"NO",('Activity data'!BF6*EF!$H19)*kgtoGg)</f>
        <v>2.8909011288651962</v>
      </c>
      <c r="BG19" s="28">
        <f>IF(('Activity data'!BG6*EF!$H19)*kgtoGg=0,"NO",('Activity data'!BG6*EF!$H19)*kgtoGg)</f>
        <v>2.9435118355065453</v>
      </c>
      <c r="BH19" s="28">
        <f>IF(('Activity data'!BH6*EF!$H19)*kgtoGg=0,"NO",('Activity data'!BH6*EF!$H19)*kgtoGg)</f>
        <v>2.9937604486288318</v>
      </c>
      <c r="BI19" s="28">
        <f>IF(('Activity data'!BI6*EF!$H19)*kgtoGg=0,"NO",('Activity data'!BI6*EF!$H19)*kgtoGg)</f>
        <v>3.045070513634303</v>
      </c>
      <c r="BJ19" s="28">
        <f>IF(('Activity data'!BJ6*EF!$H19)*kgtoGg=0,"NO",('Activity data'!BJ6*EF!$H19)*kgtoGg)</f>
        <v>3.0975345031563459</v>
      </c>
      <c r="BK19" s="28">
        <f>IF(('Activity data'!BK6*EF!$H19)*kgtoGg=0,"NO",('Activity data'!BK6*EF!$H19)*kgtoGg)</f>
        <v>3.1536396214606754</v>
      </c>
      <c r="BL19" s="28">
        <f>IF(('Activity data'!BL6*EF!$H19)*kgtoGg=0,"NO",('Activity data'!BL6*EF!$H19)*kgtoGg)</f>
        <v>3.2103622217904881</v>
      </c>
      <c r="BM19" s="28">
        <f>IF(('Activity data'!BM6*EF!$H19)*kgtoGg=0,"NO",('Activity data'!BM6*EF!$H19)*kgtoGg)</f>
        <v>3.2443113801604118</v>
      </c>
      <c r="BN19" s="28">
        <f>IF(('Activity data'!BN6*EF!$H19)*kgtoGg=0,"NO",('Activity data'!BN6*EF!$H19)*kgtoGg)</f>
        <v>3.2769415402284139</v>
      </c>
      <c r="BO19" s="28">
        <f>IF(('Activity data'!BO6*EF!$H19)*kgtoGg=0,"NO",('Activity data'!BO6*EF!$H19)*kgtoGg)</f>
        <v>3.3130429055271864</v>
      </c>
      <c r="BP19" s="28">
        <f>IF(('Activity data'!BP6*EF!$H19)*kgtoGg=0,"NO",('Activity data'!BP6*EF!$H19)*kgtoGg)</f>
        <v>3.3481038202869873</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8">
        <f>IF(('Activity data'!H7*EF!$H20)*kgtoGg=0,"NO",('Activity data'!H7*EF!$H20)*kgtoGg)</f>
        <v>0.41752621472755574</v>
      </c>
      <c r="I20" s="28">
        <f>IF(('Activity data'!I7*EF!$H20)*kgtoGg=0,"NO",('Activity data'!I7*EF!$H20)*kgtoGg)</f>
        <v>0.47458519205570593</v>
      </c>
      <c r="J20" s="28">
        <f>IF(('Activity data'!J7*EF!$H20)*kgtoGg=0,"NO",('Activity data'!J7*EF!$H20)*kgtoGg)</f>
        <v>0.41051742697229299</v>
      </c>
      <c r="K20" s="28">
        <f>IF(('Activity data'!K7*EF!$H20)*kgtoGg=0,"NO",('Activity data'!K7*EF!$H20)*kgtoGg)</f>
        <v>0.42961947568884723</v>
      </c>
      <c r="L20" s="28">
        <f>IF(('Activity data'!L7*EF!$H20)*kgtoGg=0,"NO",('Activity data'!L7*EF!$H20)*kgtoGg)</f>
        <v>0.38248227595124251</v>
      </c>
      <c r="M20" s="28">
        <f>IF(('Activity data'!M7*EF!$H20)*kgtoGg=0,"NO",('Activity data'!M7*EF!$H20)*kgtoGg)</f>
        <v>0.41560190017832183</v>
      </c>
      <c r="N20" s="28">
        <f>IF(('Activity data'!N7*EF!$H20)*kgtoGg=0,"NO",('Activity data'!N7*EF!$H20)*kgtoGg)</f>
        <v>0.42261068793358447</v>
      </c>
      <c r="O20" s="28">
        <f>IF(('Activity data'!O7*EF!$H20)*kgtoGg=0,"NO",('Activity data'!O7*EF!$H20)*kgtoGg)</f>
        <v>0.40834594360154697</v>
      </c>
      <c r="P20" s="28">
        <f>IF(('Activity data'!P7*EF!$H20)*kgtoGg=0,"NO",('Activity data'!P7*EF!$H20)*kgtoGg)</f>
        <v>0.38731958033575903</v>
      </c>
      <c r="Q20" s="28">
        <f>IF(('Activity data'!Q7*EF!$H20)*kgtoGg=0,"NO",('Activity data'!Q7*EF!$H20)*kgtoGg)</f>
        <v>0.40809877478003481</v>
      </c>
      <c r="R20" s="28">
        <f>IF(('Activity data'!R7*EF!$H20)*kgtoGg=0,"NO",('Activity data'!R7*EF!$H20)*kgtoGg)</f>
        <v>0.50578050173355138</v>
      </c>
      <c r="S20" s="28">
        <f>IF(('Activity data'!S7*EF!$H20)*kgtoGg=0,"NO",('Activity data'!S7*EF!$H20)*kgtoGg)</f>
        <v>0.49877171397828873</v>
      </c>
      <c r="T20" s="28">
        <f>IF(('Activity data'!T7*EF!$H20)*kgtoGg=0,"NO",('Activity data'!T7*EF!$H20)*kgtoGg)</f>
        <v>0.45790179553141008</v>
      </c>
      <c r="U20" s="28">
        <f>IF(('Activity data'!U7*EF!$H20)*kgtoGg=0,"NO",('Activity data'!U7*EF!$H20)*kgtoGg)</f>
        <v>0.38731958033575903</v>
      </c>
      <c r="V20" s="28">
        <f>IF(('Activity data'!V7*EF!$H20)*kgtoGg=0,"NO",('Activity data'!V7*EF!$H20)*kgtoGg)</f>
        <v>0.36145591268545452</v>
      </c>
      <c r="W20" s="28">
        <f>IF(('Activity data'!W7*EF!$H20)*kgtoGg=0,"NO",('Activity data'!W7*EF!$H20)*kgtoGg)</f>
        <v>0.39457553691253394</v>
      </c>
      <c r="X20" s="28">
        <f>IF(('Activity data'!X7*EF!$H20)*kgtoGg=0,"NO",('Activity data'!X7*EF!$H20)*kgtoGg)</f>
        <v>0.38973823252801737</v>
      </c>
      <c r="Y20" s="28">
        <f>IF(('Activity data'!Y7*EF!$H20)*kgtoGg=0,"NO",('Activity data'!Y7*EF!$H20)*kgtoGg)</f>
        <v>0.39432836809102173</v>
      </c>
      <c r="Z20" s="28">
        <f>IF(('Activity data'!Z7*EF!$H20)*kgtoGg=0,"NO",('Activity data'!Z7*EF!$H20)*kgtoGg)</f>
        <v>0.46130912300971733</v>
      </c>
      <c r="AA20" s="28">
        <f>IF(('Activity data'!AA7*EF!$H20)*kgtoGg=0,"NO",('Activity data'!AA7*EF!$H20)*kgtoGg)</f>
        <v>0.48016400290475908</v>
      </c>
      <c r="AB20" s="28">
        <f>IF(('Activity data'!AB7*EF!$H20)*kgtoGg=0,"NO",('Activity data'!AB7*EF!$H20)*kgtoGg)</f>
        <v>0.48016400290475908</v>
      </c>
      <c r="AC20" s="28">
        <f>IF(('Activity data'!AC7*EF!$H20)*kgtoGg=0,"NO",('Activity data'!AC7*EF!$H20)*kgtoGg)</f>
        <v>0.45188168306219634</v>
      </c>
      <c r="AD20" s="28">
        <f>IF(('Activity data'!AD7*EF!$H20)*kgtoGg=0,"NO",('Activity data'!AD7*EF!$H20)*kgtoGg)</f>
        <v>0.43302356896670435</v>
      </c>
      <c r="AE20" s="28">
        <f>IF(('Activity data'!AE7*EF!$H20)*kgtoGg=0,"NO",('Activity data'!AE7*EF!$H20)*kgtoGg)</f>
        <v>0.43594736841646864</v>
      </c>
      <c r="AF20" s="28">
        <f>IF(('Activity data'!AF7*EF!$H20)*kgtoGg=0,"NO",('Activity data'!AF7*EF!$H20)*kgtoGg)</f>
        <v>0.43850495231711395</v>
      </c>
      <c r="AG20" s="28">
        <f>IF(('Activity data'!AG7*EF!$H20)*kgtoGg=0,"NO",('Activity data'!AG7*EF!$H20)*kgtoGg)</f>
        <v>0.43883578115568184</v>
      </c>
      <c r="AH20" s="28">
        <f>IF(('Activity data'!AH7*EF!$H20)*kgtoGg=0,"NO",('Activity data'!AH7*EF!$H20)*kgtoGg)</f>
        <v>0.43940560139305368</v>
      </c>
      <c r="AI20" s="28">
        <f>IF(('Activity data'!AI7*EF!$H20)*kgtoGg=0,"NO",('Activity data'!AI7*EF!$H20)*kgtoGg)</f>
        <v>0.44267512481033205</v>
      </c>
      <c r="AJ20" s="28">
        <f>IF(('Activity data'!AJ7*EF!$H20)*kgtoGg=0,"NO",('Activity data'!AJ7*EF!$H20)*kgtoGg)</f>
        <v>0.44528954636022133</v>
      </c>
      <c r="AK20" s="28">
        <f>IF(('Activity data'!AK7*EF!$H20)*kgtoGg=0,"NO",('Activity data'!AK7*EF!$H20)*kgtoGg)</f>
        <v>0.44531246976557798</v>
      </c>
      <c r="AL20" s="28">
        <f>IF(('Activity data'!AL7*EF!$H20)*kgtoGg=0,"NO",('Activity data'!AL7*EF!$H20)*kgtoGg)</f>
        <v>0.43351447139430072</v>
      </c>
      <c r="AM20" s="28">
        <f>IF(('Activity data'!AM7*EF!$H20)*kgtoGg=0,"NO",('Activity data'!AM7*EF!$H20)*kgtoGg)</f>
        <v>0.43921401909064739</v>
      </c>
      <c r="AN20" s="28">
        <f>IF(('Activity data'!AN7*EF!$H20)*kgtoGg=0,"NO",('Activity data'!AN7*EF!$H20)*kgtoGg)</f>
        <v>0.44352847877046275</v>
      </c>
      <c r="AO20" s="28">
        <f>IF(('Activity data'!AO7*EF!$H20)*kgtoGg=0,"NO",('Activity data'!AO7*EF!$H20)*kgtoGg)</f>
        <v>0.44759906938106581</v>
      </c>
      <c r="AP20" s="28">
        <f>IF(('Activity data'!AP7*EF!$H20)*kgtoGg=0,"NO",('Activity data'!AP7*EF!$H20)*kgtoGg)</f>
        <v>0.45231903918261634</v>
      </c>
      <c r="AQ20" s="28">
        <f>IF(('Activity data'!AQ7*EF!$H20)*kgtoGg=0,"NO",('Activity data'!AQ7*EF!$H20)*kgtoGg)</f>
        <v>0.45908204116035195</v>
      </c>
      <c r="AR20" s="28">
        <f>IF(('Activity data'!AR7*EF!$H20)*kgtoGg=0,"NO",('Activity data'!AR7*EF!$H20)*kgtoGg)</f>
        <v>0.46612311314393218</v>
      </c>
      <c r="AS20" s="28">
        <f>IF(('Activity data'!AS7*EF!$H20)*kgtoGg=0,"NO",('Activity data'!AS7*EF!$H20)*kgtoGg)</f>
        <v>0.47377130673090989</v>
      </c>
      <c r="AT20" s="28">
        <f>IF(('Activity data'!AT7*EF!$H20)*kgtoGg=0,"NO",('Activity data'!AT7*EF!$H20)*kgtoGg)</f>
        <v>0.48072655714050544</v>
      </c>
      <c r="AU20" s="28">
        <f>IF(('Activity data'!AU7*EF!$H20)*kgtoGg=0,"NO",('Activity data'!AU7*EF!$H20)*kgtoGg)</f>
        <v>0.48869557717513923</v>
      </c>
      <c r="AV20" s="28">
        <f>IF(('Activity data'!AV7*EF!$H20)*kgtoGg=0,"NO",('Activity data'!AV7*EF!$H20)*kgtoGg)</f>
        <v>0.4979031156717999</v>
      </c>
      <c r="AW20" s="28">
        <f>IF(('Activity data'!AW7*EF!$H20)*kgtoGg=0,"NO",('Activity data'!AW7*EF!$H20)*kgtoGg)</f>
        <v>0.50676769757090157</v>
      </c>
      <c r="AX20" s="28">
        <f>IF(('Activity data'!AX7*EF!$H20)*kgtoGg=0,"NO",('Activity data'!AX7*EF!$H20)*kgtoGg)</f>
        <v>0.51609442530315108</v>
      </c>
      <c r="AY20" s="28">
        <f>IF(('Activity data'!AY7*EF!$H20)*kgtoGg=0,"NO",('Activity data'!AY7*EF!$H20)*kgtoGg)</f>
        <v>0.52570403883360262</v>
      </c>
      <c r="AZ20" s="28">
        <f>IF(('Activity data'!AZ7*EF!$H20)*kgtoGg=0,"NO",('Activity data'!AZ7*EF!$H20)*kgtoGg)</f>
        <v>0.53639681709328069</v>
      </c>
      <c r="BA20" s="28">
        <f>IF(('Activity data'!BA7*EF!$H20)*kgtoGg=0,"NO",('Activity data'!BA7*EF!$H20)*kgtoGg)</f>
        <v>0.54607776986764511</v>
      </c>
      <c r="BB20" s="28">
        <f>IF(('Activity data'!BB7*EF!$H20)*kgtoGg=0,"NO",('Activity data'!BB7*EF!$H20)*kgtoGg)</f>
        <v>0.55613735582649237</v>
      </c>
      <c r="BC20" s="28">
        <f>IF(('Activity data'!BC7*EF!$H20)*kgtoGg=0,"NO",('Activity data'!BC7*EF!$H20)*kgtoGg)</f>
        <v>0.5664598798696433</v>
      </c>
      <c r="BD20" s="28">
        <f>IF(('Activity data'!BD7*EF!$H20)*kgtoGg=0,"NO",('Activity data'!BD7*EF!$H20)*kgtoGg)</f>
        <v>0.57647383651643525</v>
      </c>
      <c r="BE20" s="28">
        <f>IF(('Activity data'!BE7*EF!$H20)*kgtoGg=0,"NO",('Activity data'!BE7*EF!$H20)*kgtoGg)</f>
        <v>0.58656368994903785</v>
      </c>
      <c r="BF20" s="28">
        <f>IF(('Activity data'!BF7*EF!$H20)*kgtoGg=0,"NO",('Activity data'!BF7*EF!$H20)*kgtoGg)</f>
        <v>0.5970815529958805</v>
      </c>
      <c r="BG20" s="28">
        <f>IF(('Activity data'!BG7*EF!$H20)*kgtoGg=0,"NO",('Activity data'!BG7*EF!$H20)*kgtoGg)</f>
        <v>0.60794767432807506</v>
      </c>
      <c r="BH20" s="28">
        <f>IF(('Activity data'!BH7*EF!$H20)*kgtoGg=0,"NO",('Activity data'!BH7*EF!$H20)*kgtoGg)</f>
        <v>0.61832593308600126</v>
      </c>
      <c r="BI20" s="28">
        <f>IF(('Activity data'!BI7*EF!$H20)*kgtoGg=0,"NO",('Activity data'!BI7*EF!$H20)*kgtoGg)</f>
        <v>0.62892342221902187</v>
      </c>
      <c r="BJ20" s="28">
        <f>IF(('Activity data'!BJ7*EF!$H20)*kgtoGg=0,"NO",('Activity data'!BJ7*EF!$H20)*kgtoGg)</f>
        <v>0.63975924085958458</v>
      </c>
      <c r="BK20" s="28">
        <f>IF(('Activity data'!BK7*EF!$H20)*kgtoGg=0,"NO",('Activity data'!BK7*EF!$H20)*kgtoGg)</f>
        <v>0.65134709173199301</v>
      </c>
      <c r="BL20" s="28">
        <f>IF(('Activity data'!BL7*EF!$H20)*kgtoGg=0,"NO",('Activity data'!BL7*EF!$H20)*kgtoGg)</f>
        <v>0.66306247623847858</v>
      </c>
      <c r="BM20" s="28">
        <f>IF(('Activity data'!BM7*EF!$H20)*kgtoGg=0,"NO",('Activity data'!BM7*EF!$H20)*kgtoGg)</f>
        <v>0.67007427473965175</v>
      </c>
      <c r="BN20" s="28">
        <f>IF(('Activity data'!BN7*EF!$H20)*kgtoGg=0,"NO",('Activity data'!BN7*EF!$H20)*kgtoGg)</f>
        <v>0.67681364968865065</v>
      </c>
      <c r="BO20" s="28">
        <f>IF(('Activity data'!BO7*EF!$H20)*kgtoGg=0,"NO",('Activity data'!BO7*EF!$H20)*kgtoGg)</f>
        <v>0.68426996116282568</v>
      </c>
      <c r="BP20" s="28">
        <f>IF(('Activity data'!BP7*EF!$H20)*kgtoGg=0,"NO",('Activity data'!BP7*EF!$H20)*kgtoGg)</f>
        <v>0.6915113798420095</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8">
        <f>IF(('Activity data'!H8*EF!$H21)*kgtoGg=0,"NO",('Activity data'!H8*EF!$H21)*kgtoGg)</f>
        <v>0.10860830449259461</v>
      </c>
      <c r="I21" s="28">
        <f>IF(('Activity data'!I8*EF!$H21)*kgtoGg=0,"NO",('Activity data'!I8*EF!$H21)*kgtoGg)</f>
        <v>0.10392054759979548</v>
      </c>
      <c r="J21" s="28">
        <f>IF(('Activity data'!J8*EF!$H21)*kgtoGg=0,"NO",('Activity data'!J8*EF!$H21)*kgtoGg)</f>
        <v>0.10388278936218015</v>
      </c>
      <c r="K21" s="28">
        <f>IF(('Activity data'!K8*EF!$H21)*kgtoGg=0,"NO",('Activity data'!K8*EF!$H21)*kgtoGg)</f>
        <v>9.7186039320312306E-2</v>
      </c>
      <c r="L21" s="28">
        <f>IF(('Activity data'!L8*EF!$H21)*kgtoGg=0,"NO",('Activity data'!L8*EF!$H21)*kgtoGg)</f>
        <v>0.10011588737831177</v>
      </c>
      <c r="M21" s="28">
        <f>IF(('Activity data'!M8*EF!$H21)*kgtoGg=0,"NO",('Activity data'!M8*EF!$H21)*kgtoGg)</f>
        <v>0.10239221522239531</v>
      </c>
      <c r="N21" s="28">
        <f>IF(('Activity data'!N8*EF!$H21)*kgtoGg=0,"NO",('Activity data'!N8*EF!$H21)*kgtoGg)</f>
        <v>0.10663977797793223</v>
      </c>
      <c r="O21" s="28">
        <f>IF(('Activity data'!O8*EF!$H21)*kgtoGg=0,"NO",('Activity data'!O8*EF!$H21)*kgtoGg)</f>
        <v>0.11067943145039739</v>
      </c>
      <c r="P21" s="28">
        <f>IF(('Activity data'!P8*EF!$H21)*kgtoGg=0,"NO",('Activity data'!P8*EF!$H21)*kgtoGg)</f>
        <v>0.11163804459694349</v>
      </c>
      <c r="Q21" s="28">
        <f>IF(('Activity data'!Q8*EF!$H21)*kgtoGg=0,"NO",('Activity data'!Q8*EF!$H21)*kgtoGg)</f>
        <v>0.10983154393736459</v>
      </c>
      <c r="R21" s="28">
        <f>IF(('Activity data'!R8*EF!$H21)*kgtoGg=0,"NO",('Activity data'!R8*EF!$H21)*kgtoGg)</f>
        <v>0.10237054804806753</v>
      </c>
      <c r="S21" s="28">
        <f>IF(('Activity data'!S8*EF!$H21)*kgtoGg=0,"NO",('Activity data'!S8*EF!$H21)*kgtoGg)</f>
        <v>0.10290250904130627</v>
      </c>
      <c r="T21" s="28">
        <f>IF(('Activity data'!T8*EF!$H21)*kgtoGg=0,"NO",('Activity data'!T8*EF!$H21)*kgtoGg)</f>
        <v>9.5906082860390207E-2</v>
      </c>
      <c r="U21" s="28">
        <f>IF(('Activity data'!U8*EF!$H21)*kgtoGg=0,"NO",('Activity data'!U8*EF!$H21)*kgtoGg)</f>
        <v>9.8414695558664236E-2</v>
      </c>
      <c r="V21" s="28">
        <f>IF(('Activity data'!V8*EF!$H21)*kgtoGg=0,"NO",('Activity data'!V8*EF!$H21)*kgtoGg)</f>
        <v>9.9322008483640145E-2</v>
      </c>
      <c r="W21" s="28">
        <f>IF(('Activity data'!W8*EF!$H21)*kgtoGg=0,"NO",('Activity data'!W8*EF!$H21)*kgtoGg)</f>
        <v>0.100164479203091</v>
      </c>
      <c r="X21" s="28">
        <f>IF(('Activity data'!X8*EF!$H21)*kgtoGg=0,"NO",('Activity data'!X8*EF!$H21)*kgtoGg)</f>
        <v>9.7882734565425497E-2</v>
      </c>
      <c r="Y21" s="28">
        <f>IF(('Activity data'!Y8*EF!$H21)*kgtoGg=0,"NO",('Activity data'!Y8*EF!$H21)*kgtoGg)</f>
        <v>0.10075044881469088</v>
      </c>
      <c r="Z21" s="28">
        <f>IF(('Activity data'!Z8*EF!$H21)*kgtoGg=0,"NO",('Activity data'!Z8*EF!$H21)*kgtoGg)</f>
        <v>9.7950798966544531E-2</v>
      </c>
      <c r="AA21" s="28">
        <f>IF(('Activity data'!AA8*EF!$H21)*kgtoGg=0,"NO",('Activity data'!AA8*EF!$H21)*kgtoGg)</f>
        <v>9.6306138291681109E-2</v>
      </c>
      <c r="AB21" s="28">
        <f>IF(('Activity data'!AB8*EF!$H21)*kgtoGg=0,"NO",('Activity data'!AB8*EF!$H21)*kgtoGg)</f>
        <v>9.6003388653333327E-2</v>
      </c>
      <c r="AC21" s="28">
        <f>IF(('Activity data'!AC8*EF!$H21)*kgtoGg=0,"NO",('Activity data'!AC8*EF!$H21)*kgtoGg)</f>
        <v>9.5658660192370931E-2</v>
      </c>
      <c r="AD21" s="28">
        <f>IF(('Activity data'!AD8*EF!$H21)*kgtoGg=0,"NO",('Activity data'!AD8*EF!$H21)*kgtoGg)</f>
        <v>9.5339728940472587E-2</v>
      </c>
      <c r="AE21" s="28">
        <f>IF(('Activity data'!AE8*EF!$H21)*kgtoGg=0,"NO",('Activity data'!AE8*EF!$H21)*kgtoGg)</f>
        <v>9.4854333679105063E-2</v>
      </c>
      <c r="AF21" s="28">
        <f>IF(('Activity data'!AF8*EF!$H21)*kgtoGg=0,"NO",('Activity data'!AF8*EF!$H21)*kgtoGg)</f>
        <v>9.3968398426833952E-2</v>
      </c>
      <c r="AG21" s="28">
        <f>IF(('Activity data'!AG8*EF!$H21)*kgtoGg=0,"NO",('Activity data'!AG8*EF!$H21)*kgtoGg)</f>
        <v>9.1543343324502313E-2</v>
      </c>
      <c r="AH21" s="28">
        <f>IF(('Activity data'!AH8*EF!$H21)*kgtoGg=0,"NO",('Activity data'!AH8*EF!$H21)*kgtoGg)</f>
        <v>8.9215062552987667E-2</v>
      </c>
      <c r="AI21" s="28">
        <f>IF(('Activity data'!AI8*EF!$H21)*kgtoGg=0,"NO",('Activity data'!AI8*EF!$H21)*kgtoGg)</f>
        <v>8.8452938660310093E-2</v>
      </c>
      <c r="AJ21" s="28">
        <f>IF(('Activity data'!AJ8*EF!$H21)*kgtoGg=0,"NO",('Activity data'!AJ8*EF!$H21)*kgtoGg)</f>
        <v>8.7222027489186615E-2</v>
      </c>
      <c r="AK21" s="28">
        <f>IF(('Activity data'!AK8*EF!$H21)*kgtoGg=0,"NO",('Activity data'!AK8*EF!$H21)*kgtoGg)</f>
        <v>8.4456409837201651E-2</v>
      </c>
      <c r="AL21" s="28">
        <f>IF(('Activity data'!AL8*EF!$H21)*kgtoGg=0,"NO",('Activity data'!AL8*EF!$H21)*kgtoGg)</f>
        <v>7.5177478598092318E-2</v>
      </c>
      <c r="AM21" s="28">
        <f>IF(('Activity data'!AM8*EF!$H21)*kgtoGg=0,"NO",('Activity data'!AM8*EF!$H21)*kgtoGg)</f>
        <v>7.7014428210242056E-2</v>
      </c>
      <c r="AN21" s="28">
        <f>IF(('Activity data'!AN8*EF!$H21)*kgtoGg=0,"NO",('Activity data'!AN8*EF!$H21)*kgtoGg)</f>
        <v>7.8006612977093048E-2</v>
      </c>
      <c r="AO21" s="28">
        <f>IF(('Activity data'!AO8*EF!$H21)*kgtoGg=0,"NO",('Activity data'!AO8*EF!$H21)*kgtoGg)</f>
        <v>7.8795228292272187E-2</v>
      </c>
      <c r="AP21" s="28">
        <f>IF(('Activity data'!AP8*EF!$H21)*kgtoGg=0,"NO",('Activity data'!AP8*EF!$H21)*kgtoGg)</f>
        <v>7.9855076548413395E-2</v>
      </c>
      <c r="AQ21" s="28">
        <f>IF(('Activity data'!AQ8*EF!$H21)*kgtoGg=0,"NO",('Activity data'!AQ8*EF!$H21)*kgtoGg)</f>
        <v>8.1889840057722874E-2</v>
      </c>
      <c r="AR21" s="28">
        <f>IF(('Activity data'!AR8*EF!$H21)*kgtoGg=0,"NO",('Activity data'!AR8*EF!$H21)*kgtoGg)</f>
        <v>8.4116841663257197E-2</v>
      </c>
      <c r="AS21" s="28">
        <f>IF(('Activity data'!AS8*EF!$H21)*kgtoGg=0,"NO",('Activity data'!AS8*EF!$H21)*kgtoGg)</f>
        <v>8.6543393580483491E-2</v>
      </c>
      <c r="AT21" s="28">
        <f>IF(('Activity data'!AT8*EF!$H21)*kgtoGg=0,"NO",('Activity data'!AT8*EF!$H21)*kgtoGg)</f>
        <v>8.8521952214014571E-2</v>
      </c>
      <c r="AU21" s="28">
        <f>IF(('Activity data'!AU8*EF!$H21)*kgtoGg=0,"NO",('Activity data'!AU8*EF!$H21)*kgtoGg)</f>
        <v>9.0896953770236252E-2</v>
      </c>
      <c r="AV21" s="28">
        <f>IF(('Activity data'!AV8*EF!$H21)*kgtoGg=0,"NO",('Activity data'!AV8*EF!$H21)*kgtoGg)</f>
        <v>9.3757697259475761E-2</v>
      </c>
      <c r="AW21" s="28">
        <f>IF(('Activity data'!AW8*EF!$H21)*kgtoGg=0,"NO",('Activity data'!AW8*EF!$H21)*kgtoGg)</f>
        <v>9.5642150962380226E-2</v>
      </c>
      <c r="AX21" s="28">
        <f>IF(('Activity data'!AX8*EF!$H21)*kgtoGg=0,"NO",('Activity data'!AX8*EF!$H21)*kgtoGg)</f>
        <v>9.7567055281161469E-2</v>
      </c>
      <c r="AY21" s="28">
        <f>IF(('Activity data'!AY8*EF!$H21)*kgtoGg=0,"NO",('Activity data'!AY8*EF!$H21)*kgtoGg)</f>
        <v>9.9442694820459449E-2</v>
      </c>
      <c r="AZ21" s="28">
        <f>IF(('Activity data'!AZ8*EF!$H21)*kgtoGg=0,"NO",('Activity data'!AZ8*EF!$H21)*kgtoGg)</f>
        <v>0.10161266035579665</v>
      </c>
      <c r="BA21" s="28">
        <f>IF(('Activity data'!BA8*EF!$H21)*kgtoGg=0,"NO",('Activity data'!BA8*EF!$H21)*kgtoGg)</f>
        <v>0.10315899021589392</v>
      </c>
      <c r="BB21" s="28">
        <f>IF(('Activity data'!BB8*EF!$H21)*kgtoGg=0,"NO",('Activity data'!BB8*EF!$H21)*kgtoGg)</f>
        <v>0.10478802467890617</v>
      </c>
      <c r="BC21" s="28">
        <f>IF(('Activity data'!BC8*EF!$H21)*kgtoGg=0,"NO",('Activity data'!BC8*EF!$H21)*kgtoGg)</f>
        <v>0.10634686421883358</v>
      </c>
      <c r="BD21" s="28">
        <f>IF(('Activity data'!BD8*EF!$H21)*kgtoGg=0,"NO",('Activity data'!BD8*EF!$H21)*kgtoGg)</f>
        <v>0.10760625778708158</v>
      </c>
      <c r="BE21" s="28">
        <f>IF(('Activity data'!BE8*EF!$H21)*kgtoGg=0,"NO",('Activity data'!BE8*EF!$H21)*kgtoGg)</f>
        <v>0.10872705455886196</v>
      </c>
      <c r="BF21" s="28">
        <f>IF(('Activity data'!BF8*EF!$H21)*kgtoGg=0,"NO",('Activity data'!BF8*EF!$H21)*kgtoGg)</f>
        <v>0.10984281909628571</v>
      </c>
      <c r="BG21" s="28">
        <f>IF(('Activity data'!BG8*EF!$H21)*kgtoGg=0,"NO",('Activity data'!BG8*EF!$H21)*kgtoGg)</f>
        <v>0.11156015357830804</v>
      </c>
      <c r="BH21" s="28">
        <f>IF(('Activity data'!BH8*EF!$H21)*kgtoGg=0,"NO",('Activity data'!BH8*EF!$H21)*kgtoGg)</f>
        <v>0.11295872622782972</v>
      </c>
      <c r="BI21" s="28">
        <f>IF(('Activity data'!BI8*EF!$H21)*kgtoGg=0,"NO",('Activity data'!BI8*EF!$H21)*kgtoGg)</f>
        <v>0.11430168694304664</v>
      </c>
      <c r="BJ21" s="28">
        <f>IF(('Activity data'!BJ8*EF!$H21)*kgtoGg=0,"NO",('Activity data'!BJ8*EF!$H21)*kgtoGg)</f>
        <v>0.11559344303067282</v>
      </c>
      <c r="BK21" s="28">
        <f>IF(('Activity data'!BK8*EF!$H21)*kgtoGg=0,"NO",('Activity data'!BK8*EF!$H21)*kgtoGg)</f>
        <v>0.11700506936438095</v>
      </c>
      <c r="BL21" s="28">
        <f>IF(('Activity data'!BL8*EF!$H21)*kgtoGg=0,"NO",('Activity data'!BL8*EF!$H21)*kgtoGg)</f>
        <v>0.11838774199647999</v>
      </c>
      <c r="BM21" s="28">
        <f>IF(('Activity data'!BM8*EF!$H21)*kgtoGg=0,"NO",('Activity data'!BM8*EF!$H21)*kgtoGg)</f>
        <v>0.11810287074263501</v>
      </c>
      <c r="BN21" s="28">
        <f>IF(('Activity data'!BN8*EF!$H21)*kgtoGg=0,"NO",('Activity data'!BN8*EF!$H21)*kgtoGg)</f>
        <v>0.117655872543239</v>
      </c>
      <c r="BO21" s="28">
        <f>IF(('Activity data'!BO8*EF!$H21)*kgtoGg=0,"NO",('Activity data'!BO8*EF!$H21)*kgtoGg)</f>
        <v>0.11736041307434758</v>
      </c>
      <c r="BP21" s="28">
        <f>IF(('Activity data'!BP8*EF!$H21)*kgtoGg=0,"NO",('Activity data'!BP8*EF!$H21)*kgtoGg)</f>
        <v>0.11692074816946382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8">
        <f>IF(('Activity data'!H9*EF!$H22)*kgtoGg=0,"NO",('Activity data'!H9*EF!$H22)*kgtoGg)</f>
        <v>6.0573784267535902E-2</v>
      </c>
      <c r="I22" s="28">
        <f>IF(('Activity data'!I9*EF!$H22)*kgtoGg=0,"NO",('Activity data'!I9*EF!$H22)*kgtoGg)</f>
        <v>6.4268917076884494E-2</v>
      </c>
      <c r="J22" s="28">
        <f>IF(('Activity data'!J9*EF!$H22)*kgtoGg=0,"NO",('Activity data'!J9*EF!$H22)*kgtoGg)</f>
        <v>6.7304204741706564E-2</v>
      </c>
      <c r="K22" s="28">
        <f>IF(('Activity data'!K9*EF!$H22)*kgtoGg=0,"NO",('Activity data'!K9*EF!$H22)*kgtoGg)</f>
        <v>6.651239056827471E-2</v>
      </c>
      <c r="L22" s="28">
        <f>IF(('Activity data'!L9*EF!$H22)*kgtoGg=0,"NO",('Activity data'!L9*EF!$H22)*kgtoGg)</f>
        <v>5.7934403689429759E-2</v>
      </c>
      <c r="M22" s="28">
        <f>IF(('Activity data'!M9*EF!$H22)*kgtoGg=0,"NO",('Activity data'!M9*EF!$H22)*kgtoGg)</f>
        <v>5.5954868255850158E-2</v>
      </c>
      <c r="N22" s="28">
        <f>IF(('Activity data'!N9*EF!$H22)*kgtoGg=0,"NO",('Activity data'!N9*EF!$H22)*kgtoGg)</f>
        <v>5.7538496602713839E-2</v>
      </c>
      <c r="O22" s="28">
        <f>IF(('Activity data'!O9*EF!$H22)*kgtoGg=0,"NO",('Activity data'!O9*EF!$H22)*kgtoGg)</f>
        <v>6.0177877180819982E-2</v>
      </c>
      <c r="P22" s="28">
        <f>IF(('Activity data'!P9*EF!$H22)*kgtoGg=0,"NO",('Activity data'!P9*EF!$H22)*kgtoGg)</f>
        <v>6.3873009990168567E-2</v>
      </c>
      <c r="Q22" s="28">
        <f>IF(('Activity data'!Q9*EF!$H22)*kgtoGg=0,"NO",('Activity data'!Q9*EF!$H22)*kgtoGg)</f>
        <v>6.651239056827471E-2</v>
      </c>
      <c r="R22" s="28">
        <f>IF(('Activity data'!R9*EF!$H22)*kgtoGg=0,"NO",('Activity data'!R9*EF!$H22)*kgtoGg)</f>
        <v>6.4928762221411029E-2</v>
      </c>
      <c r="S22" s="28">
        <f>IF(('Activity data'!S9*EF!$H22)*kgtoGg=0,"NO",('Activity data'!S9*EF!$H22)*kgtoGg)</f>
        <v>6.3345133874547349E-2</v>
      </c>
      <c r="T22" s="28">
        <f>IF(('Activity data'!T9*EF!$H22)*kgtoGg=0,"NO",('Activity data'!T9*EF!$H22)*kgtoGg)</f>
        <v>7.1791151724486982E-2</v>
      </c>
      <c r="U22" s="28">
        <f>IF(('Activity data'!U9*EF!$H22)*kgtoGg=0,"NO",('Activity data'!U9*EF!$H22)*kgtoGg)</f>
        <v>7.350674910025598E-2</v>
      </c>
      <c r="V22" s="28">
        <f>IF(('Activity data'!V9*EF!$H22)*kgtoGg=0,"NO",('Activity data'!V9*EF!$H22)*kgtoGg)</f>
        <v>7.2319027840108213E-2</v>
      </c>
      <c r="W22" s="28">
        <f>IF(('Activity data'!W9*EF!$H22)*kgtoGg=0,"NO",('Activity data'!W9*EF!$H22)*kgtoGg)</f>
        <v>7.0207523377623302E-2</v>
      </c>
      <c r="X22" s="28">
        <f>IF(('Activity data'!X9*EF!$H22)*kgtoGg=0,"NO",('Activity data'!X9*EF!$H22)*kgtoGg)</f>
        <v>7.2450996869013531E-2</v>
      </c>
      <c r="Y22" s="28">
        <f>IF(('Activity data'!Y9*EF!$H22)*kgtoGg=0,"NO",('Activity data'!Y9*EF!$H22)*kgtoGg)</f>
        <v>7.5354315504930283E-2</v>
      </c>
      <c r="Z22" s="28">
        <f>IF(('Activity data'!Z9*EF!$H22)*kgtoGg=0,"NO",('Activity data'!Z9*EF!$H22)*kgtoGg)</f>
        <v>7.4166594244782516E-2</v>
      </c>
      <c r="AA22" s="28">
        <f>IF(('Activity data'!AA9*EF!$H22)*kgtoGg=0,"NO",('Activity data'!AA9*EF!$H22)*kgtoGg)</f>
        <v>7.3374780071350676E-2</v>
      </c>
      <c r="AB22" s="28">
        <f>IF(('Activity data'!AB9*EF!$H22)*kgtoGg=0,"NO",('Activity data'!AB9*EF!$H22)*kgtoGg)</f>
        <v>7.2319027840108213E-2</v>
      </c>
      <c r="AC22" s="28">
        <f>IF(('Activity data'!AC9*EF!$H22)*kgtoGg=0,"NO",('Activity data'!AC9*EF!$H22)*kgtoGg)</f>
        <v>7.2846903955729445E-2</v>
      </c>
      <c r="AD22" s="28">
        <f>IF(('Activity data'!AD9*EF!$H22)*kgtoGg=0,"NO",('Activity data'!AD9*EF!$H22)*kgtoGg)</f>
        <v>7.0033293869835936E-2</v>
      </c>
      <c r="AE22" s="28">
        <f>IF(('Activity data'!AE9*EF!$H22)*kgtoGg=0,"NO",('Activity data'!AE9*EF!$H22)*kgtoGg)</f>
        <v>6.9676739164256679E-2</v>
      </c>
      <c r="AF22" s="28">
        <f>IF(('Activity data'!AF9*EF!$H22)*kgtoGg=0,"NO",('Activity data'!AF9*EF!$H22)*kgtoGg)</f>
        <v>6.9025961523482296E-2</v>
      </c>
      <c r="AG22" s="28">
        <f>IF(('Activity data'!AG9*EF!$H22)*kgtoGg=0,"NO",('Activity data'!AG9*EF!$H22)*kgtoGg)</f>
        <v>6.724459924650146E-2</v>
      </c>
      <c r="AH22" s="28">
        <f>IF(('Activity data'!AH9*EF!$H22)*kgtoGg=0,"NO",('Activity data'!AH9*EF!$H22)*kgtoGg)</f>
        <v>6.5534324072709205E-2</v>
      </c>
      <c r="AI22" s="28">
        <f>IF(('Activity data'!AI9*EF!$H22)*kgtoGg=0,"NO",('Activity data'!AI9*EF!$H22)*kgtoGg)</f>
        <v>6.4974494008849484E-2</v>
      </c>
      <c r="AJ22" s="28">
        <f>IF(('Activity data'!AJ9*EF!$H22)*kgtoGg=0,"NO",('Activity data'!AJ9*EF!$H22)*kgtoGg)</f>
        <v>6.4070308893861602E-2</v>
      </c>
      <c r="AK22" s="28">
        <f>IF(('Activity data'!AK9*EF!$H22)*kgtoGg=0,"NO",('Activity data'!AK9*EF!$H22)*kgtoGg)</f>
        <v>6.2038781052262654E-2</v>
      </c>
      <c r="AL22" s="28">
        <f>IF(('Activity data'!AL9*EF!$H22)*kgtoGg=0,"NO",('Activity data'!AL9*EF!$H22)*kgtoGg)</f>
        <v>5.5222796514774769E-2</v>
      </c>
      <c r="AM22" s="28">
        <f>IF(('Activity data'!AM9*EF!$H22)*kgtoGg=0,"NO",('Activity data'!AM9*EF!$H22)*kgtoGg)</f>
        <v>5.657215667597356E-2</v>
      </c>
      <c r="AN22" s="28">
        <f>IF(('Activity data'!AN9*EF!$H22)*kgtoGg=0,"NO",('Activity data'!AN9*EF!$H22)*kgtoGg)</f>
        <v>5.7300981564844748E-2</v>
      </c>
      <c r="AO22" s="28">
        <f>IF(('Activity data'!AO9*EF!$H22)*kgtoGg=0,"NO",('Activity data'!AO9*EF!$H22)*kgtoGg)</f>
        <v>5.7880271318780145E-2</v>
      </c>
      <c r="AP22" s="28">
        <f>IF(('Activity data'!AP9*EF!$H22)*kgtoGg=0,"NO",('Activity data'!AP9*EF!$H22)*kgtoGg)</f>
        <v>5.865879948541796E-2</v>
      </c>
      <c r="AQ22" s="28">
        <f>IF(('Activity data'!AQ9*EF!$H22)*kgtoGg=0,"NO",('Activity data'!AQ9*EF!$H22)*kgtoGg)</f>
        <v>6.0153466948675183E-2</v>
      </c>
      <c r="AR22" s="28">
        <f>IF(('Activity data'!AR9*EF!$H22)*kgtoGg=0,"NO",('Activity data'!AR9*EF!$H22)*kgtoGg)</f>
        <v>6.1789345921924234E-2</v>
      </c>
      <c r="AS22" s="28">
        <f>IF(('Activity data'!AS9*EF!$H22)*kgtoGg=0,"NO",('Activity data'!AS9*EF!$H22)*kgtoGg)</f>
        <v>6.3571807707772474E-2</v>
      </c>
      <c r="AT22" s="28">
        <f>IF(('Activity data'!AT9*EF!$H22)*kgtoGg=0,"NO",('Activity data'!AT9*EF!$H22)*kgtoGg)</f>
        <v>6.5025188997615446E-2</v>
      </c>
      <c r="AU22" s="28">
        <f>IF(('Activity data'!AU9*EF!$H22)*kgtoGg=0,"NO",('Activity data'!AU9*EF!$H22)*kgtoGg)</f>
        <v>6.6769783656910539E-2</v>
      </c>
      <c r="AV22" s="28">
        <f>IF(('Activity data'!AV9*EF!$H22)*kgtoGg=0,"NO",('Activity data'!AV9*EF!$H22)*kgtoGg)</f>
        <v>6.8871187674885259E-2</v>
      </c>
      <c r="AW22" s="28">
        <f>IF(('Activity data'!AW9*EF!$H22)*kgtoGg=0,"NO",('Activity data'!AW9*EF!$H22)*kgtoGg)</f>
        <v>7.0255442711335062E-2</v>
      </c>
      <c r="AX22" s="28">
        <f>IF(('Activity data'!AX9*EF!$H22)*kgtoGg=0,"NO",('Activity data'!AX9*EF!$H22)*kgtoGg)</f>
        <v>7.1669411382388193E-2</v>
      </c>
      <c r="AY22" s="28">
        <f>IF(('Activity data'!AY9*EF!$H22)*kgtoGg=0,"NO",('Activity data'!AY9*EF!$H22)*kgtoGg)</f>
        <v>7.3047191836657727E-2</v>
      </c>
      <c r="AZ22" s="28">
        <f>IF(('Activity data'!AZ9*EF!$H22)*kgtoGg=0,"NO",('Activity data'!AZ9*EF!$H22)*kgtoGg)</f>
        <v>7.4641174069589936E-2</v>
      </c>
      <c r="BA22" s="28">
        <f>IF(('Activity data'!BA9*EF!$H22)*kgtoGg=0,"NO",('Activity data'!BA9*EF!$H22)*kgtoGg)</f>
        <v>7.5777054931801216E-2</v>
      </c>
      <c r="BB22" s="28">
        <f>IF(('Activity data'!BB9*EF!$H22)*kgtoGg=0,"NO",('Activity data'!BB9*EF!$H22)*kgtoGg)</f>
        <v>7.6973687757802431E-2</v>
      </c>
      <c r="BC22" s="28">
        <f>IF(('Activity data'!BC9*EF!$H22)*kgtoGg=0,"NO",('Activity data'!BC9*EF!$H22)*kgtoGg)</f>
        <v>7.8118757801622474E-2</v>
      </c>
      <c r="BD22" s="28">
        <f>IF(('Activity data'!BD9*EF!$H22)*kgtoGg=0,"NO",('Activity data'!BD9*EF!$H22)*kgtoGg)</f>
        <v>7.904386510833572E-2</v>
      </c>
      <c r="BE22" s="28">
        <f>IF(('Activity data'!BE9*EF!$H22)*kgtoGg=0,"NO",('Activity data'!BE9*EF!$H22)*kgtoGg)</f>
        <v>7.9867163963480023E-2</v>
      </c>
      <c r="BF22" s="28">
        <f>IF(('Activity data'!BF9*EF!$H22)*kgtoGg=0,"NO",('Activity data'!BF9*EF!$H22)*kgtoGg)</f>
        <v>8.0686766311916805E-2</v>
      </c>
      <c r="BG22" s="28">
        <f>IF(('Activity data'!BG9*EF!$H22)*kgtoGg=0,"NO",('Activity data'!BG9*EF!$H22)*kgtoGg)</f>
        <v>8.1948261302398337E-2</v>
      </c>
      <c r="BH22" s="28">
        <f>IF(('Activity data'!BH9*EF!$H22)*kgtoGg=0,"NO",('Activity data'!BH9*EF!$H22)*kgtoGg)</f>
        <v>8.2975604787121515E-2</v>
      </c>
      <c r="BI22" s="28">
        <f>IF(('Activity data'!BI9*EF!$H22)*kgtoGg=0,"NO",('Activity data'!BI9*EF!$H22)*kgtoGg)</f>
        <v>8.3962097652893697E-2</v>
      </c>
      <c r="BJ22" s="28">
        <f>IF(('Activity data'!BJ9*EF!$H22)*kgtoGg=0,"NO",('Activity data'!BJ9*EF!$H22)*kgtoGg)</f>
        <v>8.491097735601684E-2</v>
      </c>
      <c r="BK22" s="28">
        <f>IF(('Activity data'!BK9*EF!$H22)*kgtoGg=0,"NO",('Activity data'!BK9*EF!$H22)*kgtoGg)</f>
        <v>8.5947909629284627E-2</v>
      </c>
      <c r="BL22" s="28">
        <f>IF(('Activity data'!BL9*EF!$H22)*kgtoGg=0,"NO",('Activity data'!BL9*EF!$H22)*kgtoGg)</f>
        <v>8.6963573506722666E-2</v>
      </c>
      <c r="BM22" s="28">
        <f>IF(('Activity data'!BM9*EF!$H22)*kgtoGg=0,"NO",('Activity data'!BM9*EF!$H22)*kgtoGg)</f>
        <v>8.6754316857293221E-2</v>
      </c>
      <c r="BN22" s="28">
        <f>IF(('Activity data'!BN9*EF!$H22)*kgtoGg=0,"NO",('Activity data'!BN9*EF!$H22)*kgtoGg)</f>
        <v>8.6425967316073798E-2</v>
      </c>
      <c r="BO22" s="28">
        <f>IF(('Activity data'!BO9*EF!$H22)*kgtoGg=0,"NO",('Activity data'!BO9*EF!$H22)*kgtoGg)</f>
        <v>8.6208932927142212E-2</v>
      </c>
      <c r="BP22" s="28">
        <f>IF(('Activity data'!BP9*EF!$H22)*kgtoGg=0,"NO",('Activity data'!BP9*EF!$H22)*kgtoGg)</f>
        <v>8.5885970172473555E-2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8">
        <f>IF(('Activity data'!H10*EF!$H23)*kgtoGg=0,"NO",('Activity data'!H10*EF!$H23)*kgtoGg)</f>
        <v>0.3654</v>
      </c>
      <c r="I23" s="28">
        <f>IF(('Activity data'!I10*EF!$H23)*kgtoGg=0,"NO",('Activity data'!I10*EF!$H23)*kgtoGg)</f>
        <v>0.3654</v>
      </c>
      <c r="J23" s="28">
        <f>IF(('Activity data'!J10*EF!$H23)*kgtoGg=0,"NO",('Activity data'!J10*EF!$H23)*kgtoGg)</f>
        <v>0.3654</v>
      </c>
      <c r="K23" s="28">
        <f>IF(('Activity data'!K10*EF!$H23)*kgtoGg=0,"NO",('Activity data'!K10*EF!$H23)*kgtoGg)</f>
        <v>0.3654</v>
      </c>
      <c r="L23" s="28">
        <f>IF(('Activity data'!L10*EF!$H23)*kgtoGg=0,"NO",('Activity data'!L10*EF!$H23)*kgtoGg)</f>
        <v>0.3654</v>
      </c>
      <c r="M23" s="28">
        <f>IF(('Activity data'!M10*EF!$H23)*kgtoGg=0,"NO",('Activity data'!M10*EF!$H23)*kgtoGg)</f>
        <v>0.3654</v>
      </c>
      <c r="N23" s="28">
        <f>IF(('Activity data'!N10*EF!$H23)*kgtoGg=0,"NO",('Activity data'!N10*EF!$H23)*kgtoGg)</f>
        <v>0.3654</v>
      </c>
      <c r="O23" s="28">
        <f>IF(('Activity data'!O10*EF!$H23)*kgtoGg=0,"NO",('Activity data'!O10*EF!$H23)*kgtoGg)</f>
        <v>0.3654</v>
      </c>
      <c r="P23" s="28">
        <f>IF(('Activity data'!P10*EF!$H23)*kgtoGg=0,"NO",('Activity data'!P10*EF!$H23)*kgtoGg)</f>
        <v>0.3654</v>
      </c>
      <c r="Q23" s="28">
        <f>IF(('Activity data'!Q10*EF!$H23)*kgtoGg=0,"NO",('Activity data'!Q10*EF!$H23)*kgtoGg)</f>
        <v>0.3654</v>
      </c>
      <c r="R23" s="28">
        <f>IF(('Activity data'!R10*EF!$H23)*kgtoGg=0,"NO",('Activity data'!R10*EF!$H23)*kgtoGg)</f>
        <v>0.3654</v>
      </c>
      <c r="S23" s="28">
        <f>IF(('Activity data'!S10*EF!$H23)*kgtoGg=0,"NO",('Activity data'!S10*EF!$H23)*kgtoGg)</f>
        <v>0.3654</v>
      </c>
      <c r="T23" s="28">
        <f>IF(('Activity data'!T10*EF!$H23)*kgtoGg=0,"NO",('Activity data'!T10*EF!$H23)*kgtoGg)</f>
        <v>0.3654</v>
      </c>
      <c r="U23" s="28">
        <f>IF(('Activity data'!U10*EF!$H23)*kgtoGg=0,"NO",('Activity data'!U10*EF!$H23)*kgtoGg)</f>
        <v>0.3654</v>
      </c>
      <c r="V23" s="28">
        <f>IF(('Activity data'!V10*EF!$H23)*kgtoGg=0,"NO",('Activity data'!V10*EF!$H23)*kgtoGg)</f>
        <v>0.3654</v>
      </c>
      <c r="W23" s="28">
        <f>IF(('Activity data'!W10*EF!$H23)*kgtoGg=0,"NO",('Activity data'!W10*EF!$H23)*kgtoGg)</f>
        <v>0.3654</v>
      </c>
      <c r="X23" s="28">
        <f>IF(('Activity data'!X10*EF!$H23)*kgtoGg=0,"NO",('Activity data'!X10*EF!$H23)*kgtoGg)</f>
        <v>0.3654</v>
      </c>
      <c r="Y23" s="28">
        <f>IF(('Activity data'!Y10*EF!$H23)*kgtoGg=0,"NO",('Activity data'!Y10*EF!$H23)*kgtoGg)</f>
        <v>0.3654</v>
      </c>
      <c r="Z23" s="28">
        <f>IF(('Activity data'!Z10*EF!$H23)*kgtoGg=0,"NO",('Activity data'!Z10*EF!$H23)*kgtoGg)</f>
        <v>0.34029854249999997</v>
      </c>
      <c r="AA23" s="28">
        <f>IF(('Activity data'!AA10*EF!$H23)*kgtoGg=0,"NO",('Activity data'!AA10*EF!$H23)*kgtoGg)</f>
        <v>0.34871289249999998</v>
      </c>
      <c r="AB23" s="28">
        <f>IF(('Activity data'!AB10*EF!$H23)*kgtoGg=0,"NO",('Activity data'!AB10*EF!$H23)*kgtoGg)</f>
        <v>0.34784542999999996</v>
      </c>
      <c r="AC23" s="28">
        <f>IF(('Activity data'!AC10*EF!$H23)*kgtoGg=0,"NO",('Activity data'!AC10*EF!$H23)*kgtoGg)</f>
        <v>0.40176614500000002</v>
      </c>
      <c r="AD23" s="28">
        <f>IF(('Activity data'!AD10*EF!$H23)*kgtoGg=0,"NO",('Activity data'!AD10*EF!$H23)*kgtoGg)</f>
        <v>0.47241651785764616</v>
      </c>
      <c r="AE23" s="28">
        <f>IF(('Activity data'!AE10*EF!$H23)*kgtoGg=0,"NO",('Activity data'!AE10*EF!$H23)*kgtoGg)</f>
        <v>0.49004050540543137</v>
      </c>
      <c r="AF23" s="28">
        <f>IF(('Activity data'!AF10*EF!$H23)*kgtoGg=0,"NO",('Activity data'!AF10*EF!$H23)*kgtoGg)</f>
        <v>0.50587338709485186</v>
      </c>
      <c r="AG23" s="28">
        <f>IF(('Activity data'!AG10*EF!$H23)*kgtoGg=0,"NO",('Activity data'!AG10*EF!$H23)*kgtoGg)</f>
        <v>0.51330333017852303</v>
      </c>
      <c r="AH23" s="28">
        <f>IF(('Activity data'!AH10*EF!$H23)*kgtoGg=0,"NO",('Activity data'!AH10*EF!$H23)*kgtoGg)</f>
        <v>0.52084695794290625</v>
      </c>
      <c r="AI23" s="28">
        <f>IF(('Activity data'!AI10*EF!$H23)*kgtoGg=0,"NO",('Activity data'!AI10*EF!$H23)*kgtoGg)</f>
        <v>0.53749845878988001</v>
      </c>
      <c r="AJ23" s="28">
        <f>IF(('Activity data'!AJ10*EF!$H23)*kgtoGg=0,"NO",('Activity data'!AJ10*EF!$H23)*kgtoGg)</f>
        <v>0.55154407690171303</v>
      </c>
      <c r="AK23" s="28">
        <f>IF(('Activity data'!AK10*EF!$H23)*kgtoGg=0,"NO",('Activity data'!AK10*EF!$H23)*kgtoGg)</f>
        <v>0.55564430469746628</v>
      </c>
      <c r="AL23" s="28">
        <f>IF(('Activity data'!AL10*EF!$H23)*kgtoGg=0,"NO",('Activity data'!AL10*EF!$H23)*kgtoGg)</f>
        <v>0.51452468218759118</v>
      </c>
      <c r="AM23" s="28">
        <f>IF(('Activity data'!AM10*EF!$H23)*kgtoGg=0,"NO",('Activity data'!AM10*EF!$H23)*kgtoGg)</f>
        <v>0.53973183707135297</v>
      </c>
      <c r="AN23" s="28">
        <f>IF(('Activity data'!AN10*EF!$H23)*kgtoGg=0,"NO",('Activity data'!AN10*EF!$H23)*kgtoGg)</f>
        <v>0.55960980330157661</v>
      </c>
      <c r="AO23" s="28">
        <f>IF(('Activity data'!AO10*EF!$H23)*kgtoGg=0,"NO",('Activity data'!AO10*EF!$H23)*kgtoGg)</f>
        <v>0.57846136773715073</v>
      </c>
      <c r="AP23" s="28">
        <f>IF(('Activity data'!AP10*EF!$H23)*kgtoGg=0,"NO",('Activity data'!AP10*EF!$H23)*kgtoGg)</f>
        <v>0.59976484808933772</v>
      </c>
      <c r="AQ23" s="28">
        <f>IF(('Activity data'!AQ10*EF!$H23)*kgtoGg=0,"NO",('Activity data'!AQ10*EF!$H23)*kgtoGg)</f>
        <v>0.6290799531985618</v>
      </c>
      <c r="AR23" s="28">
        <f>IF(('Activity data'!AR10*EF!$H23)*kgtoGg=0,"NO",('Activity data'!AR10*EF!$H23)*kgtoGg)</f>
        <v>0.66078220006195243</v>
      </c>
      <c r="AS23" s="28">
        <f>IF(('Activity data'!AS10*EF!$H23)*kgtoGg=0,"NO",('Activity data'!AS10*EF!$H23)*kgtoGg)</f>
        <v>0.6950549893868353</v>
      </c>
      <c r="AT23" s="28">
        <f>IF(('Activity data'!AT10*EF!$H23)*kgtoGg=0,"NO",('Activity data'!AT10*EF!$H23)*kgtoGg)</f>
        <v>0.72671447444619408</v>
      </c>
      <c r="AU23" s="28">
        <f>IF(('Activity data'!AU10*EF!$H23)*kgtoGg=0,"NO",('Activity data'!AU10*EF!$H23)*kgtoGg)</f>
        <v>0.76263064102611711</v>
      </c>
      <c r="AV23" s="28">
        <f>IF(('Activity data'!AV10*EF!$H23)*kgtoGg=0,"NO",('Activity data'!AV10*EF!$H23)*kgtoGg)</f>
        <v>0.80381242816688792</v>
      </c>
      <c r="AW23" s="28">
        <f>IF(('Activity data'!AW10*EF!$H23)*kgtoGg=0,"NO",('Activity data'!AW10*EF!$H23)*kgtoGg)</f>
        <v>0.84707112360683778</v>
      </c>
      <c r="AX23" s="28">
        <f>IF(('Activity data'!AX10*EF!$H23)*kgtoGg=0,"NO",('Activity data'!AX10*EF!$H23)*kgtoGg)</f>
        <v>0.89273716244132828</v>
      </c>
      <c r="AY23" s="28">
        <f>IF(('Activity data'!AY10*EF!$H23)*kgtoGg=0,"NO",('Activity data'!AY10*EF!$H23)*kgtoGg)</f>
        <v>0.94011116650043791</v>
      </c>
      <c r="AZ23" s="28">
        <f>IF(('Activity data'!AZ10*EF!$H23)*kgtoGg=0,"NO",('Activity data'!AZ10*EF!$H23)*kgtoGg)</f>
        <v>0.99262429161620569</v>
      </c>
      <c r="BA23" s="28">
        <f>IF(('Activity data'!BA10*EF!$H23)*kgtoGg=0,"NO",('Activity data'!BA10*EF!$H23)*kgtoGg)</f>
        <v>1.0414261811490693</v>
      </c>
      <c r="BB23" s="28">
        <f>IF(('Activity data'!BB10*EF!$H23)*kgtoGg=0,"NO",('Activity data'!BB10*EF!$H23)*kgtoGg)</f>
        <v>1.0934015913217856</v>
      </c>
      <c r="BC23" s="28">
        <f>IF(('Activity data'!BC10*EF!$H23)*kgtoGg=0,"NO",('Activity data'!BC10*EF!$H23)*kgtoGg)</f>
        <v>1.1471241939805665</v>
      </c>
      <c r="BD23" s="28">
        <f>IF(('Activity data'!BD10*EF!$H23)*kgtoGg=0,"NO",('Activity data'!BD10*EF!$H23)*kgtoGg)</f>
        <v>1.2001095211957744</v>
      </c>
      <c r="BE23" s="28">
        <f>IF(('Activity data'!BE10*EF!$H23)*kgtoGg=0,"NO",('Activity data'!BE10*EF!$H23)*kgtoGg)</f>
        <v>1.2540285808463096</v>
      </c>
      <c r="BF23" s="28">
        <f>IF(('Activity data'!BF10*EF!$H23)*kgtoGg=0,"NO",('Activity data'!BF10*EF!$H23)*kgtoGg)</f>
        <v>1.310466494861908</v>
      </c>
      <c r="BG23" s="28">
        <f>IF(('Activity data'!BG10*EF!$H23)*kgtoGg=0,"NO",('Activity data'!BG10*EF!$H23)*kgtoGg)</f>
        <v>1.3683728665063422</v>
      </c>
      <c r="BH23" s="28">
        <f>IF(('Activity data'!BH10*EF!$H23)*kgtoGg=0,"NO",('Activity data'!BH10*EF!$H23)*kgtoGg)</f>
        <v>1.4246154398643955</v>
      </c>
      <c r="BI23" s="28">
        <f>IF(('Activity data'!BI10*EF!$H23)*kgtoGg=0,"NO",('Activity data'!BI10*EF!$H23)*kgtoGg)</f>
        <v>1.482380812922339</v>
      </c>
      <c r="BJ23" s="28">
        <f>IF(('Activity data'!BJ10*EF!$H23)*kgtoGg=0,"NO",('Activity data'!BJ10*EF!$H23)*kgtoGg)</f>
        <v>1.541777789137452</v>
      </c>
      <c r="BK23" s="28">
        <f>IF(('Activity data'!BK10*EF!$H23)*kgtoGg=0,"NO",('Activity data'!BK10*EF!$H23)*kgtoGg)</f>
        <v>1.6052115562052296</v>
      </c>
      <c r="BL23" s="28">
        <f>IF(('Activity data'!BL10*EF!$H23)*kgtoGg=0,"NO",('Activity data'!BL10*EF!$H23)*kgtoGg)</f>
        <v>1.670845908904999</v>
      </c>
      <c r="BM23" s="28">
        <f>IF(('Activity data'!BM10*EF!$H23)*kgtoGg=0,"NO",('Activity data'!BM10*EF!$H23)*kgtoGg)</f>
        <v>1.7149867964815078</v>
      </c>
      <c r="BN23" s="28">
        <f>IF(('Activity data'!BN10*EF!$H23)*kgtoGg=0,"NO",('Activity data'!BN10*EF!$H23)*kgtoGg)</f>
        <v>1.7581618430572761</v>
      </c>
      <c r="BO23" s="28">
        <f>IF(('Activity data'!BO10*EF!$H23)*kgtoGg=0,"NO",('Activity data'!BO10*EF!$H23)*kgtoGg)</f>
        <v>1.8050606672101563</v>
      </c>
      <c r="BP23" s="28">
        <f>IF(('Activity data'!BP10*EF!$H23)*kgtoGg=0,"NO",('Activity data'!BP10*EF!$H23)*kgtoGg)</f>
        <v>1.8512821467965566</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8">
        <f>IF(('Activity data'!H11*EF!$H24)*kgtoGg=0,"NO",('Activity data'!H11*EF!$H24)*kgtoGg)</f>
        <v>5.683257382813009E-2</v>
      </c>
      <c r="I24" s="28">
        <f>IF(('Activity data'!I11*EF!$H24)*kgtoGg=0,"NO",('Activity data'!I11*EF!$H24)*kgtoGg)</f>
        <v>5.427710801805239E-2</v>
      </c>
      <c r="J24" s="28">
        <f>IF(('Activity data'!J11*EF!$H24)*kgtoGg=0,"NO",('Activity data'!J11*EF!$H24)*kgtoGg)</f>
        <v>5.2034440322709721E-2</v>
      </c>
      <c r="K24" s="28">
        <f>IF(('Activity data'!K11*EF!$H24)*kgtoGg=0,"NO",('Activity data'!K11*EF!$H24)*kgtoGg)</f>
        <v>4.8663803668171031E-2</v>
      </c>
      <c r="L24" s="28">
        <f>IF(('Activity data'!L11*EF!$H24)*kgtoGg=0,"NO",('Activity data'!L11*EF!$H24)*kgtoGg)</f>
        <v>4.9006933721304616E-2</v>
      </c>
      <c r="M24" s="28">
        <f>IF(('Activity data'!M11*EF!$H24)*kgtoGg=0,"NO",('Activity data'!M11*EF!$H24)*kgtoGg)</f>
        <v>4.8305507645838179E-2</v>
      </c>
      <c r="N24" s="28">
        <f>IF(('Activity data'!N11*EF!$H24)*kgtoGg=0,"NO",('Activity data'!N11*EF!$H24)*kgtoGg)</f>
        <v>4.846664606858047E-2</v>
      </c>
      <c r="O24" s="28">
        <f>IF(('Activity data'!O11*EF!$H24)*kgtoGg=0,"NO",('Activity data'!O11*EF!$H24)*kgtoGg)</f>
        <v>4.7412611209230918E-2</v>
      </c>
      <c r="P24" s="28">
        <f>IF(('Activity data'!P11*EF!$H24)*kgtoGg=0,"NO",('Activity data'!P11*EF!$H24)*kgtoGg)</f>
        <v>4.7543417693574654E-2</v>
      </c>
      <c r="Q24" s="28">
        <f>IF(('Activity data'!Q11*EF!$H24)*kgtoGg=0,"NO",('Activity data'!Q11*EF!$H24)*kgtoGg)</f>
        <v>4.637563806523054E-2</v>
      </c>
      <c r="R24" s="28">
        <f>IF(('Activity data'!R11*EF!$H24)*kgtoGg=0,"NO",('Activity data'!R11*EF!$H24)*kgtoGg)</f>
        <v>4.4713068691760109E-2</v>
      </c>
      <c r="S24" s="28">
        <f>IF(('Activity data'!S11*EF!$H24)*kgtoGg=0,"NO",('Activity data'!S11*EF!$H24)*kgtoGg)</f>
        <v>4.3598369955613454E-2</v>
      </c>
      <c r="T24" s="28">
        <f>IF(('Activity data'!T11*EF!$H24)*kgtoGg=0,"NO",('Activity data'!T11*EF!$H24)*kgtoGg)</f>
        <v>4.2870403434048299E-2</v>
      </c>
      <c r="U24" s="28">
        <f>IF(('Activity data'!U11*EF!$H24)*kgtoGg=0,"NO",('Activity data'!U11*EF!$H24)*kgtoGg)</f>
        <v>4.3020167379891124E-2</v>
      </c>
      <c r="V24" s="28">
        <f>IF(('Activity data'!V11*EF!$H24)*kgtoGg=0,"NO",('Activity data'!V11*EF!$H24)*kgtoGg)</f>
        <v>4.2254285935327783E-2</v>
      </c>
      <c r="W24" s="28">
        <f>IF(('Activity data'!W11*EF!$H24)*kgtoGg=0,"NO",('Activity data'!W11*EF!$H24)*kgtoGg)</f>
        <v>4.2153811389382595E-2</v>
      </c>
      <c r="X24" s="28">
        <f>IF(('Activity data'!X11*EF!$H24)*kgtoGg=0,"NO",('Activity data'!X11*EF!$H24)*kgtoGg)</f>
        <v>4.1602149259758997E-2</v>
      </c>
      <c r="Y24" s="28">
        <f>IF(('Activity data'!Y11*EF!$H24)*kgtoGg=0,"NO",('Activity data'!Y11*EF!$H24)*kgtoGg)</f>
        <v>4.1562338590610905E-2</v>
      </c>
      <c r="Z24" s="28">
        <f>IF(('Activity data'!Z11*EF!$H24)*kgtoGg=0,"NO",('Activity data'!Z11*EF!$H24)*kgtoGg)</f>
        <v>4.1696936567254456E-2</v>
      </c>
      <c r="AA24" s="28">
        <f>IF(('Activity data'!AA11*EF!$H24)*kgtoGg=0,"NO",('Activity data'!AA11*EF!$H24)*kgtoGg)</f>
        <v>4.1549068367561531E-2</v>
      </c>
      <c r="AB24" s="28">
        <f>IF(('Activity data'!AB11*EF!$H24)*kgtoGg=0,"NO",('Activity data'!AB11*EF!$H24)*kgtoGg)</f>
        <v>4.0745272000000006E-2</v>
      </c>
      <c r="AC24" s="28">
        <f>IF(('Activity data'!AC11*EF!$H24)*kgtoGg=0,"NO",('Activity data'!AC11*EF!$H24)*kgtoGg)</f>
        <v>4.042678664681524E-2</v>
      </c>
      <c r="AD24" s="28">
        <f>IF(('Activity data'!AD11*EF!$H24)*kgtoGg=0,"NO",('Activity data'!AD11*EF!$H24)*kgtoGg)</f>
        <v>3.6049467288640238E-2</v>
      </c>
      <c r="AE24" s="28">
        <f>IF(('Activity data'!AE11*EF!$H24)*kgtoGg=0,"NO",('Activity data'!AE11*EF!$H24)*kgtoGg)</f>
        <v>3.6068922498919492E-2</v>
      </c>
      <c r="AF24" s="28">
        <f>IF(('Activity data'!AF11*EF!$H24)*kgtoGg=0,"NO",('Activity data'!AF11*EF!$H24)*kgtoGg)</f>
        <v>3.6113648368603188E-2</v>
      </c>
      <c r="AG24" s="28">
        <f>IF(('Activity data'!AG11*EF!$H24)*kgtoGg=0,"NO",('Activity data'!AG11*EF!$H24)*kgtoGg)</f>
        <v>3.6180048088995075E-2</v>
      </c>
      <c r="AH24" s="28">
        <f>IF(('Activity data'!AH11*EF!$H24)*kgtoGg=0,"NO",('Activity data'!AH11*EF!$H24)*kgtoGg)</f>
        <v>3.6269669615497352E-2</v>
      </c>
      <c r="AI24" s="28">
        <f>IF(('Activity data'!AI11*EF!$H24)*kgtoGg=0,"NO",('Activity data'!AI11*EF!$H24)*kgtoGg)</f>
        <v>3.6384314095385159E-2</v>
      </c>
      <c r="AJ24" s="28">
        <f>IF(('Activity data'!AJ11*EF!$H24)*kgtoGg=0,"NO",('Activity data'!AJ11*EF!$H24)*kgtoGg)</f>
        <v>3.6510640385803414E-2</v>
      </c>
      <c r="AK24" s="28">
        <f>IF(('Activity data'!AK11*EF!$H24)*kgtoGg=0,"NO",('Activity data'!AK11*EF!$H24)*kgtoGg)</f>
        <v>3.6646686440443228E-2</v>
      </c>
      <c r="AL24" s="28">
        <f>IF(('Activity data'!AL11*EF!$H24)*kgtoGg=0,"NO",('Activity data'!AL11*EF!$H24)*kgtoGg)</f>
        <v>3.6781472874538444E-2</v>
      </c>
      <c r="AM24" s="28">
        <f>IF(('Activity data'!AM11*EF!$H24)*kgtoGg=0,"NO",('Activity data'!AM11*EF!$H24)*kgtoGg)</f>
        <v>3.6836633496849083E-2</v>
      </c>
      <c r="AN24" s="28">
        <f>IF(('Activity data'!AN11*EF!$H24)*kgtoGg=0,"NO",('Activity data'!AN11*EF!$H24)*kgtoGg)</f>
        <v>3.6899270096088746E-2</v>
      </c>
      <c r="AO24" s="28">
        <f>IF(('Activity data'!AO11*EF!$H24)*kgtoGg=0,"NO",('Activity data'!AO11*EF!$H24)*kgtoGg)</f>
        <v>3.6970107657697912E-2</v>
      </c>
      <c r="AP24" s="28">
        <f>IF(('Activity data'!AP11*EF!$H24)*kgtoGg=0,"NO",('Activity data'!AP11*EF!$H24)*kgtoGg)</f>
        <v>3.7049660029312891E-2</v>
      </c>
      <c r="AQ24" s="28">
        <f>IF(('Activity data'!AQ11*EF!$H24)*kgtoGg=0,"NO",('Activity data'!AQ11*EF!$H24)*kgtoGg)</f>
        <v>3.7139051899563943E-2</v>
      </c>
      <c r="AR24" s="28">
        <f>IF(('Activity data'!AR11*EF!$H24)*kgtoGg=0,"NO",('Activity data'!AR11*EF!$H24)*kgtoGg)</f>
        <v>3.7195257613770766E-2</v>
      </c>
      <c r="AS24" s="28">
        <f>IF(('Activity data'!AS11*EF!$H24)*kgtoGg=0,"NO",('Activity data'!AS11*EF!$H24)*kgtoGg)</f>
        <v>3.7258548109316066E-2</v>
      </c>
      <c r="AT24" s="28">
        <f>IF(('Activity data'!AT11*EF!$H24)*kgtoGg=0,"NO",('Activity data'!AT11*EF!$H24)*kgtoGg)</f>
        <v>3.7327161924675951E-2</v>
      </c>
      <c r="AU24" s="28">
        <f>IF(('Activity data'!AU11*EF!$H24)*kgtoGg=0,"NO",('Activity data'!AU11*EF!$H24)*kgtoGg)</f>
        <v>3.740270770234231E-2</v>
      </c>
      <c r="AV24" s="28">
        <f>IF(('Activity data'!AV11*EF!$H24)*kgtoGg=0,"NO",('Activity data'!AV11*EF!$H24)*kgtoGg)</f>
        <v>3.7485176791933403E-2</v>
      </c>
      <c r="AW24" s="28">
        <f>IF(('Activity data'!AW11*EF!$H24)*kgtoGg=0,"NO",('Activity data'!AW11*EF!$H24)*kgtoGg)</f>
        <v>3.7539761469788754E-2</v>
      </c>
      <c r="AX24" s="28">
        <f>IF(('Activity data'!AX11*EF!$H24)*kgtoGg=0,"NO",('Activity data'!AX11*EF!$H24)*kgtoGg)</f>
        <v>3.7599656922957594E-2</v>
      </c>
      <c r="AY24" s="28">
        <f>IF(('Activity data'!AY11*EF!$H24)*kgtoGg=0,"NO",('Activity data'!AY11*EF!$H24)*kgtoGg)</f>
        <v>3.7664460791843352E-2</v>
      </c>
      <c r="AZ24" s="28">
        <f>IF(('Activity data'!AZ11*EF!$H24)*kgtoGg=0,"NO",('Activity data'!AZ11*EF!$H24)*kgtoGg)</f>
        <v>3.7734874583025615E-2</v>
      </c>
      <c r="BA24" s="28">
        <f>IF(('Activity data'!BA11*EF!$H24)*kgtoGg=0,"NO",('Activity data'!BA11*EF!$H24)*kgtoGg)</f>
        <v>3.7808406535422022E-2</v>
      </c>
      <c r="BB24" s="28">
        <f>IF(('Activity data'!BB11*EF!$H24)*kgtoGg=0,"NO",('Activity data'!BB11*EF!$H24)*kgtoGg)</f>
        <v>3.7855450290038166E-2</v>
      </c>
      <c r="BC24" s="28">
        <f>IF(('Activity data'!BC11*EF!$H24)*kgtoGg=0,"NO",('Activity data'!BC11*EF!$H24)*kgtoGg)</f>
        <v>3.790648474498734E-2</v>
      </c>
      <c r="BD24" s="28">
        <f>IF(('Activity data'!BD11*EF!$H24)*kgtoGg=0,"NO",('Activity data'!BD11*EF!$H24)*kgtoGg)</f>
        <v>3.7960736985585587E-2</v>
      </c>
      <c r="BE24" s="28">
        <f>IF(('Activity data'!BE11*EF!$H24)*kgtoGg=0,"NO",('Activity data'!BE11*EF!$H24)*kgtoGg)</f>
        <v>3.8018503990857662E-2</v>
      </c>
      <c r="BF24" s="28">
        <f>IF(('Activity data'!BF11*EF!$H24)*kgtoGg=0,"NO",('Activity data'!BF11*EF!$H24)*kgtoGg)</f>
        <v>3.8080056384553931E-2</v>
      </c>
      <c r="BG24" s="28">
        <f>IF(('Activity data'!BG11*EF!$H24)*kgtoGg=0,"NO",('Activity data'!BG11*EF!$H24)*kgtoGg)</f>
        <v>3.8116334504626079E-2</v>
      </c>
      <c r="BH24" s="28">
        <f>IF(('Activity data'!BH11*EF!$H24)*kgtoGg=0,"NO",('Activity data'!BH11*EF!$H24)*kgtoGg)</f>
        <v>3.8154989670212594E-2</v>
      </c>
      <c r="BI24" s="28">
        <f>IF(('Activity data'!BI11*EF!$H24)*kgtoGg=0,"NO",('Activity data'!BI11*EF!$H24)*kgtoGg)</f>
        <v>3.8196703080821404E-2</v>
      </c>
      <c r="BJ24" s="28">
        <f>IF(('Activity data'!BJ11*EF!$H24)*kgtoGg=0,"NO",('Activity data'!BJ11*EF!$H24)*kgtoGg)</f>
        <v>3.8241401151067764E-2</v>
      </c>
      <c r="BK24" s="28">
        <f>IF(('Activity data'!BK11*EF!$H24)*kgtoGg=0,"NO",('Activity data'!BK11*EF!$H24)*kgtoGg)</f>
        <v>3.828956377958781E-2</v>
      </c>
      <c r="BL24" s="28">
        <f>IF(('Activity data'!BL11*EF!$H24)*kgtoGg=0,"NO",('Activity data'!BL11*EF!$H24)*kgtoGg)</f>
        <v>3.8311270646145826E-2</v>
      </c>
      <c r="BM24" s="28">
        <f>IF(('Activity data'!BM11*EF!$H24)*kgtoGg=0,"NO",('Activity data'!BM11*EF!$H24)*kgtoGg)</f>
        <v>3.8330111932378036E-2</v>
      </c>
      <c r="BN24" s="28">
        <f>IF(('Activity data'!BN11*EF!$H24)*kgtoGg=0,"NO",('Activity data'!BN11*EF!$H24)*kgtoGg)</f>
        <v>3.8350912132151166E-2</v>
      </c>
      <c r="BO24" s="28">
        <f>IF(('Activity data'!BO11*EF!$H24)*kgtoGg=0,"NO",('Activity data'!BO11*EF!$H24)*kgtoGg)</f>
        <v>3.8374692407557622E-2</v>
      </c>
      <c r="BP24" s="28">
        <f>IF(('Activity data'!BP11*EF!$H24)*kgtoGg=0,"NO",('Activity data'!BP11*EF!$H24)*kgtoGg)</f>
        <v>3.8400354082293926E-2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8">
        <f>IF(('Activity data'!H12*EF!$H25)*kgtoGg=0,"NO",('Activity data'!H12*EF!$H25)*kgtoGg)</f>
        <v>6.0620252936525133E-3</v>
      </c>
      <c r="I25" s="28">
        <f>IF(('Activity data'!I12*EF!$H25)*kgtoGg=0,"NO",('Activity data'!I12*EF!$H25)*kgtoGg)</f>
        <v>5.7894474859923658E-3</v>
      </c>
      <c r="J25" s="28">
        <f>IF(('Activity data'!J12*EF!$H25)*kgtoGg=0,"NO",('Activity data'!J12*EF!$H25)*kgtoGg)</f>
        <v>5.550234172593288E-3</v>
      </c>
      <c r="K25" s="28">
        <f>IF(('Activity data'!K12*EF!$H25)*kgtoGg=0,"NO",('Activity data'!K12*EF!$H25)*kgtoGg)</f>
        <v>5.1907064707982266E-3</v>
      </c>
      <c r="L25" s="28">
        <f>IF(('Activity data'!L12*EF!$H25)*kgtoGg=0,"NO",('Activity data'!L12*EF!$H25)*kgtoGg)</f>
        <v>5.2273063099573412E-3</v>
      </c>
      <c r="M25" s="28">
        <f>IF(('Activity data'!M12*EF!$H25)*kgtoGg=0,"NO",('Activity data'!M12*EF!$H25)*kgtoGg)</f>
        <v>5.1524889591900904E-3</v>
      </c>
      <c r="N25" s="28">
        <f>IF(('Activity data'!N12*EF!$H25)*kgtoGg=0,"NO",('Activity data'!N12*EF!$H25)*kgtoGg)</f>
        <v>5.1696767289609452E-3</v>
      </c>
      <c r="O25" s="28">
        <f>IF(('Activity data'!O12*EF!$H25)*kgtoGg=0,"NO",('Activity data'!O12*EF!$H25)*kgtoGg)</f>
        <v>5.0572484937539399E-3</v>
      </c>
      <c r="P25" s="28">
        <f>IF(('Activity data'!P12*EF!$H25)*kgtoGg=0,"NO",('Activity data'!P12*EF!$H25)*kgtoGg)</f>
        <v>5.0712009186267681E-3</v>
      </c>
      <c r="Q25" s="28">
        <f>IF(('Activity data'!Q12*EF!$H25)*kgtoGg=0,"NO",('Activity data'!Q12*EF!$H25)*kgtoGg)</f>
        <v>4.9466401400521005E-3</v>
      </c>
      <c r="R25" s="28">
        <f>IF(('Activity data'!R12*EF!$H25)*kgtoGg=0,"NO",('Activity data'!R12*EF!$H25)*kgtoGg)</f>
        <v>4.7693027978281018E-3</v>
      </c>
      <c r="S25" s="28">
        <f>IF(('Activity data'!S12*EF!$H25)*kgtoGg=0,"NO",('Activity data'!S12*EF!$H25)*kgtoGg)</f>
        <v>4.6504038728250093E-3</v>
      </c>
      <c r="T25" s="28">
        <f>IF(('Activity data'!T12*EF!$H25)*kgtoGg=0,"NO",('Activity data'!T12*EF!$H25)*kgtoGg)</f>
        <v>4.5727555952719701E-3</v>
      </c>
      <c r="U25" s="28">
        <f>IF(('Activity data'!U12*EF!$H25)*kgtoGg=0,"NO",('Activity data'!U12*EF!$H25)*kgtoGg)</f>
        <v>4.588730110706059E-3</v>
      </c>
      <c r="V25" s="28">
        <f>IF(('Activity data'!V12*EF!$H25)*kgtoGg=0,"NO",('Activity data'!V12*EF!$H25)*kgtoGg)</f>
        <v>4.5070376520304645E-3</v>
      </c>
      <c r="W25" s="28">
        <f>IF(('Activity data'!W12*EF!$H25)*kgtoGg=0,"NO",('Activity data'!W12*EF!$H25)*kgtoGg)</f>
        <v>4.4963205720556969E-3</v>
      </c>
      <c r="X25" s="28">
        <f>IF(('Activity data'!X12*EF!$H25)*kgtoGg=0,"NO",('Activity data'!X12*EF!$H25)*kgtoGg)</f>
        <v>4.4374777367225341E-3</v>
      </c>
      <c r="Y25" s="28">
        <f>IF(('Activity data'!Y12*EF!$H25)*kgtoGg=0,"NO",('Activity data'!Y12*EF!$H25)*kgtoGg)</f>
        <v>4.4332313465438519E-3</v>
      </c>
      <c r="Z25" s="28">
        <f>IF(('Activity data'!Z12*EF!$H25)*kgtoGg=0,"NO",('Activity data'!Z12*EF!$H25)*kgtoGg)</f>
        <v>4.4475881895289192E-3</v>
      </c>
      <c r="AA25" s="28">
        <f>IF(('Activity data'!AA12*EF!$H25)*kgtoGg=0,"NO",('Activity data'!AA12*EF!$H25)*kgtoGg)</f>
        <v>4.4318158831509582E-3</v>
      </c>
      <c r="AB25" s="28">
        <f>IF(('Activity data'!AB12*EF!$H25)*kgtoGg=0,"NO",('Activity data'!AB12*EF!$H25)*kgtoGg)</f>
        <v>4.3460792433528102E-3</v>
      </c>
      <c r="AC25" s="28">
        <f>IF(('Activity data'!AC12*EF!$H25)*kgtoGg=0,"NO",('Activity data'!AC12*EF!$H25)*kgtoGg)</f>
        <v>4.3121081219233554E-3</v>
      </c>
      <c r="AD25" s="28">
        <f>IF(('Activity data'!AD12*EF!$H25)*kgtoGg=0,"NO",('Activity data'!AD12*EF!$H25)*kgtoGg)</f>
        <v>4.1170209951421942E-3</v>
      </c>
      <c r="AE25" s="28">
        <f>IF(('Activity data'!AE12*EF!$H25)*kgtoGg=0,"NO",('Activity data'!AE12*EF!$H25)*kgtoGg)</f>
        <v>4.1192428728898823E-3</v>
      </c>
      <c r="AF25" s="28">
        <f>IF(('Activity data'!AF12*EF!$H25)*kgtoGg=0,"NO",('Activity data'!AF12*EF!$H25)*kgtoGg)</f>
        <v>4.12435078039485E-3</v>
      </c>
      <c r="AG25" s="28">
        <f>IF(('Activity data'!AG12*EF!$H25)*kgtoGg=0,"NO",('Activity data'!AG12*EF!$H25)*kgtoGg)</f>
        <v>4.1319339449597016E-3</v>
      </c>
      <c r="AH25" s="28">
        <f>IF(('Activity data'!AH12*EF!$H25)*kgtoGg=0,"NO",('Activity data'!AH12*EF!$H25)*kgtoGg)</f>
        <v>4.1421691504697385E-3</v>
      </c>
      <c r="AI25" s="28">
        <f>IF(('Activity data'!AI12*EF!$H25)*kgtoGg=0,"NO",('Activity data'!AI12*EF!$H25)*kgtoGg)</f>
        <v>4.1552620965289999E-3</v>
      </c>
      <c r="AJ25" s="28">
        <f>IF(('Activity data'!AJ12*EF!$H25)*kgtoGg=0,"NO",('Activity data'!AJ12*EF!$H25)*kgtoGg)</f>
        <v>4.1696891610325101E-3</v>
      </c>
      <c r="AK25" s="28">
        <f>IF(('Activity data'!AK12*EF!$H25)*kgtoGg=0,"NO",('Activity data'!AK12*EF!$H25)*kgtoGg)</f>
        <v>4.1852262689396433E-3</v>
      </c>
      <c r="AL25" s="28">
        <f>IF(('Activity data'!AL12*EF!$H25)*kgtoGg=0,"NO",('Activity data'!AL12*EF!$H25)*kgtoGg)</f>
        <v>4.2006195221765729E-3</v>
      </c>
      <c r="AM25" s="28">
        <f>IF(('Activity data'!AM12*EF!$H25)*kgtoGg=0,"NO",('Activity data'!AM12*EF!$H25)*kgtoGg)</f>
        <v>4.2069191281690734E-3</v>
      </c>
      <c r="AN25" s="28">
        <f>IF(('Activity data'!AN12*EF!$H25)*kgtoGg=0,"NO",('Activity data'!AN12*EF!$H25)*kgtoGg)</f>
        <v>4.2140725263613192E-3</v>
      </c>
      <c r="AO25" s="28">
        <f>IF(('Activity data'!AO12*EF!$H25)*kgtoGg=0,"NO",('Activity data'!AO12*EF!$H25)*kgtoGg)</f>
        <v>4.2221625135462756E-3</v>
      </c>
      <c r="AP25" s="28">
        <f>IF(('Activity data'!AP12*EF!$H25)*kgtoGg=0,"NO",('Activity data'!AP12*EF!$H25)*kgtoGg)</f>
        <v>4.2312477735732788E-3</v>
      </c>
      <c r="AQ25" s="28">
        <f>IF(('Activity data'!AQ12*EF!$H25)*kgtoGg=0,"NO",('Activity data'!AQ12*EF!$H25)*kgtoGg)</f>
        <v>4.2414567512447637E-3</v>
      </c>
      <c r="AR25" s="28">
        <f>IF(('Activity data'!AR12*EF!$H25)*kgtoGg=0,"NO",('Activity data'!AR12*EF!$H25)*kgtoGg)</f>
        <v>4.2478757117132681E-3</v>
      </c>
      <c r="AS25" s="28">
        <f>IF(('Activity data'!AS12*EF!$H25)*kgtoGg=0,"NO",('Activity data'!AS12*EF!$H25)*kgtoGg)</f>
        <v>4.2551037879804332E-3</v>
      </c>
      <c r="AT25" s="28">
        <f>IF(('Activity data'!AT12*EF!$H25)*kgtoGg=0,"NO",('Activity data'!AT12*EF!$H25)*kgtoGg)</f>
        <v>4.2629398127441735E-3</v>
      </c>
      <c r="AU25" s="28">
        <f>IF(('Activity data'!AU12*EF!$H25)*kgtoGg=0,"NO",('Activity data'!AU12*EF!$H25)*kgtoGg)</f>
        <v>4.2715675006447032E-3</v>
      </c>
      <c r="AV25" s="28">
        <f>IF(('Activity data'!AV12*EF!$H25)*kgtoGg=0,"NO",('Activity data'!AV12*EF!$H25)*kgtoGg)</f>
        <v>4.2809858637671951E-3</v>
      </c>
      <c r="AW25" s="28">
        <f>IF(('Activity data'!AW12*EF!$H25)*kgtoGg=0,"NO",('Activity data'!AW12*EF!$H25)*kgtoGg)</f>
        <v>4.2872196941576481E-3</v>
      </c>
      <c r="AX25" s="28">
        <f>IF(('Activity data'!AX12*EF!$H25)*kgtoGg=0,"NO",('Activity data'!AX12*EF!$H25)*kgtoGg)</f>
        <v>4.294060040402857E-3</v>
      </c>
      <c r="AY25" s="28">
        <f>IF(('Activity data'!AY12*EF!$H25)*kgtoGg=0,"NO",('Activity data'!AY12*EF!$H25)*kgtoGg)</f>
        <v>4.3014609511190394E-3</v>
      </c>
      <c r="AZ25" s="28">
        <f>IF(('Activity data'!AZ12*EF!$H25)*kgtoGg=0,"NO",('Activity data'!AZ12*EF!$H25)*kgtoGg)</f>
        <v>4.3095025417013294E-3</v>
      </c>
      <c r="BA25" s="28">
        <f>IF(('Activity data'!BA12*EF!$H25)*kgtoGg=0,"NO",('Activity data'!BA12*EF!$H25)*kgtoGg)</f>
        <v>4.3179002411570773E-3</v>
      </c>
      <c r="BB25" s="28">
        <f>IF(('Activity data'!BB12*EF!$H25)*kgtoGg=0,"NO",('Activity data'!BB12*EF!$H25)*kgtoGg)</f>
        <v>4.3232728621695939E-3</v>
      </c>
      <c r="BC25" s="28">
        <f>IF(('Activity data'!BC12*EF!$H25)*kgtoGg=0,"NO",('Activity data'!BC12*EF!$H25)*kgtoGg)</f>
        <v>4.3291012401819257E-3</v>
      </c>
      <c r="BD25" s="28">
        <f>IF(('Activity data'!BD12*EF!$H25)*kgtoGg=0,"NO",('Activity data'!BD12*EF!$H25)*kgtoGg)</f>
        <v>4.335297104653045E-3</v>
      </c>
      <c r="BE25" s="28">
        <f>IF(('Activity data'!BE12*EF!$H25)*kgtoGg=0,"NO",('Activity data'!BE12*EF!$H25)*kgtoGg)</f>
        <v>4.3418943720031399E-3</v>
      </c>
      <c r="BF25" s="28">
        <f>IF(('Activity data'!BF12*EF!$H25)*kgtoGg=0,"NO",('Activity data'!BF12*EF!$H25)*kgtoGg)</f>
        <v>4.3489239487544346E-3</v>
      </c>
      <c r="BG25" s="28">
        <f>IF(('Activity data'!BG12*EF!$H25)*kgtoGg=0,"NO",('Activity data'!BG12*EF!$H25)*kgtoGg)</f>
        <v>4.3530670829873327E-3</v>
      </c>
      <c r="BH25" s="28">
        <f>IF(('Activity data'!BH12*EF!$H25)*kgtoGg=0,"NO",('Activity data'!BH12*EF!$H25)*kgtoGg)</f>
        <v>4.3574816871482253E-3</v>
      </c>
      <c r="BI25" s="28">
        <f>IF(('Activity data'!BI12*EF!$H25)*kgtoGg=0,"NO",('Activity data'!BI12*EF!$H25)*kgtoGg)</f>
        <v>4.362245557467872E-3</v>
      </c>
      <c r="BJ25" s="28">
        <f>IF(('Activity data'!BJ12*EF!$H25)*kgtoGg=0,"NO",('Activity data'!BJ12*EF!$H25)*kgtoGg)</f>
        <v>4.3673502901445905E-3</v>
      </c>
      <c r="BK25" s="28">
        <f>IF(('Activity data'!BK12*EF!$H25)*kgtoGg=0,"NO",('Activity data'!BK12*EF!$H25)*kgtoGg)</f>
        <v>4.3728506918900767E-3</v>
      </c>
      <c r="BL25" s="28">
        <f>IF(('Activity data'!BL12*EF!$H25)*kgtoGg=0,"NO",('Activity data'!BL12*EF!$H25)*kgtoGg)</f>
        <v>4.3753297195173796E-3</v>
      </c>
      <c r="BM25" s="28">
        <f>IF(('Activity data'!BM12*EF!$H25)*kgtoGg=0,"NO",('Activity data'!BM12*EF!$H25)*kgtoGg)</f>
        <v>4.3774814842126074E-3</v>
      </c>
      <c r="BN25" s="28">
        <f>IF(('Activity data'!BN12*EF!$H25)*kgtoGg=0,"NO",('Activity data'!BN12*EF!$H25)*kgtoGg)</f>
        <v>4.3798569661714264E-3</v>
      </c>
      <c r="BO25" s="28">
        <f>IF(('Activity data'!BO12*EF!$H25)*kgtoGg=0,"NO",('Activity data'!BO12*EF!$H25)*kgtoGg)</f>
        <v>4.3825727869721814E-3</v>
      </c>
      <c r="BP25" s="28">
        <f>IF(('Activity data'!BP12*EF!$H25)*kgtoGg=0,"NO",('Activity data'!BP12*EF!$H25)*kgtoGg)</f>
        <v>4.385503472544146E-3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8">
        <f>IF(('Activity data'!H13*EF!$H26)*kgtoGg=0,"NO",('Activity data'!H13*EF!$H26)*kgtoGg)</f>
        <v>2.1179239085185406E-2</v>
      </c>
      <c r="I26" s="28">
        <f>IF(('Activity data'!I13*EF!$H26)*kgtoGg=0,"NO",('Activity data'!I13*EF!$H26)*kgtoGg)</f>
        <v>1.872843312038926E-2</v>
      </c>
      <c r="J26" s="28">
        <f>IF(('Activity data'!J13*EF!$H26)*kgtoGg=0,"NO",('Activity data'!J13*EF!$H26)*kgtoGg)</f>
        <v>1.7445768316383788E-2</v>
      </c>
      <c r="K26" s="28">
        <f>IF(('Activity data'!K13*EF!$H26)*kgtoGg=0,"NO",('Activity data'!K13*EF!$H26)*kgtoGg)</f>
        <v>1.6483769713379698E-2</v>
      </c>
      <c r="L26" s="28">
        <f>IF(('Activity data'!L13*EF!$H26)*kgtoGg=0,"NO",('Activity data'!L13*EF!$H26)*kgtoGg)</f>
        <v>1.7842783612861672E-2</v>
      </c>
      <c r="M26" s="28">
        <f>IF(('Activity data'!M13*EF!$H26)*kgtoGg=0,"NO",('Activity data'!M13*EF!$H26)*kgtoGg)</f>
        <v>1.8087100718386526E-2</v>
      </c>
      <c r="N26" s="28">
        <f>IF(('Activity data'!N13*EF!$H26)*kgtoGg=0,"NO",('Activity data'!N13*EF!$H26)*kgtoGg)</f>
        <v>1.8369592371649628E-2</v>
      </c>
      <c r="O26" s="28">
        <f>IF(('Activity data'!O13*EF!$H26)*kgtoGg=0,"NO",('Activity data'!O13*EF!$H26)*kgtoGg)</f>
        <v>1.8277973457077813E-2</v>
      </c>
      <c r="P26" s="28">
        <f>IF(('Activity data'!P13*EF!$H26)*kgtoGg=0,"NO",('Activity data'!P13*EF!$H26)*kgtoGg)</f>
        <v>1.8018386532457662E-2</v>
      </c>
      <c r="Q26" s="28">
        <f>IF(('Activity data'!Q13*EF!$H26)*kgtoGg=0,"NO",('Activity data'!Q13*EF!$H26)*kgtoGg)</f>
        <v>1.775116469828986E-2</v>
      </c>
      <c r="R26" s="28">
        <f>IF(('Activity data'!R13*EF!$H26)*kgtoGg=0,"NO",('Activity data'!R13*EF!$H26)*kgtoGg)</f>
        <v>1.7980211984719403E-2</v>
      </c>
      <c r="S26" s="28">
        <f>IF(('Activity data'!S13*EF!$H26)*kgtoGg=0,"NO",('Activity data'!S13*EF!$H26)*kgtoGg)</f>
        <v>1.8529925472150318E-2</v>
      </c>
      <c r="T26" s="28">
        <f>IF(('Activity data'!T13*EF!$H26)*kgtoGg=0,"NO",('Activity data'!T13*EF!$H26)*kgtoGg)</f>
        <v>1.6918959557595842E-2</v>
      </c>
      <c r="U26" s="28">
        <f>IF(('Activity data'!U13*EF!$H26)*kgtoGg=0,"NO",('Activity data'!U13*EF!$H26)*kgtoGg)</f>
        <v>1.649140462292735E-2</v>
      </c>
      <c r="V26" s="28">
        <f>IF(('Activity data'!V13*EF!$H26)*kgtoGg=0,"NO",('Activity data'!V13*EF!$H26)*kgtoGg)</f>
        <v>1.6521944261117961E-2</v>
      </c>
      <c r="W26" s="28">
        <f>IF(('Activity data'!W13*EF!$H26)*kgtoGg=0,"NO",('Activity data'!W13*EF!$H26)*kgtoGg)</f>
        <v>1.6308166793783711E-2</v>
      </c>
      <c r="X26" s="28">
        <f>IF(('Activity data'!X13*EF!$H26)*kgtoGg=0,"NO",('Activity data'!X13*EF!$H26)*kgtoGg)</f>
        <v>1.6651737723428033E-2</v>
      </c>
      <c r="Y26" s="28">
        <f>IF(('Activity data'!Y13*EF!$H26)*kgtoGg=0,"NO",('Activity data'!Y13*EF!$H26)*kgtoGg)</f>
        <v>1.615546860283068E-2</v>
      </c>
      <c r="Z26" s="28">
        <f>IF(('Activity data'!Z13*EF!$H26)*kgtoGg=0,"NO",('Activity data'!Z13*EF!$H26)*kgtoGg)</f>
        <v>1.6140198783735384E-2</v>
      </c>
      <c r="AA26" s="28">
        <f>IF(('Activity data'!AA13*EF!$H26)*kgtoGg=0,"NO",('Activity data'!AA13*EF!$H26)*kgtoGg)</f>
        <v>1.5857707130472271E-2</v>
      </c>
      <c r="AB26" s="28">
        <f>IF(('Activity data'!AB13*EF!$H26)*kgtoGg=0,"NO",('Activity data'!AB13*EF!$H26)*kgtoGg)</f>
        <v>1.5666834391780984E-2</v>
      </c>
      <c r="AC26" s="28">
        <f>IF(('Activity data'!AC13*EF!$H26)*kgtoGg=0,"NO",('Activity data'!AC13*EF!$H26)*kgtoGg)</f>
        <v>1.5521771110375606E-2</v>
      </c>
      <c r="AD26" s="28">
        <f>IF(('Activity data'!AD13*EF!$H26)*kgtoGg=0,"NO",('Activity data'!AD13*EF!$H26)*kgtoGg)</f>
        <v>1.5786050776084536E-2</v>
      </c>
      <c r="AE26" s="28">
        <f>IF(('Activity data'!AE13*EF!$H26)*kgtoGg=0,"NO",('Activity data'!AE13*EF!$H26)*kgtoGg)</f>
        <v>1.5827081346829606E-2</v>
      </c>
      <c r="AF26" s="28">
        <f>IF(('Activity data'!AF13*EF!$H26)*kgtoGg=0,"NO",('Activity data'!AF13*EF!$H26)*kgtoGg)</f>
        <v>1.5882411871580165E-2</v>
      </c>
      <c r="AG26" s="28">
        <f>IF(('Activity data'!AG13*EF!$H26)*kgtoGg=0,"NO",('Activity data'!AG13*EF!$H26)*kgtoGg)</f>
        <v>1.5949803045989901E-2</v>
      </c>
      <c r="AH26" s="28">
        <f>IF(('Activity data'!AH13*EF!$H26)*kgtoGg=0,"NO",('Activity data'!AH13*EF!$H26)*kgtoGg)</f>
        <v>1.6030521416305728E-2</v>
      </c>
      <c r="AI26" s="28">
        <f>IF(('Activity data'!AI13*EF!$H26)*kgtoGg=0,"NO",('Activity data'!AI13*EF!$H26)*kgtoGg)</f>
        <v>1.6125949164627635E-2</v>
      </c>
      <c r="AJ26" s="28">
        <f>IF(('Activity data'!AJ13*EF!$H26)*kgtoGg=0,"NO",('Activity data'!AJ13*EF!$H26)*kgtoGg)</f>
        <v>1.6227083744595871E-2</v>
      </c>
      <c r="AK26" s="28">
        <f>IF(('Activity data'!AK13*EF!$H26)*kgtoGg=0,"NO",('Activity data'!AK13*EF!$H26)*kgtoGg)</f>
        <v>1.6332741800602117E-2</v>
      </c>
      <c r="AL26" s="28">
        <f>IF(('Activity data'!AL13*EF!$H26)*kgtoGg=0,"NO",('Activity data'!AL13*EF!$H26)*kgtoGg)</f>
        <v>1.6435606263672888E-2</v>
      </c>
      <c r="AM26" s="28">
        <f>IF(('Activity data'!AM13*EF!$H26)*kgtoGg=0,"NO",('Activity data'!AM13*EF!$H26)*kgtoGg)</f>
        <v>1.6482785969504622E-2</v>
      </c>
      <c r="AN26" s="28">
        <f>IF(('Activity data'!AN13*EF!$H26)*kgtoGg=0,"NO",('Activity data'!AN13*EF!$H26)*kgtoGg)</f>
        <v>1.6533664426214255E-2</v>
      </c>
      <c r="AO26" s="28">
        <f>IF(('Activity data'!AO13*EF!$H26)*kgtoGg=0,"NO",('Activity data'!AO13*EF!$H26)*kgtoGg)</f>
        <v>1.6588808405428729E-2</v>
      </c>
      <c r="AP26" s="28">
        <f>IF(('Activity data'!AP13*EF!$H26)*kgtoGg=0,"NO",('Activity data'!AP13*EF!$H26)*kgtoGg)</f>
        <v>1.6648626125843623E-2</v>
      </c>
      <c r="AQ26" s="28">
        <f>IF(('Activity data'!AQ13*EF!$H26)*kgtoGg=0,"NO",('Activity data'!AQ13*EF!$H26)*kgtoGg)</f>
        <v>1.671392230440329E-2</v>
      </c>
      <c r="AR26" s="28">
        <f>IF(('Activity data'!AR13*EF!$H26)*kgtoGg=0,"NO",('Activity data'!AR13*EF!$H26)*kgtoGg)</f>
        <v>1.6755949162850392E-2</v>
      </c>
      <c r="AS26" s="28">
        <f>IF(('Activity data'!AS13*EF!$H26)*kgtoGg=0,"NO",('Activity data'!AS13*EF!$H26)*kgtoGg)</f>
        <v>1.6801812461822448E-2</v>
      </c>
      <c r="AT26" s="28">
        <f>IF(('Activity data'!AT13*EF!$H26)*kgtoGg=0,"NO",('Activity data'!AT13*EF!$H26)*kgtoGg)</f>
        <v>1.6850371356583897E-2</v>
      </c>
      <c r="AU26" s="28">
        <f>IF(('Activity data'!AU13*EF!$H26)*kgtoGg=0,"NO",('Activity data'!AU13*EF!$H26)*kgtoGg)</f>
        <v>1.6902729841508243E-2</v>
      </c>
      <c r="AV26" s="28">
        <f>IF(('Activity data'!AV13*EF!$H26)*kgtoGg=0,"NO",('Activity data'!AV13*EF!$H26)*kgtoGg)</f>
        <v>1.6958905567505546E-2</v>
      </c>
      <c r="AW26" s="28">
        <f>IF(('Activity data'!AW13*EF!$H26)*kgtoGg=0,"NO",('Activity data'!AW13*EF!$H26)*kgtoGg)</f>
        <v>1.6995881142245144E-2</v>
      </c>
      <c r="AX26" s="28">
        <f>IF(('Activity data'!AX13*EF!$H26)*kgtoGg=0,"NO",('Activity data'!AX13*EF!$H26)*kgtoGg)</f>
        <v>1.7035738596248386E-2</v>
      </c>
      <c r="AY26" s="28">
        <f>IF(('Activity data'!AY13*EF!$H26)*kgtoGg=0,"NO",('Activity data'!AY13*EF!$H26)*kgtoGg)</f>
        <v>1.7078229800458981E-2</v>
      </c>
      <c r="AZ26" s="28">
        <f>IF(('Activity data'!AZ13*EF!$H26)*kgtoGg=0,"NO",('Activity data'!AZ13*EF!$H26)*kgtoGg)</f>
        <v>1.7123832345859253E-2</v>
      </c>
      <c r="BA26" s="28">
        <f>IF(('Activity data'!BA13*EF!$H26)*kgtoGg=0,"NO",('Activity data'!BA13*EF!$H26)*kgtoGg)</f>
        <v>1.7170921235490962E-2</v>
      </c>
      <c r="BB26" s="28">
        <f>IF(('Activity data'!BB13*EF!$H26)*kgtoGg=0,"NO",('Activity data'!BB13*EF!$H26)*kgtoGg)</f>
        <v>1.720011231394674E-2</v>
      </c>
      <c r="BC26" s="28">
        <f>IF(('Activity data'!BC13*EF!$H26)*kgtoGg=0,"NO",('Activity data'!BC13*EF!$H26)*kgtoGg)</f>
        <v>1.7231468078725984E-2</v>
      </c>
      <c r="BD26" s="28">
        <f>IF(('Activity data'!BD13*EF!$H26)*kgtoGg=0,"NO",('Activity data'!BD13*EF!$H26)*kgtoGg)</f>
        <v>1.7264493513114532E-2</v>
      </c>
      <c r="BE26" s="28">
        <f>IF(('Activity data'!BE13*EF!$H26)*kgtoGg=0,"NO",('Activity data'!BE13*EF!$H26)*kgtoGg)</f>
        <v>1.7299393145414187E-2</v>
      </c>
      <c r="BF26" s="28">
        <f>IF(('Activity data'!BF13*EF!$H26)*kgtoGg=0,"NO",('Activity data'!BF13*EF!$H26)*kgtoGg)</f>
        <v>1.7336351628498631E-2</v>
      </c>
      <c r="BG26" s="28">
        <f>IF(('Activity data'!BG13*EF!$H26)*kgtoGg=0,"NO",('Activity data'!BG13*EF!$H26)*kgtoGg)</f>
        <v>1.7356503534937538E-2</v>
      </c>
      <c r="BH26" s="28">
        <f>IF(('Activity data'!BH13*EF!$H26)*kgtoGg=0,"NO",('Activity data'!BH13*EF!$H26)*kgtoGg)</f>
        <v>1.7377878973805026E-2</v>
      </c>
      <c r="BI26" s="28">
        <f>IF(('Activity data'!BI13*EF!$H26)*kgtoGg=0,"NO",('Activity data'!BI13*EF!$H26)*kgtoGg)</f>
        <v>1.7400926590350561E-2</v>
      </c>
      <c r="BJ26" s="28">
        <f>IF(('Activity data'!BJ13*EF!$H26)*kgtoGg=0,"NO",('Activity data'!BJ13*EF!$H26)*kgtoGg)</f>
        <v>1.7425603506526253E-2</v>
      </c>
      <c r="BK26" s="28">
        <f>IF(('Activity data'!BK13*EF!$H26)*kgtoGg=0,"NO",('Activity data'!BK13*EF!$H26)*kgtoGg)</f>
        <v>1.7452223423977883E-2</v>
      </c>
      <c r="BL26" s="28">
        <f>IF(('Activity data'!BL13*EF!$H26)*kgtoGg=0,"NO",('Activity data'!BL13*EF!$H26)*kgtoGg)</f>
        <v>1.7461521770457056E-2</v>
      </c>
      <c r="BM26" s="28">
        <f>IF(('Activity data'!BM13*EF!$H26)*kgtoGg=0,"NO",('Activity data'!BM13*EF!$H26)*kgtoGg)</f>
        <v>1.7468759965525583E-2</v>
      </c>
      <c r="BN26" s="28">
        <f>IF(('Activity data'!BN13*EF!$H26)*kgtoGg=0,"NO",('Activity data'!BN13*EF!$H26)*kgtoGg)</f>
        <v>1.7477053902041951E-2</v>
      </c>
      <c r="BO26" s="28">
        <f>IF(('Activity data'!BO13*EF!$H26)*kgtoGg=0,"NO",('Activity data'!BO13*EF!$H26)*kgtoGg)</f>
        <v>1.7487061559141349E-2</v>
      </c>
      <c r="BP26" s="28">
        <f>IF(('Activity data'!BP13*EF!$H26)*kgtoGg=0,"NO",('Activity data'!BP13*EF!$H26)*kgtoGg)</f>
        <v>1.7498080042052506E-2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8">
        <f>IF(('Activity data'!H14*EF!$H27)*kgtoGg=0,"NO",('Activity data'!H14*EF!$H27)*kgtoGg)</f>
        <v>3.6294783257415232E-2</v>
      </c>
      <c r="I27" s="28">
        <f>IF(('Activity data'!I14*EF!$H27)*kgtoGg=0,"NO",('Activity data'!I14*EF!$H27)*kgtoGg)</f>
        <v>3.2094846189776344E-2</v>
      </c>
      <c r="J27" s="28">
        <f>IF(('Activity data'!J14*EF!$H27)*kgtoGg=0,"NO",('Activity data'!J14*EF!$H27)*kgtoGg)</f>
        <v>2.989674828521768E-2</v>
      </c>
      <c r="K27" s="28">
        <f>IF(('Activity data'!K14*EF!$H27)*kgtoGg=0,"NO",('Activity data'!K14*EF!$H27)*kgtoGg)</f>
        <v>2.8248174856798671E-2</v>
      </c>
      <c r="L27" s="28">
        <f>IF(('Activity data'!L14*EF!$H27)*kgtoGg=0,"NO",('Activity data'!L14*EF!$H27)*kgtoGg)</f>
        <v>3.0577111922342977E-2</v>
      </c>
      <c r="M27" s="28">
        <f>IF(('Activity data'!M14*EF!$H27)*kgtoGg=0,"NO",('Activity data'!M14*EF!$H27)*kgtoGg)</f>
        <v>3.099579723749701E-2</v>
      </c>
      <c r="N27" s="28">
        <f>IF(('Activity data'!N14*EF!$H27)*kgtoGg=0,"NO",('Activity data'!N14*EF!$H27)*kgtoGg)</f>
        <v>3.1479902133143861E-2</v>
      </c>
      <c r="O27" s="28">
        <f>IF(('Activity data'!O14*EF!$H27)*kgtoGg=0,"NO",('Activity data'!O14*EF!$H27)*kgtoGg)</f>
        <v>3.1322895139961102E-2</v>
      </c>
      <c r="P27" s="28">
        <f>IF(('Activity data'!P14*EF!$H27)*kgtoGg=0,"NO",('Activity data'!P14*EF!$H27)*kgtoGg)</f>
        <v>3.0878041992609937E-2</v>
      </c>
      <c r="Q27" s="28">
        <f>IF(('Activity data'!Q14*EF!$H27)*kgtoGg=0,"NO",('Activity data'!Q14*EF!$H27)*kgtoGg)</f>
        <v>3.0420104929160217E-2</v>
      </c>
      <c r="R27" s="28">
        <f>IF(('Activity data'!R14*EF!$H27)*kgtoGg=0,"NO",('Activity data'!R14*EF!$H27)*kgtoGg)</f>
        <v>3.081262241211712E-2</v>
      </c>
      <c r="S27" s="28">
        <f>IF(('Activity data'!S14*EF!$H27)*kgtoGg=0,"NO",('Activity data'!S14*EF!$H27)*kgtoGg)</f>
        <v>3.1754664371213694E-2</v>
      </c>
      <c r="T27" s="28">
        <f>IF(('Activity data'!T14*EF!$H27)*kgtoGg=0,"NO",('Activity data'!T14*EF!$H27)*kgtoGg)</f>
        <v>2.8993958074416789E-2</v>
      </c>
      <c r="U27" s="28">
        <f>IF(('Activity data'!U14*EF!$H27)*kgtoGg=0,"NO",('Activity data'!U14*EF!$H27)*kgtoGg)</f>
        <v>2.8261258772897233E-2</v>
      </c>
      <c r="V27" s="28">
        <f>IF(('Activity data'!V14*EF!$H27)*kgtoGg=0,"NO",('Activity data'!V14*EF!$H27)*kgtoGg)</f>
        <v>2.8313594437291489E-2</v>
      </c>
      <c r="W27" s="28">
        <f>IF(('Activity data'!W14*EF!$H27)*kgtoGg=0,"NO",('Activity data'!W14*EF!$H27)*kgtoGg)</f>
        <v>2.7947244786531707E-2</v>
      </c>
      <c r="X27" s="28">
        <f>IF(('Activity data'!X14*EF!$H27)*kgtoGg=0,"NO",('Activity data'!X14*EF!$H27)*kgtoGg)</f>
        <v>2.8536021010967069E-2</v>
      </c>
      <c r="Y27" s="28">
        <f>IF(('Activity data'!Y14*EF!$H27)*kgtoGg=0,"NO",('Activity data'!Y14*EF!$H27)*kgtoGg)</f>
        <v>2.7685566464560437E-2</v>
      </c>
      <c r="Z27" s="28">
        <f>IF(('Activity data'!Z14*EF!$H27)*kgtoGg=0,"NO",('Activity data'!Z14*EF!$H27)*kgtoGg)</f>
        <v>2.7659398632363309E-2</v>
      </c>
      <c r="AA27" s="28">
        <f>IF(('Activity data'!AA14*EF!$H27)*kgtoGg=0,"NO",('Activity data'!AA14*EF!$H27)*kgtoGg)</f>
        <v>2.7175293736716462E-2</v>
      </c>
      <c r="AB27" s="28">
        <f>IF(('Activity data'!AB14*EF!$H27)*kgtoGg=0,"NO",('Activity data'!AB14*EF!$H27)*kgtoGg)</f>
        <v>2.684819583425237E-2</v>
      </c>
      <c r="AC27" s="28">
        <f>IF(('Activity data'!AC14*EF!$H27)*kgtoGg=0,"NO",('Activity data'!AC14*EF!$H27)*kgtoGg)</f>
        <v>2.6599601428379662E-2</v>
      </c>
      <c r="AD27" s="28">
        <f>IF(('Activity data'!AD14*EF!$H27)*kgtoGg=0,"NO",('Activity data'!AD14*EF!$H27)*kgtoGg)</f>
        <v>2.6586118821625565E-2</v>
      </c>
      <c r="AE27" s="28">
        <f>IF(('Activity data'!AE14*EF!$H27)*kgtoGg=0,"NO",('Activity data'!AE14*EF!$H27)*kgtoGg)</f>
        <v>2.6655220564969766E-2</v>
      </c>
      <c r="AF27" s="28">
        <f>IF(('Activity data'!AF14*EF!$H27)*kgtoGg=0,"NO",('Activity data'!AF14*EF!$H27)*kgtoGg)</f>
        <v>2.674840561336134E-2</v>
      </c>
      <c r="AG27" s="28">
        <f>IF(('Activity data'!AG14*EF!$H27)*kgtoGg=0,"NO",('Activity data'!AG14*EF!$H27)*kgtoGg)</f>
        <v>2.6861902636511708E-2</v>
      </c>
      <c r="AH27" s="28">
        <f>IF(('Activity data'!AH14*EF!$H27)*kgtoGg=0,"NO",('Activity data'!AH14*EF!$H27)*kgtoGg)</f>
        <v>2.6997844691604787E-2</v>
      </c>
      <c r="AI27" s="28">
        <f>IF(('Activity data'!AI14*EF!$H27)*kgtoGg=0,"NO",('Activity data'!AI14*EF!$H27)*kgtoGg)</f>
        <v>2.7158559584249745E-2</v>
      </c>
      <c r="AJ27" s="28">
        <f>IF(('Activity data'!AJ14*EF!$H27)*kgtoGg=0,"NO",('Activity data'!AJ14*EF!$H27)*kgtoGg)</f>
        <v>2.7328885652380994E-2</v>
      </c>
      <c r="AK27" s="28">
        <f>IF(('Activity data'!AK14*EF!$H27)*kgtoGg=0,"NO",('Activity data'!AK14*EF!$H27)*kgtoGg)</f>
        <v>2.7506829944546809E-2</v>
      </c>
      <c r="AL27" s="28">
        <f>IF(('Activity data'!AL14*EF!$H27)*kgtoGg=0,"NO",('Activity data'!AL14*EF!$H27)*kgtoGg)</f>
        <v>2.7680069399842709E-2</v>
      </c>
      <c r="AM27" s="28">
        <f>IF(('Activity data'!AM14*EF!$H27)*kgtoGg=0,"NO",('Activity data'!AM14*EF!$H27)*kgtoGg)</f>
        <v>2.7759527225172408E-2</v>
      </c>
      <c r="AN27" s="28">
        <f>IF(('Activity data'!AN14*EF!$H27)*kgtoGg=0,"NO",('Activity data'!AN14*EF!$H27)*kgtoGg)</f>
        <v>2.7845214311494997E-2</v>
      </c>
      <c r="AO27" s="28">
        <f>IF(('Activity data'!AO14*EF!$H27)*kgtoGg=0,"NO",('Activity data'!AO14*EF!$H27)*kgtoGg)</f>
        <v>2.7938085188732656E-2</v>
      </c>
      <c r="AP27" s="28">
        <f>IF(('Activity data'!AP14*EF!$H27)*kgtoGg=0,"NO",('Activity data'!AP14*EF!$H27)*kgtoGg)</f>
        <v>2.8038827359472312E-2</v>
      </c>
      <c r="AQ27" s="28">
        <f>IF(('Activity data'!AQ14*EF!$H27)*kgtoGg=0,"NO",('Activity data'!AQ14*EF!$H27)*kgtoGg)</f>
        <v>2.814879608986658E-2</v>
      </c>
      <c r="AR27" s="28">
        <f>IF(('Activity data'!AR14*EF!$H27)*kgtoGg=0,"NO",('Activity data'!AR14*EF!$H27)*kgtoGg)</f>
        <v>2.821957573375743E-2</v>
      </c>
      <c r="AS27" s="28">
        <f>IF(('Activity data'!AS14*EF!$H27)*kgtoGg=0,"NO",('Activity data'!AS14*EF!$H27)*kgtoGg)</f>
        <v>2.8296816529021451E-2</v>
      </c>
      <c r="AT27" s="28">
        <f>IF(('Activity data'!AT14*EF!$H27)*kgtoGg=0,"NO",('Activity data'!AT14*EF!$H27)*kgtoGg)</f>
        <v>2.8378597119004759E-2</v>
      </c>
      <c r="AU27" s="28">
        <f>IF(('Activity data'!AU14*EF!$H27)*kgtoGg=0,"NO",('Activity data'!AU14*EF!$H27)*kgtoGg)</f>
        <v>2.8466776798727306E-2</v>
      </c>
      <c r="AV27" s="28">
        <f>IF(('Activity data'!AV14*EF!$H27)*kgtoGg=0,"NO",('Activity data'!AV14*EF!$H27)*kgtoGg)</f>
        <v>2.8561385295015548E-2</v>
      </c>
      <c r="AW27" s="28">
        <f>IF(('Activity data'!AW14*EF!$H27)*kgtoGg=0,"NO",('Activity data'!AW14*EF!$H27)*kgtoGg)</f>
        <v>2.8623657806200815E-2</v>
      </c>
      <c r="AX27" s="28">
        <f>IF(('Activity data'!AX14*EF!$H27)*kgtoGg=0,"NO",('Activity data'!AX14*EF!$H27)*kgtoGg)</f>
        <v>2.8690783841907163E-2</v>
      </c>
      <c r="AY27" s="28">
        <f>IF(('Activity data'!AY14*EF!$H27)*kgtoGg=0,"NO",('Activity data'!AY14*EF!$H27)*kgtoGg)</f>
        <v>2.876234551493359E-2</v>
      </c>
      <c r="AZ27" s="28">
        <f>IF(('Activity data'!AZ14*EF!$H27)*kgtoGg=0,"NO",('Activity data'!AZ14*EF!$H27)*kgtoGg)</f>
        <v>2.8839147161385727E-2</v>
      </c>
      <c r="BA27" s="28">
        <f>IF(('Activity data'!BA14*EF!$H27)*kgtoGg=0,"NO",('Activity data'!BA14*EF!$H27)*kgtoGg)</f>
        <v>2.891845203837394E-2</v>
      </c>
      <c r="BB27" s="28">
        <f>IF(('Activity data'!BB14*EF!$H27)*kgtoGg=0,"NO",('Activity data'!BB14*EF!$H27)*kgtoGg)</f>
        <v>2.8967614269723933E-2</v>
      </c>
      <c r="BC27" s="28">
        <f>IF(('Activity data'!BC14*EF!$H27)*kgtoGg=0,"NO",('Activity data'!BC14*EF!$H27)*kgtoGg)</f>
        <v>2.9020422163223609E-2</v>
      </c>
      <c r="BD27" s="28">
        <f>IF(('Activity data'!BD14*EF!$H27)*kgtoGg=0,"NO",('Activity data'!BD14*EF!$H27)*kgtoGg)</f>
        <v>2.9076042035175369E-2</v>
      </c>
      <c r="BE27" s="28">
        <f>IF(('Activity data'!BE14*EF!$H27)*kgtoGg=0,"NO",('Activity data'!BE14*EF!$H27)*kgtoGg)</f>
        <v>2.9134818342455165E-2</v>
      </c>
      <c r="BF27" s="28">
        <f>IF(('Activity data'!BF14*EF!$H27)*kgtoGg=0,"NO",('Activity data'!BF14*EF!$H27)*kgtoGg)</f>
        <v>2.9197062068684575E-2</v>
      </c>
      <c r="BG27" s="28">
        <f>IF(('Activity data'!BG14*EF!$H27)*kgtoGg=0,"NO",('Activity data'!BG14*EF!$H27)*kgtoGg)</f>
        <v>2.9231000954772463E-2</v>
      </c>
      <c r="BH27" s="28">
        <f>IF(('Activity data'!BH14*EF!$H27)*kgtoGg=0,"NO",('Activity data'!BH14*EF!$H27)*kgtoGg)</f>
        <v>2.926700045620928E-2</v>
      </c>
      <c r="BI27" s="28">
        <f>IF(('Activity data'!BI14*EF!$H27)*kgtoGg=0,"NO",('Activity data'!BI14*EF!$H27)*kgtoGg)</f>
        <v>2.9305816160068741E-2</v>
      </c>
      <c r="BJ27" s="28">
        <f>IF(('Activity data'!BJ14*EF!$H27)*kgtoGg=0,"NO",('Activity data'!BJ14*EF!$H27)*kgtoGg)</f>
        <v>2.9347375853174006E-2</v>
      </c>
      <c r="BK27" s="28">
        <f>IF(('Activity data'!BK14*EF!$H27)*kgtoGg=0,"NO",('Activity data'!BK14*EF!$H27)*kgtoGg)</f>
        <v>2.9392207856974665E-2</v>
      </c>
      <c r="BL27" s="28">
        <f>IF(('Activity data'!BL14*EF!$H27)*kgtoGg=0,"NO",('Activity data'!BL14*EF!$H27)*kgtoGg)</f>
        <v>2.9407867691587285E-2</v>
      </c>
      <c r="BM27" s="28">
        <f>IF(('Activity data'!BM14*EF!$H27)*kgtoGg=0,"NO",('Activity data'!BM14*EF!$H27)*kgtoGg)</f>
        <v>2.9420057916797852E-2</v>
      </c>
      <c r="BN27" s="28">
        <f>IF(('Activity data'!BN14*EF!$H27)*kgtoGg=0,"NO",('Activity data'!BN14*EF!$H27)*kgtoGg)</f>
        <v>2.9434026171737036E-2</v>
      </c>
      <c r="BO27" s="28">
        <f>IF(('Activity data'!BO14*EF!$H27)*kgtoGg=0,"NO",('Activity data'!BO14*EF!$H27)*kgtoGg)</f>
        <v>2.9450880593691244E-2</v>
      </c>
      <c r="BP27" s="28">
        <f>IF(('Activity data'!BP14*EF!$H27)*kgtoGg=0,"NO",('Activity data'!BP14*EF!$H27)*kgtoGg)</f>
        <v>2.9469437400587745E-2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8">
        <f>IF(('Activity data'!H15*EF!$H28)*kgtoGg=0,"NO",('Activity data'!H15*EF!$H28)*kgtoGg)</f>
        <v>3.0819999999999997E-3</v>
      </c>
      <c r="I28" s="28">
        <f>IF(('Activity data'!I15*EF!$H28)*kgtoGg=0,"NO",('Activity data'!I15*EF!$H28)*kgtoGg)</f>
        <v>3.0819999999999997E-3</v>
      </c>
      <c r="J28" s="28">
        <f>IF(('Activity data'!J15*EF!$H28)*kgtoGg=0,"NO",('Activity data'!J15*EF!$H28)*kgtoGg)</f>
        <v>3.0819999999999997E-3</v>
      </c>
      <c r="K28" s="28">
        <f>IF(('Activity data'!K15*EF!$H28)*kgtoGg=0,"NO",('Activity data'!K15*EF!$H28)*kgtoGg)</f>
        <v>3.1489999999999999E-3</v>
      </c>
      <c r="L28" s="28">
        <f>IF(('Activity data'!L15*EF!$H28)*kgtoGg=0,"NO",('Activity data'!L15*EF!$H28)*kgtoGg)</f>
        <v>3.2159999999999997E-3</v>
      </c>
      <c r="M28" s="28">
        <f>IF(('Activity data'!M15*EF!$H28)*kgtoGg=0,"NO",('Activity data'!M15*EF!$H28)*kgtoGg)</f>
        <v>3.2829999999999999E-3</v>
      </c>
      <c r="N28" s="28">
        <f>IF(('Activity data'!N15*EF!$H28)*kgtoGg=0,"NO",('Activity data'!N15*EF!$H28)*kgtoGg)</f>
        <v>3.3499999999999997E-3</v>
      </c>
      <c r="O28" s="28">
        <f>IF(('Activity data'!O15*EF!$H28)*kgtoGg=0,"NO",('Activity data'!O15*EF!$H28)*kgtoGg)</f>
        <v>3.4169999999999999E-3</v>
      </c>
      <c r="P28" s="28">
        <f>IF(('Activity data'!P15*EF!$H28)*kgtoGg=0,"NO",('Activity data'!P15*EF!$H28)*kgtoGg)</f>
        <v>3.4839999999999997E-3</v>
      </c>
      <c r="Q28" s="28">
        <f>IF(('Activity data'!Q15*EF!$H28)*kgtoGg=0,"NO",('Activity data'!Q15*EF!$H28)*kgtoGg)</f>
        <v>3.4572000000000001E-3</v>
      </c>
      <c r="R28" s="28">
        <f>IF(('Activity data'!R15*EF!$H28)*kgtoGg=0,"NO",('Activity data'!R15*EF!$H28)*kgtoGg)</f>
        <v>3.6179999999999997E-3</v>
      </c>
      <c r="S28" s="28">
        <f>IF(('Activity data'!S15*EF!$H28)*kgtoGg=0,"NO",('Activity data'!S15*EF!$H28)*kgtoGg)</f>
        <v>3.6179999999999997E-3</v>
      </c>
      <c r="T28" s="28">
        <f>IF(('Activity data'!T15*EF!$H28)*kgtoGg=0,"NO",('Activity data'!T15*EF!$H28)*kgtoGg)</f>
        <v>3.6179999999999997E-3</v>
      </c>
      <c r="U28" s="28">
        <f>IF(('Activity data'!U15*EF!$H28)*kgtoGg=0,"NO",('Activity data'!U15*EF!$H28)*kgtoGg)</f>
        <v>3.6179999999999997E-3</v>
      </c>
      <c r="V28" s="28">
        <f>IF(('Activity data'!V15*EF!$H28)*kgtoGg=0,"NO",('Activity data'!V15*EF!$H28)*kgtoGg)</f>
        <v>3.6179999999999997E-3</v>
      </c>
      <c r="W28" s="28">
        <f>IF(('Activity data'!W15*EF!$H28)*kgtoGg=0,"NO",('Activity data'!W15*EF!$H28)*kgtoGg)</f>
        <v>3.6179999999999997E-3</v>
      </c>
      <c r="X28" s="28">
        <f>IF(('Activity data'!X15*EF!$H28)*kgtoGg=0,"NO",('Activity data'!X15*EF!$H28)*kgtoGg)</f>
        <v>3.7519999999999997E-3</v>
      </c>
      <c r="Y28" s="28">
        <f>IF(('Activity data'!Y15*EF!$H28)*kgtoGg=0,"NO",('Activity data'!Y15*EF!$H28)*kgtoGg)</f>
        <v>3.8859999999999997E-3</v>
      </c>
      <c r="Z28" s="28">
        <f>IF(('Activity data'!Z15*EF!$H28)*kgtoGg=0,"NO",('Activity data'!Z15*EF!$H28)*kgtoGg)</f>
        <v>3.9931999999999997E-3</v>
      </c>
      <c r="AA28" s="28">
        <f>IF(('Activity data'!AA15*EF!$H28)*kgtoGg=0,"NO",('Activity data'!AA15*EF!$H28)*kgtoGg)</f>
        <v>4.0200000000000001E-3</v>
      </c>
      <c r="AB28" s="28">
        <f>IF(('Activity data'!AB15*EF!$H28)*kgtoGg=0,"NO",('Activity data'!AB15*EF!$H28)*kgtoGg)</f>
        <v>4.0200000000000001E-3</v>
      </c>
      <c r="AC28" s="28">
        <f>IF(('Activity data'!AC15*EF!$H28)*kgtoGg=0,"NO",('Activity data'!AC15*EF!$H28)*kgtoGg)</f>
        <v>4.0869999999999995E-3</v>
      </c>
      <c r="AD28" s="28">
        <f>IF(('Activity data'!AD15*EF!$H28)*kgtoGg=0,"NO",('Activity data'!AD15*EF!$H28)*kgtoGg)</f>
        <v>4.1409780786531561E-3</v>
      </c>
      <c r="AE28" s="28">
        <f>IF(('Activity data'!AE15*EF!$H28)*kgtoGg=0,"NO",('Activity data'!AE15*EF!$H28)*kgtoGg)</f>
        <v>4.1688671764084162E-3</v>
      </c>
      <c r="AF28" s="28">
        <f>IF(('Activity data'!AF15*EF!$H28)*kgtoGg=0,"NO",('Activity data'!AF15*EF!$H28)*kgtoGg)</f>
        <v>4.1857409403688933E-3</v>
      </c>
      <c r="AG28" s="28">
        <f>IF(('Activity data'!AG15*EF!$H28)*kgtoGg=0,"NO",('Activity data'!AG15*EF!$H28)*kgtoGg)</f>
        <v>4.1635395322190223E-3</v>
      </c>
      <c r="AH28" s="28">
        <f>IF(('Activity data'!AH15*EF!$H28)*kgtoGg=0,"NO",('Activity data'!AH15*EF!$H28)*kgtoGg)</f>
        <v>4.1408513683072233E-3</v>
      </c>
      <c r="AI28" s="28">
        <f>IF(('Activity data'!AI15*EF!$H28)*kgtoGg=0,"NO",('Activity data'!AI15*EF!$H28)*kgtoGg)</f>
        <v>4.1549094768624506E-3</v>
      </c>
      <c r="AJ28" s="28">
        <f>IF(('Activity data'!AJ15*EF!$H28)*kgtoGg=0,"NO",('Activity data'!AJ15*EF!$H28)*kgtoGg)</f>
        <v>4.1567255728426969E-3</v>
      </c>
      <c r="AK28" s="28">
        <f>IF(('Activity data'!AK15*EF!$H28)*kgtoGg=0,"NO",('Activity data'!AK15*EF!$H28)*kgtoGg)</f>
        <v>4.1179597585422178E-3</v>
      </c>
      <c r="AL28" s="28">
        <f>IF(('Activity data'!AL15*EF!$H28)*kgtoGg=0,"NO",('Activity data'!AL15*EF!$H28)*kgtoGg)</f>
        <v>3.9049943158389311E-3</v>
      </c>
      <c r="AM28" s="28">
        <f>IF(('Activity data'!AM15*EF!$H28)*kgtoGg=0,"NO",('Activity data'!AM15*EF!$H28)*kgtoGg)</f>
        <v>3.9699795028704365E-3</v>
      </c>
      <c r="AN28" s="28">
        <f>IF(('Activity data'!AN15*EF!$H28)*kgtoGg=0,"NO",('Activity data'!AN15*EF!$H28)*kgtoGg)</f>
        <v>4.0126860665387013E-3</v>
      </c>
      <c r="AO28" s="28">
        <f>IF(('Activity data'!AO15*EF!$H28)*kgtoGg=0,"NO",('Activity data'!AO15*EF!$H28)*kgtoGg)</f>
        <v>4.0499492305839649E-3</v>
      </c>
      <c r="AP28" s="28">
        <f>IF(('Activity data'!AP15*EF!$H28)*kgtoGg=0,"NO",('Activity data'!AP15*EF!$H28)*kgtoGg)</f>
        <v>4.09467284204442E-3</v>
      </c>
      <c r="AQ28" s="28">
        <f>IF(('Activity data'!AQ15*EF!$H28)*kgtoGg=0,"NO",('Activity data'!AQ15*EF!$H28)*kgtoGg)</f>
        <v>4.1665387441703824E-3</v>
      </c>
      <c r="AR28" s="28">
        <f>IF(('Activity data'!AR15*EF!$H28)*kgtoGg=0,"NO",('Activity data'!AR15*EF!$H28)*kgtoGg)</f>
        <v>4.248702300747329E-3</v>
      </c>
      <c r="AS28" s="28">
        <f>IF(('Activity data'!AS15*EF!$H28)*kgtoGg=0,"NO",('Activity data'!AS15*EF!$H28)*kgtoGg)</f>
        <v>4.3374921923911899E-3</v>
      </c>
      <c r="AT28" s="28">
        <f>IF(('Activity data'!AT15*EF!$H28)*kgtoGg=0,"NO",('Activity data'!AT15*EF!$H28)*kgtoGg)</f>
        <v>4.414637811470782E-3</v>
      </c>
      <c r="AU28" s="28">
        <f>IF(('Activity data'!AU15*EF!$H28)*kgtoGg=0,"NO",('Activity data'!AU15*EF!$H28)*kgtoGg)</f>
        <v>4.5040673251205239E-3</v>
      </c>
      <c r="AV28" s="28">
        <f>IF(('Activity data'!AV15*EF!$H28)*kgtoGg=0,"NO",('Activity data'!AV15*EF!$H28)*kgtoGg)</f>
        <v>4.6087014569709678E-3</v>
      </c>
      <c r="AW28" s="28">
        <f>IF(('Activity data'!AW15*EF!$H28)*kgtoGg=0,"NO",('Activity data'!AW15*EF!$H28)*kgtoGg)</f>
        <v>4.7138573349945522E-3</v>
      </c>
      <c r="AX28" s="28">
        <f>IF(('Activity data'!AX15*EF!$H28)*kgtoGg=0,"NO",('Activity data'!AX15*EF!$H28)*kgtoGg)</f>
        <v>4.8236014553834257E-3</v>
      </c>
      <c r="AY28" s="28">
        <f>IF(('Activity data'!AY15*EF!$H28)*kgtoGg=0,"NO",('Activity data'!AY15*EF!$H28)*kgtoGg)</f>
        <v>4.9354202086686252E-3</v>
      </c>
      <c r="AZ28" s="28">
        <f>IF(('Activity data'!AZ15*EF!$H28)*kgtoGg=0,"NO",('Activity data'!AZ15*EF!$H28)*kgtoGg)</f>
        <v>5.0601637107160246E-3</v>
      </c>
      <c r="BA28" s="28">
        <f>IF(('Activity data'!BA15*EF!$H28)*kgtoGg=0,"NO",('Activity data'!BA15*EF!$H28)*kgtoGg)</f>
        <v>5.1692799161183493E-3</v>
      </c>
      <c r="BB28" s="28">
        <f>IF(('Activity data'!BB15*EF!$H28)*kgtoGg=0,"NO",('Activity data'!BB15*EF!$H28)*kgtoGg)</f>
        <v>5.2891896269508833E-3</v>
      </c>
      <c r="BC28" s="28">
        <f>IF(('Activity data'!BC15*EF!$H28)*kgtoGg=0,"NO",('Activity data'!BC15*EF!$H28)*kgtoGg)</f>
        <v>5.4110891568061297E-3</v>
      </c>
      <c r="BD28" s="28">
        <f>IF(('Activity data'!BD15*EF!$H28)*kgtoGg=0,"NO",('Activity data'!BD15*EF!$H28)*kgtoGg)</f>
        <v>5.5272908454311459E-3</v>
      </c>
      <c r="BE28" s="28">
        <f>IF(('Activity data'!BE15*EF!$H28)*kgtoGg=0,"NO",('Activity data'!BE15*EF!$H28)*kgtoGg)</f>
        <v>5.6429797772661562E-3</v>
      </c>
      <c r="BF28" s="28">
        <f>IF(('Activity data'!BF15*EF!$H28)*kgtoGg=0,"NO",('Activity data'!BF15*EF!$H28)*kgtoGg)</f>
        <v>5.7628358631585681E-3</v>
      </c>
      <c r="BG28" s="28">
        <f>IF(('Activity data'!BG15*EF!$H28)*kgtoGg=0,"NO",('Activity data'!BG15*EF!$H28)*kgtoGg)</f>
        <v>5.8932639862966018E-3</v>
      </c>
      <c r="BH28" s="28">
        <f>IF(('Activity data'!BH15*EF!$H28)*kgtoGg=0,"NO",('Activity data'!BH15*EF!$H28)*kgtoGg)</f>
        <v>6.015926079762964E-3</v>
      </c>
      <c r="BI28" s="28">
        <f>IF(('Activity data'!BI15*EF!$H28)*kgtoGg=0,"NO",('Activity data'!BI15*EF!$H28)*kgtoGg)</f>
        <v>6.1402055338910435E-3</v>
      </c>
      <c r="BJ28" s="28">
        <f>IF(('Activity data'!BJ15*EF!$H28)*kgtoGg=0,"NO",('Activity data'!BJ15*EF!$H28)*kgtoGg)</f>
        <v>6.266331762949981E-3</v>
      </c>
      <c r="BK28" s="28">
        <f>IF(('Activity data'!BK15*EF!$H28)*kgtoGg=0,"NO",('Activity data'!BK15*EF!$H28)*kgtoGg)</f>
        <v>6.4010164026291104E-3</v>
      </c>
      <c r="BL28" s="28">
        <f>IF(('Activity data'!BL15*EF!$H28)*kgtoGg=0,"NO",('Activity data'!BL15*EF!$H28)*kgtoGg)</f>
        <v>6.544222904657609E-3</v>
      </c>
      <c r="BM28" s="28">
        <f>IF(('Activity data'!BM15*EF!$H28)*kgtoGg=0,"NO",('Activity data'!BM15*EF!$H28)*kgtoGg)</f>
        <v>6.6249233396269902E-3</v>
      </c>
      <c r="BN28" s="28">
        <f>IF(('Activity data'!BN15*EF!$H28)*kgtoGg=0,"NO",('Activity data'!BN15*EF!$H28)*kgtoGg)</f>
        <v>6.7012526002480271E-3</v>
      </c>
      <c r="BO28" s="28">
        <f>IF(('Activity data'!BO15*EF!$H28)*kgtoGg=0,"NO",('Activity data'!BO15*EF!$H28)*kgtoGg)</f>
        <v>6.7861102667668991E-3</v>
      </c>
      <c r="BP28" s="28">
        <f>IF(('Activity data'!BP15*EF!$H28)*kgtoGg=0,"NO",('Activity data'!BP15*EF!$H28)*kgtoGg)</f>
        <v>6.8673471283418426E-3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8">
        <f>IF(('Activity data'!H16*EF!$H29)*kgtoGg=0,"NO",('Activity data'!H16*EF!$H29)*kgtoGg)</f>
        <v>1.0079999999999998E-3</v>
      </c>
      <c r="I29" s="28">
        <f>IF(('Activity data'!I16*EF!$H29)*kgtoGg=0,"NO",('Activity data'!I16*EF!$H29)*kgtoGg)</f>
        <v>1.0079999999999998E-3</v>
      </c>
      <c r="J29" s="28">
        <f>IF(('Activity data'!J16*EF!$H29)*kgtoGg=0,"NO",('Activity data'!J16*EF!$H29)*kgtoGg)</f>
        <v>1.0079999999999998E-3</v>
      </c>
      <c r="K29" s="28">
        <f>IF(('Activity data'!K16*EF!$H29)*kgtoGg=0,"NO",('Activity data'!K16*EF!$H29)*kgtoGg)</f>
        <v>1.0079999999999998E-3</v>
      </c>
      <c r="L29" s="28">
        <f>IF(('Activity data'!L16*EF!$H29)*kgtoGg=0,"NO",('Activity data'!L16*EF!$H29)*kgtoGg)</f>
        <v>1.0079999999999998E-3</v>
      </c>
      <c r="M29" s="28">
        <f>IF(('Activity data'!M16*EF!$H29)*kgtoGg=0,"NO",('Activity data'!M16*EF!$H29)*kgtoGg)</f>
        <v>1.0079999999999998E-3</v>
      </c>
      <c r="N29" s="28">
        <f>IF(('Activity data'!N16*EF!$H29)*kgtoGg=0,"NO",('Activity data'!N16*EF!$H29)*kgtoGg)</f>
        <v>1.0079999999999998E-3</v>
      </c>
      <c r="O29" s="28">
        <f>IF(('Activity data'!O16*EF!$H29)*kgtoGg=0,"NO",('Activity data'!O16*EF!$H29)*kgtoGg)</f>
        <v>1.0079999999999998E-3</v>
      </c>
      <c r="P29" s="28">
        <f>IF(('Activity data'!P16*EF!$H29)*kgtoGg=0,"NO",('Activity data'!P16*EF!$H29)*kgtoGg)</f>
        <v>1.0079999999999998E-3</v>
      </c>
      <c r="Q29" s="28">
        <f>IF(('Activity data'!Q16*EF!$H29)*kgtoGg=0,"NO",('Activity data'!Q16*EF!$H29)*kgtoGg)</f>
        <v>1.0079999999999998E-3</v>
      </c>
      <c r="R29" s="28">
        <f>IF(('Activity data'!R16*EF!$H29)*kgtoGg=0,"NO",('Activity data'!R16*EF!$H29)*kgtoGg)</f>
        <v>7.3799999999999994E-4</v>
      </c>
      <c r="S29" s="28">
        <f>IF(('Activity data'!S16*EF!$H29)*kgtoGg=0,"NO",('Activity data'!S16*EF!$H29)*kgtoGg)</f>
        <v>7.3799999999999994E-4</v>
      </c>
      <c r="T29" s="28">
        <f>IF(('Activity data'!T16*EF!$H29)*kgtoGg=0,"NO",('Activity data'!T16*EF!$H29)*kgtoGg)</f>
        <v>7.3799999999999994E-4</v>
      </c>
      <c r="U29" s="28">
        <f>IF(('Activity data'!U16*EF!$H29)*kgtoGg=0,"NO",('Activity data'!U16*EF!$H29)*kgtoGg)</f>
        <v>7.3799999999999994E-4</v>
      </c>
      <c r="V29" s="28">
        <f>IF(('Activity data'!V16*EF!$H29)*kgtoGg=0,"NO",('Activity data'!V16*EF!$H29)*kgtoGg)</f>
        <v>7.3799999999999994E-4</v>
      </c>
      <c r="W29" s="28">
        <f>IF(('Activity data'!W16*EF!$H29)*kgtoGg=0,"NO",('Activity data'!W16*EF!$H29)*kgtoGg)</f>
        <v>7.3799999999999994E-4</v>
      </c>
      <c r="X29" s="28">
        <f>IF(('Activity data'!X16*EF!$H29)*kgtoGg=0,"NO",('Activity data'!X16*EF!$H29)*kgtoGg)</f>
        <v>7.3822499999999991E-4</v>
      </c>
      <c r="Y29" s="28">
        <f>IF(('Activity data'!Y16*EF!$H29)*kgtoGg=0,"NO",('Activity data'!Y16*EF!$H29)*kgtoGg)</f>
        <v>7.4069999999999995E-4</v>
      </c>
      <c r="Z29" s="28">
        <f>IF(('Activity data'!Z16*EF!$H29)*kgtoGg=0,"NO",('Activity data'!Z16*EF!$H29)*kgtoGg)</f>
        <v>7.4114999999999999E-4</v>
      </c>
      <c r="AA29" s="28">
        <f>IF(('Activity data'!AA16*EF!$H29)*kgtoGg=0,"NO",('Activity data'!AA16*EF!$H29)*kgtoGg)</f>
        <v>7.4159999999999992E-4</v>
      </c>
      <c r="AB29" s="28">
        <f>IF(('Activity data'!AB16*EF!$H29)*kgtoGg=0,"NO",('Activity data'!AB16*EF!$H29)*kgtoGg)</f>
        <v>7.4834999999999984E-4</v>
      </c>
      <c r="AC29" s="28">
        <f>IF(('Activity data'!AC16*EF!$H29)*kgtoGg=0,"NO",('Activity data'!AC16*EF!$H29)*kgtoGg)</f>
        <v>7.515E-4</v>
      </c>
      <c r="AD29" s="28">
        <f>IF(('Activity data'!AD16*EF!$H29)*kgtoGg=0,"NO",('Activity data'!AD16*EF!$H29)*kgtoGg)</f>
        <v>7.515E-4</v>
      </c>
      <c r="AE29" s="28">
        <f>IF(('Activity data'!AE16*EF!$H29)*kgtoGg=0,"NO",('Activity data'!AE16*EF!$H29)*kgtoGg)</f>
        <v>7.515E-4</v>
      </c>
      <c r="AF29" s="28">
        <f>IF(('Activity data'!AF16*EF!$H29)*kgtoGg=0,"NO",('Activity data'!AF16*EF!$H29)*kgtoGg)</f>
        <v>7.515E-4</v>
      </c>
      <c r="AG29" s="28">
        <f>IF(('Activity data'!AG16*EF!$H29)*kgtoGg=0,"NO",('Activity data'!AG16*EF!$H29)*kgtoGg)</f>
        <v>7.515E-4</v>
      </c>
      <c r="AH29" s="28">
        <f>IF(('Activity data'!AH16*EF!$H29)*kgtoGg=0,"NO",('Activity data'!AH16*EF!$H29)*kgtoGg)</f>
        <v>7.515E-4</v>
      </c>
      <c r="AI29" s="28">
        <f>IF(('Activity data'!AI16*EF!$H29)*kgtoGg=0,"NO",('Activity data'!AI16*EF!$H29)*kgtoGg)</f>
        <v>7.515E-4</v>
      </c>
      <c r="AJ29" s="28">
        <f>IF(('Activity data'!AJ16*EF!$H29)*kgtoGg=0,"NO",('Activity data'!AJ16*EF!$H29)*kgtoGg)</f>
        <v>7.515E-4</v>
      </c>
      <c r="AK29" s="28">
        <f>IF(('Activity data'!AK16*EF!$H29)*kgtoGg=0,"NO",('Activity data'!AK16*EF!$H29)*kgtoGg)</f>
        <v>7.515E-4</v>
      </c>
      <c r="AL29" s="28">
        <f>IF(('Activity data'!AL16*EF!$H29)*kgtoGg=0,"NO",('Activity data'!AL16*EF!$H29)*kgtoGg)</f>
        <v>7.515E-4</v>
      </c>
      <c r="AM29" s="28">
        <f>IF(('Activity data'!AM16*EF!$H29)*kgtoGg=0,"NO",('Activity data'!AM16*EF!$H29)*kgtoGg)</f>
        <v>7.515E-4</v>
      </c>
      <c r="AN29" s="28">
        <f>IF(('Activity data'!AN16*EF!$H29)*kgtoGg=0,"NO",('Activity data'!AN16*EF!$H29)*kgtoGg)</f>
        <v>7.515E-4</v>
      </c>
      <c r="AO29" s="28">
        <f>IF(('Activity data'!AO16*EF!$H29)*kgtoGg=0,"NO",('Activity data'!AO16*EF!$H29)*kgtoGg)</f>
        <v>7.515E-4</v>
      </c>
      <c r="AP29" s="28">
        <f>IF(('Activity data'!AP16*EF!$H29)*kgtoGg=0,"NO",('Activity data'!AP16*EF!$H29)*kgtoGg)</f>
        <v>7.515E-4</v>
      </c>
      <c r="AQ29" s="28">
        <f>IF(('Activity data'!AQ16*EF!$H29)*kgtoGg=0,"NO",('Activity data'!AQ16*EF!$H29)*kgtoGg)</f>
        <v>7.515E-4</v>
      </c>
      <c r="AR29" s="28">
        <f>IF(('Activity data'!AR16*EF!$H29)*kgtoGg=0,"NO",('Activity data'!AR16*EF!$H29)*kgtoGg)</f>
        <v>7.515E-4</v>
      </c>
      <c r="AS29" s="28">
        <f>IF(('Activity data'!AS16*EF!$H29)*kgtoGg=0,"NO",('Activity data'!AS16*EF!$H29)*kgtoGg)</f>
        <v>7.515E-4</v>
      </c>
      <c r="AT29" s="28">
        <f>IF(('Activity data'!AT16*EF!$H29)*kgtoGg=0,"NO",('Activity data'!AT16*EF!$H29)*kgtoGg)</f>
        <v>7.515E-4</v>
      </c>
      <c r="AU29" s="28">
        <f>IF(('Activity data'!AU16*EF!$H29)*kgtoGg=0,"NO",('Activity data'!AU16*EF!$H29)*kgtoGg)</f>
        <v>7.515E-4</v>
      </c>
      <c r="AV29" s="28">
        <f>IF(('Activity data'!AV16*EF!$H29)*kgtoGg=0,"NO",('Activity data'!AV16*EF!$H29)*kgtoGg)</f>
        <v>7.515E-4</v>
      </c>
      <c r="AW29" s="28">
        <f>IF(('Activity data'!AW16*EF!$H29)*kgtoGg=0,"NO",('Activity data'!AW16*EF!$H29)*kgtoGg)</f>
        <v>7.515E-4</v>
      </c>
      <c r="AX29" s="28">
        <f>IF(('Activity data'!AX16*EF!$H29)*kgtoGg=0,"NO",('Activity data'!AX16*EF!$H29)*kgtoGg)</f>
        <v>7.515E-4</v>
      </c>
      <c r="AY29" s="28">
        <f>IF(('Activity data'!AY16*EF!$H29)*kgtoGg=0,"NO",('Activity data'!AY16*EF!$H29)*kgtoGg)</f>
        <v>7.515E-4</v>
      </c>
      <c r="AZ29" s="28">
        <f>IF(('Activity data'!AZ16*EF!$H29)*kgtoGg=0,"NO",('Activity data'!AZ16*EF!$H29)*kgtoGg)</f>
        <v>7.515E-4</v>
      </c>
      <c r="BA29" s="28">
        <f>IF(('Activity data'!BA16*EF!$H29)*kgtoGg=0,"NO",('Activity data'!BA16*EF!$H29)*kgtoGg)</f>
        <v>7.515E-4</v>
      </c>
      <c r="BB29" s="28">
        <f>IF(('Activity data'!BB16*EF!$H29)*kgtoGg=0,"NO",('Activity data'!BB16*EF!$H29)*kgtoGg)</f>
        <v>7.515E-4</v>
      </c>
      <c r="BC29" s="28">
        <f>IF(('Activity data'!BC16*EF!$H29)*kgtoGg=0,"NO",('Activity data'!BC16*EF!$H29)*kgtoGg)</f>
        <v>7.515E-4</v>
      </c>
      <c r="BD29" s="28">
        <f>IF(('Activity data'!BD16*EF!$H29)*kgtoGg=0,"NO",('Activity data'!BD16*EF!$H29)*kgtoGg)</f>
        <v>7.515E-4</v>
      </c>
      <c r="BE29" s="28">
        <f>IF(('Activity data'!BE16*EF!$H29)*kgtoGg=0,"NO",('Activity data'!BE16*EF!$H29)*kgtoGg)</f>
        <v>7.515E-4</v>
      </c>
      <c r="BF29" s="28">
        <f>IF(('Activity data'!BF16*EF!$H29)*kgtoGg=0,"NO",('Activity data'!BF16*EF!$H29)*kgtoGg)</f>
        <v>7.515E-4</v>
      </c>
      <c r="BG29" s="28">
        <f>IF(('Activity data'!BG16*EF!$H29)*kgtoGg=0,"NO",('Activity data'!BG16*EF!$H29)*kgtoGg)</f>
        <v>7.515E-4</v>
      </c>
      <c r="BH29" s="28">
        <f>IF(('Activity data'!BH16*EF!$H29)*kgtoGg=0,"NO",('Activity data'!BH16*EF!$H29)*kgtoGg)</f>
        <v>7.515E-4</v>
      </c>
      <c r="BI29" s="28">
        <f>IF(('Activity data'!BI16*EF!$H29)*kgtoGg=0,"NO",('Activity data'!BI16*EF!$H29)*kgtoGg)</f>
        <v>7.515E-4</v>
      </c>
      <c r="BJ29" s="28">
        <f>IF(('Activity data'!BJ16*EF!$H29)*kgtoGg=0,"NO",('Activity data'!BJ16*EF!$H29)*kgtoGg)</f>
        <v>7.515E-4</v>
      </c>
      <c r="BK29" s="28">
        <f>IF(('Activity data'!BK16*EF!$H29)*kgtoGg=0,"NO",('Activity data'!BK16*EF!$H29)*kgtoGg)</f>
        <v>7.515E-4</v>
      </c>
      <c r="BL29" s="28">
        <f>IF(('Activity data'!BL16*EF!$H29)*kgtoGg=0,"NO",('Activity data'!BL16*EF!$H29)*kgtoGg)</f>
        <v>7.515E-4</v>
      </c>
      <c r="BM29" s="28">
        <f>IF(('Activity data'!BM16*EF!$H29)*kgtoGg=0,"NO",('Activity data'!BM16*EF!$H29)*kgtoGg)</f>
        <v>7.515E-4</v>
      </c>
      <c r="BN29" s="28">
        <f>IF(('Activity data'!BN16*EF!$H29)*kgtoGg=0,"NO",('Activity data'!BN16*EF!$H29)*kgtoGg)</f>
        <v>7.515E-4</v>
      </c>
      <c r="BO29" s="28">
        <f>IF(('Activity data'!BO16*EF!$H29)*kgtoGg=0,"NO",('Activity data'!BO16*EF!$H29)*kgtoGg)</f>
        <v>7.515E-4</v>
      </c>
      <c r="BP29" s="28">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8">
        <f>IF(('Activity data'!H17*EF!$H30)*kgtoGg=0,"NO",('Activity data'!H17*EF!$H30)*kgtoGg)</f>
        <v>21.422883239999997</v>
      </c>
      <c r="I30" s="28">
        <f>IF(('Activity data'!I17*EF!$H30)*kgtoGg=0,"NO",('Activity data'!I17*EF!$H30)*kgtoGg)</f>
        <v>23.404921649999999</v>
      </c>
      <c r="J30" s="28">
        <f>IF(('Activity data'!J17*EF!$H30)*kgtoGg=0,"NO",('Activity data'!J17*EF!$H30)*kgtoGg)</f>
        <v>23.250294539999995</v>
      </c>
      <c r="K30" s="28">
        <f>IF(('Activity data'!K17*EF!$H30)*kgtoGg=0,"NO",('Activity data'!K17*EF!$H30)*kgtoGg)</f>
        <v>23.236237529999997</v>
      </c>
      <c r="L30" s="28">
        <f>IF(('Activity data'!L17*EF!$H30)*kgtoGg=0,"NO",('Activity data'!L17*EF!$H30)*kgtoGg)</f>
        <v>22.069505699999993</v>
      </c>
      <c r="M30" s="28">
        <f>IF(('Activity data'!M17*EF!$H30)*kgtoGg=0,"NO",('Activity data'!M17*EF!$H30)*kgtoGg)</f>
        <v>22.280360849999997</v>
      </c>
      <c r="N30" s="28">
        <f>IF(('Activity data'!N17*EF!$H30)*kgtoGg=0,"NO",('Activity data'!N17*EF!$H30)*kgtoGg)</f>
        <v>23.995316069999994</v>
      </c>
      <c r="O30" s="28">
        <f>IF(('Activity data'!O17*EF!$H30)*kgtoGg=0,"NO",('Activity data'!O17*EF!$H30)*kgtoGg)</f>
        <v>23.882859989999996</v>
      </c>
      <c r="P30" s="28">
        <f>IF(('Activity data'!P17*EF!$H30)*kgtoGg=0,"NO",('Activity data'!P17*EF!$H30)*kgtoGg)</f>
        <v>24.402969359999993</v>
      </c>
      <c r="Q30" s="28">
        <f>IF(('Activity data'!Q17*EF!$H30)*kgtoGg=0,"NO",('Activity data'!Q17*EF!$H30)*kgtoGg)</f>
        <v>25.021477799999996</v>
      </c>
      <c r="R30" s="28">
        <f>IF(('Activity data'!R17*EF!$H30)*kgtoGg=0,"NO",('Activity data'!R17*EF!$H30)*kgtoGg)</f>
        <v>23.151895469999999</v>
      </c>
      <c r="S30" s="28">
        <f>IF(('Activity data'!S17*EF!$H30)*kgtoGg=0,"NO",('Activity data'!S17*EF!$H30)*kgtoGg)</f>
        <v>23.587662779999995</v>
      </c>
      <c r="T30" s="28">
        <f>IF(('Activity data'!T17*EF!$H30)*kgtoGg=0,"NO",('Activity data'!T17*EF!$H30)*kgtoGg)</f>
        <v>24.037487099999996</v>
      </c>
      <c r="U30" s="28">
        <f>IF(('Activity data'!U17*EF!$H30)*kgtoGg=0,"NO",('Activity data'!U17*EF!$H30)*kgtoGg)</f>
        <v>23.376807629999995</v>
      </c>
      <c r="V30" s="28">
        <f>IF(('Activity data'!V17*EF!$H30)*kgtoGg=0,"NO",('Activity data'!V17*EF!$H30)*kgtoGg)</f>
        <v>23.376807629999995</v>
      </c>
      <c r="W30" s="28">
        <f>IF(('Activity data'!W17*EF!$H30)*kgtoGg=0,"NO",('Activity data'!W17*EF!$H30)*kgtoGg)</f>
        <v>23.208123509999997</v>
      </c>
      <c r="X30" s="28">
        <f>IF(('Activity data'!X17*EF!$H30)*kgtoGg=0,"NO",('Activity data'!X17*EF!$H30)*kgtoGg)</f>
        <v>22.800470219999998</v>
      </c>
      <c r="Y30" s="28">
        <f>IF(('Activity data'!Y17*EF!$H30)*kgtoGg=0,"NO",('Activity data'!Y17*EF!$H30)*kgtoGg)</f>
        <v>23.208123509999997</v>
      </c>
      <c r="Z30" s="28">
        <f>IF(('Activity data'!Z17*EF!$H30)*kgtoGg=0,"NO",('Activity data'!Z17*EF!$H30)*kgtoGg)</f>
        <v>22.702071149999998</v>
      </c>
      <c r="AA30" s="28">
        <f>IF(('Activity data'!AA17*EF!$H30)*kgtoGg=0,"NO",('Activity data'!AA17*EF!$H30)*kgtoGg)</f>
        <v>22.673957129999998</v>
      </c>
      <c r="AB30" s="28">
        <f>IF(('Activity data'!AB17*EF!$H30)*kgtoGg=0,"NO",('Activity data'!AB17*EF!$H30)*kgtoGg)</f>
        <v>22.406873939999997</v>
      </c>
      <c r="AC30" s="28">
        <f>IF(('Activity data'!AC17*EF!$H30)*kgtoGg=0,"NO",('Activity data'!AC17*EF!$H30)*kgtoGg)</f>
        <v>22.266303839999996</v>
      </c>
      <c r="AD30" s="28">
        <f>IF(('Activity data'!AD17*EF!$H30)*kgtoGg=0,"NO",('Activity data'!AD17*EF!$H30)*kgtoGg)</f>
        <v>23.371743761076022</v>
      </c>
      <c r="AE30" s="28">
        <f>IF(('Activity data'!AE17*EF!$H30)*kgtoGg=0,"NO",('Activity data'!AE17*EF!$H30)*kgtoGg)</f>
        <v>23.330436915239524</v>
      </c>
      <c r="AF30" s="28">
        <f>IF(('Activity data'!AF17*EF!$H30)*kgtoGg=0,"NO",('Activity data'!AF17*EF!$H30)*kgtoGg)</f>
        <v>23.199540957083649</v>
      </c>
      <c r="AG30" s="28">
        <f>IF(('Activity data'!AG17*EF!$H30)*kgtoGg=0,"NO",('Activity data'!AG17*EF!$H30)*kgtoGg)</f>
        <v>22.687613421640428</v>
      </c>
      <c r="AH30" s="28">
        <f>IF(('Activity data'!AH17*EF!$H30)*kgtoGg=0,"NO",('Activity data'!AH17*EF!$H30)*kgtoGg)</f>
        <v>22.203503184399075</v>
      </c>
      <c r="AI30" s="28">
        <f>IF(('Activity data'!AI17*EF!$H30)*kgtoGg=0,"NO",('Activity data'!AI17*EF!$H30)*kgtoGg)</f>
        <v>22.125366761256988</v>
      </c>
      <c r="AJ30" s="28">
        <f>IF(('Activity data'!AJ17*EF!$H30)*kgtoGg=0,"NO",('Activity data'!AJ17*EF!$H30)*kgtoGg)</f>
        <v>21.935689428722483</v>
      </c>
      <c r="AK30" s="28">
        <f>IF(('Activity data'!AK17*EF!$H30)*kgtoGg=0,"NO",('Activity data'!AK17*EF!$H30)*kgtoGg)</f>
        <v>21.35149621309353</v>
      </c>
      <c r="AL30" s="28">
        <f>IF(('Activity data'!AL17*EF!$H30)*kgtoGg=0,"NO",('Activity data'!AL17*EF!$H30)*kgtoGg)</f>
        <v>19.044546726490758</v>
      </c>
      <c r="AM30" s="28">
        <f>IF(('Activity data'!AM17*EF!$H30)*kgtoGg=0,"NO",('Activity data'!AM17*EF!$H30)*kgtoGg)</f>
        <v>19.454206590041967</v>
      </c>
      <c r="AN30" s="28">
        <f>IF(('Activity data'!AN17*EF!$H30)*kgtoGg=0,"NO",('Activity data'!AN17*EF!$H30)*kgtoGg)</f>
        <v>19.642847548932107</v>
      </c>
      <c r="AO30" s="28">
        <f>IF(('Activity data'!AO17*EF!$H30)*kgtoGg=0,"NO",('Activity data'!AO17*EF!$H30)*kgtoGg)</f>
        <v>19.780236351488622</v>
      </c>
      <c r="AP30" s="28">
        <f>IF(('Activity data'!AP17*EF!$H30)*kgtoGg=0,"NO",('Activity data'!AP17*EF!$H30)*kgtoGg)</f>
        <v>19.991165183522316</v>
      </c>
      <c r="AQ30" s="28">
        <f>IF(('Activity data'!AQ17*EF!$H30)*kgtoGg=0,"NO",('Activity data'!AQ17*EF!$H30)*kgtoGg)</f>
        <v>20.459574437852073</v>
      </c>
      <c r="AR30" s="28">
        <f>IF(('Activity data'!AR17*EF!$H30)*kgtoGg=0,"NO",('Activity data'!AR17*EF!$H30)*kgtoGg)</f>
        <v>20.986742957293373</v>
      </c>
      <c r="AS30" s="28">
        <f>IF(('Activity data'!AS17*EF!$H30)*kgtoGg=0,"NO",('Activity data'!AS17*EF!$H30)*kgtoGg)</f>
        <v>21.566845728123951</v>
      </c>
      <c r="AT30" s="28">
        <f>IF(('Activity data'!AT17*EF!$H30)*kgtoGg=0,"NO",('Activity data'!AT17*EF!$H30)*kgtoGg)</f>
        <v>22.030719235951583</v>
      </c>
      <c r="AU30" s="28">
        <f>IF(('Activity data'!AU17*EF!$H30)*kgtoGg=0,"NO",('Activity data'!AU17*EF!$H30)*kgtoGg)</f>
        <v>22.598880859175789</v>
      </c>
      <c r="AV30" s="28">
        <f>IF(('Activity data'!AV17*EF!$H30)*kgtoGg=0,"NO",('Activity data'!AV17*EF!$H30)*kgtoGg)</f>
        <v>23.294180025092402</v>
      </c>
      <c r="AW30" s="28">
        <f>IF(('Activity data'!AW17*EF!$H30)*kgtoGg=0,"NO",('Activity data'!AW17*EF!$H30)*kgtoGg)</f>
        <v>23.952313754534117</v>
      </c>
      <c r="AX30" s="28">
        <f>IF(('Activity data'!AX17*EF!$H30)*kgtoGg=0,"NO",('Activity data'!AX17*EF!$H30)*kgtoGg)</f>
        <v>24.63728573195543</v>
      </c>
      <c r="AY30" s="28">
        <f>IF(('Activity data'!AY17*EF!$H30)*kgtoGg=0,"NO",('Activity data'!AY17*EF!$H30)*kgtoGg)</f>
        <v>25.326274059281189</v>
      </c>
      <c r="AZ30" s="28">
        <f>IF(('Activity data'!AZ17*EF!$H30)*kgtoGg=0,"NO",('Activity data'!AZ17*EF!$H30)*kgtoGg)</f>
        <v>26.11204960463073</v>
      </c>
      <c r="BA30" s="28">
        <f>IF(('Activity data'!BA17*EF!$H30)*kgtoGg=0,"NO",('Activity data'!BA17*EF!$H30)*kgtoGg)</f>
        <v>26.749101858001481</v>
      </c>
      <c r="BB30" s="28">
        <f>IF(('Activity data'!BB17*EF!$H30)*kgtoGg=0,"NO",('Activity data'!BB17*EF!$H30)*kgtoGg)</f>
        <v>27.431724876299679</v>
      </c>
      <c r="BC30" s="28">
        <f>IF(('Activity data'!BC17*EF!$H30)*kgtoGg=0,"NO",('Activity data'!BC17*EF!$H30)*kgtoGg)</f>
        <v>28.114476864503132</v>
      </c>
      <c r="BD30" s="28">
        <f>IF(('Activity data'!BD17*EF!$H30)*kgtoGg=0,"NO",('Activity data'!BD17*EF!$H30)*kgtoGg)</f>
        <v>28.734138944489672</v>
      </c>
      <c r="BE30" s="28">
        <f>IF(('Activity data'!BE17*EF!$H30)*kgtoGg=0,"NO",('Activity data'!BE17*EF!$H30)*kgtoGg)</f>
        <v>29.334581793903347</v>
      </c>
      <c r="BF30" s="28">
        <f>IF(('Activity data'!BF17*EF!$H30)*kgtoGg=0,"NO",('Activity data'!BF17*EF!$H30)*kgtoGg)</f>
        <v>29.953628904341453</v>
      </c>
      <c r="BG30" s="28">
        <f>IF(('Activity data'!BG17*EF!$H30)*kgtoGg=0,"NO",('Activity data'!BG17*EF!$H30)*kgtoGg)</f>
        <v>30.608088379613569</v>
      </c>
      <c r="BH30" s="28">
        <f>IF(('Activity data'!BH17*EF!$H30)*kgtoGg=0,"NO",('Activity data'!BH17*EF!$H30)*kgtoGg)</f>
        <v>31.183489146008849</v>
      </c>
      <c r="BI30" s="28">
        <f>IF(('Activity data'!BI17*EF!$H30)*kgtoGg=0,"NO",('Activity data'!BI17*EF!$H30)*kgtoGg)</f>
        <v>31.754697438156203</v>
      </c>
      <c r="BJ30" s="28">
        <f>IF(('Activity data'!BJ17*EF!$H30)*kgtoGg=0,"NO",('Activity data'!BJ17*EF!$H30)*kgtoGg)</f>
        <v>32.323232018651169</v>
      </c>
      <c r="BK30" s="28">
        <f>IF(('Activity data'!BK17*EF!$H30)*kgtoGg=0,"NO",('Activity data'!BK17*EF!$H30)*kgtoGg)</f>
        <v>32.939289105942862</v>
      </c>
      <c r="BL30" s="28">
        <f>IF(('Activity data'!BL17*EF!$H30)*kgtoGg=0,"NO",('Activity data'!BL17*EF!$H30)*kgtoGg)</f>
        <v>33.564283425055578</v>
      </c>
      <c r="BM30" s="28">
        <f>IF(('Activity data'!BM17*EF!$H30)*kgtoGg=0,"NO",('Activity data'!BM17*EF!$H30)*kgtoGg)</f>
        <v>33.710416184198159</v>
      </c>
      <c r="BN30" s="28">
        <f>IF(('Activity data'!BN17*EF!$H30)*kgtoGg=0,"NO",('Activity data'!BN17*EF!$H30)*kgtoGg)</f>
        <v>33.816346670611303</v>
      </c>
      <c r="BO30" s="28">
        <f>IF(('Activity data'!BO17*EF!$H30)*kgtoGg=0,"NO",('Activity data'!BO17*EF!$H30)*kgtoGg)</f>
        <v>33.97537205277176</v>
      </c>
      <c r="BP30" s="28">
        <f>IF(('Activity data'!BP17*EF!$H30)*kgtoGg=0,"NO",('Activity data'!BP17*EF!$H30)*kgtoGg)</f>
        <v>34.099539307658524</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8">
        <f>IF(('Activity data'!H18*EF!$H31)*kgtoGg=0,"NO",('Activity data'!H18*EF!$H31)*kgtoGg)</f>
        <v>6.8678348124932898E-2</v>
      </c>
      <c r="I31" s="28">
        <f>IF(('Activity data'!I18*EF!$H31)*kgtoGg=0,"NO",('Activity data'!I18*EF!$H31)*kgtoGg)</f>
        <v>7.5032447262475918E-2</v>
      </c>
      <c r="J31" s="28">
        <f>IF(('Activity data'!J18*EF!$H31)*kgtoGg=0,"NO",('Activity data'!J18*EF!$H31)*kgtoGg)</f>
        <v>7.4536737400681771E-2</v>
      </c>
      <c r="K31" s="28">
        <f>IF(('Activity data'!K18*EF!$H31)*kgtoGg=0,"NO",('Activity data'!K18*EF!$H31)*kgtoGg)</f>
        <v>7.4491672867791403E-2</v>
      </c>
      <c r="L31" s="28">
        <f>IF(('Activity data'!L18*EF!$H31)*kgtoGg=0,"NO",('Activity data'!L18*EF!$H31)*kgtoGg)</f>
        <v>7.0751316637890194E-2</v>
      </c>
      <c r="M31" s="28">
        <f>IF(('Activity data'!M18*EF!$H31)*kgtoGg=0,"NO",('Activity data'!M18*EF!$H31)*kgtoGg)</f>
        <v>7.1427284631245841E-2</v>
      </c>
      <c r="N31" s="28">
        <f>IF(('Activity data'!N18*EF!$H31)*kgtoGg=0,"NO",('Activity data'!N18*EF!$H31)*kgtoGg)</f>
        <v>7.69251576438717E-2</v>
      </c>
      <c r="O31" s="28">
        <f>IF(('Activity data'!O18*EF!$H31)*kgtoGg=0,"NO",('Activity data'!O18*EF!$H31)*kgtoGg)</f>
        <v>7.6564641380748699E-2</v>
      </c>
      <c r="P31" s="28">
        <f>IF(('Activity data'!P18*EF!$H31)*kgtoGg=0,"NO",('Activity data'!P18*EF!$H31)*kgtoGg)</f>
        <v>7.8232029097692599E-2</v>
      </c>
      <c r="Q31" s="28">
        <f>IF(('Activity data'!Q18*EF!$H31)*kgtoGg=0,"NO",('Activity data'!Q18*EF!$H31)*kgtoGg)</f>
        <v>8.0214868544869131E-2</v>
      </c>
      <c r="R31" s="28">
        <f>IF(('Activity data'!R18*EF!$H31)*kgtoGg=0,"NO",('Activity data'!R18*EF!$H31)*kgtoGg)</f>
        <v>7.4221285670449139E-2</v>
      </c>
      <c r="S31" s="28">
        <f>IF(('Activity data'!S18*EF!$H31)*kgtoGg=0,"NO",('Activity data'!S18*EF!$H31)*kgtoGg)</f>
        <v>7.5618286190050801E-2</v>
      </c>
      <c r="T31" s="28">
        <f>IF(('Activity data'!T18*EF!$H31)*kgtoGg=0,"NO",('Activity data'!T18*EF!$H31)*kgtoGg)</f>
        <v>7.7060351242542832E-2</v>
      </c>
      <c r="U31" s="28">
        <f>IF(('Activity data'!U18*EF!$H31)*kgtoGg=0,"NO",('Activity data'!U18*EF!$H31)*kgtoGg)</f>
        <v>7.4942318196695168E-2</v>
      </c>
      <c r="V31" s="28">
        <f>IF(('Activity data'!V18*EF!$H31)*kgtoGg=0,"NO",('Activity data'!V18*EF!$H31)*kgtoGg)</f>
        <v>7.4942318196695168E-2</v>
      </c>
      <c r="W31" s="28">
        <f>IF(('Activity data'!W18*EF!$H31)*kgtoGg=0,"NO",('Activity data'!W18*EF!$H31)*kgtoGg)</f>
        <v>7.4401543802010653E-2</v>
      </c>
      <c r="X31" s="28">
        <f>IF(('Activity data'!X18*EF!$H31)*kgtoGg=0,"NO",('Activity data'!X18*EF!$H31)*kgtoGg)</f>
        <v>7.309467234818974E-2</v>
      </c>
      <c r="Y31" s="28">
        <f>IF(('Activity data'!Y18*EF!$H31)*kgtoGg=0,"NO",('Activity data'!Y18*EF!$H31)*kgtoGg)</f>
        <v>7.4401543802010653E-2</v>
      </c>
      <c r="Z31" s="28">
        <f>IF(('Activity data'!Z18*EF!$H31)*kgtoGg=0,"NO",('Activity data'!Z18*EF!$H31)*kgtoGg)</f>
        <v>7.2779220617957122E-2</v>
      </c>
      <c r="AA31" s="28">
        <f>IF(('Activity data'!AA18*EF!$H31)*kgtoGg=0,"NO",('Activity data'!AA18*EF!$H31)*kgtoGg)</f>
        <v>7.2689091552176358E-2</v>
      </c>
      <c r="AB31" s="28">
        <f>IF(('Activity data'!AB18*EF!$H31)*kgtoGg=0,"NO",('Activity data'!AB18*EF!$H31)*kgtoGg)</f>
        <v>7.1832865427259224E-2</v>
      </c>
      <c r="AC31" s="28">
        <f>IF(('Activity data'!AC18*EF!$H31)*kgtoGg=0,"NO",('Activity data'!AC18*EF!$H31)*kgtoGg)</f>
        <v>7.1382220098355459E-2</v>
      </c>
      <c r="AD31" s="28">
        <f>IF(('Activity data'!AD18*EF!$H31)*kgtoGg=0,"NO",('Activity data'!AD18*EF!$H31)*kgtoGg)</f>
        <v>7.8242315709845453E-2</v>
      </c>
      <c r="AE31" s="28">
        <f>IF(('Activity data'!AE18*EF!$H31)*kgtoGg=0,"NO",('Activity data'!AE18*EF!$H31)*kgtoGg)</f>
        <v>7.8104031493402004E-2</v>
      </c>
      <c r="AF31" s="28">
        <f>IF(('Activity data'!AF18*EF!$H31)*kgtoGg=0,"NO",('Activity data'!AF18*EF!$H31)*kgtoGg)</f>
        <v>7.7665827010763841E-2</v>
      </c>
      <c r="AG31" s="28">
        <f>IF(('Activity data'!AG18*EF!$H31)*kgtoGg=0,"NO",('Activity data'!AG18*EF!$H31)*kgtoGg)</f>
        <v>7.5952031229919295E-2</v>
      </c>
      <c r="AH31" s="28">
        <f>IF(('Activity data'!AH18*EF!$H31)*kgtoGg=0,"NO",('Activity data'!AH18*EF!$H31)*kgtoGg)</f>
        <v>7.4331360286072609E-2</v>
      </c>
      <c r="AI31" s="28">
        <f>IF(('Activity data'!AI18*EF!$H31)*kgtoGg=0,"NO",('Activity data'!AI18*EF!$H31)*kgtoGg)</f>
        <v>7.4069780544722574E-2</v>
      </c>
      <c r="AJ31" s="28">
        <f>IF(('Activity data'!AJ18*EF!$H31)*kgtoGg=0,"NO",('Activity data'!AJ18*EF!$H31)*kgtoGg)</f>
        <v>7.343479182129313E-2</v>
      </c>
      <c r="AK31" s="28">
        <f>IF(('Activity data'!AK18*EF!$H31)*kgtoGg=0,"NO",('Activity data'!AK18*EF!$H31)*kgtoGg)</f>
        <v>7.1479069968441278E-2</v>
      </c>
      <c r="AL31" s="28">
        <f>IF(('Activity data'!AL18*EF!$H31)*kgtoGg=0,"NO",('Activity data'!AL18*EF!$H31)*kgtoGg)</f>
        <v>6.3756023202968359E-2</v>
      </c>
      <c r="AM31" s="28">
        <f>IF(('Activity data'!AM18*EF!$H31)*kgtoGg=0,"NO",('Activity data'!AM18*EF!$H31)*kgtoGg)</f>
        <v>6.5127454308207822E-2</v>
      </c>
      <c r="AN31" s="28">
        <f>IF(('Activity data'!AN18*EF!$H31)*kgtoGg=0,"NO",('Activity data'!AN18*EF!$H31)*kgtoGg)</f>
        <v>6.5758973531256606E-2</v>
      </c>
      <c r="AO31" s="28">
        <f>IF(('Activity data'!AO18*EF!$H31)*kgtoGg=0,"NO",('Activity data'!AO18*EF!$H31)*kgtoGg)</f>
        <v>6.6218914311650043E-2</v>
      </c>
      <c r="AP31" s="28">
        <f>IF(('Activity data'!AP18*EF!$H31)*kgtoGg=0,"NO",('Activity data'!AP18*EF!$H31)*kgtoGg)</f>
        <v>6.6925047342929228E-2</v>
      </c>
      <c r="AQ31" s="28">
        <f>IF(('Activity data'!AQ18*EF!$H31)*kgtoGg=0,"NO",('Activity data'!AQ18*EF!$H31)*kgtoGg)</f>
        <v>6.8493155616464185E-2</v>
      </c>
      <c r="AR31" s="28">
        <f>IF(('Activity data'!AR18*EF!$H31)*kgtoGg=0,"NO",('Activity data'!AR18*EF!$H31)*kgtoGg)</f>
        <v>7.0257974114907237E-2</v>
      </c>
      <c r="AS31" s="28">
        <f>IF(('Activity data'!AS18*EF!$H31)*kgtoGg=0,"NO",('Activity data'!AS18*EF!$H31)*kgtoGg)</f>
        <v>7.2200002258099263E-2</v>
      </c>
      <c r="AT31" s="28">
        <f>IF(('Activity data'!AT18*EF!$H31)*kgtoGg=0,"NO",('Activity data'!AT18*EF!$H31)*kgtoGg)</f>
        <v>7.3752926071568817E-2</v>
      </c>
      <c r="AU31" s="28">
        <f>IF(('Activity data'!AU18*EF!$H31)*kgtoGg=0,"NO",('Activity data'!AU18*EF!$H31)*kgtoGg)</f>
        <v>7.5654978462394759E-2</v>
      </c>
      <c r="AV31" s="28">
        <f>IF(('Activity data'!AV18*EF!$H31)*kgtoGg=0,"NO",('Activity data'!AV18*EF!$H31)*kgtoGg)</f>
        <v>7.7982653171161778E-2</v>
      </c>
      <c r="AW31" s="28">
        <f>IF(('Activity data'!AW18*EF!$H31)*kgtoGg=0,"NO",('Activity data'!AW18*EF!$H31)*kgtoGg)</f>
        <v>8.0185907988803429E-2</v>
      </c>
      <c r="AX31" s="28">
        <f>IF(('Activity data'!AX18*EF!$H31)*kgtoGg=0,"NO",('Activity data'!AX18*EF!$H31)*kgtoGg)</f>
        <v>8.247901004647068E-2</v>
      </c>
      <c r="AY31" s="28">
        <f>IF(('Activity data'!AY18*EF!$H31)*kgtoGg=0,"NO",('Activity data'!AY18*EF!$H31)*kgtoGg)</f>
        <v>8.4785557764009881E-2</v>
      </c>
      <c r="AZ31" s="28">
        <f>IF(('Activity data'!AZ18*EF!$H31)*kgtoGg=0,"NO",('Activity data'!AZ18*EF!$H31)*kgtoGg)</f>
        <v>8.7416123070767446E-2</v>
      </c>
      <c r="BA31" s="28">
        <f>IF(('Activity data'!BA18*EF!$H31)*kgtoGg=0,"NO",('Activity data'!BA18*EF!$H31)*kgtoGg)</f>
        <v>8.9548802773294175E-2</v>
      </c>
      <c r="BB31" s="28">
        <f>IF(('Activity data'!BB18*EF!$H31)*kgtoGg=0,"NO",('Activity data'!BB18*EF!$H31)*kgtoGg)</f>
        <v>9.1834041147225251E-2</v>
      </c>
      <c r="BC31" s="28">
        <f>IF(('Activity data'!BC18*EF!$H31)*kgtoGg=0,"NO",('Activity data'!BC18*EF!$H31)*kgtoGg)</f>
        <v>9.4119711277731624E-2</v>
      </c>
      <c r="BD31" s="28">
        <f>IF(('Activity data'!BD18*EF!$H31)*kgtoGg=0,"NO",('Activity data'!BD18*EF!$H31)*kgtoGg)</f>
        <v>9.6194173354304288E-2</v>
      </c>
      <c r="BE31" s="28">
        <f>IF(('Activity data'!BE18*EF!$H31)*kgtoGg=0,"NO",('Activity data'!BE18*EF!$H31)*kgtoGg)</f>
        <v>9.820429461311192E-2</v>
      </c>
      <c r="BF31" s="28">
        <f>IF(('Activity data'!BF18*EF!$H31)*kgtoGg=0,"NO",('Activity data'!BF18*EF!$H31)*kgtoGg)</f>
        <v>0.10027669793694233</v>
      </c>
      <c r="BG31" s="28">
        <f>IF(('Activity data'!BG18*EF!$H31)*kgtoGg=0,"NO",('Activity data'!BG18*EF!$H31)*kgtoGg)</f>
        <v>0.10246765233927585</v>
      </c>
      <c r="BH31" s="28">
        <f>IF(('Activity data'!BH18*EF!$H31)*kgtoGg=0,"NO",('Activity data'!BH18*EF!$H31)*kgtoGg)</f>
        <v>0.10439393943553288</v>
      </c>
      <c r="BI31" s="28">
        <f>IF(('Activity data'!BI18*EF!$H31)*kgtoGg=0,"NO",('Activity data'!BI18*EF!$H31)*kgtoGg)</f>
        <v>0.10630619125495884</v>
      </c>
      <c r="BJ31" s="28">
        <f>IF(('Activity data'!BJ18*EF!$H31)*kgtoGg=0,"NO",('Activity data'!BJ18*EF!$H31)*kgtoGg)</f>
        <v>0.10820949220647513</v>
      </c>
      <c r="BK31" s="28">
        <f>IF(('Activity data'!BK18*EF!$H31)*kgtoGg=0,"NO",('Activity data'!BK18*EF!$H31)*kgtoGg)</f>
        <v>0.1102718857365395</v>
      </c>
      <c r="BL31" s="28">
        <f>IF(('Activity data'!BL18*EF!$H31)*kgtoGg=0,"NO",('Activity data'!BL18*EF!$H31)*kgtoGg)</f>
        <v>0.11236419871638305</v>
      </c>
      <c r="BM31" s="28">
        <f>IF(('Activity data'!BM18*EF!$H31)*kgtoGg=0,"NO",('Activity data'!BM18*EF!$H31)*kgtoGg)</f>
        <v>0.11285341191302209</v>
      </c>
      <c r="BN31" s="28">
        <f>IF(('Activity data'!BN18*EF!$H31)*kgtoGg=0,"NO",('Activity data'!BN18*EF!$H31)*kgtoGg)</f>
        <v>0.11320803870706722</v>
      </c>
      <c r="BO31" s="28">
        <f>IF(('Activity data'!BO18*EF!$H31)*kgtoGg=0,"NO",('Activity data'!BO18*EF!$H31)*kgtoGg)</f>
        <v>0.11374041293999027</v>
      </c>
      <c r="BP31" s="28">
        <f>IF(('Activity data'!BP18*EF!$H31)*kgtoGg=0,"NO",('Activity data'!BP18*EF!$H31)*kgtoGg)</f>
        <v>0.11415609153278124</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8">
        <f>IF(('Activity data'!H19*EF!$H32)*kgtoGg=0,"NO",('Activity data'!H19*EF!$H32)*kgtoGg)</f>
        <v>0.34412636088479531</v>
      </c>
      <c r="I32" s="28">
        <f>IF(('Activity data'!I19*EF!$H32)*kgtoGg=0,"NO",('Activity data'!I19*EF!$H32)*kgtoGg)</f>
        <v>0.33431360408971139</v>
      </c>
      <c r="J32" s="28">
        <f>IF(('Activity data'!J19*EF!$H32)*kgtoGg=0,"NO",('Activity data'!J19*EF!$H32)*kgtoGg)</f>
        <v>0.31707319838740716</v>
      </c>
      <c r="K32" s="28">
        <f>IF(('Activity data'!K19*EF!$H32)*kgtoGg=0,"NO",('Activity data'!K19*EF!$H32)*kgtoGg)</f>
        <v>0.31208778044270324</v>
      </c>
      <c r="L32" s="28">
        <f>IF(('Activity data'!L19*EF!$H32)*kgtoGg=0,"NO",('Activity data'!L19*EF!$H32)*kgtoGg)</f>
        <v>0.29851308566472284</v>
      </c>
      <c r="M32" s="28">
        <f>IF(('Activity data'!M19*EF!$H32)*kgtoGg=0,"NO",('Activity data'!M19*EF!$H32)*kgtoGg)</f>
        <v>0.32571493051505118</v>
      </c>
      <c r="N32" s="28">
        <f>IF(('Activity data'!N19*EF!$H32)*kgtoGg=0,"NO",('Activity data'!N19*EF!$H32)*kgtoGg)</f>
        <v>0.34405437172586711</v>
      </c>
      <c r="O32" s="28">
        <f>IF(('Activity data'!O19*EF!$H32)*kgtoGg=0,"NO",('Activity data'!O19*EF!$H32)*kgtoGg)</f>
        <v>0.34518574950517145</v>
      </c>
      <c r="P32" s="28">
        <f>IF(('Activity data'!P19*EF!$H32)*kgtoGg=0,"NO",('Activity data'!P19*EF!$H32)*kgtoGg)</f>
        <v>0.38865002667416459</v>
      </c>
      <c r="Q32" s="28">
        <f>IF(('Activity data'!Q19*EF!$H32)*kgtoGg=0,"NO",('Activity data'!Q19*EF!$H32)*kgtoGg)</f>
        <v>0.41667182927837593</v>
      </c>
      <c r="R32" s="28">
        <f>IF(('Activity data'!R19*EF!$H32)*kgtoGg=0,"NO",('Activity data'!R19*EF!$H32)*kgtoGg)</f>
        <v>0.40784322178977589</v>
      </c>
      <c r="S32" s="28">
        <f>IF(('Activity data'!S19*EF!$H32)*kgtoGg=0,"NO",('Activity data'!S19*EF!$H32)*kgtoGg)</f>
        <v>0.41872302408484074</v>
      </c>
      <c r="T32" s="28">
        <f>IF(('Activity data'!T19*EF!$H32)*kgtoGg=0,"NO",('Activity data'!T19*EF!$H32)*kgtoGg)</f>
        <v>0.41543664927468582</v>
      </c>
      <c r="U32" s="28">
        <f>IF(('Activity data'!U19*EF!$H32)*kgtoGg=0,"NO",('Activity data'!U19*EF!$H32)*kgtoGg)</f>
        <v>0.39885137894995365</v>
      </c>
      <c r="V32" s="28">
        <f>IF(('Activity data'!V19*EF!$H32)*kgtoGg=0,"NO",('Activity data'!V19*EF!$H32)*kgtoGg)</f>
        <v>0.41331414342789019</v>
      </c>
      <c r="W32" s="28">
        <f>IF(('Activity data'!W19*EF!$H32)*kgtoGg=0,"NO",('Activity data'!W19*EF!$H32)*kgtoGg)</f>
        <v>0.43823720309168573</v>
      </c>
      <c r="X32" s="28">
        <f>IF(('Activity data'!X19*EF!$H32)*kgtoGg=0,"NO",('Activity data'!X19*EF!$H32)*kgtoGg)</f>
        <v>0.48364625743591194</v>
      </c>
      <c r="Y32" s="28">
        <f>IF(('Activity data'!Y19*EF!$H32)*kgtoGg=0,"NO",('Activity data'!Y19*EF!$H32)*kgtoGg)</f>
        <v>0.53523791894516948</v>
      </c>
      <c r="Z32" s="28">
        <f>IF(('Activity data'!Z19*EF!$H32)*kgtoGg=0,"NO",('Activity data'!Z19*EF!$H32)*kgtoGg)</f>
        <v>0.54228693678826778</v>
      </c>
      <c r="AA32" s="28">
        <f>IF(('Activity data'!AA19*EF!$H32)*kgtoGg=0,"NO",('Activity data'!AA19*EF!$H32)*kgtoGg)</f>
        <v>0.52229475326298369</v>
      </c>
      <c r="AB32" s="28">
        <f>IF(('Activity data'!AB19*EF!$H32)*kgtoGg=0,"NO",('Activity data'!AB19*EF!$H32)*kgtoGg)</f>
        <v>0.5426399385673164</v>
      </c>
      <c r="AC32" s="28">
        <f>IF(('Activity data'!AC19*EF!$H32)*kgtoGg=0,"NO",('Activity data'!AC19*EF!$H32)*kgtoGg)</f>
        <v>0.56768674314562217</v>
      </c>
      <c r="AD32" s="28">
        <f>IF(('Activity data'!AD19*EF!$H32)*kgtoGg=0,"NO",('Activity data'!AD19*EF!$H32)*kgtoGg)</f>
        <v>0.55747442882718667</v>
      </c>
      <c r="AE32" s="28">
        <f>IF(('Activity data'!AE19*EF!$H32)*kgtoGg=0,"NO",('Activity data'!AE19*EF!$H32)*kgtoGg)</f>
        <v>0.57000466235661118</v>
      </c>
      <c r="AF32" s="28">
        <f>IF(('Activity data'!AF19*EF!$H32)*kgtoGg=0,"NO",('Activity data'!AF19*EF!$H32)*kgtoGg)</f>
        <v>0.58133812133078289</v>
      </c>
      <c r="AG32" s="28">
        <f>IF(('Activity data'!AG19*EF!$H32)*kgtoGg=0,"NO",('Activity data'!AG19*EF!$H32)*kgtoGg)</f>
        <v>0.58718909348293968</v>
      </c>
      <c r="AH32" s="28">
        <f>IF(('Activity data'!AH19*EF!$H32)*kgtoGg=0,"NO",('Activity data'!AH19*EF!$H32)*kgtoGg)</f>
        <v>0.59320136752099994</v>
      </c>
      <c r="AI32" s="28">
        <f>IF(('Activity data'!AI19*EF!$H32)*kgtoGg=0,"NO",('Activity data'!AI19*EF!$H32)*kgtoGg)</f>
        <v>0.60517178839490071</v>
      </c>
      <c r="AJ32" s="28">
        <f>IF(('Activity data'!AJ19*EF!$H32)*kgtoGg=0,"NO",('Activity data'!AJ19*EF!$H32)*kgtoGg)</f>
        <v>0.61540759790167998</v>
      </c>
      <c r="AK32" s="28">
        <f>IF(('Activity data'!AK19*EF!$H32)*kgtoGg=0,"NO",('Activity data'!AK19*EF!$H32)*kgtoGg)</f>
        <v>0.61929285714109983</v>
      </c>
      <c r="AL32" s="28">
        <f>IF(('Activity data'!AL19*EF!$H32)*kgtoGg=0,"NO",('Activity data'!AL19*EF!$H32)*kgtoGg)</f>
        <v>0.59469792033381752</v>
      </c>
      <c r="AM32" s="28">
        <f>IF(('Activity data'!AM19*EF!$H32)*kgtoGg=0,"NO",('Activity data'!AM19*EF!$H32)*kgtoGg)</f>
        <v>0.6123961678050206</v>
      </c>
      <c r="AN32" s="28">
        <f>IF(('Activity data'!AN19*EF!$H32)*kgtoGg=0,"NO",('Activity data'!AN19*EF!$H32)*kgtoGg)</f>
        <v>0.62670000214524924</v>
      </c>
      <c r="AO32" s="28">
        <f>IF(('Activity data'!AO19*EF!$H32)*kgtoGg=0,"NO",('Activity data'!AO19*EF!$H32)*kgtoGg)</f>
        <v>0.64033072034628857</v>
      </c>
      <c r="AP32" s="28">
        <f>IF(('Activity data'!AP19*EF!$H32)*kgtoGg=0,"NO",('Activity data'!AP19*EF!$H32)*kgtoGg)</f>
        <v>0.65546604439463374</v>
      </c>
      <c r="AQ32" s="28">
        <f>IF(('Activity data'!AQ19*EF!$H32)*kgtoGg=0,"NO",('Activity data'!AQ19*EF!$H32)*kgtoGg)</f>
        <v>0.67555681395741984</v>
      </c>
      <c r="AR32" s="28">
        <f>IF(('Activity data'!AR19*EF!$H32)*kgtoGg=0,"NO",('Activity data'!AR19*EF!$H32)*kgtoGg)</f>
        <v>0.69665833659280063</v>
      </c>
      <c r="AS32" s="28">
        <f>IF(('Activity data'!AS19*EF!$H32)*kgtoGg=0,"NO",('Activity data'!AS19*EF!$H32)*kgtoGg)</f>
        <v>0.7192776675745407</v>
      </c>
      <c r="AT32" s="28">
        <f>IF(('Activity data'!AT19*EF!$H32)*kgtoGg=0,"NO",('Activity data'!AT19*EF!$H32)*kgtoGg)</f>
        <v>0.74020059701318874</v>
      </c>
      <c r="AU32" s="28">
        <f>IF(('Activity data'!AU19*EF!$H32)*kgtoGg=0,"NO",('Activity data'!AU19*EF!$H32)*kgtoGg)</f>
        <v>0.7636741686553643</v>
      </c>
      <c r="AV32" s="28">
        <f>IF(('Activity data'!AV19*EF!$H32)*kgtoGg=0,"NO",('Activity data'!AV19*EF!$H32)*kgtoGg)</f>
        <v>0.79029892011866243</v>
      </c>
      <c r="AW32" s="28">
        <f>IF(('Activity data'!AW19*EF!$H32)*kgtoGg=0,"NO",('Activity data'!AW19*EF!$H32)*kgtoGg)</f>
        <v>0.81639549054517768</v>
      </c>
      <c r="AX32" s="28">
        <f>IF(('Activity data'!AX19*EF!$H32)*kgtoGg=0,"NO",('Activity data'!AX19*EF!$H32)*kgtoGg)</f>
        <v>0.84372718721281392</v>
      </c>
      <c r="AY32" s="28">
        <f>IF(('Activity data'!AY19*EF!$H32)*kgtoGg=0,"NO",('Activity data'!AY19*EF!$H32)*kgtoGg)</f>
        <v>0.87185215188264154</v>
      </c>
      <c r="AZ32" s="28">
        <f>IF(('Activity data'!AZ19*EF!$H32)*kgtoGg=0,"NO",('Activity data'!AZ19*EF!$H32)*kgtoGg)</f>
        <v>0.90282405951998446</v>
      </c>
      <c r="BA32" s="28">
        <f>IF(('Activity data'!BA19*EF!$H32)*kgtoGg=0,"NO",('Activity data'!BA19*EF!$H32)*kgtoGg)</f>
        <v>0.93129930364506475</v>
      </c>
      <c r="BB32" s="28">
        <f>IF(('Activity data'!BB19*EF!$H32)*kgtoGg=0,"NO",('Activity data'!BB19*EF!$H32)*kgtoGg)</f>
        <v>0.96108950462978437</v>
      </c>
      <c r="BC32" s="28">
        <f>IF(('Activity data'!BC19*EF!$H32)*kgtoGg=0,"NO",('Activity data'!BC19*EF!$H32)*kgtoGg)</f>
        <v>0.99164854163197635</v>
      </c>
      <c r="BD32" s="28">
        <f>IF(('Activity data'!BD19*EF!$H32)*kgtoGg=0,"NO",('Activity data'!BD19*EF!$H32)*kgtoGg)</f>
        <v>1.0214996622641284</v>
      </c>
      <c r="BE32" s="28">
        <f>IF(('Activity data'!BE19*EF!$H32)*kgtoGg=0,"NO",('Activity data'!BE19*EF!$H32)*kgtoGg)</f>
        <v>1.0516345292230644</v>
      </c>
      <c r="BF32" s="28">
        <f>IF(('Activity data'!BF19*EF!$H32)*kgtoGg=0,"NO",('Activity data'!BF19*EF!$H32)*kgtoGg)</f>
        <v>1.0829748845958596</v>
      </c>
      <c r="BG32" s="28">
        <f>IF(('Activity data'!BG19*EF!$H32)*kgtoGg=0,"NO",('Activity data'!BG19*EF!$H32)*kgtoGg)</f>
        <v>1.1155704742631816</v>
      </c>
      <c r="BH32" s="28">
        <f>IF(('Activity data'!BH19*EF!$H32)*kgtoGg=0,"NO",('Activity data'!BH19*EF!$H32)*kgtoGg)</f>
        <v>1.1469836186626363</v>
      </c>
      <c r="BI32" s="28">
        <f>IF(('Activity data'!BI19*EF!$H32)*kgtoGg=0,"NO",('Activity data'!BI19*EF!$H32)*kgtoGg)</f>
        <v>1.1790678557525369</v>
      </c>
      <c r="BJ32" s="28">
        <f>IF(('Activity data'!BJ19*EF!$H32)*kgtoGg=0,"NO",('Activity data'!BJ19*EF!$H32)*kgtoGg)</f>
        <v>1.2118785602379014</v>
      </c>
      <c r="BK32" s="28">
        <f>IF(('Activity data'!BK19*EF!$H32)*kgtoGg=0,"NO",('Activity data'!BK19*EF!$H32)*kgtoGg)</f>
        <v>1.246786730113024</v>
      </c>
      <c r="BL32" s="28">
        <f>IF(('Activity data'!BL19*EF!$H32)*kgtoGg=0,"NO",('Activity data'!BL19*EF!$H32)*kgtoGg)</f>
        <v>1.2823996493212451</v>
      </c>
      <c r="BM32" s="28">
        <f>IF(('Activity data'!BM19*EF!$H32)*kgtoGg=0,"NO",('Activity data'!BM19*EF!$H32)*kgtoGg)</f>
        <v>1.3055397260898673</v>
      </c>
      <c r="BN32" s="28">
        <f>IF(('Activity data'!BN19*EF!$H32)*kgtoGg=0,"NO",('Activity data'!BN19*EF!$H32)*kgtoGg)</f>
        <v>1.3279825002684047</v>
      </c>
      <c r="BO32" s="28">
        <f>IF(('Activity data'!BO19*EF!$H32)*kgtoGg=0,"NO",('Activity data'!BO19*EF!$H32)*kgtoGg)</f>
        <v>1.3523851767933999</v>
      </c>
      <c r="BP32" s="28">
        <f>IF(('Activity data'!BP19*EF!$H32)*kgtoGg=0,"NO",('Activity data'!BP19*EF!$H32)*kgtoGg)</f>
        <v>1.3762491253290834</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8">
        <f>IF(('Activity data'!H20*EF!$H33)*kgtoGg=0,"NO",('Activity data'!H20*EF!$H33)*kgtoGg)</f>
        <v>0.94715547095572861</v>
      </c>
      <c r="I33" s="28">
        <f>IF(('Activity data'!I20*EF!$H33)*kgtoGg=0,"NO",('Activity data'!I20*EF!$H33)*kgtoGg)</f>
        <v>0.89032614384752706</v>
      </c>
      <c r="J33" s="28">
        <f>IF(('Activity data'!J20*EF!$H33)*kgtoGg=0,"NO",('Activity data'!J20*EF!$H33)*kgtoGg)</f>
        <v>0.84142189535323741</v>
      </c>
      <c r="K33" s="28">
        <f>IF(('Activity data'!K20*EF!$H33)*kgtoGg=0,"NO",('Activity data'!K20*EF!$H33)*kgtoGg)</f>
        <v>0.94630052317004854</v>
      </c>
      <c r="L33" s="28">
        <f>IF(('Activity data'!L20*EF!$H33)*kgtoGg=0,"NO",('Activity data'!L20*EF!$H33)*kgtoGg)</f>
        <v>0.93742541753662223</v>
      </c>
      <c r="M33" s="28">
        <f>IF(('Activity data'!M20*EF!$H33)*kgtoGg=0,"NO",('Activity data'!M20*EF!$H33)*kgtoGg)</f>
        <v>1.0730204292114462</v>
      </c>
      <c r="N33" s="28">
        <f>IF(('Activity data'!N20*EF!$H33)*kgtoGg=0,"NO",('Activity data'!N20*EF!$H33)*kgtoGg)</f>
        <v>1.247646180709717</v>
      </c>
      <c r="O33" s="28">
        <f>IF(('Activity data'!O20*EF!$H33)*kgtoGg=0,"NO",('Activity data'!O20*EF!$H33)*kgtoGg)</f>
        <v>1.2699611966563922</v>
      </c>
      <c r="P33" s="28">
        <f>IF(('Activity data'!P20*EF!$H33)*kgtoGg=0,"NO",('Activity data'!P20*EF!$H33)*kgtoGg)</f>
        <v>1.3915382753930494</v>
      </c>
      <c r="Q33" s="28">
        <f>IF(('Activity data'!Q20*EF!$H33)*kgtoGg=0,"NO",('Activity data'!Q20*EF!$H33)*kgtoGg)</f>
        <v>1.452750350288103</v>
      </c>
      <c r="R33" s="28">
        <f>IF(('Activity data'!R20*EF!$H33)*kgtoGg=0,"NO",('Activity data'!R20*EF!$H33)*kgtoGg)</f>
        <v>1.5630523253351984</v>
      </c>
      <c r="S33" s="28">
        <f>IF(('Activity data'!S20*EF!$H33)*kgtoGg=0,"NO",('Activity data'!S20*EF!$H33)*kgtoGg)</f>
        <v>1.5092912592701446</v>
      </c>
      <c r="T33" s="28">
        <f>IF(('Activity data'!T20*EF!$H33)*kgtoGg=0,"NO",('Activity data'!T20*EF!$H33)*kgtoGg)</f>
        <v>1.6727842751343183</v>
      </c>
      <c r="U33" s="28">
        <f>IF(('Activity data'!U20*EF!$H33)*kgtoGg=0,"NO",('Activity data'!U20*EF!$H33)*kgtoGg)</f>
        <v>1.5910703727417843</v>
      </c>
      <c r="V33" s="28">
        <f>IF(('Activity data'!V20*EF!$H33)*kgtoGg=0,"NO",('Activity data'!V20*EF!$H33)*kgtoGg)</f>
        <v>1.6294801995139723</v>
      </c>
      <c r="W33" s="28">
        <f>IF(('Activity data'!W20*EF!$H33)*kgtoGg=0,"NO",('Activity data'!W20*EF!$H33)*kgtoGg)</f>
        <v>1.8029786139907802</v>
      </c>
      <c r="X33" s="28">
        <f>IF(('Activity data'!X20*EF!$H33)*kgtoGg=0,"NO",('Activity data'!X20*EF!$H33)*kgtoGg)</f>
        <v>1.9284541402191151</v>
      </c>
      <c r="Y33" s="28">
        <f>IF(('Activity data'!Y20*EF!$H33)*kgtoGg=0,"NO",('Activity data'!Y20*EF!$H33)*kgtoGg)</f>
        <v>2.0176916356111869</v>
      </c>
      <c r="Z33" s="28">
        <f>IF(('Activity data'!Z20*EF!$H33)*kgtoGg=0,"NO",('Activity data'!Z20*EF!$H33)*kgtoGg)</f>
        <v>2.1482937300650229</v>
      </c>
      <c r="AA33" s="28">
        <f>IF(('Activity data'!AA20*EF!$H33)*kgtoGg=0,"NO",('Activity data'!AA20*EF!$H33)*kgtoGg)</f>
        <v>2.0271503211350299</v>
      </c>
      <c r="AB33" s="28">
        <f>IF(('Activity data'!AB20*EF!$H33)*kgtoGg=0,"NO",('Activity data'!AB20*EF!$H33)*kgtoGg)</f>
        <v>2.078134768114972</v>
      </c>
      <c r="AC33" s="28">
        <f>IF(('Activity data'!AC20*EF!$H33)*kgtoGg=0,"NO",('Activity data'!AC20*EF!$H33)*kgtoGg)</f>
        <v>2.1493361757027292</v>
      </c>
      <c r="AD33" s="28">
        <f>IF(('Activity data'!AD20*EF!$H33)*kgtoGg=0,"NO",('Activity data'!AD20*EF!$H33)*kgtoGg)</f>
        <v>2.2247786627421906</v>
      </c>
      <c r="AE33" s="28">
        <f>IF(('Activity data'!AE20*EF!$H33)*kgtoGg=0,"NO",('Activity data'!AE20*EF!$H33)*kgtoGg)</f>
        <v>2.2660704090846675</v>
      </c>
      <c r="AF33" s="28">
        <f>IF(('Activity data'!AF20*EF!$H33)*kgtoGg=0,"NO",('Activity data'!AF20*EF!$H33)*kgtoGg)</f>
        <v>2.2931151480493956</v>
      </c>
      <c r="AG33" s="28">
        <f>IF(('Activity data'!AG20*EF!$H33)*kgtoGg=0,"NO",('Activity data'!AG20*EF!$H33)*kgtoGg)</f>
        <v>2.263369089113628</v>
      </c>
      <c r="AH33" s="28">
        <f>IF(('Activity data'!AH20*EF!$H33)*kgtoGg=0,"NO",('Activity data'!AH20*EF!$H33)*kgtoGg)</f>
        <v>2.2345214699411633</v>
      </c>
      <c r="AI33" s="28">
        <f>IF(('Activity data'!AI20*EF!$H33)*kgtoGg=0,"NO",('Activity data'!AI20*EF!$H33)*kgtoGg)</f>
        <v>2.2631068961220624</v>
      </c>
      <c r="AJ33" s="28">
        <f>IF(('Activity data'!AJ20*EF!$H33)*kgtoGg=0,"NO",('Activity data'!AJ20*EF!$H33)*kgtoGg)</f>
        <v>2.2741216722530595</v>
      </c>
      <c r="AK33" s="28">
        <f>IF(('Activity data'!AK20*EF!$H33)*kgtoGg=0,"NO",('Activity data'!AK20*EF!$H33)*kgtoGg)</f>
        <v>2.2236230251769533</v>
      </c>
      <c r="AL33" s="28">
        <f>IF(('Activity data'!AL20*EF!$H33)*kgtoGg=0,"NO",('Activity data'!AL20*EF!$H33)*kgtoGg)</f>
        <v>1.9032751826814061</v>
      </c>
      <c r="AM33" s="28">
        <f>IF(('Activity data'!AM20*EF!$H33)*kgtoGg=0,"NO",('Activity data'!AM20*EF!$H33)*kgtoGg)</f>
        <v>2.0050045794652438</v>
      </c>
      <c r="AN33" s="28">
        <f>IF(('Activity data'!AN20*EF!$H33)*kgtoGg=0,"NO",('Activity data'!AN20*EF!$H33)*kgtoGg)</f>
        <v>2.0731097774643854</v>
      </c>
      <c r="AO33" s="28">
        <f>IF(('Activity data'!AO20*EF!$H33)*kgtoGg=0,"NO",('Activity data'!AO20*EF!$H33)*kgtoGg)</f>
        <v>2.1336466102427849</v>
      </c>
      <c r="AP33" s="28">
        <f>IF(('Activity data'!AP20*EF!$H33)*kgtoGg=0,"NO",('Activity data'!AP20*EF!$H33)*kgtoGg)</f>
        <v>2.2067504039451395</v>
      </c>
      <c r="AQ33" s="28">
        <f>IF(('Activity data'!AQ20*EF!$H33)*kgtoGg=0,"NO",('Activity data'!AQ20*EF!$H33)*kgtoGg)</f>
        <v>2.3234221592291906</v>
      </c>
      <c r="AR33" s="28">
        <f>IF(('Activity data'!AR20*EF!$H33)*kgtoGg=0,"NO",('Activity data'!AR20*EF!$H33)*kgtoGg)</f>
        <v>2.453906612866656</v>
      </c>
      <c r="AS33" s="28">
        <f>IF(('Activity data'!AS20*EF!$H33)*kgtoGg=0,"NO",('Activity data'!AS20*EF!$H33)*kgtoGg)</f>
        <v>2.5958043881375255</v>
      </c>
      <c r="AT33" s="28">
        <f>IF(('Activity data'!AT20*EF!$H33)*kgtoGg=0,"NO",('Activity data'!AT20*EF!$H33)*kgtoGg)</f>
        <v>2.7204030410253512</v>
      </c>
      <c r="AU33" s="28">
        <f>IF(('Activity data'!AU20*EF!$H33)*kgtoGg=0,"NO",('Activity data'!AU20*EF!$H33)*kgtoGg)</f>
        <v>2.8654695762209732</v>
      </c>
      <c r="AV33" s="28">
        <f>IF(('Activity data'!AV20*EF!$H33)*kgtoGg=0,"NO",('Activity data'!AV20*EF!$H33)*kgtoGg)</f>
        <v>3.0358111573505431</v>
      </c>
      <c r="AW33" s="28">
        <f>IF(('Activity data'!AW20*EF!$H33)*kgtoGg=0,"NO",('Activity data'!AW20*EF!$H33)*kgtoGg)</f>
        <v>3.2044547295521539</v>
      </c>
      <c r="AX33" s="28">
        <f>IF(('Activity data'!AX20*EF!$H33)*kgtoGg=0,"NO",('Activity data'!AX20*EF!$H33)*kgtoGg)</f>
        <v>3.3813518114103016</v>
      </c>
      <c r="AY33" s="28">
        <f>IF(('Activity data'!AY20*EF!$H33)*kgtoGg=0,"NO",('Activity data'!AY20*EF!$H33)*kgtoGg)</f>
        <v>3.5625886999419771</v>
      </c>
      <c r="AZ33" s="28">
        <f>IF(('Activity data'!AZ20*EF!$H33)*kgtoGg=0,"NO",('Activity data'!AZ20*EF!$H33)*kgtoGg)</f>
        <v>3.7655312365602969</v>
      </c>
      <c r="BA33" s="28">
        <f>IF(('Activity data'!BA20*EF!$H33)*kgtoGg=0,"NO",('Activity data'!BA20*EF!$H33)*kgtoGg)</f>
        <v>3.9447479907962553</v>
      </c>
      <c r="BB33" s="28">
        <f>IF(('Activity data'!BB20*EF!$H33)*kgtoGg=0,"NO",('Activity data'!BB20*EF!$H33)*kgtoGg)</f>
        <v>4.137705183266208</v>
      </c>
      <c r="BC33" s="28">
        <f>IF(('Activity data'!BC20*EF!$H33)*kgtoGg=0,"NO",('Activity data'!BC20*EF!$H33)*kgtoGg)</f>
        <v>4.3346785117208917</v>
      </c>
      <c r="BD33" s="28">
        <f>IF(('Activity data'!BD20*EF!$H33)*kgtoGg=0,"NO",('Activity data'!BD20*EF!$H33)*kgtoGg)</f>
        <v>4.5234159579201654</v>
      </c>
      <c r="BE33" s="28">
        <f>IF(('Activity data'!BE20*EF!$H33)*kgtoGg=0,"NO",('Activity data'!BE20*EF!$H33)*kgtoGg)</f>
        <v>4.7122444809677875</v>
      </c>
      <c r="BF33" s="28">
        <f>IF(('Activity data'!BF20*EF!$H33)*kgtoGg=0,"NO",('Activity data'!BF20*EF!$H33)*kgtoGg)</f>
        <v>4.9087124214298683</v>
      </c>
      <c r="BG33" s="28">
        <f>IF(('Activity data'!BG20*EF!$H33)*kgtoGg=0,"NO",('Activity data'!BG20*EF!$H33)*kgtoGg)</f>
        <v>5.1177627309781579</v>
      </c>
      <c r="BH33" s="28">
        <f>IF(('Activity data'!BH20*EF!$H33)*kgtoGg=0,"NO",('Activity data'!BH20*EF!$H33)*kgtoGg)</f>
        <v>5.3149689082675069</v>
      </c>
      <c r="BI33" s="28">
        <f>IF(('Activity data'!BI20*EF!$H33)*kgtoGg=0,"NO",('Activity data'!BI20*EF!$H33)*kgtoGg)</f>
        <v>5.5154282999919104</v>
      </c>
      <c r="BJ33" s="28">
        <f>IF(('Activity data'!BJ20*EF!$H33)*kgtoGg=0,"NO",('Activity data'!BJ20*EF!$H33)*kgtoGg)</f>
        <v>5.7195487127572893</v>
      </c>
      <c r="BK33" s="28">
        <f>IF(('Activity data'!BK20*EF!$H33)*kgtoGg=0,"NO",('Activity data'!BK20*EF!$H33)*kgtoGg)</f>
        <v>5.93816190134776</v>
      </c>
      <c r="BL33" s="28">
        <f>IF(('Activity data'!BL20*EF!$H33)*kgtoGg=0,"NO",('Activity data'!BL20*EF!$H33)*kgtoGg)</f>
        <v>6.1647117891186287</v>
      </c>
      <c r="BM33" s="28">
        <f>IF(('Activity data'!BM20*EF!$H33)*kgtoGg=0,"NO",('Activity data'!BM20*EF!$H33)*kgtoGg)</f>
        <v>6.2911645282791966</v>
      </c>
      <c r="BN33" s="28">
        <f>IF(('Activity data'!BN20*EF!$H33)*kgtoGg=0,"NO",('Activity data'!BN20*EF!$H33)*kgtoGg)</f>
        <v>6.4110178863707459</v>
      </c>
      <c r="BO33" s="28">
        <f>IF(('Activity data'!BO20*EF!$H33)*kgtoGg=0,"NO",('Activity data'!BO20*EF!$H33)*kgtoGg)</f>
        <v>6.5450035893341036</v>
      </c>
      <c r="BP33" s="28">
        <f>IF(('Activity data'!BP20*EF!$H33)*kgtoGg=0,"NO",('Activity data'!BP20*EF!$H33)*kgtoGg)</f>
        <v>6.6736178617827129</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8">
        <f>IF(('Activity data'!H21*EF!$H34)*kgtoGg=0,"NO",('Activity data'!H21*EF!$H34)*kgtoGg)</f>
        <v>1.4453307157161402E-2</v>
      </c>
      <c r="I34" s="28">
        <f>IF(('Activity data'!I21*EF!$H34)*kgtoGg=0,"NO",('Activity data'!I21*EF!$H34)*kgtoGg)</f>
        <v>1.4041171371767878E-2</v>
      </c>
      <c r="J34" s="28">
        <f>IF(('Activity data'!J21*EF!$H34)*kgtoGg=0,"NO",('Activity data'!J21*EF!$H34)*kgtoGg)</f>
        <v>1.3317074332271103E-2</v>
      </c>
      <c r="K34" s="28">
        <f>IF(('Activity data'!K21*EF!$H34)*kgtoGg=0,"NO",('Activity data'!K21*EF!$H34)*kgtoGg)</f>
        <v>1.3107686778593537E-2</v>
      </c>
      <c r="L34" s="28">
        <f>IF(('Activity data'!L21*EF!$H34)*kgtoGg=0,"NO",('Activity data'!L21*EF!$H34)*kgtoGg)</f>
        <v>1.2537549597918361E-2</v>
      </c>
      <c r="M34" s="28">
        <f>IF(('Activity data'!M21*EF!$H34)*kgtoGg=0,"NO",('Activity data'!M21*EF!$H34)*kgtoGg)</f>
        <v>1.368002708163215E-2</v>
      </c>
      <c r="N34" s="28">
        <f>IF(('Activity data'!N21*EF!$H34)*kgtoGg=0,"NO",('Activity data'!N21*EF!$H34)*kgtoGg)</f>
        <v>1.445028361248642E-2</v>
      </c>
      <c r="O34" s="28">
        <f>IF(('Activity data'!O21*EF!$H34)*kgtoGg=0,"NO",('Activity data'!O21*EF!$H34)*kgtoGg)</f>
        <v>1.4497801479217198E-2</v>
      </c>
      <c r="P34" s="28">
        <f>IF(('Activity data'!P21*EF!$H34)*kgtoGg=0,"NO",('Activity data'!P21*EF!$H34)*kgtoGg)</f>
        <v>1.6323301120314916E-2</v>
      </c>
      <c r="Q34" s="28">
        <f>IF(('Activity data'!Q21*EF!$H34)*kgtoGg=0,"NO",('Activity data'!Q21*EF!$H34)*kgtoGg)</f>
        <v>1.750021682969179E-2</v>
      </c>
      <c r="R34" s="28">
        <f>IF(('Activity data'!R21*EF!$H34)*kgtoGg=0,"NO",('Activity data'!R21*EF!$H34)*kgtoGg)</f>
        <v>1.7129415315170586E-2</v>
      </c>
      <c r="S34" s="28">
        <f>IF(('Activity data'!S21*EF!$H34)*kgtoGg=0,"NO",('Activity data'!S21*EF!$H34)*kgtoGg)</f>
        <v>1.7586367011563315E-2</v>
      </c>
      <c r="T34" s="28">
        <f>IF(('Activity data'!T21*EF!$H34)*kgtoGg=0,"NO",('Activity data'!T21*EF!$H34)*kgtoGg)</f>
        <v>1.7448339269536806E-2</v>
      </c>
      <c r="U34" s="28">
        <f>IF(('Activity data'!U21*EF!$H34)*kgtoGg=0,"NO",('Activity data'!U21*EF!$H34)*kgtoGg)</f>
        <v>1.6751757915898054E-2</v>
      </c>
      <c r="V34" s="28">
        <f>IF(('Activity data'!V21*EF!$H34)*kgtoGg=0,"NO",('Activity data'!V21*EF!$H34)*kgtoGg)</f>
        <v>1.7359194023971385E-2</v>
      </c>
      <c r="W34" s="28">
        <f>IF(('Activity data'!W21*EF!$H34)*kgtoGg=0,"NO",('Activity data'!W21*EF!$H34)*kgtoGg)</f>
        <v>1.8405962529850804E-2</v>
      </c>
      <c r="X34" s="28">
        <f>IF(('Activity data'!X21*EF!$H34)*kgtoGg=0,"NO",('Activity data'!X21*EF!$H34)*kgtoGg)</f>
        <v>2.0313142812308307E-2</v>
      </c>
      <c r="Y34" s="28">
        <f>IF(('Activity data'!Y21*EF!$H34)*kgtoGg=0,"NO",('Activity data'!Y21*EF!$H34)*kgtoGg)</f>
        <v>2.2479992595697124E-2</v>
      </c>
      <c r="Z34" s="28">
        <f>IF(('Activity data'!Z21*EF!$H34)*kgtoGg=0,"NO",('Activity data'!Z21*EF!$H34)*kgtoGg)</f>
        <v>2.277605134510725E-2</v>
      </c>
      <c r="AA34" s="28">
        <f>IF(('Activity data'!AA21*EF!$H34)*kgtoGg=0,"NO",('Activity data'!AA21*EF!$H34)*kgtoGg)</f>
        <v>2.1936379637045315E-2</v>
      </c>
      <c r="AB34" s="28">
        <f>IF(('Activity data'!AB21*EF!$H34)*kgtoGg=0,"NO",('Activity data'!AB21*EF!$H34)*kgtoGg)</f>
        <v>2.2790877419827285E-2</v>
      </c>
      <c r="AC34" s="28">
        <f>IF(('Activity data'!AC21*EF!$H34)*kgtoGg=0,"NO",('Activity data'!AC21*EF!$H34)*kgtoGg)</f>
        <v>2.3842843212116133E-2</v>
      </c>
      <c r="AD34" s="28">
        <f>IF(('Activity data'!AD21*EF!$H34)*kgtoGg=0,"NO",('Activity data'!AD21*EF!$H34)*kgtoGg)</f>
        <v>2.3228101201132799E-2</v>
      </c>
      <c r="AE34" s="28">
        <f>IF(('Activity data'!AE21*EF!$H34)*kgtoGg=0,"NO",('Activity data'!AE21*EF!$H34)*kgtoGg)</f>
        <v>2.3750194264858821E-2</v>
      </c>
      <c r="AF34" s="28">
        <f>IF(('Activity data'!AF21*EF!$H34)*kgtoGg=0,"NO",('Activity data'!AF21*EF!$H34)*kgtoGg)</f>
        <v>2.4222421722115972E-2</v>
      </c>
      <c r="AG34" s="28">
        <f>IF(('Activity data'!AG21*EF!$H34)*kgtoGg=0,"NO",('Activity data'!AG21*EF!$H34)*kgtoGg)</f>
        <v>2.4466212228455842E-2</v>
      </c>
      <c r="AH34" s="28">
        <f>IF(('Activity data'!AH21*EF!$H34)*kgtoGg=0,"NO",('Activity data'!AH21*EF!$H34)*kgtoGg)</f>
        <v>2.4716723646708353E-2</v>
      </c>
      <c r="AI34" s="28">
        <f>IF(('Activity data'!AI21*EF!$H34)*kgtoGg=0,"NO",('Activity data'!AI21*EF!$H34)*kgtoGg)</f>
        <v>2.5215491183120883E-2</v>
      </c>
      <c r="AJ34" s="28">
        <f>IF(('Activity data'!AJ21*EF!$H34)*kgtoGg=0,"NO",('Activity data'!AJ21*EF!$H34)*kgtoGg)</f>
        <v>2.564198324590336E-2</v>
      </c>
      <c r="AK34" s="28">
        <f>IF(('Activity data'!AK21*EF!$H34)*kgtoGg=0,"NO",('Activity data'!AK21*EF!$H34)*kgtoGg)</f>
        <v>2.5803869047545849E-2</v>
      </c>
      <c r="AL34" s="28">
        <f>IF(('Activity data'!AL21*EF!$H34)*kgtoGg=0,"NO",('Activity data'!AL21*EF!$H34)*kgtoGg)</f>
        <v>2.4779080013909088E-2</v>
      </c>
      <c r="AM34" s="28">
        <f>IF(('Activity data'!AM21*EF!$H34)*kgtoGg=0,"NO",('Activity data'!AM21*EF!$H34)*kgtoGg)</f>
        <v>2.5516506991875881E-2</v>
      </c>
      <c r="AN34" s="28">
        <f>IF(('Activity data'!AN21*EF!$H34)*kgtoGg=0,"NO",('Activity data'!AN21*EF!$H34)*kgtoGg)</f>
        <v>2.6112500089385413E-2</v>
      </c>
      <c r="AO34" s="28">
        <f>IF(('Activity data'!AO21*EF!$H34)*kgtoGg=0,"NO",('Activity data'!AO21*EF!$H34)*kgtoGg)</f>
        <v>2.6680446681095382E-2</v>
      </c>
      <c r="AP34" s="28">
        <f>IF(('Activity data'!AP21*EF!$H34)*kgtoGg=0,"NO",('Activity data'!AP21*EF!$H34)*kgtoGg)</f>
        <v>2.7311085183109759E-2</v>
      </c>
      <c r="AQ34" s="28">
        <f>IF(('Activity data'!AQ21*EF!$H34)*kgtoGg=0,"NO",('Activity data'!AQ21*EF!$H34)*kgtoGg)</f>
        <v>2.8148200581559191E-2</v>
      </c>
      <c r="AR34" s="28">
        <f>IF(('Activity data'!AR21*EF!$H34)*kgtoGg=0,"NO",('Activity data'!AR21*EF!$H34)*kgtoGg)</f>
        <v>2.9027430691366724E-2</v>
      </c>
      <c r="AS34" s="28">
        <f>IF(('Activity data'!AS21*EF!$H34)*kgtoGg=0,"NO",('Activity data'!AS21*EF!$H34)*kgtoGg)</f>
        <v>2.9969902815605892E-2</v>
      </c>
      <c r="AT34" s="28">
        <f>IF(('Activity data'!AT21*EF!$H34)*kgtoGg=0,"NO",('Activity data'!AT21*EF!$H34)*kgtoGg)</f>
        <v>3.0841691542216221E-2</v>
      </c>
      <c r="AU34" s="28">
        <f>IF(('Activity data'!AU21*EF!$H34)*kgtoGg=0,"NO",('Activity data'!AU21*EF!$H34)*kgtoGg)</f>
        <v>3.1819757027306869E-2</v>
      </c>
      <c r="AV34" s="28">
        <f>IF(('Activity data'!AV21*EF!$H34)*kgtoGg=0,"NO",('Activity data'!AV21*EF!$H34)*kgtoGg)</f>
        <v>3.292912167161096E-2</v>
      </c>
      <c r="AW34" s="28">
        <f>IF(('Activity data'!AW21*EF!$H34)*kgtoGg=0,"NO",('Activity data'!AW21*EF!$H34)*kgtoGg)</f>
        <v>3.4016478772715769E-2</v>
      </c>
      <c r="AX34" s="28">
        <f>IF(('Activity data'!AX21*EF!$H34)*kgtoGg=0,"NO",('Activity data'!AX21*EF!$H34)*kgtoGg)</f>
        <v>3.5155299467200612E-2</v>
      </c>
      <c r="AY34" s="28">
        <f>IF(('Activity data'!AY21*EF!$H34)*kgtoGg=0,"NO",('Activity data'!AY21*EF!$H34)*kgtoGg)</f>
        <v>3.6327172995110089E-2</v>
      </c>
      <c r="AZ34" s="28">
        <f>IF(('Activity data'!AZ21*EF!$H34)*kgtoGg=0,"NO",('Activity data'!AZ21*EF!$H34)*kgtoGg)</f>
        <v>3.7617669146666054E-2</v>
      </c>
      <c r="BA34" s="28">
        <f>IF(('Activity data'!BA21*EF!$H34)*kgtoGg=0,"NO",('Activity data'!BA21*EF!$H34)*kgtoGg)</f>
        <v>3.8804137651877735E-2</v>
      </c>
      <c r="BB34" s="28">
        <f>IF(('Activity data'!BB21*EF!$H34)*kgtoGg=0,"NO",('Activity data'!BB21*EF!$H34)*kgtoGg)</f>
        <v>4.0045396026241048E-2</v>
      </c>
      <c r="BC34" s="28">
        <f>IF(('Activity data'!BC21*EF!$H34)*kgtoGg=0,"NO",('Activity data'!BC21*EF!$H34)*kgtoGg)</f>
        <v>4.1318689234665709E-2</v>
      </c>
      <c r="BD34" s="28">
        <f>IF(('Activity data'!BD21*EF!$H34)*kgtoGg=0,"NO",('Activity data'!BD21*EF!$H34)*kgtoGg)</f>
        <v>4.2562485927672068E-2</v>
      </c>
      <c r="BE34" s="28">
        <f>IF(('Activity data'!BE21*EF!$H34)*kgtoGg=0,"NO",('Activity data'!BE21*EF!$H34)*kgtoGg)</f>
        <v>4.3818105384294391E-2</v>
      </c>
      <c r="BF34" s="28">
        <f>IF(('Activity data'!BF21*EF!$H34)*kgtoGg=0,"NO",('Activity data'!BF21*EF!$H34)*kgtoGg)</f>
        <v>4.5123953524827516E-2</v>
      </c>
      <c r="BG34" s="28">
        <f>IF(('Activity data'!BG21*EF!$H34)*kgtoGg=0,"NO",('Activity data'!BG21*EF!$H34)*kgtoGg)</f>
        <v>4.6482103094299274E-2</v>
      </c>
      <c r="BH34" s="28">
        <f>IF(('Activity data'!BH21*EF!$H34)*kgtoGg=0,"NO",('Activity data'!BH21*EF!$H34)*kgtoGg)</f>
        <v>4.7790984110943228E-2</v>
      </c>
      <c r="BI34" s="28">
        <f>IF(('Activity data'!BI21*EF!$H34)*kgtoGg=0,"NO",('Activity data'!BI21*EF!$H34)*kgtoGg)</f>
        <v>4.912782732302242E-2</v>
      </c>
      <c r="BJ34" s="28">
        <f>IF(('Activity data'!BJ21*EF!$H34)*kgtoGg=0,"NO",('Activity data'!BJ21*EF!$H34)*kgtoGg)</f>
        <v>5.0494940009912614E-2</v>
      </c>
      <c r="BK34" s="28">
        <f>IF(('Activity data'!BK21*EF!$H34)*kgtoGg=0,"NO",('Activity data'!BK21*EF!$H34)*kgtoGg)</f>
        <v>5.1949447088042722E-2</v>
      </c>
      <c r="BL34" s="28">
        <f>IF(('Activity data'!BL21*EF!$H34)*kgtoGg=0,"NO",('Activity data'!BL21*EF!$H34)*kgtoGg)</f>
        <v>5.3433318721718588E-2</v>
      </c>
      <c r="BM34" s="28">
        <f>IF(('Activity data'!BM21*EF!$H34)*kgtoGg=0,"NO",('Activity data'!BM21*EF!$H34)*kgtoGg)</f>
        <v>5.4397488587077859E-2</v>
      </c>
      <c r="BN34" s="28">
        <f>IF(('Activity data'!BN21*EF!$H34)*kgtoGg=0,"NO",('Activity data'!BN21*EF!$H34)*kgtoGg)</f>
        <v>5.5332604177850256E-2</v>
      </c>
      <c r="BO34" s="28">
        <f>IF(('Activity data'!BO21*EF!$H34)*kgtoGg=0,"NO",('Activity data'!BO21*EF!$H34)*kgtoGg)</f>
        <v>5.6349382366391719E-2</v>
      </c>
      <c r="BP34" s="28">
        <f>IF(('Activity data'!BP21*EF!$H34)*kgtoGg=0,"NO",('Activity data'!BP21*EF!$H34)*kgtoGg)</f>
        <v>5.7343713555378532E-2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8">
        <f>IF(('Activity data'!H22*EF!$H35)*kgtoGg=0,"NO",('Activity data'!H22*EF!$H35)*kgtoGg)</f>
        <v>3.97805297801406E-2</v>
      </c>
      <c r="I35" s="28">
        <f>IF(('Activity data'!I22*EF!$H35)*kgtoGg=0,"NO",('Activity data'!I22*EF!$H35)*kgtoGg)</f>
        <v>3.7393698041596139E-2</v>
      </c>
      <c r="J35" s="28">
        <f>IF(('Activity data'!J22*EF!$H35)*kgtoGg=0,"NO",('Activity data'!J22*EF!$H35)*kgtoGg)</f>
        <v>3.5339719604835972E-2</v>
      </c>
      <c r="K35" s="28">
        <f>IF(('Activity data'!K22*EF!$H35)*kgtoGg=0,"NO",('Activity data'!K22*EF!$H35)*kgtoGg)</f>
        <v>3.974462197314204E-2</v>
      </c>
      <c r="L35" s="28">
        <f>IF(('Activity data'!L22*EF!$H35)*kgtoGg=0,"NO",('Activity data'!L22*EF!$H35)*kgtoGg)</f>
        <v>3.9371867536538138E-2</v>
      </c>
      <c r="M35" s="28">
        <f>IF(('Activity data'!M22*EF!$H35)*kgtoGg=0,"NO",('Activity data'!M22*EF!$H35)*kgtoGg)</f>
        <v>4.5066858026880756E-2</v>
      </c>
      <c r="N35" s="28">
        <f>IF(('Activity data'!N22*EF!$H35)*kgtoGg=0,"NO",('Activity data'!N22*EF!$H35)*kgtoGg)</f>
        <v>5.2401139589808118E-2</v>
      </c>
      <c r="O35" s="28">
        <f>IF(('Activity data'!O22*EF!$H35)*kgtoGg=0,"NO",('Activity data'!O22*EF!$H35)*kgtoGg)</f>
        <v>5.3338370259568474E-2</v>
      </c>
      <c r="P35" s="28">
        <f>IF(('Activity data'!P22*EF!$H35)*kgtoGg=0,"NO",('Activity data'!P22*EF!$H35)*kgtoGg)</f>
        <v>5.8444607566508086E-2</v>
      </c>
      <c r="Q35" s="28">
        <f>IF(('Activity data'!Q22*EF!$H35)*kgtoGg=0,"NO",('Activity data'!Q22*EF!$H35)*kgtoGg)</f>
        <v>6.101551471210033E-2</v>
      </c>
      <c r="R35" s="28">
        <f>IF(('Activity data'!R22*EF!$H35)*kgtoGg=0,"NO",('Activity data'!R22*EF!$H35)*kgtoGg)</f>
        <v>6.5648197664078339E-2</v>
      </c>
      <c r="S35" s="28">
        <f>IF(('Activity data'!S22*EF!$H35)*kgtoGg=0,"NO",('Activity data'!S22*EF!$H35)*kgtoGg)</f>
        <v>6.3390232889346088E-2</v>
      </c>
      <c r="T35" s="28">
        <f>IF(('Activity data'!T22*EF!$H35)*kgtoGg=0,"NO",('Activity data'!T22*EF!$H35)*kgtoGg)</f>
        <v>7.0256939555641371E-2</v>
      </c>
      <c r="U35" s="28">
        <f>IF(('Activity data'!U22*EF!$H35)*kgtoGg=0,"NO",('Activity data'!U22*EF!$H35)*kgtoGg)</f>
        <v>6.6824955655154963E-2</v>
      </c>
      <c r="V35" s="28">
        <f>IF(('Activity data'!V22*EF!$H35)*kgtoGg=0,"NO",('Activity data'!V22*EF!$H35)*kgtoGg)</f>
        <v>6.8438168379586828E-2</v>
      </c>
      <c r="W35" s="28">
        <f>IF(('Activity data'!W22*EF!$H35)*kgtoGg=0,"NO",('Activity data'!W22*EF!$H35)*kgtoGg)</f>
        <v>7.572510178761277E-2</v>
      </c>
      <c r="X35" s="28">
        <f>IF(('Activity data'!X22*EF!$H35)*kgtoGg=0,"NO",('Activity data'!X22*EF!$H35)*kgtoGg)</f>
        <v>8.0995073889202837E-2</v>
      </c>
      <c r="Y35" s="28">
        <f>IF(('Activity data'!Y22*EF!$H35)*kgtoGg=0,"NO",('Activity data'!Y22*EF!$H35)*kgtoGg)</f>
        <v>8.474304869566987E-2</v>
      </c>
      <c r="Z35" s="28">
        <f>IF(('Activity data'!Z22*EF!$H35)*kgtoGg=0,"NO",('Activity data'!Z22*EF!$H35)*kgtoGg)</f>
        <v>9.0228336662730974E-2</v>
      </c>
      <c r="AA35" s="28">
        <f>IF(('Activity data'!AA22*EF!$H35)*kgtoGg=0,"NO",('Activity data'!AA22*EF!$H35)*kgtoGg)</f>
        <v>8.514031348767126E-2</v>
      </c>
      <c r="AB35" s="28">
        <f>IF(('Activity data'!AB22*EF!$H35)*kgtoGg=0,"NO",('Activity data'!AB22*EF!$H35)*kgtoGg)</f>
        <v>8.7281660260828828E-2</v>
      </c>
      <c r="AC35" s="28">
        <f>IF(('Activity data'!AC22*EF!$H35)*kgtoGg=0,"NO",('Activity data'!AC22*EF!$H35)*kgtoGg)</f>
        <v>9.027211937951464E-2</v>
      </c>
      <c r="AD35" s="28">
        <f>IF(('Activity data'!AD22*EF!$H35)*kgtoGg=0,"NO",('Activity data'!AD22*EF!$H35)*kgtoGg)</f>
        <v>9.2699110947591354E-2</v>
      </c>
      <c r="AE35" s="28">
        <f>IF(('Activity data'!AE22*EF!$H35)*kgtoGg=0,"NO",('Activity data'!AE22*EF!$H35)*kgtoGg)</f>
        <v>9.4419600378527896E-2</v>
      </c>
      <c r="AF35" s="28">
        <f>IF(('Activity data'!AF22*EF!$H35)*kgtoGg=0,"NO",('Activity data'!AF22*EF!$H35)*kgtoGg)</f>
        <v>9.554646450205824E-2</v>
      </c>
      <c r="AG35" s="28">
        <f>IF(('Activity data'!AG22*EF!$H35)*kgtoGg=0,"NO",('Activity data'!AG22*EF!$H35)*kgtoGg)</f>
        <v>9.4307045379734583E-2</v>
      </c>
      <c r="AH35" s="28">
        <f>IF(('Activity data'!AH22*EF!$H35)*kgtoGg=0,"NO",('Activity data'!AH22*EF!$H35)*kgtoGg)</f>
        <v>9.3105061247548568E-2</v>
      </c>
      <c r="AI35" s="28">
        <f>IF(('Activity data'!AI22*EF!$H35)*kgtoGg=0,"NO",('Activity data'!AI22*EF!$H35)*kgtoGg)</f>
        <v>9.4296120671752692E-2</v>
      </c>
      <c r="AJ35" s="28">
        <f>IF(('Activity data'!AJ22*EF!$H35)*kgtoGg=0,"NO",('Activity data'!AJ22*EF!$H35)*kgtoGg)</f>
        <v>9.4755069677210882E-2</v>
      </c>
      <c r="AK35" s="28">
        <f>IF(('Activity data'!AK22*EF!$H35)*kgtoGg=0,"NO",('Activity data'!AK22*EF!$H35)*kgtoGg)</f>
        <v>9.2650959382373138E-2</v>
      </c>
      <c r="AL35" s="28">
        <f>IF(('Activity data'!AL22*EF!$H35)*kgtoGg=0,"NO",('Activity data'!AL22*EF!$H35)*kgtoGg)</f>
        <v>7.9303132611725335E-2</v>
      </c>
      <c r="AM35" s="28">
        <f>IF(('Activity data'!AM22*EF!$H35)*kgtoGg=0,"NO",('Activity data'!AM22*EF!$H35)*kgtoGg)</f>
        <v>8.354185747771857E-2</v>
      </c>
      <c r="AN35" s="28">
        <f>IF(('Activity data'!AN22*EF!$H35)*kgtoGg=0,"NO",('Activity data'!AN22*EF!$H35)*kgtoGg)</f>
        <v>8.6379574061016151E-2</v>
      </c>
      <c r="AO35" s="28">
        <f>IF(('Activity data'!AO22*EF!$H35)*kgtoGg=0,"NO",('Activity data'!AO22*EF!$H35)*kgtoGg)</f>
        <v>8.8901942093449454E-2</v>
      </c>
      <c r="AP35" s="28">
        <f>IF(('Activity data'!AP22*EF!$H35)*kgtoGg=0,"NO",('Activity data'!AP22*EF!$H35)*kgtoGg)</f>
        <v>9.1947933497714227E-2</v>
      </c>
      <c r="AQ35" s="28">
        <f>IF(('Activity data'!AQ22*EF!$H35)*kgtoGg=0,"NO",('Activity data'!AQ22*EF!$H35)*kgtoGg)</f>
        <v>9.6809256634549701E-2</v>
      </c>
      <c r="AR35" s="28">
        <f>IF(('Activity data'!AR22*EF!$H35)*kgtoGg=0,"NO",('Activity data'!AR22*EF!$H35)*kgtoGg)</f>
        <v>0.10224610886944407</v>
      </c>
      <c r="AS35" s="28">
        <f>IF(('Activity data'!AS22*EF!$H35)*kgtoGg=0,"NO",('Activity data'!AS22*EF!$H35)*kgtoGg)</f>
        <v>0.108158516172397</v>
      </c>
      <c r="AT35" s="28">
        <f>IF(('Activity data'!AT22*EF!$H35)*kgtoGg=0,"NO",('Activity data'!AT22*EF!$H35)*kgtoGg)</f>
        <v>0.11335012670938974</v>
      </c>
      <c r="AU35" s="28">
        <f>IF(('Activity data'!AU22*EF!$H35)*kgtoGg=0,"NO",('Activity data'!AU22*EF!$H35)*kgtoGg)</f>
        <v>0.11939456567587402</v>
      </c>
      <c r="AV35" s="28">
        <f>IF(('Activity data'!AV22*EF!$H35)*kgtoGg=0,"NO",('Activity data'!AV22*EF!$H35)*kgtoGg)</f>
        <v>0.12649213155627276</v>
      </c>
      <c r="AW35" s="28">
        <f>IF(('Activity data'!AW22*EF!$H35)*kgtoGg=0,"NO",('Activity data'!AW22*EF!$H35)*kgtoGg)</f>
        <v>0.13351894706467321</v>
      </c>
      <c r="AX35" s="28">
        <f>IF(('Activity data'!AX22*EF!$H35)*kgtoGg=0,"NO",('Activity data'!AX22*EF!$H35)*kgtoGg)</f>
        <v>0.14088965880876272</v>
      </c>
      <c r="AY35" s="28">
        <f>IF(('Activity data'!AY22*EF!$H35)*kgtoGg=0,"NO",('Activity data'!AY22*EF!$H35)*kgtoGg)</f>
        <v>0.14844119583091583</v>
      </c>
      <c r="AZ35" s="28">
        <f>IF(('Activity data'!AZ22*EF!$H35)*kgtoGg=0,"NO",('Activity data'!AZ22*EF!$H35)*kgtoGg)</f>
        <v>0.15689713485667917</v>
      </c>
      <c r="BA35" s="28">
        <f>IF(('Activity data'!BA22*EF!$H35)*kgtoGg=0,"NO",('Activity data'!BA22*EF!$H35)*kgtoGg)</f>
        <v>0.16436449961651078</v>
      </c>
      <c r="BB35" s="28">
        <f>IF(('Activity data'!BB22*EF!$H35)*kgtoGg=0,"NO",('Activity data'!BB22*EF!$H35)*kgtoGg)</f>
        <v>0.1724043826360922</v>
      </c>
      <c r="BC35" s="28">
        <f>IF(('Activity data'!BC22*EF!$H35)*kgtoGg=0,"NO",('Activity data'!BC22*EF!$H35)*kgtoGg)</f>
        <v>0.18061160465503734</v>
      </c>
      <c r="BD35" s="28">
        <f>IF(('Activity data'!BD22*EF!$H35)*kgtoGg=0,"NO",('Activity data'!BD22*EF!$H35)*kgtoGg)</f>
        <v>0.18847566491334045</v>
      </c>
      <c r="BE35" s="28">
        <f>IF(('Activity data'!BE22*EF!$H35)*kgtoGg=0,"NO",('Activity data'!BE22*EF!$H35)*kgtoGg)</f>
        <v>0.19634352004032468</v>
      </c>
      <c r="BF35" s="28">
        <f>IF(('Activity data'!BF22*EF!$H35)*kgtoGg=0,"NO",('Activity data'!BF22*EF!$H35)*kgtoGg)</f>
        <v>0.20452968422624468</v>
      </c>
      <c r="BG35" s="28">
        <f>IF(('Activity data'!BG22*EF!$H35)*kgtoGg=0,"NO",('Activity data'!BG22*EF!$H35)*kgtoGg)</f>
        <v>0.21324011379075677</v>
      </c>
      <c r="BH35" s="28">
        <f>IF(('Activity data'!BH22*EF!$H35)*kgtoGg=0,"NO",('Activity data'!BH22*EF!$H35)*kgtoGg)</f>
        <v>0.22145703784447965</v>
      </c>
      <c r="BI35" s="28">
        <f>IF(('Activity data'!BI22*EF!$H35)*kgtoGg=0,"NO",('Activity data'!BI22*EF!$H35)*kgtoGg)</f>
        <v>0.22980951249966317</v>
      </c>
      <c r="BJ35" s="28">
        <f>IF(('Activity data'!BJ22*EF!$H35)*kgtoGg=0,"NO",('Activity data'!BJ22*EF!$H35)*kgtoGg)</f>
        <v>0.23831452969822062</v>
      </c>
      <c r="BK35" s="28">
        <f>IF(('Activity data'!BK22*EF!$H35)*kgtoGg=0,"NO",('Activity data'!BK22*EF!$H35)*kgtoGg)</f>
        <v>0.24742341255615688</v>
      </c>
      <c r="BL35" s="28">
        <f>IF(('Activity data'!BL22*EF!$H35)*kgtoGg=0,"NO",('Activity data'!BL22*EF!$H35)*kgtoGg)</f>
        <v>0.25686299121327644</v>
      </c>
      <c r="BM35" s="28">
        <f>IF(('Activity data'!BM22*EF!$H35)*kgtoGg=0,"NO",('Activity data'!BM22*EF!$H35)*kgtoGg)</f>
        <v>0.26213185534496675</v>
      </c>
      <c r="BN35" s="28">
        <f>IF(('Activity data'!BN22*EF!$H35)*kgtoGg=0,"NO",('Activity data'!BN22*EF!$H35)*kgtoGg)</f>
        <v>0.26712574526544797</v>
      </c>
      <c r="BO35" s="28">
        <f>IF(('Activity data'!BO22*EF!$H35)*kgtoGg=0,"NO",('Activity data'!BO22*EF!$H35)*kgtoGg)</f>
        <v>0.27270848288892124</v>
      </c>
      <c r="BP35" s="28">
        <f>IF(('Activity data'!BP22*EF!$H35)*kgtoGg=0,"NO",('Activity data'!BP22*EF!$H35)*kgtoGg)</f>
        <v>0.27806741090761328</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8">
        <f>IF(('Activity data'!H5*EF!$H36*EF!$H54)*NtoN2O*kgtoGg=0,"NO",('Activity data'!H5*EF!$H36*EF!$H54)*NtoN2O*kgtoGg)</f>
        <v>4.916153684584277E-2</v>
      </c>
      <c r="I36" s="28">
        <f>IF(('Activity data'!I5*EF!$H36*EF!$H54)*NtoN2O*kgtoGg=0,"NO",('Activity data'!I5*EF!$H36*EF!$H54)*NtoN2O*kgtoGg)</f>
        <v>5.6597698456454765E-2</v>
      </c>
      <c r="J36" s="28">
        <f>IF(('Activity data'!J5*EF!$H36*EF!$H54)*NtoN2O*kgtoGg=0,"NO",('Activity data'!J5*EF!$H36*EF!$H54)*NtoN2O*kgtoGg)</f>
        <v>4.8964332321604243E-2</v>
      </c>
      <c r="K36" s="28">
        <f>IF(('Activity data'!K5*EF!$H36*EF!$H54)*NtoN2O*kgtoGg=0,"NO",('Activity data'!K5*EF!$H36*EF!$H54)*NtoN2O*kgtoGg)</f>
        <v>5.1931263309866894E-2</v>
      </c>
      <c r="L36" s="28">
        <f>IF(('Activity data'!L5*EF!$H36*EF!$H54)*NtoN2O*kgtoGg=0,"NO",('Activity data'!L5*EF!$H36*EF!$H54)*NtoN2O*kgtoGg)</f>
        <v>4.8175514224650169E-2</v>
      </c>
      <c r="M36" s="28">
        <f>IF(('Activity data'!M5*EF!$H36*EF!$H54)*NtoN2O*kgtoGg=0,"NO",('Activity data'!M5*EF!$H36*EF!$H54)*NtoN2O*kgtoGg)</f>
        <v>5.1536854261389861E-2</v>
      </c>
      <c r="N36" s="28">
        <f>IF(('Activity data'!N5*EF!$H36*EF!$H54)*NtoN2O*kgtoGg=0,"NO",('Activity data'!N5*EF!$H36*EF!$H54)*NtoN2O*kgtoGg)</f>
        <v>5.1734058785628381E-2</v>
      </c>
      <c r="O36" s="28">
        <f>IF(('Activity data'!O5*EF!$H36*EF!$H54)*NtoN2O*kgtoGg=0,"NO",('Activity data'!O5*EF!$H36*EF!$H54)*NtoN2O*kgtoGg)</f>
        <v>4.9875018382975388E-2</v>
      </c>
      <c r="P36" s="28">
        <f>IF(('Activity data'!P5*EF!$H36*EF!$H54)*NtoN2O*kgtoGg=0,"NO",('Activity data'!P5*EF!$H36*EF!$H54)*NtoN2O*kgtoGg)</f>
        <v>4.9283404810259827E-2</v>
      </c>
      <c r="Q36" s="28">
        <f>IF(('Activity data'!Q5*EF!$H36*EF!$H54)*NtoN2O*kgtoGg=0,"NO",('Activity data'!Q5*EF!$H36*EF!$H54)*NtoN2O*kgtoGg)</f>
        <v>4.841038702879942E-2</v>
      </c>
      <c r="R36" s="28">
        <f>IF(('Activity data'!R5*EF!$H36*EF!$H54)*NtoN2O*kgtoGg=0,"NO",('Activity data'!R5*EF!$H36*EF!$H54)*NtoN2O*kgtoGg)</f>
        <v>6.2334355908741548E-2</v>
      </c>
      <c r="S36" s="28">
        <f>IF(('Activity data'!S5*EF!$H36*EF!$H54)*NtoN2O*kgtoGg=0,"NO",('Activity data'!S5*EF!$H36*EF!$H54)*NtoN2O*kgtoGg)</f>
        <v>6.2137151384503035E-2</v>
      </c>
      <c r="T36" s="28">
        <f>IF(('Activity data'!T5*EF!$H36*EF!$H54)*NtoN2O*kgtoGg=0,"NO",('Activity data'!T5*EF!$H36*EF!$H54)*NtoN2O*kgtoGg)</f>
        <v>5.4184712760996942E-2</v>
      </c>
      <c r="U36" s="28">
        <f>IF(('Activity data'!U5*EF!$H36*EF!$H54)*NtoN2O*kgtoGg=0,"NO",('Activity data'!U5*EF!$H36*EF!$H54)*NtoN2O*kgtoGg)</f>
        <v>4.9283404810259827E-2</v>
      </c>
      <c r="V36" s="28">
        <f>IF(('Activity data'!V5*EF!$H36*EF!$H54)*NtoN2O*kgtoGg=0,"NO",('Activity data'!V5*EF!$H36*EF!$H54)*NtoN2O*kgtoGg)</f>
        <v>4.7583900651934616E-2</v>
      </c>
      <c r="W36" s="28">
        <f>IF(('Activity data'!W5*EF!$H36*EF!$H54)*NtoN2O*kgtoGg=0,"NO",('Activity data'!W5*EF!$H36*EF!$H54)*NtoN2O*kgtoGg)</f>
        <v>5.0945240688674294E-2</v>
      </c>
      <c r="X36" s="28">
        <f>IF(('Activity data'!X5*EF!$H36*EF!$H54)*NtoN2O*kgtoGg=0,"NO",('Activity data'!X5*EF!$H36*EF!$H54)*NtoN2O*kgtoGg)</f>
        <v>4.9837350103064657E-2</v>
      </c>
      <c r="Y36" s="28">
        <f>IF(('Activity data'!Y5*EF!$H36*EF!$H54)*NtoN2O*kgtoGg=0,"NO",('Activity data'!Y5*EF!$H36*EF!$H54)*NtoN2O*kgtoGg)</f>
        <v>4.9480609334498347E-2</v>
      </c>
      <c r="Z36" s="28">
        <f>IF(('Activity data'!Z5*EF!$H36*EF!$H54)*NtoN2O*kgtoGg=0,"NO",('Activity data'!Z5*EF!$H36*EF!$H54)*NtoN2O*kgtoGg)</f>
        <v>6.0597183470505606E-2</v>
      </c>
      <c r="AA36" s="28">
        <f>IF(('Activity data'!AA5*EF!$H36*EF!$H54)*NtoN2O*kgtoGg=0,"NO",('Activity data'!AA5*EF!$H36*EF!$H54)*NtoN2O*kgtoGg)</f>
        <v>6.2099483104592297E-2</v>
      </c>
      <c r="AB36" s="28">
        <f>IF(('Activity data'!AB5*EF!$H36*EF!$H54)*NtoN2O*kgtoGg=0,"NO",('Activity data'!AB5*EF!$H36*EF!$H54)*NtoN2O*kgtoGg)</f>
        <v>6.2099483104592297E-2</v>
      </c>
      <c r="AC36" s="28">
        <f>IF(('Activity data'!AC5*EF!$H36*EF!$H54)*NtoN2O*kgtoGg=0,"NO",('Activity data'!AC5*EF!$H36*EF!$H54)*NtoN2O*kgtoGg)</f>
        <v>5.9846033653462256E-2</v>
      </c>
      <c r="AD36" s="28">
        <f>IF(('Activity data'!AD5*EF!$H36*EF!$H54)*NtoN2O*kgtoGg=0,"NO",('Activity data'!AD5*EF!$H36*EF!$H54)*NtoN2O*kgtoGg)</f>
        <v>5.9534544879771355E-2</v>
      </c>
      <c r="AE36" s="28">
        <f>IF(('Activity data'!AE5*EF!$H36*EF!$H54)*NtoN2O*kgtoGg=0,"NO",('Activity data'!AE5*EF!$H36*EF!$H54)*NtoN2O*kgtoGg)</f>
        <v>5.9936525469365599E-2</v>
      </c>
      <c r="AF36" s="28">
        <f>IF(('Activity data'!AF5*EF!$H36*EF!$H54)*NtoN2O*kgtoGg=0,"NO",('Activity data'!AF5*EF!$H36*EF!$H54)*NtoN2O*kgtoGg)</f>
        <v>6.0288156660896548E-2</v>
      </c>
      <c r="AG36" s="28">
        <f>IF(('Activity data'!AG5*EF!$H36*EF!$H54)*NtoN2O*kgtoGg=0,"NO",('Activity data'!AG5*EF!$H36*EF!$H54)*NtoN2O*kgtoGg)</f>
        <v>6.0333640892584528E-2</v>
      </c>
      <c r="AH36" s="28">
        <f>IF(('Activity data'!AH5*EF!$H36*EF!$H54)*NtoN2O*kgtoGg=0,"NO",('Activity data'!AH5*EF!$H36*EF!$H54)*NtoN2O*kgtoGg)</f>
        <v>6.0411983022035293E-2</v>
      </c>
      <c r="AI36" s="28">
        <f>IF(('Activity data'!AI5*EF!$H36*EF!H54)*NtoN2O*kgtoGg=0,"NO",('Activity data'!AI5*EF!$H36*EF!H54)*NtoN2O*kgtoGg)</f>
        <v>6.086149571042291E-2</v>
      </c>
      <c r="AJ36" s="28">
        <f>IF(('Activity data'!AJ5*EF!$H36*EF!I54)*NtoN2O*kgtoGg=0,"NO",('Activity data'!AJ5*EF!$H36*EF!I54)*NtoN2O*kgtoGg)</f>
        <v>6.1220941265471868E-2</v>
      </c>
      <c r="AK36" s="28">
        <f>IF(('Activity data'!AK5*EF!$H36*EF!J54)*NtoN2O*kgtoGg=0,"NO",('Activity data'!AK5*EF!$H36*EF!J54)*NtoN2O*kgtoGg)</f>
        <v>6.1224092905712291E-2</v>
      </c>
      <c r="AL36" s="28">
        <f>IF(('Activity data'!AL5*EF!$H36*EF!K54)*NtoN2O*kgtoGg=0,"NO",('Activity data'!AL5*EF!$H36*EF!K54)*NtoN2O*kgtoGg)</f>
        <v>5.9602036939561669E-2</v>
      </c>
      <c r="AM36" s="28">
        <f>IF(('Activity data'!AM5*EF!$H36*EF!L54)*NtoN2O*kgtoGg=0,"NO",('Activity data'!AM5*EF!$H36*EF!L54)*NtoN2O*kgtoGg)</f>
        <v>6.0385643196681223E-2</v>
      </c>
      <c r="AN36" s="28">
        <f>IF(('Activity data'!AN5*EF!$H36*EF!M54)*NtoN2O*kgtoGg=0,"NO",('Activity data'!AN5*EF!$H36*EF!M54)*NtoN2O*kgtoGg)</f>
        <v>6.0978819669853017E-2</v>
      </c>
      <c r="AO36" s="28">
        <f>IF(('Activity data'!AO5*EF!$H36*EF!N54)*NtoN2O*kgtoGg=0,"NO",('Activity data'!AO5*EF!$H36*EF!N54)*NtoN2O*kgtoGg)</f>
        <v>6.1538467635372317E-2</v>
      </c>
      <c r="AP36" s="28">
        <f>IF(('Activity data'!AP5*EF!$H36*EF!O54)*NtoN2O*kgtoGg=0,"NO",('Activity data'!AP5*EF!$H36*EF!O54)*NtoN2O*kgtoGg)</f>
        <v>6.2187395948101611E-2</v>
      </c>
      <c r="AQ36" s="28">
        <f>IF(('Activity data'!AQ5*EF!$H36*EF!P54)*NtoN2O*kgtoGg=0,"NO",('Activity data'!AQ5*EF!$H36*EF!P54)*NtoN2O*kgtoGg)</f>
        <v>6.3117211952635158E-2</v>
      </c>
      <c r="AR36" s="28">
        <f>IF(('Activity data'!AR5*EF!$H36*EF!Q54)*NtoN2O*kgtoGg=0,"NO",('Activity data'!AR5*EF!$H36*EF!Q54)*NtoN2O*kgtoGg)</f>
        <v>6.4085258604249157E-2</v>
      </c>
      <c r="AS36" s="28">
        <f>IF(('Activity data'!AS5*EF!$H36*EF!R54)*NtoN2O*kgtoGg=0,"NO",('Activity data'!AS5*EF!$H36*EF!R54)*NtoN2O*kgtoGg)</f>
        <v>6.5136775789421397E-2</v>
      </c>
      <c r="AT36" s="28">
        <f>IF(('Activity data'!AT5*EF!$H36*EF!S54)*NtoN2O*kgtoGg=0,"NO",('Activity data'!AT5*EF!$H36*EF!S54)*NtoN2O*kgtoGg)</f>
        <v>6.6093023202577678E-2</v>
      </c>
      <c r="AU36" s="28">
        <f>IF(('Activity data'!AU5*EF!$H36*EF!T54)*NtoN2O*kgtoGg=0,"NO",('Activity data'!AU5*EF!$H36*EF!T54)*NtoN2O*kgtoGg)</f>
        <v>6.7188649433805245E-2</v>
      </c>
      <c r="AV36" s="28">
        <f>IF(('Activity data'!AV5*EF!$H36*EF!U54)*NtoN2O*kgtoGg=0,"NO",('Activity data'!AV5*EF!$H36*EF!U54)*NtoN2O*kgtoGg)</f>
        <v>6.8454554232404832E-2</v>
      </c>
      <c r="AW36" s="28">
        <f>IF(('Activity data'!AW5*EF!$H36*EF!V54)*NtoN2O*kgtoGg=0,"NO",('Activity data'!AW5*EF!$H36*EF!V54)*NtoN2O*kgtoGg)</f>
        <v>6.9673307405983362E-2</v>
      </c>
      <c r="AX36" s="28">
        <f>IF(('Activity data'!AX5*EF!$H36*EF!W54)*NtoN2O*kgtoGg=0,"NO",('Activity data'!AX5*EF!$H36*EF!W54)*NtoN2O*kgtoGg)</f>
        <v>7.0955599019075E-2</v>
      </c>
      <c r="AY36" s="28">
        <f>IF(('Activity data'!AY5*EF!$H36*EF!X54)*NtoN2O*kgtoGg=0,"NO",('Activity data'!AY5*EF!$H36*EF!X54)*NtoN2O*kgtoGg)</f>
        <v>7.2276783381790194E-2</v>
      </c>
      <c r="AZ36" s="28">
        <f>IF(('Activity data'!AZ5*EF!$H36*EF!Y54)*NtoN2O*kgtoGg=0,"NO",('Activity data'!AZ5*EF!$H36*EF!Y54)*NtoN2O*kgtoGg)</f>
        <v>7.3746887396473032E-2</v>
      </c>
      <c r="BA36" s="28">
        <f>IF(('Activity data'!BA5*EF!$H36*EF!Z54)*NtoN2O*kgtoGg=0,"NO",('Activity data'!BA5*EF!$H36*EF!Z54)*NtoN2O*kgtoGg)</f>
        <v>7.5077879884479282E-2</v>
      </c>
      <c r="BB36" s="28">
        <f>IF(('Activity data'!BB5*EF!$H36*EF!AA54)*NtoN2O*kgtoGg=0,"NO",('Activity data'!BB5*EF!$H36*EF!AA54)*NtoN2O*kgtoGg)</f>
        <v>7.6460929017735491E-2</v>
      </c>
      <c r="BC36" s="28">
        <f>IF(('Activity data'!BC5*EF!$H36*EF!AB54)*NtoN2O*kgtoGg=0,"NO",('Activity data'!BC5*EF!$H36*EF!AB54)*NtoN2O*kgtoGg)</f>
        <v>7.7880128375373087E-2</v>
      </c>
      <c r="BD36" s="28">
        <f>IF(('Activity data'!BD5*EF!$H36*EF!AC54)*NtoN2O*kgtoGg=0,"NO",('Activity data'!BD5*EF!$H36*EF!AC54)*NtoN2O*kgtoGg)</f>
        <v>7.925690413110191E-2</v>
      </c>
      <c r="BE36" s="28">
        <f>IF(('Activity data'!BE5*EF!$H36*EF!AD54)*NtoN2O*kgtoGg=0,"NO",('Activity data'!BE5*EF!$H36*EF!AD54)*NtoN2O*kgtoGg)</f>
        <v>8.0644114608921846E-2</v>
      </c>
      <c r="BF36" s="28">
        <f>IF(('Activity data'!BF5*EF!$H36*EF!AE54)*NtoN2O*kgtoGg=0,"NO",('Activity data'!BF5*EF!$H36*EF!AE54)*NtoN2O*kgtoGg)</f>
        <v>8.2090170284588052E-2</v>
      </c>
      <c r="BG36" s="28">
        <f>IF(('Activity data'!BG5*EF!$H36*EF!AF54)*NtoN2O*kgtoGg=0,"NO",('Activity data'!BG5*EF!$H36*EF!AF54)*NtoN2O*kgtoGg)</f>
        <v>8.3584106491488411E-2</v>
      </c>
      <c r="BH36" s="28">
        <f>IF(('Activity data'!BH5*EF!$H36*EF!AG54)*NtoN2O*kgtoGg=0,"NO",('Activity data'!BH5*EF!$H36*EF!AG54)*NtoN2O*kgtoGg)</f>
        <v>8.5010968574935772E-2</v>
      </c>
      <c r="BI36" s="28">
        <f>IF(('Activity data'!BI5*EF!$H36*EF!AH54)*NtoN2O*kgtoGg=0,"NO",('Activity data'!BI5*EF!$H36*EF!AH54)*NtoN2O*kgtoGg)</f>
        <v>8.6467971698133472E-2</v>
      </c>
      <c r="BJ36" s="28">
        <f>IF(('Activity data'!BJ5*EF!$H36*EF!AI54)*NtoN2O*kgtoGg=0,"NO",('Activity data'!BJ5*EF!$H36*EF!AI54)*NtoN2O*kgtoGg)</f>
        <v>8.7957741718516017E-2</v>
      </c>
      <c r="BK36" s="28">
        <f>IF(('Activity data'!BK5*EF!$H36*EF!AJ54)*NtoN2O*kgtoGg=0,"NO",('Activity data'!BK5*EF!$H36*EF!AJ54)*NtoN2O*kgtoGg)</f>
        <v>8.9550905410436282E-2</v>
      </c>
      <c r="BL36" s="28">
        <f>IF(('Activity data'!BL5*EF!$H36*EF!AK54)*NtoN2O*kgtoGg=0,"NO",('Activity data'!BL5*EF!$H36*EF!AK54)*NtoN2O*kgtoGg)</f>
        <v>9.1161603152246209E-2</v>
      </c>
      <c r="BM36" s="28">
        <f>IF(('Activity data'!BM5*EF!$H36*EF!AL54)*NtoN2O*kgtoGg=0,"NO",('Activity data'!BM5*EF!$H36*EF!AL54)*NtoN2O*kgtoGg)</f>
        <v>9.2125625118884502E-2</v>
      </c>
      <c r="BN36" s="28">
        <f>IF(('Activity data'!BN5*EF!$H36*EF!AM54)*NtoN2O*kgtoGg=0,"NO",('Activity data'!BN5*EF!$H36*EF!AM54)*NtoN2O*kgtoGg)</f>
        <v>9.3052192745030571E-2</v>
      </c>
      <c r="BO36" s="28">
        <f>IF(('Activity data'!BO5*EF!$H36*EF!AN54)*NtoN2O*kgtoGg=0,"NO",('Activity data'!BO5*EF!$H36*EF!AN54)*NtoN2O*kgtoGg)</f>
        <v>9.4077328885209005E-2</v>
      </c>
      <c r="BP36" s="28">
        <f>IF(('Activity data'!BP5*EF!$H36*EF!AO54)*NtoN2O*kgtoGg=0,"NO",('Activity data'!BP5*EF!$H36*EF!AO54)*NtoN2O*kgtoGg)</f>
        <v>9.5072920340837683E-2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8">
        <f>IF(('Activity data'!H6*EF!$H37*EF!$H55)*NtoN2O*kgtoGg=0,"NO",('Activity data'!H6*EF!$H37*EF!$H55)*NtoN2O*kgtoGg)</f>
        <v>0.21291734414122981</v>
      </c>
      <c r="I37" s="28">
        <f>IF(('Activity data'!I6*EF!$H37*EF!$H55)*NtoN2O*kgtoGg=0,"NO",('Activity data'!I6*EF!$H37*EF!$H55)*NtoN2O*kgtoGg)</f>
        <v>0.24512316768375322</v>
      </c>
      <c r="J37" s="28">
        <f>IF(('Activity data'!J6*EF!$H37*EF!$H55)*NtoN2O*kgtoGg=0,"NO",('Activity data'!J6*EF!$H37*EF!$H55)*NtoN2O*kgtoGg)</f>
        <v>0.21206325644895188</v>
      </c>
      <c r="K37" s="28">
        <f>IF(('Activity data'!K6*EF!$H37*EF!$H55)*NtoN2O*kgtoGg=0,"NO",('Activity data'!K6*EF!$H37*EF!$H55)*NtoN2O*kgtoGg)</f>
        <v>0.22491295779681808</v>
      </c>
      <c r="L37" s="28">
        <f>IF(('Activity data'!L6*EF!$H37*EF!$H55)*NtoN2O*kgtoGg=0,"NO",('Activity data'!L6*EF!$H37*EF!$H55)*NtoN2O*kgtoGg)</f>
        <v>0.20864690567984037</v>
      </c>
      <c r="M37" s="28">
        <f>IF(('Activity data'!M6*EF!$H37*EF!$H55)*NtoN2O*kgtoGg=0,"NO",('Activity data'!M6*EF!$H37*EF!$H55)*NtoN2O*kgtoGg)</f>
        <v>0.22320478241226227</v>
      </c>
      <c r="N37" s="28">
        <f>IF(('Activity data'!N6*EF!$H37*EF!$H55)*NtoN2O*kgtoGg=0,"NO",('Activity data'!N6*EF!$H37*EF!$H55)*NtoN2O*kgtoGg)</f>
        <v>0.22405887010454018</v>
      </c>
      <c r="O37" s="28">
        <f>IF(('Activity data'!O6*EF!$H37*EF!$H55)*NtoN2O*kgtoGg=0,"NO",('Activity data'!O6*EF!$H37*EF!$H55)*NtoN2O*kgtoGg)</f>
        <v>0.21600741421890937</v>
      </c>
      <c r="P37" s="28">
        <f>IF(('Activity data'!P6*EF!$H37*EF!$H55)*NtoN2O*kgtoGg=0,"NO",('Activity data'!P6*EF!$H37*EF!$H55)*NtoN2O*kgtoGg)</f>
        <v>0.21344515114207568</v>
      </c>
      <c r="Q37" s="28">
        <f>IF(('Activity data'!Q6*EF!$H37*EF!$H55)*NtoN2O*kgtoGg=0,"NO",('Activity data'!Q6*EF!$H37*EF!$H55)*NtoN2O*kgtoGg)</f>
        <v>0.20966413371783418</v>
      </c>
      <c r="R37" s="28">
        <f>IF(('Activity data'!R6*EF!$H37*EF!$H55)*NtoN2O*kgtoGg=0,"NO",('Activity data'!R6*EF!$H37*EF!$H55)*NtoN2O*kgtoGg)</f>
        <v>0.26996848268720769</v>
      </c>
      <c r="S37" s="28">
        <f>IF(('Activity data'!S6*EF!$H37*EF!$H55)*NtoN2O*kgtoGg=0,"NO",('Activity data'!S6*EF!$H37*EF!$H55)*NtoN2O*kgtoGg)</f>
        <v>0.26911439499492978</v>
      </c>
      <c r="T37" s="28">
        <f>IF(('Activity data'!T6*EF!$H37*EF!$H55)*NtoN2O*kgtoGg=0,"NO",('Activity data'!T6*EF!$H37*EF!$H55)*NtoN2O*kgtoGg)</f>
        <v>0.23467258906700467</v>
      </c>
      <c r="U37" s="28">
        <f>IF(('Activity data'!U6*EF!$H37*EF!$H55)*NtoN2O*kgtoGg=0,"NO",('Activity data'!U6*EF!$H37*EF!$H55)*NtoN2O*kgtoGg)</f>
        <v>0.21344515114207568</v>
      </c>
      <c r="V37" s="28">
        <f>IF(('Activity data'!V6*EF!$H37*EF!$H55)*NtoN2O*kgtoGg=0,"NO",('Activity data'!V6*EF!$H37*EF!$H55)*NtoN2O*kgtoGg)</f>
        <v>0.20608464260300666</v>
      </c>
      <c r="W37" s="28">
        <f>IF(('Activity data'!W6*EF!$H37*EF!$H55)*NtoN2O*kgtoGg=0,"NO",('Activity data'!W6*EF!$H37*EF!$H55)*NtoN2O*kgtoGg)</f>
        <v>0.22064251933542864</v>
      </c>
      <c r="X37" s="28">
        <f>IF(('Activity data'!X6*EF!$H37*EF!$H55)*NtoN2O*kgtoGg=0,"NO",('Activity data'!X6*EF!$H37*EF!$H55)*NtoN2O*kgtoGg)</f>
        <v>0.2158442738731933</v>
      </c>
      <c r="Y37" s="28">
        <f>IF(('Activity data'!Y6*EF!$H37*EF!$H55)*NtoN2O*kgtoGg=0,"NO",('Activity data'!Y6*EF!$H37*EF!$H55)*NtoN2O*kgtoGg)</f>
        <v>0.21429923883435359</v>
      </c>
      <c r="Z37" s="28">
        <f>IF(('Activity data'!Z6*EF!$H37*EF!$H55)*NtoN2O*kgtoGg=0,"NO",('Activity data'!Z6*EF!$H37*EF!$H55)*NtoN2O*kgtoGg)</f>
        <v>0.26244483380242267</v>
      </c>
      <c r="AA37" s="28">
        <f>IF(('Activity data'!AA6*EF!$H37*EF!$H55)*NtoN2O*kgtoGg=0,"NO",('Activity data'!AA6*EF!$H37*EF!$H55)*NtoN2O*kgtoGg)</f>
        <v>0.26895125464921371</v>
      </c>
      <c r="AB37" s="28">
        <f>IF(('Activity data'!AB6*EF!$H37*EF!$H55)*NtoN2O*kgtoGg=0,"NO",('Activity data'!AB6*EF!$H37*EF!$H55)*NtoN2O*kgtoGg)</f>
        <v>0.26895125464921371</v>
      </c>
      <c r="AC37" s="28">
        <f>IF(('Activity data'!AC6*EF!$H37*EF!$H55)*NtoN2O*kgtoGg=0,"NO",('Activity data'!AC6*EF!$H37*EF!$H55)*NtoN2O*kgtoGg)</f>
        <v>0.25919162337902713</v>
      </c>
      <c r="AD37" s="28">
        <f>IF(('Activity data'!AD6*EF!$H37*EF!$H55)*NtoN2O*kgtoGg=0,"NO",('Activity data'!AD6*EF!$H37*EF!$H55)*NtoN2O*kgtoGg)</f>
        <v>0.26067987133037912</v>
      </c>
      <c r="AE37" s="28">
        <f>IF(('Activity data'!AE6*EF!$H37*EF!$H55)*NtoN2O*kgtoGg=0,"NO",('Activity data'!AE6*EF!$H37*EF!$H55)*NtoN2O*kgtoGg)</f>
        <v>0.2624399964574689</v>
      </c>
      <c r="AF37" s="28">
        <f>IF(('Activity data'!AF6*EF!$H37*EF!$H55)*NtoN2O*kgtoGg=0,"NO",('Activity data'!AF6*EF!$H37*EF!$H55)*NtoN2O*kgtoGg)</f>
        <v>0.26397966009224005</v>
      </c>
      <c r="AG37" s="28">
        <f>IF(('Activity data'!AG6*EF!$H37*EF!$H55)*NtoN2O*kgtoGg=0,"NO",('Activity data'!AG6*EF!$H37*EF!$H55)*NtoN2O*kgtoGg)</f>
        <v>0.26417881881072747</v>
      </c>
      <c r="AH37" s="28">
        <f>IF(('Activity data'!AH6*EF!$H37*EF!$H55)*NtoN2O*kgtoGg=0,"NO",('Activity data'!AH6*EF!$H37*EF!$H55)*NtoN2O*kgtoGg)</f>
        <v>0.26452185017623492</v>
      </c>
      <c r="AI37" s="28">
        <f>IF(('Activity data'!AI6*EF!$H37*EF!H55)*NtoN2O*kgtoGg=0,"NO",('Activity data'!AI6*EF!$H37*EF!H55)*NtoN2O*kgtoGg)</f>
        <v>0.26649010087852709</v>
      </c>
      <c r="AJ37" s="28">
        <f>IF(('Activity data'!AJ6*EF!$H37*EF!I55)*NtoN2O*kgtoGg=0,"NO",('Activity data'!AJ6*EF!$H37*EF!I55)*NtoN2O*kgtoGg)</f>
        <v>0.26806398073650983</v>
      </c>
      <c r="AK37" s="28">
        <f>IF(('Activity data'!AK6*EF!$H37*EF!J55)*NtoN2O*kgtoGg=0,"NO",('Activity data'!AK6*EF!$H37*EF!J55)*NtoN2O*kgtoGg)</f>
        <v>0.26807778060974324</v>
      </c>
      <c r="AL37" s="28">
        <f>IF(('Activity data'!AL6*EF!$H37*EF!K55)*NtoN2O*kgtoGg=0,"NO",('Activity data'!AL6*EF!$H37*EF!K55)*NtoN2O*kgtoGg)</f>
        <v>0.26097539423220861</v>
      </c>
      <c r="AM37" s="28">
        <f>IF(('Activity data'!AM6*EF!$H37*EF!L55)*NtoN2O*kgtoGg=0,"NO",('Activity data'!AM6*EF!$H37*EF!L55)*NtoN2O*kgtoGg)</f>
        <v>0.26440651777051938</v>
      </c>
      <c r="AN37" s="28">
        <f>IF(('Activity data'!AN6*EF!$H37*EF!M55)*NtoN2O*kgtoGg=0,"NO",('Activity data'!AN6*EF!$H37*EF!M55)*NtoN2O*kgtoGg)</f>
        <v>0.26700381933744832</v>
      </c>
      <c r="AO37" s="28">
        <f>IF(('Activity data'!AO6*EF!$H37*EF!N55)*NtoN2O*kgtoGg=0,"NO",('Activity data'!AO6*EF!$H37*EF!N55)*NtoN2O*kgtoGg)</f>
        <v>0.26945431190334429</v>
      </c>
      <c r="AP37" s="28">
        <f>IF(('Activity data'!AP6*EF!$H37*EF!O55)*NtoN2O*kgtoGg=0,"NO",('Activity data'!AP6*EF!$H37*EF!O55)*NtoN2O*kgtoGg)</f>
        <v>0.27229573026652365</v>
      </c>
      <c r="AQ37" s="28">
        <f>IF(('Activity data'!AQ6*EF!$H37*EF!P55)*NtoN2O*kgtoGg=0,"NO",('Activity data'!AQ6*EF!$H37*EF!P55)*NtoN2O*kgtoGg)</f>
        <v>0.27636705250325572</v>
      </c>
      <c r="AR37" s="28">
        <f>IF(('Activity data'!AR6*EF!$H37*EF!Q55)*NtoN2O*kgtoGg=0,"NO",('Activity data'!AR6*EF!$H37*EF!Q55)*NtoN2O*kgtoGg)</f>
        <v>0.28060577267982134</v>
      </c>
      <c r="AS37" s="28">
        <f>IF(('Activity data'!AS6*EF!$H37*EF!R55)*NtoN2O*kgtoGg=0,"NO",('Activity data'!AS6*EF!$H37*EF!R55)*NtoN2O*kgtoGg)</f>
        <v>0.28520997961691874</v>
      </c>
      <c r="AT37" s="28">
        <f>IF(('Activity data'!AT6*EF!$H37*EF!S55)*NtoN2O*kgtoGg=0,"NO",('Activity data'!AT6*EF!$H37*EF!S55)*NtoN2O*kgtoGg)</f>
        <v>0.2893970352688095</v>
      </c>
      <c r="AU37" s="28">
        <f>IF(('Activity data'!AU6*EF!$H37*EF!T55)*NtoN2O*kgtoGg=0,"NO",('Activity data'!AU6*EF!$H37*EF!T55)*NtoN2O*kgtoGg)</f>
        <v>0.29419437949239208</v>
      </c>
      <c r="AV37" s="28">
        <f>IF(('Activity data'!AV6*EF!$H37*EF!U55)*NtoN2O*kgtoGg=0,"NO",('Activity data'!AV6*EF!$H37*EF!U55)*NtoN2O*kgtoGg)</f>
        <v>0.2997373109229064</v>
      </c>
      <c r="AW37" s="28">
        <f>IF(('Activity data'!AW6*EF!$H37*EF!V55)*NtoN2O*kgtoGg=0,"NO",('Activity data'!AW6*EF!$H37*EF!V55)*NtoN2O*kgtoGg)</f>
        <v>0.3050737827329042</v>
      </c>
      <c r="AX37" s="28">
        <f>IF(('Activity data'!AX6*EF!$H37*EF!W55)*NtoN2O*kgtoGg=0,"NO",('Activity data'!AX6*EF!$H37*EF!W55)*NtoN2O*kgtoGg)</f>
        <v>0.31068846599593736</v>
      </c>
      <c r="AY37" s="28">
        <f>IF(('Activity data'!AY6*EF!$H37*EF!X55)*NtoN2O*kgtoGg=0,"NO",('Activity data'!AY6*EF!$H37*EF!X55)*NtoN2O*kgtoGg)</f>
        <v>0.31647344630227597</v>
      </c>
      <c r="AZ37" s="28">
        <f>IF(('Activity data'!AZ6*EF!$H37*EF!Y55)*NtoN2O*kgtoGg=0,"NO",('Activity data'!AZ6*EF!$H37*EF!Y55)*NtoN2O*kgtoGg)</f>
        <v>0.32291049098219599</v>
      </c>
      <c r="BA37" s="28">
        <f>IF(('Activity data'!BA6*EF!$H37*EF!Z55)*NtoN2O*kgtoGg=0,"NO",('Activity data'!BA6*EF!$H37*EF!Z55)*NtoN2O*kgtoGg)</f>
        <v>0.32873841746111437</v>
      </c>
      <c r="BB37" s="28">
        <f>IF(('Activity data'!BB6*EF!$H37*EF!AA55)*NtoN2O*kgtoGg=0,"NO",('Activity data'!BB6*EF!$H37*EF!AA55)*NtoN2O*kgtoGg)</f>
        <v>0.33479428083974455</v>
      </c>
      <c r="BC37" s="28">
        <f>IF(('Activity data'!BC6*EF!$H37*EF!AB55)*NtoN2O*kgtoGg=0,"NO",('Activity data'!BC6*EF!$H37*EF!AB55)*NtoN2O*kgtoGg)</f>
        <v>0.34100843275252468</v>
      </c>
      <c r="BD37" s="28">
        <f>IF(('Activity data'!BD6*EF!$H37*EF!AC55)*NtoN2O*kgtoGg=0,"NO",('Activity data'!BD6*EF!$H37*EF!AC55)*NtoN2O*kgtoGg)</f>
        <v>0.34703682731872076</v>
      </c>
      <c r="BE37" s="28">
        <f>IF(('Activity data'!BE6*EF!$H37*EF!AD55)*NtoN2O*kgtoGg=0,"NO",('Activity data'!BE6*EF!$H37*EF!AD55)*NtoN2O*kgtoGg)</f>
        <v>0.35311091169438086</v>
      </c>
      <c r="BF37" s="28">
        <f>IF(('Activity data'!BF6*EF!$H37*EF!AE55)*NtoN2O*kgtoGg=0,"NO",('Activity data'!BF6*EF!$H37*EF!AE55)*NtoN2O*kgtoGg)</f>
        <v>0.35944265754429855</v>
      </c>
      <c r="BG37" s="28">
        <f>IF(('Activity data'!BG6*EF!$H37*EF!AF55)*NtoN2O*kgtoGg=0,"NO",('Activity data'!BG6*EF!$H37*EF!AF55)*NtoN2O*kgtoGg)</f>
        <v>0.3659840546269007</v>
      </c>
      <c r="BH37" s="28">
        <f>IF(('Activity data'!BH6*EF!$H37*EF!AG55)*NtoN2O*kgtoGg=0,"NO",('Activity data'!BH6*EF!$H37*EF!AG55)*NtoN2O*kgtoGg)</f>
        <v>0.3722317587971502</v>
      </c>
      <c r="BI37" s="28">
        <f>IF(('Activity data'!BI6*EF!$H37*EF!AH55)*NtoN2O*kgtoGg=0,"NO",('Activity data'!BI6*EF!$H37*EF!AH55)*NtoN2O*kgtoGg)</f>
        <v>0.37861143949262133</v>
      </c>
      <c r="BJ37" s="28">
        <f>IF(('Activity data'!BJ6*EF!$H37*EF!AI55)*NtoN2O*kgtoGg=0,"NO",('Activity data'!BJ6*EF!$H37*EF!AI55)*NtoN2O*kgtoGg)</f>
        <v>0.38513459437705777</v>
      </c>
      <c r="BK37" s="28">
        <f>IF(('Activity data'!BK6*EF!$H37*EF!AJ55)*NtoN2O*kgtoGg=0,"NO",('Activity data'!BK6*EF!$H37*EF!AJ55)*NtoN2O*kgtoGg)</f>
        <v>0.39211047211420524</v>
      </c>
      <c r="BL37" s="28">
        <f>IF(('Activity data'!BL6*EF!$H37*EF!AK55)*NtoN2O*kgtoGg=0,"NO",('Activity data'!BL6*EF!$H37*EF!AK55)*NtoN2O*kgtoGg)</f>
        <v>0.3991631250056496</v>
      </c>
      <c r="BM37" s="28">
        <f>IF(('Activity data'!BM6*EF!$H37*EF!AL55)*NtoN2O*kgtoGg=0,"NO",('Activity data'!BM6*EF!$H37*EF!AL55)*NtoN2O*kgtoGg)</f>
        <v>0.40338422256724893</v>
      </c>
      <c r="BN37" s="28">
        <f>IF(('Activity data'!BN6*EF!$H37*EF!AM55)*NtoN2O*kgtoGg=0,"NO",('Activity data'!BN6*EF!$H37*EF!AM55)*NtoN2O*kgtoGg)</f>
        <v>0.40744132134998817</v>
      </c>
      <c r="BO37" s="28">
        <f>IF(('Activity data'!BO6*EF!$H37*EF!AN55)*NtoN2O*kgtoGg=0,"NO",('Activity data'!BO6*EF!$H37*EF!AN55)*NtoN2O*kgtoGg)</f>
        <v>0.41193001539573099</v>
      </c>
      <c r="BP37" s="28">
        <f>IF(('Activity data'!BP6*EF!$H37*EF!AO55)*NtoN2O*kgtoGg=0,"NO",('Activity data'!BP6*EF!$H37*EF!AO55)*NtoN2O*kgtoGg)</f>
        <v>0.41628934413629709</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8">
        <f>IF(('Activity data'!H7*EF!$H38*EF!$H56)*NtoN2O*kgtoGg=0,"NO",('Activity data'!H7*EF!$H38*EF!$H56)*NtoN2O*kgtoGg)</f>
        <v>1.1183611918471593E-2</v>
      </c>
      <c r="I38" s="28">
        <f>IF(('Activity data'!I7*EF!$H38*EF!$H56)*NtoN2O*kgtoGg=0,"NO",('Activity data'!I7*EF!$H38*EF!$H56)*NtoN2O*kgtoGg)</f>
        <v>1.2711960166782875E-2</v>
      </c>
      <c r="J38" s="28">
        <f>IF(('Activity data'!J7*EF!$H38*EF!$H56)*NtoN2O*kgtoGg=0,"NO",('Activity data'!J7*EF!$H38*EF!$H56)*NtoN2O*kgtoGg)</f>
        <v>1.0995878646861469E-2</v>
      </c>
      <c r="K38" s="28">
        <f>IF(('Activity data'!K7*EF!$H38*EF!$H56)*NtoN2O*kgtoGg=0,"NO",('Activity data'!K7*EF!$H38*EF!$H56)*NtoN2O*kgtoGg)</f>
        <v>1.1507534902584429E-2</v>
      </c>
      <c r="L38" s="28">
        <f>IF(('Activity data'!L7*EF!$H38*EF!$H56)*NtoN2O*kgtoGg=0,"NO",('Activity data'!L7*EF!$H38*EF!$H56)*NtoN2O*kgtoGg)</f>
        <v>1.0244945560421E-2</v>
      </c>
      <c r="M38" s="28">
        <f>IF(('Activity data'!M7*EF!$H38*EF!$H56)*NtoN2O*kgtoGg=0,"NO",('Activity data'!M7*EF!$H38*EF!$H56)*NtoN2O*kgtoGg)</f>
        <v>1.1132068359364188E-2</v>
      </c>
      <c r="N38" s="28">
        <f>IF(('Activity data'!N7*EF!$H38*EF!$H56)*NtoN2O*kgtoGg=0,"NO",('Activity data'!N7*EF!$H38*EF!$H56)*NtoN2O*kgtoGg)</f>
        <v>1.1319801630974307E-2</v>
      </c>
      <c r="O38" s="28">
        <f>IF(('Activity data'!O7*EF!$H38*EF!$H56)*NtoN2O*kgtoGg=0,"NO",('Activity data'!O7*EF!$H38*EF!$H56)*NtoN2O*kgtoGg)</f>
        <v>1.0937714568896487E-2</v>
      </c>
      <c r="P38" s="28">
        <f>IF(('Activity data'!P7*EF!$H38*EF!$H56)*NtoN2O*kgtoGg=0,"NO",('Activity data'!P7*EF!$H38*EF!$H56)*NtoN2O*kgtoGg)</f>
        <v>1.0374514754066132E-2</v>
      </c>
      <c r="Q38" s="28">
        <f>IF(('Activity data'!Q7*EF!$H38*EF!$H56)*NtoN2O*kgtoGg=0,"NO",('Activity data'!Q7*EF!$H38*EF!$H56)*NtoN2O*kgtoGg)</f>
        <v>1.0931094050038906E-2</v>
      </c>
      <c r="R38" s="28">
        <f>IF(('Activity data'!R7*EF!$H38*EF!$H56)*NtoN2O*kgtoGg=0,"NO",('Activity data'!R7*EF!$H38*EF!$H56)*NtoN2O*kgtoGg)</f>
        <v>1.3547539406618663E-2</v>
      </c>
      <c r="S38" s="28">
        <f>IF(('Activity data'!S7*EF!$H38*EF!$H56)*NtoN2O*kgtoGg=0,"NO",('Activity data'!S7*EF!$H38*EF!$H56)*NtoN2O*kgtoGg)</f>
        <v>1.3359806135008544E-2</v>
      </c>
      <c r="T38" s="28">
        <f>IF(('Activity data'!T7*EF!$H38*EF!$H56)*NtoN2O*kgtoGg=0,"NO",('Activity data'!T7*EF!$H38*EF!$H56)*NtoN2O*kgtoGg)</f>
        <v>1.2265088507882486E-2</v>
      </c>
      <c r="U38" s="28">
        <f>IF(('Activity data'!U7*EF!$H38*EF!$H56)*NtoN2O*kgtoGg=0,"NO",('Activity data'!U7*EF!$H38*EF!$H56)*NtoN2O*kgtoGg)</f>
        <v>1.0374514754066132E-2</v>
      </c>
      <c r="V38" s="28">
        <f>IF(('Activity data'!V7*EF!$H38*EF!$H56)*NtoN2O*kgtoGg=0,"NO",('Activity data'!V7*EF!$H38*EF!$H56)*NtoN2O*kgtoGg)</f>
        <v>9.6817457455906381E-3</v>
      </c>
      <c r="W38" s="28">
        <f>IF(('Activity data'!W7*EF!$H38*EF!$H56)*NtoN2O*kgtoGg=0,"NO",('Activity data'!W7*EF!$H38*EF!$H56)*NtoN2O*kgtoGg)</f>
        <v>1.0568868544533832E-2</v>
      </c>
      <c r="X38" s="28">
        <f>IF(('Activity data'!X7*EF!$H38*EF!$H56)*NtoN2O*kgtoGg=0,"NO",('Activity data'!X7*EF!$H38*EF!$H56)*NtoN2O*kgtoGg)</f>
        <v>1.0439299350888697E-2</v>
      </c>
      <c r="Y38" s="28">
        <f>IF(('Activity data'!Y7*EF!$H38*EF!$H56)*NtoN2O*kgtoGg=0,"NO",('Activity data'!Y7*EF!$H38*EF!$H56)*NtoN2O*kgtoGg)</f>
        <v>1.0562248025676249E-2</v>
      </c>
      <c r="Z38" s="28">
        <f>IF(('Activity data'!Z7*EF!$H38*EF!$H56)*NtoN2O*kgtoGg=0,"NO",('Activity data'!Z7*EF!$H38*EF!$H56)*NtoN2O*kgtoGg)</f>
        <v>1.2356355180135385E-2</v>
      </c>
      <c r="AA38" s="28">
        <f>IF(('Activity data'!AA7*EF!$H38*EF!$H56)*NtoN2O*kgtoGg=0,"NO",('Activity data'!AA7*EF!$H38*EF!$H56)*NtoN2O*kgtoGg)</f>
        <v>1.2861390917000753E-2</v>
      </c>
      <c r="AB38" s="28">
        <f>IF(('Activity data'!AB7*EF!$H38*EF!$H56)*NtoN2O*kgtoGg=0,"NO",('Activity data'!AB7*EF!$H38*EF!$H56)*NtoN2O*kgtoGg)</f>
        <v>1.2861390917000753E-2</v>
      </c>
      <c r="AC38" s="28">
        <f>IF(('Activity data'!AC7*EF!$H38*EF!$H56)*NtoN2O*kgtoGg=0,"NO",('Activity data'!AC7*EF!$H38*EF!$H56)*NtoN2O*kgtoGg)</f>
        <v>1.2103837311702698E-2</v>
      </c>
      <c r="AD38" s="28">
        <f>IF(('Activity data'!AD7*EF!$H38*EF!$H56)*NtoN2O*kgtoGg=0,"NO",('Activity data'!AD7*EF!$H38*EF!$H56)*NtoN2O*kgtoGg)</f>
        <v>1.1598714945443948E-2</v>
      </c>
      <c r="AE38" s="28">
        <f>IF(('Activity data'!AE7*EF!$H38*EF!$H56)*NtoN2O*kgtoGg=0,"NO",('Activity data'!AE7*EF!$H38*EF!$H56)*NtoN2O*kgtoGg)</f>
        <v>1.1677030119965246E-2</v>
      </c>
      <c r="AF38" s="28">
        <f>IF(('Activity data'!AF7*EF!$H38*EF!$H56)*NtoN2O*kgtoGg=0,"NO",('Activity data'!AF7*EF!$H38*EF!$H56)*NtoN2O*kgtoGg)</f>
        <v>1.1745536059915416E-2</v>
      </c>
      <c r="AG38" s="28">
        <f>IF(('Activity data'!AG7*EF!$H38*EF!$H56)*NtoN2O*kgtoGg=0,"NO",('Activity data'!AG7*EF!$H38*EF!$H56)*NtoN2O*kgtoGg)</f>
        <v>1.1754397446845087E-2</v>
      </c>
      <c r="AH38" s="28">
        <f>IF(('Activity data'!AH7*EF!$H38*EF!$H56)*NtoN2O*kgtoGg=0,"NO",('Activity data'!AH7*EF!$H38*EF!$H56)*NtoN2O*kgtoGg)</f>
        <v>1.1769660316991377E-2</v>
      </c>
      <c r="AI38" s="28">
        <f>IF(('Activity data'!AI7*EF!$H38*EF!H56)*NtoN2O*kgtoGg=0,"NO",('Activity data'!AI7*EF!$H38*EF!H56)*NtoN2O*kgtoGg)</f>
        <v>1.1857235850616387E-2</v>
      </c>
      <c r="AJ38" s="28">
        <f>IF(('Activity data'!AJ7*EF!$H38*EF!I56)*NtoN2O*kgtoGg=0,"NO",('Activity data'!AJ7*EF!$H38*EF!I56)*NtoN2O*kgtoGg)</f>
        <v>1.1927264210450818E-2</v>
      </c>
      <c r="AK38" s="28">
        <f>IF(('Activity data'!AK7*EF!$H38*EF!J56)*NtoN2O*kgtoGg=0,"NO",('Activity data'!AK7*EF!$H38*EF!J56)*NtoN2O*kgtoGg)</f>
        <v>1.1927878223320707E-2</v>
      </c>
      <c r="AL38" s="28">
        <f>IF(('Activity data'!AL7*EF!$H38*EF!K56)*NtoN2O*kgtoGg=0,"NO",('Activity data'!AL7*EF!$H38*EF!K56)*NtoN2O*kgtoGg)</f>
        <v>1.1611863969496622E-2</v>
      </c>
      <c r="AM38" s="28">
        <f>IF(('Activity data'!AM7*EF!$H38*EF!L56)*NtoN2O*kgtoGg=0,"NO",('Activity data'!AM7*EF!$H38*EF!L56)*NtoN2O*kgtoGg)</f>
        <v>1.1764528705981136E-2</v>
      </c>
      <c r="AN38" s="28">
        <f>IF(('Activity data'!AN7*EF!$H38*EF!M56)*NtoN2O*kgtoGg=0,"NO",('Activity data'!AN7*EF!$H38*EF!M56)*NtoN2O*kgtoGg)</f>
        <v>1.1880093288503061E-2</v>
      </c>
      <c r="AO38" s="28">
        <f>IF(('Activity data'!AO7*EF!$H38*EF!N56)*NtoN2O*kgtoGg=0,"NO",('Activity data'!AO7*EF!$H38*EF!N56)*NtoN2O*kgtoGg)</f>
        <v>1.1989125737394114E-2</v>
      </c>
      <c r="AP38" s="28">
        <f>IF(('Activity data'!AP7*EF!$H38*EF!O56)*NtoN2O*kgtoGg=0,"NO",('Activity data'!AP7*EF!$H38*EF!O56)*NtoN2O*kgtoGg)</f>
        <v>1.2115552075826281E-2</v>
      </c>
      <c r="AQ38" s="28">
        <f>IF(('Activity data'!AQ7*EF!$H38*EF!P56)*NtoN2O*kgtoGg=0,"NO",('Activity data'!AQ7*EF!$H38*EF!P56)*NtoN2O*kgtoGg)</f>
        <v>1.2296701873982557E-2</v>
      </c>
      <c r="AR38" s="28">
        <f>IF(('Activity data'!AR7*EF!$H38*EF!Q56)*NtoN2O*kgtoGg=0,"NO",('Activity data'!AR7*EF!$H38*EF!Q56)*NtoN2O*kgtoGg)</f>
        <v>1.2485299891967528E-2</v>
      </c>
      <c r="AS38" s="28">
        <f>IF(('Activity data'!AS7*EF!$H38*EF!R56)*NtoN2O*kgtoGg=0,"NO",('Activity data'!AS7*EF!$H38*EF!R56)*NtoN2O*kgtoGg)</f>
        <v>1.2690159912577046E-2</v>
      </c>
      <c r="AT38" s="28">
        <f>IF(('Activity data'!AT7*EF!$H38*EF!S56)*NtoN2O*kgtoGg=0,"NO",('Activity data'!AT7*EF!$H38*EF!S56)*NtoN2O*kgtoGg)</f>
        <v>1.2876459164295801E-2</v>
      </c>
      <c r="AU38" s="28">
        <f>IF(('Activity data'!AU7*EF!$H38*EF!T56)*NtoN2O*kgtoGg=0,"NO",('Activity data'!AU7*EF!$H38*EF!T56)*NtoN2O*kgtoGg)</f>
        <v>1.3089912653667775E-2</v>
      </c>
      <c r="AV38" s="28">
        <f>IF(('Activity data'!AV7*EF!$H38*EF!U56)*NtoN2O*kgtoGg=0,"NO",('Activity data'!AV7*EF!$H38*EF!U56)*NtoN2O*kgtoGg)</f>
        <v>1.3336540371015372E-2</v>
      </c>
      <c r="AW38" s="28">
        <f>IF(('Activity data'!AW7*EF!$H38*EF!V56)*NtoN2O*kgtoGg=0,"NO",('Activity data'!AW7*EF!$H38*EF!V56)*NtoN2O*kgtoGg)</f>
        <v>1.3573981854405228E-2</v>
      </c>
      <c r="AX38" s="28">
        <f>IF(('Activity data'!AX7*EF!$H38*EF!W56)*NtoN2O*kgtoGg=0,"NO",('Activity data'!AX7*EF!$H38*EF!W56)*NtoN2O*kgtoGg)</f>
        <v>1.3823802104601461E-2</v>
      </c>
      <c r="AY38" s="28">
        <f>IF(('Activity data'!AY7*EF!$H38*EF!X56)*NtoN2O*kgtoGg=0,"NO",('Activity data'!AY7*EF!$H38*EF!X56)*NtoN2O*kgtoGg)</f>
        <v>1.4081199567611519E-2</v>
      </c>
      <c r="AZ38" s="28">
        <f>IF(('Activity data'!AZ7*EF!$H38*EF!Y56)*NtoN2O*kgtoGg=0,"NO",('Activity data'!AZ7*EF!$H38*EF!Y56)*NtoN2O*kgtoGg)</f>
        <v>1.4367610044770513E-2</v>
      </c>
      <c r="BA38" s="28">
        <f>IF(('Activity data'!BA7*EF!$H38*EF!Z56)*NtoN2O*kgtoGg=0,"NO",('Activity data'!BA7*EF!$H38*EF!Z56)*NtoN2O*kgtoGg)</f>
        <v>1.4626918358860899E-2</v>
      </c>
      <c r="BB38" s="28">
        <f>IF(('Activity data'!BB7*EF!$H38*EF!AA56)*NtoN2O*kgtoGg=0,"NO",('Activity data'!BB7*EF!$H38*EF!AA56)*NtoN2O*kgtoGg)</f>
        <v>1.4896368519008723E-2</v>
      </c>
      <c r="BC38" s="28">
        <f>IF(('Activity data'!BC7*EF!$H38*EF!AB56)*NtoN2O*kgtoGg=0,"NO",('Activity data'!BC7*EF!$H38*EF!AB56)*NtoN2O*kgtoGg)</f>
        <v>1.5172861584223856E-2</v>
      </c>
      <c r="BD38" s="28">
        <f>IF(('Activity data'!BD7*EF!$H38*EF!AC56)*NtoN2O*kgtoGg=0,"NO",('Activity data'!BD7*EF!$H38*EF!AC56)*NtoN2O*kgtoGg)</f>
        <v>1.5441089544423183E-2</v>
      </c>
      <c r="BE38" s="28">
        <f>IF(('Activity data'!BE7*EF!$H38*EF!AD56)*NtoN2O*kgtoGg=0,"NO",('Activity data'!BE7*EF!$H38*EF!AD56)*NtoN2O*kgtoGg)</f>
        <v>1.5711350431342863E-2</v>
      </c>
      <c r="BF38" s="28">
        <f>IF(('Activity data'!BF7*EF!$H38*EF!AE56)*NtoN2O*kgtoGg=0,"NO",('Activity data'!BF7*EF!$H38*EF!AE56)*NtoN2O*kgtoGg)</f>
        <v>1.5993075732362048E-2</v>
      </c>
      <c r="BG38" s="28">
        <f>IF(('Activity data'!BG7*EF!$H38*EF!AF56)*NtoN2O*kgtoGg=0,"NO",('Activity data'!BG7*EF!$H38*EF!AF56)*NtoN2O*kgtoGg)</f>
        <v>1.6284129275233806E-2</v>
      </c>
      <c r="BH38" s="28">
        <f>IF(('Activity data'!BH7*EF!$H38*EF!AG56)*NtoN2O*kgtoGg=0,"NO",('Activity data'!BH7*EF!$H38*EF!AG56)*NtoN2O*kgtoGg)</f>
        <v>1.6562115217778419E-2</v>
      </c>
      <c r="BI38" s="28">
        <f>IF(('Activity data'!BI7*EF!$H38*EF!AH56)*NtoN2O*kgtoGg=0,"NO",('Activity data'!BI7*EF!$H38*EF!AH56)*NtoN2O*kgtoGg)</f>
        <v>1.6845973336366879E-2</v>
      </c>
      <c r="BJ38" s="28">
        <f>IF(('Activity data'!BJ7*EF!$H38*EF!AI56)*NtoN2O*kgtoGg=0,"NO",('Activity data'!BJ7*EF!$H38*EF!AI56)*NtoN2O*kgtoGg)</f>
        <v>1.7136215209141423E-2</v>
      </c>
      <c r="BK38" s="28">
        <f>IF(('Activity data'!BK7*EF!$H38*EF!AJ56)*NtoN2O*kgtoGg=0,"NO",('Activity data'!BK7*EF!$H38*EF!AJ56)*NtoN2O*kgtoGg)</f>
        <v>1.7446600575508658E-2</v>
      </c>
      <c r="BL38" s="28">
        <f>IF(('Activity data'!BL7*EF!$H38*EF!AK56)*NtoN2O*kgtoGg=0,"NO",('Activity data'!BL7*EF!$H38*EF!AK56)*NtoN2O*kgtoGg)</f>
        <v>1.7760401982880657E-2</v>
      </c>
      <c r="BM38" s="28">
        <f>IF(('Activity data'!BM7*EF!$H38*EF!AL56)*NtoN2O*kgtoGg=0,"NO",('Activity data'!BM7*EF!$H38*EF!AL56)*NtoN2O*kgtoGg)</f>
        <v>1.7948215898562121E-2</v>
      </c>
      <c r="BN38" s="28">
        <f>IF(('Activity data'!BN7*EF!$H38*EF!AM56)*NtoN2O*kgtoGg=0,"NO",('Activity data'!BN7*EF!$H38*EF!AM56)*NtoN2O*kgtoGg)</f>
        <v>1.8128732837005983E-2</v>
      </c>
      <c r="BO38" s="28">
        <f>IF(('Activity data'!BO7*EF!$H38*EF!AN56)*NtoN2O*kgtoGg=0,"NO",('Activity data'!BO7*EF!$H38*EF!AN56)*NtoN2O*kgtoGg)</f>
        <v>1.8328453216060109E-2</v>
      </c>
      <c r="BP38" s="28">
        <f>IF(('Activity data'!BP7*EF!$H38*EF!AO56)*NtoN2O*kgtoGg=0,"NO",('Activity data'!BP7*EF!$H38*EF!AO56)*NtoN2O*kgtoGg)</f>
        <v>1.852241760294299E-2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8">
        <f>IF(('Activity data'!H8*EF!$H39*EF!$H57)*NtoN2O*kgtoGg=0,"NO",('Activity data'!H8*EF!$H39*EF!$H57)*NtoN2O*kgtoGg)</f>
        <v>0.60130464628072355</v>
      </c>
      <c r="I39" s="28">
        <f>IF(('Activity data'!I8*EF!$H39*EF!$H57)*NtoN2O*kgtoGg=0,"NO",('Activity data'!I8*EF!$H39*EF!$H57)*NtoN2O*kgtoGg)</f>
        <v>0.57535110604783257</v>
      </c>
      <c r="J39" s="28">
        <f>IF(('Activity data'!J8*EF!$H39*EF!$H57)*NtoN2O*kgtoGg=0,"NO",('Activity data'!J8*EF!$H39*EF!$H57)*NtoN2O*kgtoGg)</f>
        <v>0.57514205938404817</v>
      </c>
      <c r="K39" s="28">
        <f>IF(('Activity data'!K8*EF!$H39*EF!$H57)*NtoN2O*kgtoGg=0,"NO",('Activity data'!K8*EF!$H39*EF!$H57)*NtoN2O*kgtoGg)</f>
        <v>0.53806582535232794</v>
      </c>
      <c r="L39" s="28">
        <f>IF(('Activity data'!L8*EF!$H39*EF!$H57)*NtoN2O*kgtoGg=0,"NO",('Activity data'!L8*EF!$H39*EF!$H57)*NtoN2O*kgtoGg)</f>
        <v>0.55428678799788489</v>
      </c>
      <c r="M39" s="28">
        <f>IF(('Activity data'!M8*EF!$H39*EF!$H57)*NtoN2O*kgtoGg=0,"NO",('Activity data'!M8*EF!$H39*EF!$H57)*NtoN2O*kgtoGg)</f>
        <v>0.56688956745844588</v>
      </c>
      <c r="N39" s="28">
        <f>IF(('Activity data'!N8*EF!$H39*EF!$H57)*NtoN2O*kgtoGg=0,"NO",('Activity data'!N8*EF!$H39*EF!$H57)*NtoN2O*kgtoGg)</f>
        <v>0.59040599405405159</v>
      </c>
      <c r="O39" s="28">
        <f>IF(('Activity data'!O8*EF!$H39*EF!$H57)*NtoN2O*kgtoGg=0,"NO",('Activity data'!O8*EF!$H39*EF!$H57)*NtoN2O*kgtoGg)</f>
        <v>0.61277134091869179</v>
      </c>
      <c r="P39" s="28">
        <f>IF(('Activity data'!P8*EF!$H39*EF!$H57)*NtoN2O*kgtoGg=0,"NO",('Activity data'!P8*EF!$H39*EF!$H57)*NtoN2O*kgtoGg)</f>
        <v>0.6180786564292039</v>
      </c>
      <c r="Q39" s="28">
        <f>IF(('Activity data'!Q8*EF!$H39*EF!$H57)*NtoN2O*kgtoGg=0,"NO",('Activity data'!Q8*EF!$H39*EF!$H57)*NtoN2O*kgtoGg)</f>
        <v>0.60807705254459443</v>
      </c>
      <c r="R39" s="28">
        <f>IF(('Activity data'!R8*EF!$H39*EF!$H57)*NtoN2O*kgtoGg=0,"NO",('Activity data'!R8*EF!$H39*EF!$H57)*NtoN2O*kgtoGg)</f>
        <v>0.56676960819146394</v>
      </c>
      <c r="S39" s="28">
        <f>IF(('Activity data'!S8*EF!$H39*EF!$H57)*NtoN2O*kgtoGg=0,"NO",('Activity data'!S8*EF!$H39*EF!$H57)*NtoN2O*kgtoGg)</f>
        <v>0.56971478460655445</v>
      </c>
      <c r="T39" s="28">
        <f>IF(('Activity data'!T8*EF!$H39*EF!$H57)*NtoN2O*kgtoGg=0,"NO",('Activity data'!T8*EF!$H39*EF!$H57)*NtoN2O*kgtoGg)</f>
        <v>0.53097940806606359</v>
      </c>
      <c r="U39" s="28">
        <f>IF(('Activity data'!U8*EF!$H39*EF!$H57)*NtoN2O*kgtoGg=0,"NO",('Activity data'!U8*EF!$H39*EF!$H57)*NtoN2O*kgtoGg)</f>
        <v>0.54486822143294433</v>
      </c>
      <c r="V39" s="28">
        <f>IF(('Activity data'!V8*EF!$H39*EF!$H57)*NtoN2O*kgtoGg=0,"NO",('Activity data'!V8*EF!$H39*EF!$H57)*NtoN2O*kgtoGg)</f>
        <v>0.54989151573780826</v>
      </c>
      <c r="W39" s="28">
        <f>IF(('Activity data'!W8*EF!$H39*EF!$H57)*NtoN2O*kgtoGg=0,"NO",('Activity data'!W8*EF!$H39*EF!$H57)*NtoN2O*kgtoGg)</f>
        <v>0.55455581429516021</v>
      </c>
      <c r="X39" s="28">
        <f>IF(('Activity data'!X8*EF!$H39*EF!$H57)*NtoN2O*kgtoGg=0,"NO",('Activity data'!X8*EF!$H39*EF!$H57)*NtoN2O*kgtoGg)</f>
        <v>0.54192304501785393</v>
      </c>
      <c r="Y39" s="28">
        <f>IF(('Activity data'!Y8*EF!$H39*EF!$H57)*NtoN2O*kgtoGg=0,"NO",('Activity data'!Y8*EF!$H39*EF!$H57)*NtoN2O*kgtoGg)</f>
        <v>0.55780000682427144</v>
      </c>
      <c r="Z39" s="28">
        <f>IF(('Activity data'!Z8*EF!$H39*EF!$H57)*NtoN2O*kgtoGg=0,"NO",('Activity data'!Z8*EF!$H39*EF!$H57)*NtoN2O*kgtoGg)</f>
        <v>0.54229988029606202</v>
      </c>
      <c r="AA39" s="28">
        <f>IF(('Activity data'!AA8*EF!$H39*EF!$H57)*NtoN2O*kgtoGg=0,"NO",('Activity data'!AA8*EF!$H39*EF!$H57)*NtoN2O*kgtoGg)</f>
        <v>0.53319429569117582</v>
      </c>
      <c r="AB39" s="28">
        <f>IF(('Activity data'!AB8*EF!$H39*EF!$H57)*NtoN2O*kgtoGg=0,"NO",('Activity data'!AB8*EF!$H39*EF!$H57)*NtoN2O*kgtoGg)</f>
        <v>0.53151813690158023</v>
      </c>
      <c r="AC39" s="28">
        <f>IF(('Activity data'!AC8*EF!$H39*EF!$H57)*NtoN2O*kgtoGg=0,"NO",('Activity data'!AC8*EF!$H39*EF!$H57)*NtoN2O*kgtoGg)</f>
        <v>0.52960956438265261</v>
      </c>
      <c r="AD39" s="28">
        <f>IF(('Activity data'!AD8*EF!$H39*EF!$H57)*NtoN2O*kgtoGg=0,"NO",('Activity data'!AD8*EF!$H39*EF!$H57)*NtoN2O*kgtoGg)</f>
        <v>0.52784381686908488</v>
      </c>
      <c r="AE39" s="28">
        <f>IF(('Activity data'!AE8*EF!$H39*EF!$H57)*NtoN2O*kgtoGg=0,"NO",('Activity data'!AE8*EF!$H39*EF!$H57)*NtoN2O*kgtoGg)</f>
        <v>0.52515644938547934</v>
      </c>
      <c r="AF39" s="28">
        <f>IF(('Activity data'!AF8*EF!$H39*EF!$H57)*NtoN2O*kgtoGg=0,"NO",('Activity data'!AF8*EF!$H39*EF!$H57)*NtoN2O*kgtoGg)</f>
        <v>0.52025151153580673</v>
      </c>
      <c r="AG39" s="28">
        <f>IF(('Activity data'!AG8*EF!$H39*EF!$H57)*NtoN2O*kgtoGg=0,"NO",('Activity data'!AG8*EF!$H39*EF!$H57)*NtoN2O*kgtoGg)</f>
        <v>0.50682531077398352</v>
      </c>
      <c r="AH39" s="28">
        <f>IF(('Activity data'!AH8*EF!$H39*EF!$H57)*NtoN2O*kgtoGg=0,"NO",('Activity data'!AH8*EF!$H39*EF!$H57)*NtoN2O*kgtoGg)</f>
        <v>0.4939348964332157</v>
      </c>
      <c r="AI39" s="28">
        <f>IF(('Activity data'!AI8*EF!$H39*EF!$H57)*NtoN2O*kgtoGg=0,"NO",('Activity data'!AI8*EF!$H39*EF!H57)*NtoN2O*kgtoGg)</f>
        <v>0.48971543421207564</v>
      </c>
      <c r="AJ39" s="28">
        <f>IF(('Activity data'!AJ8*EF!$H39*EF!$H57)*NtoN2O*kgtoGg=0,"NO",('Activity data'!AJ8*EF!$H39*EF!I57)*NtoN2O*kgtoGg)</f>
        <v>0.48290055380478719</v>
      </c>
      <c r="AK39" s="28">
        <f>IF(('Activity data'!AK8*EF!$H39*EF!$H57)*NtoN2O*kgtoGg=0,"NO",('Activity data'!AK8*EF!$H39*EF!J57)*NtoN2O*kgtoGg)</f>
        <v>0.46758884489133185</v>
      </c>
      <c r="AL39" s="28">
        <f>IF(('Activity data'!AL8*EF!$H39*EF!$H57)*NtoN2O*kgtoGg=0,"NO",('Activity data'!AL8*EF!$H39*EF!K57)*NtoN2O*kgtoGg)</f>
        <v>0.41621648904191116</v>
      </c>
      <c r="AM39" s="28">
        <f>IF(('Activity data'!AM8*EF!$H39*EF!$H57)*NtoN2O*kgtoGg=0,"NO",('Activity data'!AM8*EF!$H39*EF!L57)*NtoN2O*kgtoGg)</f>
        <v>0.42638667208573666</v>
      </c>
      <c r="AN39" s="28">
        <f>IF(('Activity data'!AN8*EF!$H39*EF!$H57)*NtoN2O*kgtoGg=0,"NO",('Activity data'!AN8*EF!$H39*EF!M57)*NtoN2O*kgtoGg)</f>
        <v>0.43187985525495859</v>
      </c>
      <c r="AO39" s="28">
        <f>IF(('Activity data'!AO8*EF!$H39*EF!$H57)*NtoN2O*kgtoGg=0,"NO",('Activity data'!AO8*EF!$H39*EF!N57)*NtoN2O*kgtoGg)</f>
        <v>0.4362459859607159</v>
      </c>
      <c r="AP39" s="28">
        <f>IF(('Activity data'!AP8*EF!$H39*EF!$H57)*NtoN2O*kgtoGg=0,"NO",('Activity data'!AP8*EF!$H39*EF!O57)*NtoN2O*kgtoGg)</f>
        <v>0.44211378477911739</v>
      </c>
      <c r="AQ39" s="28">
        <f>IF(('Activity data'!AQ8*EF!$H39*EF!$H57)*NtoN2O*kgtoGg=0,"NO",('Activity data'!AQ8*EF!$H39*EF!P57)*NtoN2O*kgtoGg)</f>
        <v>0.45337915493608988</v>
      </c>
      <c r="AR39" s="28">
        <f>IF(('Activity data'!AR8*EF!$H39*EF!$H57)*NtoN2O*kgtoGg=0,"NO",('Activity data'!AR8*EF!$H39*EF!Q57)*NtoN2O*kgtoGg)</f>
        <v>0.46570884205291363</v>
      </c>
      <c r="AS39" s="28">
        <f>IF(('Activity data'!AS8*EF!$H39*EF!$H57)*NtoN2O*kgtoGg=0,"NO",('Activity data'!AS8*EF!$H39*EF!R57)*NtoN2O*kgtoGg)</f>
        <v>0.47914332985830105</v>
      </c>
      <c r="AT39" s="28">
        <f>IF(('Activity data'!AT8*EF!$H39*EF!$H57)*NtoN2O*kgtoGg=0,"NO",('Activity data'!AT8*EF!$H39*EF!S57)*NtoN2O*kgtoGg)</f>
        <v>0.49009752442785343</v>
      </c>
      <c r="AU39" s="28">
        <f>IF(('Activity data'!AU8*EF!$H39*EF!$H57)*NtoN2O*kgtoGg=0,"NO",('Activity data'!AU8*EF!$H39*EF!T57)*NtoN2O*kgtoGg)</f>
        <v>0.50324660614266314</v>
      </c>
      <c r="AV39" s="28">
        <f>IF(('Activity data'!AV8*EF!$H39*EF!$H57)*NtoN2O*kgtoGg=0,"NO",('Activity data'!AV8*EF!$H39*EF!U57)*NtoN2O*kgtoGg)</f>
        <v>0.51908497467197146</v>
      </c>
      <c r="AW39" s="28">
        <f>IF(('Activity data'!AW8*EF!$H39*EF!$H57)*NtoN2O*kgtoGg=0,"NO",('Activity data'!AW8*EF!$H39*EF!V57)*NtoN2O*kgtoGg)</f>
        <v>0.52951816182604061</v>
      </c>
      <c r="AX39" s="28">
        <f>IF(('Activity data'!AX8*EF!$H39*EF!$H57)*NtoN2O*kgtoGg=0,"NO",('Activity data'!AX8*EF!$H39*EF!W57)*NtoN2O*kgtoGg)</f>
        <v>0.54017530186644991</v>
      </c>
      <c r="AY39" s="28">
        <f>IF(('Activity data'!AY8*EF!$H39*EF!$H57)*NtoN2O*kgtoGg=0,"NO",('Activity data'!AY8*EF!$H39*EF!X57)*NtoN2O*kgtoGg)</f>
        <v>0.55055968982828007</v>
      </c>
      <c r="AZ39" s="28">
        <f>IF(('Activity data'!AZ8*EF!$H39*EF!$H57)*NtoN2O*kgtoGg=0,"NO",('Activity data'!AZ8*EF!$H39*EF!Y57)*NtoN2O*kgtoGg)</f>
        <v>0.56257359948982233</v>
      </c>
      <c r="BA39" s="28">
        <f>IF(('Activity data'!BA8*EF!$H39*EF!$H57)*NtoN2O*kgtoGg=0,"NO",('Activity data'!BA8*EF!$H39*EF!Z57)*NtoN2O*kgtoGg)</f>
        <v>0.571134780275243</v>
      </c>
      <c r="BB39" s="28">
        <f>IF(('Activity data'!BB8*EF!$H39*EF!$H57)*NtoN2O*kgtoGg=0,"NO",('Activity data'!BB8*EF!$H39*EF!AA57)*NtoN2O*kgtoGg)</f>
        <v>0.58015385111091267</v>
      </c>
      <c r="BC39" s="28">
        <f>IF(('Activity data'!BC8*EF!$H39*EF!$H57)*NtoN2O*kgtoGg=0,"NO",('Activity data'!BC8*EF!$H39*EF!AB57)*NtoN2O*kgtoGg)</f>
        <v>0.58878429113613517</v>
      </c>
      <c r="BD39" s="28">
        <f>IF(('Activity data'!BD8*EF!$H39*EF!$H57)*NtoN2O*kgtoGg=0,"NO",('Activity data'!BD8*EF!$H39*EF!AC57)*NtoN2O*kgtoGg)</f>
        <v>0.5957568629631379</v>
      </c>
      <c r="BE39" s="28">
        <f>IF(('Activity data'!BE8*EF!$H39*EF!$H57)*NtoN2O*kgtoGg=0,"NO",('Activity data'!BE8*EF!$H39*EF!AD57)*NtoN2O*kgtoGg)</f>
        <v>0.60196210030255271</v>
      </c>
      <c r="BF39" s="28">
        <f>IF(('Activity data'!BF8*EF!$H39*EF!$H57)*NtoN2O*kgtoGg=0,"NO",('Activity data'!BF8*EF!$H39*EF!AE57)*NtoN2O*kgtoGg)</f>
        <v>0.60813947691884929</v>
      </c>
      <c r="BG39" s="28">
        <f>IF(('Activity data'!BG8*EF!$H39*EF!$H57)*NtoN2O*kgtoGg=0,"NO",('Activity data'!BG8*EF!$H39*EF!AF57)*NtoN2O*kgtoGg)</f>
        <v>0.61764741655645328</v>
      </c>
      <c r="BH39" s="28">
        <f>IF(('Activity data'!BH8*EF!$H39*EF!$H57)*NtoN2O*kgtoGg=0,"NO",('Activity data'!BH8*EF!$H39*EF!AG57)*NtoN2O*kgtoGg)</f>
        <v>0.62539054666282456</v>
      </c>
      <c r="BI39" s="28">
        <f>IF(('Activity data'!BI8*EF!$H39*EF!$H57)*NtoN2O*kgtoGg=0,"NO",('Activity data'!BI8*EF!$H39*EF!AH57)*NtoN2O*kgtoGg)</f>
        <v>0.63282578397368294</v>
      </c>
      <c r="BJ39" s="28">
        <f>IF(('Activity data'!BJ8*EF!$H39*EF!$H57)*NtoN2O*kgtoGg=0,"NO",('Activity data'!BJ8*EF!$H39*EF!AI57)*NtoN2O*kgtoGg)</f>
        <v>0.6399775293303559</v>
      </c>
      <c r="BK39" s="28">
        <f>IF(('Activity data'!BK8*EF!$H39*EF!$H57)*NtoN2O*kgtoGg=0,"NO",('Activity data'!BK8*EF!$H39*EF!AJ57)*NtoN2O*kgtoGg)</f>
        <v>0.64779293053044351</v>
      </c>
      <c r="BL39" s="28">
        <f>IF(('Activity data'!BL8*EF!$H39*EF!$H57)*NtoN2O*kgtoGg=0,"NO",('Activity data'!BL8*EF!$H39*EF!AK57)*NtoN2O*kgtoGg)</f>
        <v>0.6554480309562406</v>
      </c>
      <c r="BM39" s="28">
        <f>IF(('Activity data'!BM8*EF!$H39*EF!$H57)*NtoN2O*kgtoGg=0,"NO",('Activity data'!BM8*EF!$H39*EF!AL57)*NtoN2O*kgtoGg)</f>
        <v>0.65387085498126252</v>
      </c>
      <c r="BN39" s="28">
        <f>IF(('Activity data'!BN8*EF!$H39*EF!$H57)*NtoN2O*kgtoGg=0,"NO",('Activity data'!BN8*EF!$H39*EF!AM57)*NtoN2O*kgtoGg)</f>
        <v>0.65139607098171814</v>
      </c>
      <c r="BO39" s="28">
        <f>IF(('Activity data'!BO8*EF!$H39*EF!$H57)*NtoN2O*kgtoGg=0,"NO",('Activity data'!BO8*EF!$H39*EF!AN57)*NtoN2O*kgtoGg)</f>
        <v>0.64976027386415824</v>
      </c>
      <c r="BP39" s="28">
        <f>IF(('Activity data'!BP8*EF!$H39*EF!$H57)*NtoN2O*kgtoGg=0,"NO",('Activity data'!BP8*EF!$H39*EF!AO57)*NtoN2O*kgtoGg)</f>
        <v>0.64732609029644417</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8">
        <f>IF(('Activity data'!H9*EF!$H40*EF!$H58)*NtoN2O*kgtoGg=0,"NO",('Activity data'!H9*EF!$H40*EF!$H58)*NtoN2O*kgtoGg)</f>
        <v>0.69929058547122203</v>
      </c>
      <c r="I40" s="28">
        <f>IF(('Activity data'!I9*EF!$H40*EF!$H58)*NtoN2O*kgtoGg=0,"NO",('Activity data'!I9*EF!$H40*EF!$H58)*NtoN2O*kgtoGg)</f>
        <v>0.7419488346938673</v>
      </c>
      <c r="J40" s="28">
        <f>IF(('Activity data'!J9*EF!$H40*EF!$H58)*NtoN2O*kgtoGg=0,"NO",('Activity data'!J9*EF!$H40*EF!$H58)*NtoN2O*kgtoGg)</f>
        <v>0.77698953941246884</v>
      </c>
      <c r="K40" s="28">
        <f>IF(('Activity data'!K9*EF!$H40*EF!$H58)*NtoN2O*kgtoGg=0,"NO",('Activity data'!K9*EF!$H40*EF!$H58)*NtoN2O*kgtoGg)</f>
        <v>0.76784848600761624</v>
      </c>
      <c r="L40" s="28">
        <f>IF(('Activity data'!L9*EF!$H40*EF!$H58)*NtoN2O*kgtoGg=0,"NO",('Activity data'!L9*EF!$H40*EF!$H58)*NtoN2O*kgtoGg)</f>
        <v>0.66882040745504678</v>
      </c>
      <c r="M40" s="28">
        <f>IF(('Activity data'!M9*EF!$H40*EF!$H58)*NtoN2O*kgtoGg=0,"NO",('Activity data'!M9*EF!$H40*EF!$H58)*NtoN2O*kgtoGg)</f>
        <v>0.64596777394291538</v>
      </c>
      <c r="N40" s="28">
        <f>IF(('Activity data'!N9*EF!$H40*EF!$H58)*NtoN2O*kgtoGg=0,"NO",('Activity data'!N9*EF!$H40*EF!$H58)*NtoN2O*kgtoGg)</f>
        <v>0.66424988075262037</v>
      </c>
      <c r="O40" s="28">
        <f>IF(('Activity data'!O9*EF!$H40*EF!$H58)*NtoN2O*kgtoGg=0,"NO",('Activity data'!O9*EF!$H40*EF!$H58)*NtoN2O*kgtoGg)</f>
        <v>0.69472005876879561</v>
      </c>
      <c r="P40" s="28">
        <f>IF(('Activity data'!P9*EF!$H40*EF!$H58)*NtoN2O*kgtoGg=0,"NO",('Activity data'!P9*EF!$H40*EF!$H58)*NtoN2O*kgtoGg)</f>
        <v>0.73737830799144111</v>
      </c>
      <c r="Q40" s="28">
        <f>IF(('Activity data'!Q9*EF!$H40*EF!$H58)*NtoN2O*kgtoGg=0,"NO",('Activity data'!Q9*EF!$H40*EF!$H58)*NtoN2O*kgtoGg)</f>
        <v>0.76784848600761624</v>
      </c>
      <c r="R40" s="28">
        <f>IF(('Activity data'!R9*EF!$H40*EF!$H58)*NtoN2O*kgtoGg=0,"NO",('Activity data'!R9*EF!$H40*EF!$H58)*NtoN2O*kgtoGg)</f>
        <v>0.74956637919791114</v>
      </c>
      <c r="S40" s="28">
        <f>IF(('Activity data'!S9*EF!$H40*EF!$H58)*NtoN2O*kgtoGg=0,"NO",('Activity data'!S9*EF!$H40*EF!$H58)*NtoN2O*kgtoGg)</f>
        <v>0.73128427238820592</v>
      </c>
      <c r="T40" s="28">
        <f>IF(('Activity data'!T9*EF!$H40*EF!$H58)*NtoN2O*kgtoGg=0,"NO",('Activity data'!T9*EF!$H40*EF!$H58)*NtoN2O*kgtoGg)</f>
        <v>0.82878884203996683</v>
      </c>
      <c r="U40" s="28">
        <f>IF(('Activity data'!U9*EF!$H40*EF!$H58)*NtoN2O*kgtoGg=0,"NO",('Activity data'!U9*EF!$H40*EF!$H58)*NtoN2O*kgtoGg)</f>
        <v>0.84859445775048059</v>
      </c>
      <c r="V40" s="28">
        <f>IF(('Activity data'!V9*EF!$H40*EF!$H58)*NtoN2O*kgtoGg=0,"NO",('Activity data'!V9*EF!$H40*EF!$H58)*NtoN2O*kgtoGg)</f>
        <v>0.83488287764320168</v>
      </c>
      <c r="W40" s="28">
        <f>IF(('Activity data'!W9*EF!$H40*EF!$H58)*NtoN2O*kgtoGg=0,"NO",('Activity data'!W9*EF!$H40*EF!$H58)*NtoN2O*kgtoGg)</f>
        <v>0.81050673523026162</v>
      </c>
      <c r="X40" s="28">
        <f>IF(('Activity data'!X9*EF!$H40*EF!$H58)*NtoN2O*kgtoGg=0,"NO",('Activity data'!X9*EF!$H40*EF!$H58)*NtoN2O*kgtoGg)</f>
        <v>0.83640638654401056</v>
      </c>
      <c r="Y40" s="28">
        <f>IF(('Activity data'!Y9*EF!$H40*EF!$H58)*NtoN2O*kgtoGg=0,"NO",('Activity data'!Y9*EF!$H40*EF!$H58)*NtoN2O*kgtoGg)</f>
        <v>0.86992358236180345</v>
      </c>
      <c r="Z40" s="28">
        <f>IF(('Activity data'!Z9*EF!$H40*EF!$H58)*NtoN2O*kgtoGg=0,"NO",('Activity data'!Z9*EF!$H40*EF!$H58)*NtoN2O*kgtoGg)</f>
        <v>0.85621200225452454</v>
      </c>
      <c r="AA40" s="28">
        <f>IF(('Activity data'!AA9*EF!$H40*EF!$H58)*NtoN2O*kgtoGg=0,"NO",('Activity data'!AA9*EF!$H40*EF!$H58)*NtoN2O*kgtoGg)</f>
        <v>0.84707094884967205</v>
      </c>
      <c r="AB40" s="28">
        <f>IF(('Activity data'!AB9*EF!$H40*EF!$H58)*NtoN2O*kgtoGg=0,"NO",('Activity data'!AB9*EF!$H40*EF!$H58)*NtoN2O*kgtoGg)</f>
        <v>0.83488287764320168</v>
      </c>
      <c r="AC40" s="28">
        <f>IF(('Activity data'!AC9*EF!$H40*EF!$H58)*NtoN2O*kgtoGg=0,"NO",('Activity data'!AC9*EF!$H40*EF!$H58)*NtoN2O*kgtoGg)</f>
        <v>0.84097691324643697</v>
      </c>
      <c r="AD40" s="28">
        <f>IF(('Activity data'!AD9*EF!$H40*EF!$H58)*NtoN2O*kgtoGg=0,"NO",('Activity data'!AD9*EF!$H40*EF!$H58)*NtoN2O*kgtoGg)</f>
        <v>0.80849535264982253</v>
      </c>
      <c r="AE40" s="28">
        <f>IF(('Activity data'!AE9*EF!$H40*EF!$H58)*NtoN2O*kgtoGg=0,"NO",('Activity data'!AE9*EF!$H40*EF!$H58)*NtoN2O*kgtoGg)</f>
        <v>0.80437912725905281</v>
      </c>
      <c r="AF40" s="28">
        <f>IF(('Activity data'!AF9*EF!$H40*EF!$H58)*NtoN2O*kgtoGg=0,"NO",('Activity data'!AF9*EF!$H40*EF!$H58)*NtoN2O*kgtoGg)</f>
        <v>0.79686626203308752</v>
      </c>
      <c r="AG40" s="28">
        <f>IF(('Activity data'!AG9*EF!$H40*EF!$H58)*NtoN2O*kgtoGg=0,"NO",('Activity data'!AG9*EF!$H40*EF!$H58)*NtoN2O*kgtoGg)</f>
        <v>0.77630142718465789</v>
      </c>
      <c r="AH40" s="28">
        <f>IF(('Activity data'!AH9*EF!$H40*EF!$H58)*NtoN2O*kgtoGg=0,"NO",('Activity data'!AH9*EF!$H40*EF!$H58)*NtoN2O*kgtoGg)</f>
        <v>0.75655725333024249</v>
      </c>
      <c r="AI40" s="28">
        <f>IF(('Activity data'!AI9*EF!$H40*EF!H58)*NtoN2O*kgtoGg=0,"NO",('Activity data'!AI9*EF!$H40*EF!H58)*NtoN2O*kgtoGg)</f>
        <v>0.75009432720048652</v>
      </c>
      <c r="AJ40" s="28">
        <f>IF(('Activity data'!AJ9*EF!$H40*EF!I58)*NtoN2O*kgtoGg=0,"NO",('Activity data'!AJ9*EF!$H40*EF!I58)*NtoN2O*kgtoGg)</f>
        <v>0.73965601389251134</v>
      </c>
      <c r="AK40" s="28">
        <f>IF(('Activity data'!AK9*EF!$H40*EF!J58)*NtoN2O*kgtoGg=0,"NO",('Activity data'!AK9*EF!$H40*EF!J58)*NtoN2O*kgtoGg)</f>
        <v>0.71620315700184167</v>
      </c>
      <c r="AL40" s="28">
        <f>IF(('Activity data'!AL9*EF!$H40*EF!K58)*NtoN2O*kgtoGg=0,"NO",('Activity data'!AL9*EF!$H40*EF!K58)*NtoN2O*kgtoGg)</f>
        <v>0.63751641362897982</v>
      </c>
      <c r="AM40" s="28">
        <f>IF(('Activity data'!AM9*EF!$H40*EF!L58)*NtoN2O*kgtoGg=0,"NO",('Activity data'!AM9*EF!$H40*EF!L58)*NtoN2O*kgtoGg)</f>
        <v>0.65309402477786682</v>
      </c>
      <c r="AN40" s="28">
        <f>IF(('Activity data'!AN9*EF!$H40*EF!M58)*NtoN2O*kgtoGg=0,"NO",('Activity data'!AN9*EF!$H40*EF!M58)*NtoN2O*kgtoGg)</f>
        <v>0.66150790199236797</v>
      </c>
      <c r="AO40" s="28">
        <f>IF(('Activity data'!AO9*EF!$H40*EF!N58)*NtoN2O*kgtoGg=0,"NO",('Activity data'!AO9*EF!$H40*EF!N58)*NtoN2O*kgtoGg)</f>
        <v>0.66819547940040647</v>
      </c>
      <c r="AP40" s="28">
        <f>IF(('Activity data'!AP9*EF!$H40*EF!O58)*NtoN2O*kgtoGg=0,"NO",('Activity data'!AP9*EF!$H40*EF!O58)*NtoN2O*kgtoGg)</f>
        <v>0.67718315326026413</v>
      </c>
      <c r="AQ40" s="28">
        <f>IF(('Activity data'!AQ9*EF!$H40*EF!P58)*NtoN2O*kgtoGg=0,"NO",('Activity data'!AQ9*EF!$H40*EF!P58)*NtoN2O*kgtoGg)</f>
        <v>0.69443825624094591</v>
      </c>
      <c r="AR40" s="28">
        <f>IF(('Activity data'!AR9*EF!$H40*EF!Q58)*NtoN2O*kgtoGg=0,"NO",('Activity data'!AR9*EF!$H40*EF!Q58)*NtoN2O*kgtoGg)</f>
        <v>0.7133235674163364</v>
      </c>
      <c r="AS40" s="28">
        <f>IF(('Activity data'!AS9*EF!$H40*EF!R58)*NtoN2O*kgtoGg=0,"NO",('Activity data'!AS9*EF!$H40*EF!R58)*NtoN2O*kgtoGg)</f>
        <v>0.73390109548195415</v>
      </c>
      <c r="AT40" s="28">
        <f>IF(('Activity data'!AT9*EF!$H40*EF!S58)*NtoN2O*kgtoGg=0,"NO",('Activity data'!AT9*EF!$H40*EF!S58)*NtoN2O*kgtoGg)</f>
        <v>0.75067957259671325</v>
      </c>
      <c r="AU40" s="28">
        <f>IF(('Activity data'!AU9*EF!$H40*EF!T58)*NtoN2O*kgtoGg=0,"NO",('Activity data'!AU9*EF!$H40*EF!T58)*NtoN2O*kgtoGg)</f>
        <v>0.7708199457872037</v>
      </c>
      <c r="AV40" s="28">
        <f>IF(('Activity data'!AV9*EF!$H40*EF!U58)*NtoN2O*kgtoGg=0,"NO",('Activity data'!AV9*EF!$H40*EF!U58)*NtoN2O*kgtoGg)</f>
        <v>0.79507948419660579</v>
      </c>
      <c r="AW40" s="28">
        <f>IF(('Activity data'!AW9*EF!$H40*EF!V58)*NtoN2O*kgtoGg=0,"NO",('Activity data'!AW9*EF!$H40*EF!V58)*NtoN2O*kgtoGg)</f>
        <v>0.81105993723558278</v>
      </c>
      <c r="AX40" s="28">
        <f>IF(('Activity data'!AX9*EF!$H40*EF!W58)*NtoN2O*kgtoGg=0,"NO",('Activity data'!AX9*EF!$H40*EF!W58)*NtoN2O*kgtoGg)</f>
        <v>0.82738341762854573</v>
      </c>
      <c r="AY40" s="28">
        <f>IF(('Activity data'!AY9*EF!$H40*EF!X58)*NtoN2O*kgtoGg=0,"NO",('Activity data'!AY9*EF!$H40*EF!X58)*NtoN2O*kgtoGg)</f>
        <v>0.84328912522412203</v>
      </c>
      <c r="AZ40" s="28">
        <f>IF(('Activity data'!AZ9*EF!$H40*EF!Y58)*NtoN2O*kgtoGg=0,"NO",('Activity data'!AZ9*EF!$H40*EF!Y58)*NtoN2O*kgtoGg)</f>
        <v>0.86169076187892979</v>
      </c>
      <c r="BA40" s="28">
        <f>IF(('Activity data'!BA9*EF!$H40*EF!Z58)*NtoN2O*kgtoGg=0,"NO",('Activity data'!BA9*EF!$H40*EF!Z58)*NtoN2O*kgtoGg)</f>
        <v>0.8748038734793715</v>
      </c>
      <c r="BB40" s="28">
        <f>IF(('Activity data'!BB9*EF!$H40*EF!AA58)*NtoN2O*kgtoGg=0,"NO",('Activity data'!BB9*EF!$H40*EF!AA58)*NtoN2O*kgtoGg)</f>
        <v>0.88861833264858248</v>
      </c>
      <c r="BC40" s="28">
        <f>IF(('Activity data'!BC9*EF!$H40*EF!AB58)*NtoN2O*kgtoGg=0,"NO",('Activity data'!BC9*EF!$H40*EF!AB58)*NtoN2O*kgtoGg)</f>
        <v>0.90183752823015395</v>
      </c>
      <c r="BD40" s="28">
        <f>IF(('Activity data'!BD9*EF!$H40*EF!AC58)*NtoN2O*kgtoGg=0,"NO",('Activity data'!BD9*EF!$H40*EF!AC58)*NtoN2O*kgtoGg)</f>
        <v>0.9125173765829987</v>
      </c>
      <c r="BE40" s="28">
        <f>IF(('Activity data'!BE9*EF!$H40*EF!AD58)*NtoN2O*kgtoGg=0,"NO",('Activity data'!BE9*EF!$H40*EF!AD58)*NtoN2O*kgtoGg)</f>
        <v>0.92202190309382137</v>
      </c>
      <c r="BF40" s="28">
        <f>IF(('Activity data'!BF9*EF!$H40*EF!AE58)*NtoN2O*kgtoGg=0,"NO",('Activity data'!BF9*EF!$H40*EF!AE58)*NtoN2O*kgtoGg)</f>
        <v>0.93148375549453255</v>
      </c>
      <c r="BG40" s="28">
        <f>IF(('Activity data'!BG9*EF!$H40*EF!AF58)*NtoN2O*kgtoGg=0,"NO",('Activity data'!BG9*EF!$H40*EF!AF58)*NtoN2O*kgtoGg)</f>
        <v>0.94604701220913134</v>
      </c>
      <c r="BH40" s="28">
        <f>IF(('Activity data'!BH9*EF!$H40*EF!AG58)*NtoN2O*kgtoGg=0,"NO",('Activity data'!BH9*EF!$H40*EF!AG58)*NtoN2O*kgtoGg)</f>
        <v>0.95790712026741442</v>
      </c>
      <c r="BI40" s="28">
        <f>IF(('Activity data'!BI9*EF!$H40*EF!AH58)*NtoN2O*kgtoGg=0,"NO",('Activity data'!BI9*EF!$H40*EF!AH58)*NtoN2O*kgtoGg)</f>
        <v>0.96929563069334712</v>
      </c>
      <c r="BJ40" s="28">
        <f>IF(('Activity data'!BJ9*EF!$H40*EF!AI58)*NtoN2O*kgtoGg=0,"NO",('Activity data'!BJ9*EF!$H40*EF!AI58)*NtoN2O*kgtoGg)</f>
        <v>0.98024991811590712</v>
      </c>
      <c r="BK40" s="28">
        <f>IF(('Activity data'!BK9*EF!$H40*EF!AJ58)*NtoN2O*kgtoGg=0,"NO",('Activity data'!BK9*EF!$H40*EF!AJ58)*NtoN2O*kgtoGg)</f>
        <v>0.99222072339471901</v>
      </c>
      <c r="BL40" s="28">
        <f>IF(('Activity data'!BL9*EF!$H40*EF!AK58)*NtoN2O*kgtoGg=0,"NO",('Activity data'!BL9*EF!$H40*EF!AK58)*NtoN2O*kgtoGg)</f>
        <v>1.0039459968951938</v>
      </c>
      <c r="BM40" s="28">
        <f>IF(('Activity data'!BM9*EF!$H40*EF!AL58)*NtoN2O*kgtoGg=0,"NO",('Activity data'!BM9*EF!$H40*EF!AL58)*NtoN2O*kgtoGg)</f>
        <v>1.0015302454828838</v>
      </c>
      <c r="BN40" s="28">
        <f>IF(('Activity data'!BN9*EF!$H40*EF!AM58)*NtoN2O*kgtoGg=0,"NO",('Activity data'!BN9*EF!$H40*EF!AM58)*NtoN2O*kgtoGg)</f>
        <v>0.99773963299771362</v>
      </c>
      <c r="BO40" s="28">
        <f>IF(('Activity data'!BO9*EF!$H40*EF!AN58)*NtoN2O*kgtoGg=0,"NO",('Activity data'!BO9*EF!$H40*EF!AN58)*NtoN2O*kgtoGg)</f>
        <v>0.99523409191688805</v>
      </c>
      <c r="BP40" s="28">
        <f>IF(('Activity data'!BP9*EF!$H40*EF!AO58)*NtoN2O*kgtoGg=0,"NO",('Activity data'!BP9*EF!$H40*EF!AO58)*NtoN2O*kgtoGg)</f>
        <v>0.99150566688073472</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8">
        <f>IF(('Activity data'!H10*EF!$H41*EF!$H59)*NtoN2O*kgtoGg=0,"NO",('Activity data'!H10*EF!$H41*EF!$H59)*NtoN2O*kgtoGg)</f>
        <v>0.75959383499999988</v>
      </c>
      <c r="I41" s="28">
        <f>IF(('Activity data'!I10*EF!$H41*EF!$H59)*NtoN2O*kgtoGg=0,"NO",('Activity data'!I10*EF!$H41*EF!$H59)*NtoN2O*kgtoGg)</f>
        <v>0.75959383499999988</v>
      </c>
      <c r="J41" s="28">
        <f>IF(('Activity data'!J10*EF!$H41*EF!$H59)*NtoN2O*kgtoGg=0,"NO",('Activity data'!J10*EF!$H41*EF!$H59)*NtoN2O*kgtoGg)</f>
        <v>0.75959383499999988</v>
      </c>
      <c r="K41" s="28">
        <f>IF(('Activity data'!K10*EF!$H41*EF!$H59)*NtoN2O*kgtoGg=0,"NO",('Activity data'!K10*EF!$H41*EF!$H59)*NtoN2O*kgtoGg)</f>
        <v>0.75959383499999988</v>
      </c>
      <c r="L41" s="28">
        <f>IF(('Activity data'!L10*EF!$H41*EF!$H59)*NtoN2O*kgtoGg=0,"NO",('Activity data'!L10*EF!$H41*EF!$H59)*NtoN2O*kgtoGg)</f>
        <v>0.75959383499999988</v>
      </c>
      <c r="M41" s="28">
        <f>IF(('Activity data'!M10*EF!$H41*EF!$H59)*NtoN2O*kgtoGg=0,"NO",('Activity data'!M10*EF!$H41*EF!$H59)*NtoN2O*kgtoGg)</f>
        <v>0.75959383499999988</v>
      </c>
      <c r="N41" s="28">
        <f>IF(('Activity data'!N10*EF!$H41*EF!$H59)*NtoN2O*kgtoGg=0,"NO",('Activity data'!N10*EF!$H41*EF!$H59)*NtoN2O*kgtoGg)</f>
        <v>0.75959383499999988</v>
      </c>
      <c r="O41" s="28">
        <f>IF(('Activity data'!O10*EF!$H41*EF!$H59)*NtoN2O*kgtoGg=0,"NO",('Activity data'!O10*EF!$H41*EF!$H59)*NtoN2O*kgtoGg)</f>
        <v>0.75959383499999988</v>
      </c>
      <c r="P41" s="28">
        <f>IF(('Activity data'!P10*EF!$H41*EF!$H59)*NtoN2O*kgtoGg=0,"NO",('Activity data'!P10*EF!$H41*EF!$H59)*NtoN2O*kgtoGg)</f>
        <v>0.75959383499999988</v>
      </c>
      <c r="Q41" s="28">
        <f>IF(('Activity data'!Q10*EF!$H41*EF!$H59)*NtoN2O*kgtoGg=0,"NO",('Activity data'!Q10*EF!$H41*EF!$H59)*NtoN2O*kgtoGg)</f>
        <v>0.75959383499999988</v>
      </c>
      <c r="R41" s="28">
        <f>IF(('Activity data'!R10*EF!$H41*EF!$H59)*NtoN2O*kgtoGg=0,"NO",('Activity data'!R10*EF!$H41*EF!$H59)*NtoN2O*kgtoGg)</f>
        <v>0.75959383499999988</v>
      </c>
      <c r="S41" s="28">
        <f>IF(('Activity data'!S10*EF!$H41*EF!$H59)*NtoN2O*kgtoGg=0,"NO",('Activity data'!S10*EF!$H41*EF!$H59)*NtoN2O*kgtoGg)</f>
        <v>0.75959383499999988</v>
      </c>
      <c r="T41" s="28">
        <f>IF(('Activity data'!T10*EF!$H41*EF!$H59)*NtoN2O*kgtoGg=0,"NO",('Activity data'!T10*EF!$H41*EF!$H59)*NtoN2O*kgtoGg)</f>
        <v>0.75959383499999988</v>
      </c>
      <c r="U41" s="28">
        <f>IF(('Activity data'!U10*EF!$H41*EF!$H59)*NtoN2O*kgtoGg=0,"NO",('Activity data'!U10*EF!$H41*EF!$H59)*NtoN2O*kgtoGg)</f>
        <v>0.75959383499999988</v>
      </c>
      <c r="V41" s="28">
        <f>IF(('Activity data'!V10*EF!$H41*EF!$H59)*NtoN2O*kgtoGg=0,"NO",('Activity data'!V10*EF!$H41*EF!$H59)*NtoN2O*kgtoGg)</f>
        <v>0.75959383499999988</v>
      </c>
      <c r="W41" s="28">
        <f>IF(('Activity data'!W10*EF!$H41*EF!$H59)*NtoN2O*kgtoGg=0,"NO",('Activity data'!W10*EF!$H41*EF!$H59)*NtoN2O*kgtoGg)</f>
        <v>0.75959383499999988</v>
      </c>
      <c r="X41" s="28">
        <f>IF(('Activity data'!X10*EF!$H41*EF!$H59)*NtoN2O*kgtoGg=0,"NO",('Activity data'!X10*EF!$H41*EF!$H59)*NtoN2O*kgtoGg)</f>
        <v>0.75959383499999988</v>
      </c>
      <c r="Y41" s="28">
        <f>IF(('Activity data'!Y10*EF!$H41*EF!$H59)*NtoN2O*kgtoGg=0,"NO",('Activity data'!Y10*EF!$H41*EF!$H59)*NtoN2O*kgtoGg)</f>
        <v>0.75959383499999988</v>
      </c>
      <c r="Z41" s="28">
        <f>IF(('Activity data'!Z10*EF!$H41*EF!$H59)*NtoN2O*kgtoGg=0,"NO",('Activity data'!Z10*EF!$H41*EF!$H59)*NtoN2O*kgtoGg)</f>
        <v>0.70741290350981256</v>
      </c>
      <c r="AA41" s="28">
        <f>IF(('Activity data'!AA10*EF!$H41*EF!$H59)*NtoN2O*kgtoGg=0,"NO",('Activity data'!AA10*EF!$H41*EF!$H59)*NtoN2O*kgtoGg)</f>
        <v>0.72490466154356248</v>
      </c>
      <c r="AB41" s="28">
        <f>IF(('Activity data'!AB10*EF!$H41*EF!$H59)*NtoN2O*kgtoGg=0,"NO",('Activity data'!AB10*EF!$H41*EF!$H59)*NtoN2O*kgtoGg)</f>
        <v>0.72310137975074984</v>
      </c>
      <c r="AC41" s="28">
        <f>IF(('Activity data'!AC10*EF!$H41*EF!$H59)*NtoN2O*kgtoGg=0,"NO",('Activity data'!AC10*EF!$H41*EF!$H59)*NtoN2O*kgtoGg)</f>
        <v>0.83519180857612507</v>
      </c>
      <c r="AD41" s="28">
        <f>IF(('Activity data'!AD10*EF!$H41*EF!$H59)*NtoN2O*kgtoGg=0,"NO",('Activity data'!AD10*EF!$H41*EF!$H59)*NtoN2O*kgtoGg)</f>
        <v>0.98205986457809369</v>
      </c>
      <c r="AE41" s="28">
        <f>IF(('Activity data'!AE10*EF!$H41*EF!$H59)*NtoN2O*kgtoGg=0,"NO",('Activity data'!AE10*EF!$H41*EF!$H59)*NtoN2O*kgtoGg)</f>
        <v>1.0186966250855221</v>
      </c>
      <c r="AF41" s="28">
        <f>IF(('Activity data'!AF10*EF!$H41*EF!$H59)*NtoN2O*kgtoGg=0,"NO",('Activity data'!AF10*EF!$H41*EF!$H59)*NtoN2O*kgtoGg)</f>
        <v>1.0516100331905254</v>
      </c>
      <c r="AG41" s="28">
        <f>IF(('Activity data'!AG10*EF!$H41*EF!$H59)*NtoN2O*kgtoGg=0,"NO",('Activity data'!AG10*EF!$H41*EF!$H59)*NtoN2O*kgtoGg)</f>
        <v>1.0670554052779846</v>
      </c>
      <c r="AH41" s="28">
        <f>IF(('Activity data'!AH10*EF!$H41*EF!$H59)*NtoN2O*kgtoGg=0,"NO",('Activity data'!AH10*EF!$H41*EF!$H59)*NtoN2O*kgtoGg)</f>
        <v>1.0827371051777117</v>
      </c>
      <c r="AI41" s="28">
        <f>IF(('Activity data'!AI10*EF!$H41*EF!H59)*NtoN2O*kgtoGg=0,"NO",('Activity data'!AI10*EF!$H41*EF!H59)*NtoN2O*kgtoGg)</f>
        <v>1.1173522594931429</v>
      </c>
      <c r="AJ41" s="28">
        <f>IF(('Activity data'!AJ10*EF!$H41*EF!I59)*NtoN2O*kgtoGg=0,"NO",('Activity data'!AJ10*EF!$H41*EF!I59)*NtoN2O*kgtoGg)</f>
        <v>1.1465503025323129</v>
      </c>
      <c r="AK41" s="28">
        <f>IF(('Activity data'!AK10*EF!$H41*EF!J59)*NtoN2O*kgtoGg=0,"NO",('Activity data'!AK10*EF!$H41*EF!J59)*NtoN2O*kgtoGg)</f>
        <v>1.1550738596088039</v>
      </c>
      <c r="AL41" s="28">
        <f>IF(('Activity data'!AL10*EF!$H41*EF!K59)*NtoN2O*kgtoGg=0,"NO",('Activity data'!AL10*EF!$H41*EF!K59)*NtoN2O*kgtoGg)</f>
        <v>1.0695943528873249</v>
      </c>
      <c r="AM41" s="28">
        <f>IF(('Activity data'!AM10*EF!$H41*EF!L59)*NtoN2O*kgtoGg=0,"NO",('Activity data'!AM10*EF!$H41*EF!L59)*NtoN2O*kgtoGg)</f>
        <v>1.1219950081899948</v>
      </c>
      <c r="AN41" s="28">
        <f>IF(('Activity data'!AN10*EF!$H41*EF!M59)*NtoN2O*kgtoGg=0,"NO",('Activity data'!AN10*EF!$H41*EF!M59)*NtoN2O*kgtoGg)</f>
        <v>1.1633173415255618</v>
      </c>
      <c r="AO41" s="28">
        <f>IF(('Activity data'!AO10*EF!$H41*EF!N59)*NtoN2O*kgtoGg=0,"NO",('Activity data'!AO10*EF!$H41*EF!N59)*NtoN2O*kgtoGg)</f>
        <v>1.2025059899255817</v>
      </c>
      <c r="AP41" s="28">
        <f>IF(('Activity data'!AP10*EF!$H41*EF!O59)*NtoN2O*kgtoGg=0,"NO",('Activity data'!AP10*EF!$H41*EF!O59)*NtoN2O*kgtoGg)</f>
        <v>1.2467916832467774</v>
      </c>
      <c r="AQ41" s="28">
        <f>IF(('Activity data'!AQ10*EF!$H41*EF!P59)*NtoN2O*kgtoGg=0,"NO",('Activity data'!AQ10*EF!$H41*EF!P59)*NtoN2O*kgtoGg)</f>
        <v>1.3077319490194745</v>
      </c>
      <c r="AR41" s="28">
        <f>IF(('Activity data'!AR10*EF!$H41*EF!Q59)*NtoN2O*kgtoGg=0,"NO",('Activity data'!AR10*EF!$H41*EF!Q59)*NtoN2O*kgtoGg)</f>
        <v>1.3736346071286145</v>
      </c>
      <c r="AS41" s="28">
        <f>IF(('Activity data'!AS10*EF!$H41*EF!R59)*NtoN2O*kgtoGg=0,"NO",('Activity data'!AS10*EF!$H41*EF!R59)*NtoN2O*kgtoGg)</f>
        <v>1.444880911122689</v>
      </c>
      <c r="AT41" s="28">
        <f>IF(('Activity data'!AT10*EF!$H41*EF!S59)*NtoN2O*kgtoGg=0,"NO",('Activity data'!AT10*EF!$H41*EF!S59)*NtoN2O*kgtoGg)</f>
        <v>1.5106946759567434</v>
      </c>
      <c r="AU41" s="28">
        <f>IF(('Activity data'!AU10*EF!$H41*EF!T59)*NtoN2O*kgtoGg=0,"NO",('Activity data'!AU10*EF!$H41*EF!T59)*NtoN2O*kgtoGg)</f>
        <v>1.5853572340052999</v>
      </c>
      <c r="AV41" s="28">
        <f>IF(('Activity data'!AV10*EF!$H41*EF!U59)*NtoN2O*kgtoGg=0,"NO",('Activity data'!AV10*EF!$H41*EF!U59)*NtoN2O*kgtoGg)</f>
        <v>1.6709659686150751</v>
      </c>
      <c r="AW41" s="28">
        <f>IF(('Activity data'!AW10*EF!$H41*EF!V59)*NtoN2O*kgtoGg=0,"NO",('Activity data'!AW10*EF!$H41*EF!V59)*NtoN2O*kgtoGg)</f>
        <v>1.7608921819876218</v>
      </c>
      <c r="AX41" s="28">
        <f>IF(('Activity data'!AX10*EF!$H41*EF!W59)*NtoN2O*kgtoGg=0,"NO",('Activity data'!AX10*EF!$H41*EF!W59)*NtoN2O*kgtoGg)</f>
        <v>1.8558227828840355</v>
      </c>
      <c r="AY41" s="28">
        <f>IF(('Activity data'!AY10*EF!$H41*EF!X59)*NtoN2O*kgtoGg=0,"NO",('Activity data'!AY10*EF!$H41*EF!X59)*NtoN2O*kgtoGg)</f>
        <v>1.9543039033617708</v>
      </c>
      <c r="AZ41" s="28">
        <f>IF(('Activity data'!AZ10*EF!$H41*EF!Y59)*NtoN2O*kgtoGg=0,"NO",('Activity data'!AZ10*EF!$H41*EF!Y59)*NtoN2O*kgtoGg)</f>
        <v>2.0634682331223644</v>
      </c>
      <c r="BA41" s="28">
        <f>IF(('Activity data'!BA10*EF!$H41*EF!Z59)*NtoN2O*kgtoGg=0,"NO",('Activity data'!BA10*EF!$H41*EF!Z59)*NtoN2O*kgtoGg)</f>
        <v>2.1649176431538755</v>
      </c>
      <c r="BB41" s="28">
        <f>IF(('Activity data'!BB10*EF!$H41*EF!AA59)*NtoN2O*kgtoGg=0,"NO",('Activity data'!BB10*EF!$H41*EF!AA59)*NtoN2O*kgtoGg)</f>
        <v>2.2729641706273069</v>
      </c>
      <c r="BC41" s="28">
        <f>IF(('Activity data'!BC10*EF!$H41*EF!AB59)*NtoN2O*kgtoGg=0,"NO",('Activity data'!BC10*EF!$H41*EF!AB59)*NtoN2O*kgtoGg)</f>
        <v>2.3846427633469691</v>
      </c>
      <c r="BD41" s="28">
        <f>IF(('Activity data'!BD10*EF!$H41*EF!AC59)*NtoN2O*kgtoGg=0,"NO",('Activity data'!BD10*EF!$H41*EF!AC59)*NtoN2O*kgtoGg)</f>
        <v>2.4947887072389494</v>
      </c>
      <c r="BE41" s="28">
        <f>IF(('Activity data'!BE10*EF!$H41*EF!AD59)*NtoN2O*kgtoGg=0,"NO",('Activity data'!BE10*EF!$H41*EF!AD59)*NtoN2O*kgtoGg)</f>
        <v>2.6068756949224299</v>
      </c>
      <c r="BF41" s="28">
        <f>IF(('Activity data'!BF10*EF!$H41*EF!AE59)*NtoN2O*kgtoGg=0,"NO",('Activity data'!BF10*EF!$H41*EF!AE59)*NtoN2O*kgtoGg)</f>
        <v>2.7241988792314307</v>
      </c>
      <c r="BG41" s="28">
        <f>IF(('Activity data'!BG10*EF!$H41*EF!AF59)*NtoN2O*kgtoGg=0,"NO",('Activity data'!BG10*EF!$H41*EF!AF59)*NtoN2O*kgtoGg)</f>
        <v>2.844574694525166</v>
      </c>
      <c r="BH41" s="28">
        <f>IF(('Activity data'!BH10*EF!$H41*EF!AG59)*NtoN2O*kgtoGg=0,"NO",('Activity data'!BH10*EF!$H41*EF!AG59)*NtoN2O*kgtoGg)</f>
        <v>2.9614918045068643</v>
      </c>
      <c r="BI41" s="28">
        <f>IF(('Activity data'!BI10*EF!$H41*EF!AH59)*NtoN2O*kgtoGg=0,"NO",('Activity data'!BI10*EF!$H41*EF!AH59)*NtoN2O*kgtoGg)</f>
        <v>3.0815745118174522</v>
      </c>
      <c r="BJ41" s="28">
        <f>IF(('Activity data'!BJ10*EF!$H41*EF!AI59)*NtoN2O*kgtoGg=0,"NO",('Activity data'!BJ10*EF!$H41*EF!AI59)*NtoN2O*kgtoGg)</f>
        <v>3.2050489971777192</v>
      </c>
      <c r="BK41" s="28">
        <f>IF(('Activity data'!BK10*EF!$H41*EF!AJ59)*NtoN2O*kgtoGg=0,"NO",('Activity data'!BK10*EF!$H41*EF!AJ59)*NtoN2O*kgtoGg)</f>
        <v>3.3369151668424974</v>
      </c>
      <c r="BL41" s="28">
        <f>IF(('Activity data'!BL10*EF!$H41*EF!AK59)*NtoN2O*kgtoGg=0,"NO",('Activity data'!BL10*EF!$H41*EF!AK59)*NtoN2O*kgtoGg)</f>
        <v>3.4733559158161165</v>
      </c>
      <c r="BM41" s="28">
        <f>IF(('Activity data'!BM10*EF!$H41*EF!AL59)*NtoN2O*kgtoGg=0,"NO",('Activity data'!BM10*EF!$H41*EF!AL59)*NtoN2O*kgtoGg)</f>
        <v>3.5651160309626517</v>
      </c>
      <c r="BN41" s="28">
        <f>IF(('Activity data'!BN10*EF!$H41*EF!AM59)*NtoN2O*kgtoGg=0,"NO",('Activity data'!BN10*EF!$H41*EF!AM59)*NtoN2O*kgtoGg)</f>
        <v>3.6548683550042269</v>
      </c>
      <c r="BO41" s="28">
        <f>IF(('Activity data'!BO10*EF!$H41*EF!AN59)*NtoN2O*kgtoGg=0,"NO",('Activity data'!BO10*EF!$H41*EF!AN59)*NtoN2O*kgtoGg)</f>
        <v>3.7523616710832552</v>
      </c>
      <c r="BP41" s="28">
        <f>IF(('Activity data'!BP10*EF!$H41*EF!AO59)*NtoN2O*kgtoGg=0,"NO",('Activity data'!BP10*EF!$H41*EF!AO59)*NtoN2O*kgtoGg)</f>
        <v>3.8484469226935669</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8">
        <f>IF(('Activity data'!H11*EF!$H42*EF!$H60)*NtoN2O*kgtoGg=0,"NO",('Activity data'!H11*EF!$H42*EF!$H60)*NtoN2O*kgtoGg)</f>
        <v>0.18472261121735453</v>
      </c>
      <c r="I42" s="28">
        <f>IF(('Activity data'!I11*EF!$H42*EF!$H60)*NtoN2O*kgtoGg=0,"NO",('Activity data'!I11*EF!$H42*EF!$H60)*NtoN2O*kgtoGg)</f>
        <v>0.17641659434150833</v>
      </c>
      <c r="J42" s="28">
        <f>IF(('Activity data'!J11*EF!$H42*EF!$H60)*NtoN2O*kgtoGg=0,"NO",('Activity data'!J11*EF!$H42*EF!$H60)*NtoN2O*kgtoGg)</f>
        <v>0.16912726350758692</v>
      </c>
      <c r="K42" s="28">
        <f>IF(('Activity data'!K11*EF!$H42*EF!$H60)*NtoN2O*kgtoGg=0,"NO",('Activity data'!K11*EF!$H42*EF!$H60)*NtoN2O*kgtoGg)</f>
        <v>0.15817170118914878</v>
      </c>
      <c r="L42" s="28">
        <f>IF(('Activity data'!L11*EF!$H42*EF!$H60)*NtoN2O*kgtoGg=0,"NO",('Activity data'!L11*EF!$H42*EF!$H60)*NtoN2O*kgtoGg)</f>
        <v>0.15928697496847238</v>
      </c>
      <c r="M42" s="28">
        <f>IF(('Activity data'!M11*EF!$H42*EF!$H60)*NtoN2O*kgtoGg=0,"NO",('Activity data'!M11*EF!$H42*EF!$H60)*NtoN2O*kgtoGg)</f>
        <v>0.15700713354112583</v>
      </c>
      <c r="N42" s="28">
        <f>IF(('Activity data'!N11*EF!$H42*EF!$H60)*NtoN2O*kgtoGg=0,"NO",('Activity data'!N11*EF!$H42*EF!$H60)*NtoN2O*kgtoGg)</f>
        <v>0.1575308808960568</v>
      </c>
      <c r="O42" s="28">
        <f>IF(('Activity data'!O11*EF!$H42*EF!$H60)*NtoN2O*kgtoGg=0,"NO",('Activity data'!O11*EF!$H42*EF!$H60)*NtoN2O*kgtoGg)</f>
        <v>0.15410495702144961</v>
      </c>
      <c r="P42" s="28">
        <f>IF(('Activity data'!P11*EF!$H42*EF!$H60)*NtoN2O*kgtoGg=0,"NO",('Activity data'!P11*EF!$H42*EF!$H60)*NtoN2O*kgtoGg)</f>
        <v>0.15453011663898178</v>
      </c>
      <c r="Q42" s="28">
        <f>IF(('Activity data'!Q11*EF!$H42*EF!$H60)*NtoN2O*kgtoGg=0,"NO",('Activity data'!Q11*EF!$H42*EF!$H60)*NtoN2O*kgtoGg)</f>
        <v>0.1507344887491292</v>
      </c>
      <c r="R42" s="28">
        <f>IF(('Activity data'!R11*EF!$H42*EF!$H60)*NtoN2O*kgtoGg=0,"NO",('Activity data'!R11*EF!$H42*EF!$H60)*NtoN2O*kgtoGg)</f>
        <v>0.14533064839295923</v>
      </c>
      <c r="S42" s="28">
        <f>IF(('Activity data'!S11*EF!$H42*EF!$H60)*NtoN2O*kgtoGg=0,"NO",('Activity data'!S11*EF!$H42*EF!$H60)*NtoN2O*kgtoGg)</f>
        <v>0.14170754904355451</v>
      </c>
      <c r="T42" s="28">
        <f>IF(('Activity data'!T11*EF!$H42*EF!$H60)*NtoN2O*kgtoGg=0,"NO",('Activity data'!T11*EF!$H42*EF!$H60)*NtoN2O*kgtoGg)</f>
        <v>0.13934144334598406</v>
      </c>
      <c r="U42" s="28">
        <f>IF(('Activity data'!U11*EF!$H42*EF!$H60)*NtoN2O*kgtoGg=0,"NO",('Activity data'!U11*EF!$H42*EF!$H60)*NtoN2O*kgtoGg)</f>
        <v>0.13982822029939046</v>
      </c>
      <c r="V42" s="28">
        <f>IF(('Activity data'!V11*EF!$H42*EF!$H60)*NtoN2O*kgtoGg=0,"NO",('Activity data'!V11*EF!$H42*EF!$H60)*NtoN2O*kgtoGg)</f>
        <v>0.13733887993007157</v>
      </c>
      <c r="W42" s="28">
        <f>IF(('Activity data'!W11*EF!$H42*EF!$H60)*NtoN2O*kgtoGg=0,"NO",('Activity data'!W11*EF!$H42*EF!$H60)*NtoN2O*kgtoGg)</f>
        <v>0.13701230804993814</v>
      </c>
      <c r="X42" s="28">
        <f>IF(('Activity data'!X11*EF!$H42*EF!$H60)*NtoN2O*kgtoGg=0,"NO",('Activity data'!X11*EF!$H42*EF!$H60)*NtoN2O*kgtoGg)</f>
        <v>0.13521924357599804</v>
      </c>
      <c r="Y42" s="28">
        <f>IF(('Activity data'!Y11*EF!$H42*EF!$H60)*NtoN2O*kgtoGg=0,"NO",('Activity data'!Y11*EF!$H42*EF!$H60)*NtoN2O*kgtoGg)</f>
        <v>0.13508984717066219</v>
      </c>
      <c r="Z42" s="28">
        <f>IF(('Activity data'!Z11*EF!$H42*EF!$H60)*NtoN2O*kgtoGg=0,"NO",('Activity data'!Z11*EF!$H42*EF!$H60)*NtoN2O*kgtoGg)</f>
        <v>0.1355273302553692</v>
      </c>
      <c r="AA42" s="28">
        <f>IF(('Activity data'!AA11*EF!$H42*EF!$H60)*NtoN2O*kgtoGg=0,"NO",('Activity data'!AA11*EF!$H42*EF!$H60)*NtoN2O*kgtoGg)</f>
        <v>0.13504671503555021</v>
      </c>
      <c r="AB42" s="28">
        <f>IF(('Activity data'!AB11*EF!$H42*EF!$H60)*NtoN2O*kgtoGg=0,"NO",('Activity data'!AB11*EF!$H42*EF!$H60)*NtoN2O*kgtoGg)</f>
        <v>0.13243413999448284</v>
      </c>
      <c r="AC42" s="28">
        <f>IF(('Activity data'!AC11*EF!$H42*EF!$H60)*NtoN2O*kgtoGg=0,"NO",('Activity data'!AC11*EF!$H42*EF!$H60)*NtoN2O*kgtoGg)</f>
        <v>0.1313989687517958</v>
      </c>
      <c r="AD42" s="28">
        <f>IF(('Activity data'!AD11*EF!$H42*EF!$H60)*NtoN2O*kgtoGg=0,"NO",('Activity data'!AD11*EF!$H42*EF!$H60)*NtoN2O*kgtoGg)</f>
        <v>0.11717139101759612</v>
      </c>
      <c r="AE42" s="28">
        <f>IF(('Activity data'!AE11*EF!$H42*EF!$H60)*NtoN2O*kgtoGg=0,"NO",('Activity data'!AE11*EF!$H42*EF!$H60)*NtoN2O*kgtoGg)</f>
        <v>0.11723462618367245</v>
      </c>
      <c r="AF42" s="28">
        <f>IF(('Activity data'!AF11*EF!$H42*EF!$H60)*NtoN2O*kgtoGg=0,"NO",('Activity data'!AF11*EF!$H42*EF!$H60)*NtoN2O*kgtoGg)</f>
        <v>0.11737999843906115</v>
      </c>
      <c r="AG42" s="28">
        <f>IF(('Activity data'!AG11*EF!$H42*EF!$H60)*NtoN2O*kgtoGg=0,"NO",('Activity data'!AG11*EF!$H42*EF!$H60)*NtoN2O*kgtoGg)</f>
        <v>0.1175958170956644</v>
      </c>
      <c r="AH42" s="28">
        <f>IF(('Activity data'!AH11*EF!$H42*EF!$H60)*NtoN2O*kgtoGg=0,"NO",('Activity data'!AH11*EF!$H42*EF!$H60)*NtoN2O*kgtoGg)</f>
        <v>0.1178871134646596</v>
      </c>
      <c r="AI42" s="28">
        <f>IF(('Activity data'!AI11*EF!$H42*EF!H60)*NtoN2O*kgtoGg=0,"NO",('Activity data'!AI11*EF!$H42*EF!H60)*NtoN2O*kgtoGg)</f>
        <v>0.11825974180541671</v>
      </c>
      <c r="AJ42" s="28">
        <f>IF(('Activity data'!AJ11*EF!$H42*EF!I60)*NtoN2O*kgtoGg=0,"NO",('Activity data'!AJ11*EF!$H42*EF!I60)*NtoN2O*kgtoGg)</f>
        <v>0.11867033947255794</v>
      </c>
      <c r="AK42" s="28">
        <f>IF(('Activity data'!AK11*EF!$H42*EF!J60)*NtoN2O*kgtoGg=0,"NO",('Activity data'!AK11*EF!$H42*EF!J60)*NtoN2O*kgtoGg)</f>
        <v>0.11911252923744317</v>
      </c>
      <c r="AL42" s="28">
        <f>IF(('Activity data'!AL11*EF!$H42*EF!K60)*NtoN2O*kgtoGg=0,"NO",('Activity data'!AL11*EF!$H42*EF!K60)*NtoN2O*kgtoGg)</f>
        <v>0.11955062486439895</v>
      </c>
      <c r="AM42" s="28">
        <f>IF(('Activity data'!AM11*EF!$H42*EF!L60)*NtoN2O*kgtoGg=0,"NO",('Activity data'!AM11*EF!$H42*EF!L60)*NtoN2O*kgtoGg)</f>
        <v>0.11972991314052749</v>
      </c>
      <c r="AN42" s="28">
        <f>IF(('Activity data'!AN11*EF!$H42*EF!M60)*NtoN2O*kgtoGg=0,"NO",('Activity data'!AN11*EF!$H42*EF!M60)*NtoN2O*kgtoGg)</f>
        <v>0.11993350054454542</v>
      </c>
      <c r="AO42" s="28">
        <f>IF(('Activity data'!AO11*EF!$H42*EF!N60)*NtoN2O*kgtoGg=0,"NO",('Activity data'!AO11*EF!$H42*EF!N60)*NtoN2O*kgtoGg)</f>
        <v>0.12016374349275831</v>
      </c>
      <c r="AP42" s="28">
        <f>IF(('Activity data'!AP11*EF!$H42*EF!O60)*NtoN2O*kgtoGg=0,"NO",('Activity data'!AP11*EF!$H42*EF!O60)*NtoN2O*kgtoGg)</f>
        <v>0.12042231214139444</v>
      </c>
      <c r="AQ42" s="28">
        <f>IF(('Activity data'!AQ11*EF!$H42*EF!P60)*NtoN2O*kgtoGg=0,"NO",('Activity data'!AQ11*EF!$H42*EF!P60)*NtoN2O*kgtoGg)</f>
        <v>0.12071286205990268</v>
      </c>
      <c r="AR42" s="28">
        <f>IF(('Activity data'!AR11*EF!$H42*EF!Q60)*NtoN2O*kgtoGg=0,"NO",('Activity data'!AR11*EF!$H42*EF!Q60)*NtoN2O*kgtoGg)</f>
        <v>0.12089554719264045</v>
      </c>
      <c r="AS42" s="28">
        <f>IF(('Activity data'!AS11*EF!$H42*EF!R60)*NtoN2O*kgtoGg=0,"NO",('Activity data'!AS11*EF!$H42*EF!R60)*NtoN2O*kgtoGg)</f>
        <v>0.12110125995232866</v>
      </c>
      <c r="AT42" s="28">
        <f>IF(('Activity data'!AT11*EF!$H42*EF!S60)*NtoN2O*kgtoGg=0,"NO",('Activity data'!AT11*EF!$H42*EF!S60)*NtoN2O*kgtoGg)</f>
        <v>0.12132427506998271</v>
      </c>
      <c r="AU42" s="28">
        <f>IF(('Activity data'!AU11*EF!$H42*EF!T60)*NtoN2O*kgtoGg=0,"NO",('Activity data'!AU11*EF!$H42*EF!T60)*NtoN2O*kgtoGg)</f>
        <v>0.12156982110770359</v>
      </c>
      <c r="AV42" s="28">
        <f>IF(('Activity data'!AV11*EF!$H42*EF!U60)*NtoN2O*kgtoGg=0,"NO",('Activity data'!AV11*EF!$H42*EF!U60)*NtoN2O*kgtoGg)</f>
        <v>0.12183786994920162</v>
      </c>
      <c r="AW42" s="28">
        <f>IF(('Activity data'!AW11*EF!$H42*EF!V60)*NtoN2O*kgtoGg=0,"NO",('Activity data'!AW11*EF!$H42*EF!V60)*NtoN2O*kgtoGg)</f>
        <v>0.12201528623614287</v>
      </c>
      <c r="AX42" s="28">
        <f>IF(('Activity data'!AX11*EF!$H42*EF!W60)*NtoN2O*kgtoGg=0,"NO",('Activity data'!AX11*EF!$H42*EF!W60)*NtoN2O*kgtoGg)</f>
        <v>0.12220996410772501</v>
      </c>
      <c r="AY42" s="28">
        <f>IF(('Activity data'!AY11*EF!$H42*EF!X60)*NtoN2O*kgtoGg=0,"NO",('Activity data'!AY11*EF!$H42*EF!X60)*NtoN2O*kgtoGg)</f>
        <v>0.1224205957767</v>
      </c>
      <c r="AZ42" s="28">
        <f>IF(('Activity data'!AZ11*EF!$H42*EF!Y60)*NtoN2O*kgtoGg=0,"NO",('Activity data'!AZ11*EF!$H42*EF!Y60)*NtoN2O*kgtoGg)</f>
        <v>0.12264946134615734</v>
      </c>
      <c r="BA42" s="28">
        <f>IF(('Activity data'!BA11*EF!$H42*EF!Z60)*NtoN2O*kgtoGg=0,"NO",('Activity data'!BA11*EF!$H42*EF!Z60)*NtoN2O*kgtoGg)</f>
        <v>0.12288846185835746</v>
      </c>
      <c r="BB42" s="28">
        <f>IF(('Activity data'!BB11*EF!$H42*EF!AA60)*NtoN2O*kgtoGg=0,"NO",('Activity data'!BB11*EF!$H42*EF!AA60)*NtoN2O*kgtoGg)</f>
        <v>0.12304136792276418</v>
      </c>
      <c r="BC42" s="28">
        <f>IF(('Activity data'!BC11*EF!$H42*EF!AB60)*NtoN2O*kgtoGg=0,"NO",('Activity data'!BC11*EF!$H42*EF!AB60)*NtoN2O*kgtoGg)</f>
        <v>0.12320724493915225</v>
      </c>
      <c r="BD42" s="28">
        <f>IF(('Activity data'!BD11*EF!$H42*EF!AC60)*NtoN2O*kgtoGg=0,"NO",('Activity data'!BD11*EF!$H42*EF!AC60)*NtoN2O*kgtoGg)</f>
        <v>0.12338358070705197</v>
      </c>
      <c r="BE42" s="28">
        <f>IF(('Activity data'!BE11*EF!$H42*EF!AD60)*NtoN2O*kgtoGg=0,"NO",('Activity data'!BE11*EF!$H42*EF!AD60)*NtoN2O*kgtoGg)</f>
        <v>0.12357134049580157</v>
      </c>
      <c r="BF42" s="28">
        <f>IF(('Activity data'!BF11*EF!$H42*EF!AE60)*NtoN2O*kgtoGg=0,"NO",('Activity data'!BF11*EF!$H42*EF!AE60)*NtoN2O*kgtoGg)</f>
        <v>0.12377140391233164</v>
      </c>
      <c r="BG42" s="28">
        <f>IF(('Activity data'!BG11*EF!$H42*EF!AF60)*NtoN2O*kgtoGg=0,"NO",('Activity data'!BG11*EF!$H42*EF!AF60)*NtoN2O*kgtoGg)</f>
        <v>0.1238893184922704</v>
      </c>
      <c r="BH42" s="28">
        <f>IF(('Activity data'!BH11*EF!$H42*EF!AG60)*NtoN2O*kgtoGg=0,"NO",('Activity data'!BH11*EF!$H42*EF!AG60)*NtoN2O*kgtoGg)</f>
        <v>0.12401495917055069</v>
      </c>
      <c r="BI42" s="28">
        <f>IF(('Activity data'!BI11*EF!$H42*EF!AH60)*NtoN2O*kgtoGg=0,"NO",('Activity data'!BI11*EF!$H42*EF!AH60)*NtoN2O*kgtoGg)</f>
        <v>0.12415054004629532</v>
      </c>
      <c r="BJ42" s="28">
        <f>IF(('Activity data'!BJ11*EF!$H42*EF!AI60)*NtoN2O*kgtoGg=0,"NO",('Activity data'!BJ11*EF!$H42*EF!AI60)*NtoN2O*kgtoGg)</f>
        <v>0.12429582194532131</v>
      </c>
      <c r="BK42" s="28">
        <f>IF(('Activity data'!BK11*EF!$H42*EF!AJ60)*NtoN2O*kgtoGg=0,"NO",('Activity data'!BK11*EF!$H42*EF!AJ60)*NtoN2O*kgtoGg)</f>
        <v>0.12445236467960287</v>
      </c>
      <c r="BL42" s="28">
        <f>IF(('Activity data'!BL11*EF!$H42*EF!AK60)*NtoN2O*kgtoGg=0,"NO",('Activity data'!BL11*EF!$H42*EF!AK60)*NtoN2O*kgtoGg)</f>
        <v>0.12452291839205781</v>
      </c>
      <c r="BM42" s="28">
        <f>IF(('Activity data'!BM11*EF!$H42*EF!AL60)*NtoN2O*kgtoGg=0,"NO",('Activity data'!BM11*EF!$H42*EF!AL60)*NtoN2O*kgtoGg)</f>
        <v>0.12458415812408247</v>
      </c>
      <c r="BN42" s="28">
        <f>IF(('Activity data'!BN11*EF!$H42*EF!AM60)*NtoN2O*kgtoGg=0,"NO",('Activity data'!BN11*EF!$H42*EF!AM60)*NtoN2O*kgtoGg)</f>
        <v>0.12465176490232828</v>
      </c>
      <c r="BO42" s="28">
        <f>IF(('Activity data'!BO11*EF!$H42*EF!AN60)*NtoN2O*kgtoGg=0,"NO",('Activity data'!BO11*EF!$H42*EF!AN60)*NtoN2O*kgtoGg)</f>
        <v>0.12472905780449089</v>
      </c>
      <c r="BP42" s="28">
        <f>IF(('Activity data'!BP11*EF!$H42*EF!AO60)*NtoN2O*kgtoGg=0,"NO",('Activity data'!BP11*EF!$H42*EF!AO60)*NtoN2O*kgtoGg)</f>
        <v>0.12481246580884831</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8">
        <f>IF(('Activity data'!H12*EF!$H43*EF!$H61)*NtoN2O*kgtoGg=0,"NO",('Activity data'!H12*EF!$H43*EF!$H61)*NtoN2O*kgtoGg)</f>
        <v>9.2257162292800898E-2</v>
      </c>
      <c r="I43" s="28">
        <f>IF(('Activity data'!I12*EF!$H43*EF!$H61)*NtoN2O*kgtoGg=0,"NO",('Activity data'!I12*EF!$H43*EF!$H61)*NtoN2O*kgtoGg)</f>
        <v>8.810883663915349E-2</v>
      </c>
      <c r="J43" s="28">
        <f>IF(('Activity data'!J12*EF!$H43*EF!$H61)*NtoN2O*kgtoGg=0,"NO",('Activity data'!J12*EF!$H43*EF!$H61)*NtoN2O*kgtoGg)</f>
        <v>8.4468280816998517E-2</v>
      </c>
      <c r="K43" s="28">
        <f>IF(('Activity data'!K12*EF!$H43*EF!$H61)*NtoN2O*kgtoGg=0,"NO",('Activity data'!K12*EF!$H43*EF!$H61)*NtoN2O*kgtoGg)</f>
        <v>7.8996676208552608E-2</v>
      </c>
      <c r="L43" s="28">
        <f>IF(('Activity data'!L12*EF!$H43*EF!$H61)*NtoN2O*kgtoGg=0,"NO",('Activity data'!L12*EF!$H43*EF!$H61)*NtoN2O*kgtoGg)</f>
        <v>7.9553684326735249E-2</v>
      </c>
      <c r="M43" s="28">
        <f>IF(('Activity data'!M12*EF!$H43*EF!$H61)*NtoN2O*kgtoGg=0,"NO",('Activity data'!M12*EF!$H43*EF!$H61)*NtoN2O*kgtoGg)</f>
        <v>7.8415048947024904E-2</v>
      </c>
      <c r="N43" s="28">
        <f>IF(('Activity data'!N12*EF!$H43*EF!$H61)*NtoN2O*kgtoGg=0,"NO",('Activity data'!N12*EF!$H43*EF!$H61)*NtoN2O*kgtoGg)</f>
        <v>7.867662734506646E-2</v>
      </c>
      <c r="O43" s="28">
        <f>IF(('Activity data'!O12*EF!$H43*EF!$H61)*NtoN2O*kgtoGg=0,"NO",('Activity data'!O12*EF!$H43*EF!$H61)*NtoN2O*kgtoGg)</f>
        <v>7.6965596882582824E-2</v>
      </c>
      <c r="P43" s="28">
        <f>IF(('Activity data'!P12*EF!$H43*EF!$H61)*NtoN2O*kgtoGg=0,"NO",('Activity data'!P12*EF!$H43*EF!$H61)*NtoN2O*kgtoGg)</f>
        <v>7.7177936993934437E-2</v>
      </c>
      <c r="Q43" s="28">
        <f>IF(('Activity data'!Q12*EF!$H43*EF!$H61)*NtoN2O*kgtoGg=0,"NO",('Activity data'!Q12*EF!$H43*EF!$H61)*NtoN2O*kgtoGg)</f>
        <v>7.5282262956362631E-2</v>
      </c>
      <c r="R43" s="28">
        <f>IF(('Activity data'!R12*EF!$H43*EF!$H61)*NtoN2O*kgtoGg=0,"NO",('Activity data'!R12*EF!$H43*EF!$H61)*NtoN2O*kgtoGg)</f>
        <v>7.2583389367157303E-2</v>
      </c>
      <c r="S43" s="28">
        <f>IF(('Activity data'!S12*EF!$H43*EF!$H61)*NtoN2O*kgtoGg=0,"NO",('Activity data'!S12*EF!$H43*EF!$H61)*NtoN2O*kgtoGg)</f>
        <v>7.0773882331293281E-2</v>
      </c>
      <c r="T43" s="28">
        <f>IF(('Activity data'!T12*EF!$H43*EF!$H61)*NtoN2O*kgtoGg=0,"NO",('Activity data'!T12*EF!$H43*EF!$H61)*NtoN2O*kgtoGg)</f>
        <v>6.9592163450729036E-2</v>
      </c>
      <c r="U43" s="28">
        <f>IF(('Activity data'!U12*EF!$H43*EF!$H61)*NtoN2O*kgtoGg=0,"NO",('Activity data'!U12*EF!$H43*EF!$H61)*NtoN2O*kgtoGg)</f>
        <v>6.9835277491261782E-2</v>
      </c>
      <c r="V43" s="28">
        <f>IF(('Activity data'!V12*EF!$H43*EF!$H61)*NtoN2O*kgtoGg=0,"NO",('Activity data'!V12*EF!$H43*EF!$H61)*NtoN2O*kgtoGg)</f>
        <v>6.8592010752334814E-2</v>
      </c>
      <c r="W43" s="28">
        <f>IF(('Activity data'!W12*EF!$H43*EF!$H61)*NtoN2O*kgtoGg=0,"NO",('Activity data'!W12*EF!$H43*EF!$H61)*NtoN2O*kgtoGg)</f>
        <v>6.8428908927673615E-2</v>
      </c>
      <c r="X43" s="28">
        <f>IF(('Activity data'!X12*EF!$H43*EF!$H61)*NtoN2O*kgtoGg=0,"NO",('Activity data'!X12*EF!$H43*EF!$H61)*NtoN2O*kgtoGg)</f>
        <v>6.7533387588496016E-2</v>
      </c>
      <c r="Y43" s="28">
        <f>IF(('Activity data'!Y12*EF!$H43*EF!$H61)*NtoN2O*kgtoGg=0,"NO",('Activity data'!Y12*EF!$H43*EF!$H61)*NtoN2O*kgtoGg)</f>
        <v>6.746876233721516E-2</v>
      </c>
      <c r="Z43" s="28">
        <f>IF(('Activity data'!Z12*EF!$H43*EF!$H61)*NtoN2O*kgtoGg=0,"NO",('Activity data'!Z12*EF!$H43*EF!$H61)*NtoN2O*kgtoGg)</f>
        <v>6.7687257234402817E-2</v>
      </c>
      <c r="AA43" s="28">
        <f>IF(('Activity data'!AA12*EF!$H43*EF!$H61)*NtoN2O*kgtoGg=0,"NO",('Activity data'!AA12*EF!$H43*EF!$H61)*NtoN2O*kgtoGg)</f>
        <v>6.7447220586788204E-2</v>
      </c>
      <c r="AB43" s="28">
        <f>IF(('Activity data'!AB12*EF!$H43*EF!$H61)*NtoN2O*kgtoGg=0,"NO",('Activity data'!AB12*EF!$H43*EF!$H61)*NtoN2O*kgtoGg)</f>
        <v>6.6142405989498512E-2</v>
      </c>
      <c r="AC43" s="28">
        <f>IF(('Activity data'!AC12*EF!$H43*EF!$H61)*NtoN2O*kgtoGg=0,"NO",('Activity data'!AC12*EF!$H43*EF!$H61)*NtoN2O*kgtoGg)</f>
        <v>6.5625403979251651E-2</v>
      </c>
      <c r="AD43" s="28">
        <f>IF(('Activity data'!AD12*EF!$H43*EF!$H61)*NtoN2O*kgtoGg=0,"NO",('Activity data'!AD12*EF!$H43*EF!$H61)*NtoN2O*kgtoGg)</f>
        <v>6.2656398763200921E-2</v>
      </c>
      <c r="AE43" s="28">
        <f>IF(('Activity data'!AE12*EF!$H43*EF!$H61)*NtoN2O*kgtoGg=0,"NO",('Activity data'!AE12*EF!$H43*EF!$H61)*NtoN2O*kgtoGg)</f>
        <v>6.2690213227185057E-2</v>
      </c>
      <c r="AF43" s="28">
        <f>IF(('Activity data'!AF12*EF!$H43*EF!$H61)*NtoN2O*kgtoGg=0,"NO",('Activity data'!AF12*EF!$H43*EF!$H61)*NtoN2O*kgtoGg)</f>
        <v>6.276794979686845E-2</v>
      </c>
      <c r="AG43" s="28">
        <f>IF(('Activity data'!AG12*EF!$H43*EF!$H61)*NtoN2O*kgtoGg=0,"NO",('Activity data'!AG12*EF!$H43*EF!$H61)*NtoN2O*kgtoGg)</f>
        <v>6.2883356976822818E-2</v>
      </c>
      <c r="AH43" s="28">
        <f>IF(('Activity data'!AH12*EF!$H43*EF!$H61)*NtoN2O*kgtoGg=0,"NO",('Activity data'!AH12*EF!$H43*EF!$H61)*NtoN2O*kgtoGg)</f>
        <v>6.303912521764958E-2</v>
      </c>
      <c r="AI43" s="28">
        <f>IF(('Activity data'!AI12*EF!$H43*EF!H61)*NtoN2O*kgtoGg=0,"NO",('Activity data'!AI12*EF!$H43*EF!H61)*NtoN2O*kgtoGg)</f>
        <v>6.3238385034454531E-2</v>
      </c>
      <c r="AJ43" s="28">
        <f>IF(('Activity data'!AJ12*EF!$H43*EF!I61)*NtoN2O*kgtoGg=0,"NO",('Activity data'!AJ12*EF!$H43*EF!I61)*NtoN2O*kgtoGg)</f>
        <v>6.3457948623656765E-2</v>
      </c>
      <c r="AK43" s="28">
        <f>IF(('Activity data'!AK12*EF!$H43*EF!J61)*NtoN2O*kgtoGg=0,"NO",('Activity data'!AK12*EF!$H43*EF!J61)*NtoN2O*kgtoGg)</f>
        <v>6.3694405816808061E-2</v>
      </c>
      <c r="AL43" s="28">
        <f>IF(('Activity data'!AL12*EF!$H43*EF!K61)*NtoN2O*kgtoGg=0,"NO",('Activity data'!AL12*EF!$H43*EF!K61)*NtoN2O*kgtoGg)</f>
        <v>6.3928673704733319E-2</v>
      </c>
      <c r="AM43" s="28">
        <f>IF(('Activity data'!AM12*EF!$H43*EF!L61)*NtoN2O*kgtoGg=0,"NO",('Activity data'!AM12*EF!$H43*EF!L61)*NtoN2O*kgtoGg)</f>
        <v>6.4024546576303062E-2</v>
      </c>
      <c r="AN43" s="28">
        <f>IF(('Activity data'!AN12*EF!$H43*EF!M61)*NtoN2O*kgtoGg=0,"NO",('Activity data'!AN12*EF!$H43*EF!M61)*NtoN2O*kgtoGg)</f>
        <v>6.4133413198594794E-2</v>
      </c>
      <c r="AO43" s="28">
        <f>IF(('Activity data'!AO12*EF!$H43*EF!N61)*NtoN2O*kgtoGg=0,"NO",('Activity data'!AO12*EF!$H43*EF!N61)*NtoN2O*kgtoGg)</f>
        <v>6.4256533645065173E-2</v>
      </c>
      <c r="AP43" s="28">
        <f>IF(('Activity data'!AP12*EF!$H43*EF!O61)*NtoN2O*kgtoGg=0,"NO",('Activity data'!AP12*EF!$H43*EF!O61)*NtoN2O*kgtoGg)</f>
        <v>6.4394801017466488E-2</v>
      </c>
      <c r="AQ43" s="28">
        <f>IF(('Activity data'!AQ12*EF!$H43*EF!P61)*NtoN2O*kgtoGg=0,"NO",('Activity data'!AQ12*EF!$H43*EF!P61)*NtoN2O*kgtoGg)</f>
        <v>6.4550170100282397E-2</v>
      </c>
      <c r="AR43" s="28">
        <f>IF(('Activity data'!AR12*EF!$H43*EF!Q61)*NtoN2O*kgtoGg=0,"NO",('Activity data'!AR12*EF!$H43*EF!Q61)*NtoN2O*kgtoGg)</f>
        <v>6.4647859411858508E-2</v>
      </c>
      <c r="AS43" s="28">
        <f>IF(('Activity data'!AS12*EF!$H43*EF!R61)*NtoN2O*kgtoGg=0,"NO",('Activity data'!AS12*EF!$H43*EF!R61)*NtoN2O*kgtoGg)</f>
        <v>6.4757862549909215E-2</v>
      </c>
      <c r="AT43" s="28">
        <f>IF(('Activity data'!AT12*EF!$H43*EF!S61)*NtoN2O*kgtoGg=0,"NO",('Activity data'!AT12*EF!$H43*EF!S61)*NtoN2O*kgtoGg)</f>
        <v>6.4877117975833593E-2</v>
      </c>
      <c r="AU43" s="28">
        <f>IF(('Activity data'!AU12*EF!$H43*EF!T61)*NtoN2O*kgtoGg=0,"NO",('Activity data'!AU12*EF!$H43*EF!T61)*NtoN2O*kgtoGg)</f>
        <v>6.5008421618476642E-2</v>
      </c>
      <c r="AV43" s="28">
        <f>IF(('Activity data'!AV12*EF!$H43*EF!U61)*NtoN2O*kgtoGg=0,"NO",('Activity data'!AV12*EF!$H43*EF!U61)*NtoN2O*kgtoGg)</f>
        <v>6.5151758442893073E-2</v>
      </c>
      <c r="AW43" s="28">
        <f>IF(('Activity data'!AW12*EF!$H43*EF!V61)*NtoN2O*kgtoGg=0,"NO",('Activity data'!AW12*EF!$H43*EF!V61)*NtoN2O*kgtoGg)</f>
        <v>6.5246630284262655E-2</v>
      </c>
      <c r="AX43" s="28">
        <f>IF(('Activity data'!AX12*EF!$H43*EF!W61)*NtoN2O*kgtoGg=0,"NO",('Activity data'!AX12*EF!$H43*EF!W61)*NtoN2O*kgtoGg)</f>
        <v>6.5350732610319262E-2</v>
      </c>
      <c r="AY43" s="28">
        <f>IF(('Activity data'!AY12*EF!$H43*EF!X61)*NtoN2O*kgtoGg=0,"NO",('Activity data'!AY12*EF!$H43*EF!X61)*NtoN2O*kgtoGg)</f>
        <v>6.5463366093022182E-2</v>
      </c>
      <c r="AZ43" s="28">
        <f>IF(('Activity data'!AZ12*EF!$H43*EF!Y61)*NtoN2O*kgtoGg=0,"NO",('Activity data'!AZ12*EF!$H43*EF!Y61)*NtoN2O*kgtoGg)</f>
        <v>6.5585749997988649E-2</v>
      </c>
      <c r="BA43" s="28">
        <f>IF(('Activity data'!BA12*EF!$H43*EF!Z61)*NtoN2O*kgtoGg=0,"NO",('Activity data'!BA12*EF!$H43*EF!Z61)*NtoN2O*kgtoGg)</f>
        <v>6.571355347686661E-2</v>
      </c>
      <c r="BB43" s="28">
        <f>IF(('Activity data'!BB12*EF!$H43*EF!AA61)*NtoN2O*kgtoGg=0,"NO",('Activity data'!BB12*EF!$H43*EF!AA61)*NtoN2O*kgtoGg)</f>
        <v>6.5795318686458951E-2</v>
      </c>
      <c r="BC43" s="28">
        <f>IF(('Activity data'!BC12*EF!$H43*EF!AB61)*NtoN2O*kgtoGg=0,"NO",('Activity data'!BC12*EF!$H43*EF!AB61)*NtoN2O*kgtoGg)</f>
        <v>6.5884020001636651E-2</v>
      </c>
      <c r="BD43" s="28">
        <f>IF(('Activity data'!BD12*EF!$H43*EF!AC61)*NtoN2O*kgtoGg=0,"NO",('Activity data'!BD12*EF!$H43*EF!AC61)*NtoN2O*kgtoGg)</f>
        <v>6.5978314044694314E-2</v>
      </c>
      <c r="BE43" s="28">
        <f>IF(('Activity data'!BE12*EF!$H43*EF!AD61)*NtoN2O*kgtoGg=0,"NO",('Activity data'!BE12*EF!$H43*EF!AD61)*NtoN2O*kgtoGg)</f>
        <v>6.6078716985151179E-2</v>
      </c>
      <c r="BF43" s="28">
        <f>IF(('Activity data'!BF12*EF!$H43*EF!AE61)*NtoN2O*kgtoGg=0,"NO",('Activity data'!BF12*EF!$H43*EF!AE61)*NtoN2O*kgtoGg)</f>
        <v>6.6185699185286995E-2</v>
      </c>
      <c r="BG43" s="28">
        <f>IF(('Activity data'!BG12*EF!$H43*EF!AF61)*NtoN2O*kgtoGg=0,"NO",('Activity data'!BG12*EF!$H43*EF!AF61)*NtoN2O*kgtoGg)</f>
        <v>6.6248752997966662E-2</v>
      </c>
      <c r="BH43" s="28">
        <f>IF(('Activity data'!BH12*EF!$H43*EF!AG61)*NtoN2O*kgtoGg=0,"NO",('Activity data'!BH12*EF!$H43*EF!AG61)*NtoN2O*kgtoGg)</f>
        <v>6.6315938275625666E-2</v>
      </c>
      <c r="BI43" s="28">
        <f>IF(('Activity data'!BI12*EF!$H43*EF!AH61)*NtoN2O*kgtoGg=0,"NO",('Activity data'!BI12*EF!$H43*EF!AH61)*NtoN2O*kgtoGg)</f>
        <v>6.6388438988824877E-2</v>
      </c>
      <c r="BJ43" s="28">
        <f>IF(('Activity data'!BJ12*EF!$H43*EF!AI61)*NtoN2O*kgtoGg=0,"NO",('Activity data'!BJ12*EF!$H43*EF!AI61)*NtoN2O*kgtoGg)</f>
        <v>6.6466127241216463E-2</v>
      </c>
      <c r="BK43" s="28">
        <f>IF(('Activity data'!BK12*EF!$H43*EF!AJ61)*NtoN2O*kgtoGg=0,"NO",('Activity data'!BK12*EF!$H43*EF!AJ61)*NtoN2O*kgtoGg)</f>
        <v>6.6549837128906997E-2</v>
      </c>
      <c r="BL43" s="28">
        <f>IF(('Activity data'!BL12*EF!$H43*EF!AK61)*NtoN2O*kgtoGg=0,"NO",('Activity data'!BL12*EF!$H43*EF!AK61)*NtoN2O*kgtoGg)</f>
        <v>6.658756512294553E-2</v>
      </c>
      <c r="BM43" s="28">
        <f>IF(('Activity data'!BM12*EF!$H43*EF!AL61)*NtoN2O*kgtoGg=0,"NO",('Activity data'!BM12*EF!$H43*EF!AL61)*NtoN2O*kgtoGg)</f>
        <v>6.66203125456446E-2</v>
      </c>
      <c r="BN43" s="28">
        <f>IF(('Activity data'!BN12*EF!$H43*EF!AM61)*NtoN2O*kgtoGg=0,"NO",('Activity data'!BN12*EF!$H43*EF!AM61)*NtoN2O*kgtoGg)</f>
        <v>6.6656464691830439E-2</v>
      </c>
      <c r="BO43" s="28">
        <f>IF(('Activity data'!BO12*EF!$H43*EF!AN61)*NtoN2O*kgtoGg=0,"NO",('Activity data'!BO12*EF!$H43*EF!AN61)*NtoN2O*kgtoGg)</f>
        <v>6.6697796409900922E-2</v>
      </c>
      <c r="BP43" s="28">
        <f>IF(('Activity data'!BP12*EF!$H43*EF!AO61)*NtoN2O*kgtoGg=0,"NO",('Activity data'!BP12*EF!$H43*EF!AO61)*NtoN2O*kgtoGg)</f>
        <v>6.6742398126545865E-2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8">
        <f>IF(('Activity data'!H13*EF!$H44*EF!$H62)*NtoN2O*kgtoGg=0,"NO",('Activity data'!H13*EF!$H44*EF!$H62)*NtoN2O*kgtoGg)</f>
        <v>1.9430751682320124E-2</v>
      </c>
      <c r="I44" s="28">
        <f>IF(('Activity data'!I13*EF!$H44*EF!$H62)*NtoN2O*kgtoGg=0,"NO",('Activity data'!I13*EF!$H44*EF!$H62)*NtoN2O*kgtoGg)</f>
        <v>1.7182276091107163E-2</v>
      </c>
      <c r="J44" s="28">
        <f>IF(('Activity data'!J13*EF!$H44*EF!$H62)*NtoN2O*kgtoGg=0,"NO",('Activity data'!J13*EF!$H44*EF!$H62)*NtoN2O*kgtoGg)</f>
        <v>1.6005503819070465E-2</v>
      </c>
      <c r="K44" s="28">
        <f>IF(('Activity data'!K13*EF!$H44*EF!$H62)*NtoN2O*kgtoGg=0,"NO",('Activity data'!K13*EF!$H44*EF!$H62)*NtoN2O*kgtoGg)</f>
        <v>1.5122924615042945E-2</v>
      </c>
      <c r="L44" s="28">
        <f>IF(('Activity data'!L13*EF!$H44*EF!$H62)*NtoN2O*kgtoGg=0,"NO",('Activity data'!L13*EF!$H44*EF!$H62)*NtoN2O*kgtoGg)</f>
        <v>1.6369742855653249E-2</v>
      </c>
      <c r="M44" s="28">
        <f>IF(('Activity data'!M13*EF!$H44*EF!$H62)*NtoN2O*kgtoGg=0,"NO",('Activity data'!M13*EF!$H44*EF!$H62)*NtoN2O*kgtoGg)</f>
        <v>1.6593889955088814E-2</v>
      </c>
      <c r="N44" s="28">
        <f>IF(('Activity data'!N13*EF!$H44*EF!$H62)*NtoN2O*kgtoGg=0,"NO",('Activity data'!N13*EF!$H44*EF!$H62)*NtoN2O*kgtoGg)</f>
        <v>1.6853060038811176E-2</v>
      </c>
      <c r="O44" s="28">
        <f>IF(('Activity data'!O13*EF!$H44*EF!$H62)*NtoN2O*kgtoGg=0,"NO",('Activity data'!O13*EF!$H44*EF!$H62)*NtoN2O*kgtoGg)</f>
        <v>1.6769004876522844E-2</v>
      </c>
      <c r="P44" s="28">
        <f>IF(('Activity data'!P13*EF!$H44*EF!$H62)*NtoN2O*kgtoGg=0,"NO",('Activity data'!P13*EF!$H44*EF!$H62)*NtoN2O*kgtoGg)</f>
        <v>1.6530848583372559E-2</v>
      </c>
      <c r="Q44" s="28">
        <f>IF(('Activity data'!Q13*EF!$H44*EF!$H62)*NtoN2O*kgtoGg=0,"NO",('Activity data'!Q13*EF!$H44*EF!$H62)*NtoN2O*kgtoGg)</f>
        <v>1.6285687693364925E-2</v>
      </c>
      <c r="R44" s="28">
        <f>IF(('Activity data'!R13*EF!$H44*EF!$H62)*NtoN2O*kgtoGg=0,"NO",('Activity data'!R13*EF!$H44*EF!$H62)*NtoN2O*kgtoGg)</f>
        <v>1.6495825599085752E-2</v>
      </c>
      <c r="S44" s="28">
        <f>IF(('Activity data'!S13*EF!$H44*EF!$H62)*NtoN2O*kgtoGg=0,"NO",('Activity data'!S13*EF!$H44*EF!$H62)*NtoN2O*kgtoGg)</f>
        <v>1.7000156572815769E-2</v>
      </c>
      <c r="T44" s="28">
        <f>IF(('Activity data'!T13*EF!$H44*EF!$H62)*NtoN2O*kgtoGg=0,"NO",('Activity data'!T13*EF!$H44*EF!$H62)*NtoN2O*kgtoGg)</f>
        <v>1.5522186635912547E-2</v>
      </c>
      <c r="U44" s="28">
        <f>IF(('Activity data'!U13*EF!$H44*EF!$H62)*NtoN2O*kgtoGg=0,"NO",('Activity data'!U13*EF!$H44*EF!$H62)*NtoN2O*kgtoGg)</f>
        <v>1.512992921190031E-2</v>
      </c>
      <c r="V44" s="28">
        <f>IF(('Activity data'!V13*EF!$H44*EF!$H62)*NtoN2O*kgtoGg=0,"NO",('Activity data'!V13*EF!$H44*EF!$H62)*NtoN2O*kgtoGg)</f>
        <v>1.5157947599329761E-2</v>
      </c>
      <c r="W44" s="28">
        <f>IF(('Activity data'!W13*EF!$H44*EF!$H62)*NtoN2O*kgtoGg=0,"NO",('Activity data'!W13*EF!$H44*EF!$H62)*NtoN2O*kgtoGg)</f>
        <v>1.4961818887323638E-2</v>
      </c>
      <c r="X44" s="28">
        <f>IF(('Activity data'!X13*EF!$H44*EF!$H62)*NtoN2O*kgtoGg=0,"NO",('Activity data'!X13*EF!$H44*EF!$H62)*NtoN2O*kgtoGg)</f>
        <v>1.5277025745904898E-2</v>
      </c>
      <c r="Y44" s="28">
        <f>IF(('Activity data'!Y13*EF!$H44*EF!$H62)*NtoN2O*kgtoGg=0,"NO",('Activity data'!Y13*EF!$H44*EF!$H62)*NtoN2O*kgtoGg)</f>
        <v>1.4821726950176417E-2</v>
      </c>
      <c r="Z44" s="28">
        <f>IF(('Activity data'!Z13*EF!$H44*EF!$H62)*NtoN2O*kgtoGg=0,"NO",('Activity data'!Z13*EF!$H44*EF!$H62)*NtoN2O*kgtoGg)</f>
        <v>1.4807717756461695E-2</v>
      </c>
      <c r="AA44" s="28">
        <f>IF(('Activity data'!AA13*EF!$H44*EF!$H62)*NtoN2O*kgtoGg=0,"NO",('Activity data'!AA13*EF!$H44*EF!$H62)*NtoN2O*kgtoGg)</f>
        <v>1.4548547672739326E-2</v>
      </c>
      <c r="AB44" s="28">
        <f>IF(('Activity data'!AB13*EF!$H44*EF!$H62)*NtoN2O*kgtoGg=0,"NO",('Activity data'!AB13*EF!$H44*EF!$H62)*NtoN2O*kgtoGg)</f>
        <v>1.4373432751305298E-2</v>
      </c>
      <c r="AC44" s="28">
        <f>IF(('Activity data'!AC13*EF!$H44*EF!$H62)*NtoN2O*kgtoGg=0,"NO",('Activity data'!AC13*EF!$H44*EF!$H62)*NtoN2O*kgtoGg)</f>
        <v>1.4240345411015433E-2</v>
      </c>
      <c r="AD44" s="28">
        <f>IF(('Activity data'!AD13*EF!$H44*EF!$H62)*NtoN2O*kgtoGg=0,"NO",('Activity data'!AD13*EF!$H44*EF!$H62)*NtoN2O*kgtoGg)</f>
        <v>1.4482807028187926E-2</v>
      </c>
      <c r="AE44" s="28">
        <f>IF(('Activity data'!AE13*EF!$H44*EF!$H62)*NtoN2O*kgtoGg=0,"NO",('Activity data'!AE13*EF!$H44*EF!$H62)*NtoN2O*kgtoGg)</f>
        <v>1.4520450251739283E-2</v>
      </c>
      <c r="AF44" s="28">
        <f>IF(('Activity data'!AF13*EF!$H44*EF!$H62)*NtoN2O*kgtoGg=0,"NO",('Activity data'!AF13*EF!$H44*EF!$H62)*NtoN2O*kgtoGg)</f>
        <v>1.4571212872745463E-2</v>
      </c>
      <c r="AG44" s="28">
        <f>IF(('Activity data'!AG13*EF!$H44*EF!$H62)*NtoN2O*kgtoGg=0,"NO",('Activity data'!AG13*EF!$H44*EF!$H62)*NtoN2O*kgtoGg)</f>
        <v>1.4633040456364911E-2</v>
      </c>
      <c r="AH44" s="28">
        <f>IF(('Activity data'!AH13*EF!$H44*EF!$H62)*NtoN2O*kgtoGg=0,"NO",('Activity data'!AH13*EF!$H44*EF!$H62)*NtoN2O*kgtoGg)</f>
        <v>1.4707094987006923E-2</v>
      </c>
      <c r="AI44" s="28">
        <f>IF(('Activity data'!AI13*EF!$H44*EF!H62)*NtoN2O*kgtoGg=0,"NO",('Activity data'!AI13*EF!$H44*EF!H62)*NtoN2O*kgtoGg)</f>
        <v>1.4794644538423191E-2</v>
      </c>
      <c r="AJ44" s="28">
        <f>IF(('Activity data'!AJ13*EF!$H44*EF!I62)*NtoN2O*kgtoGg=0,"NO",('Activity data'!AJ13*EF!$H44*EF!I62)*NtoN2O*kgtoGg)</f>
        <v>1.4887429784482062E-2</v>
      </c>
      <c r="AK44" s="28">
        <f>IF(('Activity data'!AK13*EF!$H44*EF!J62)*NtoN2O*kgtoGg=0,"NO",('Activity data'!AK13*EF!$H44*EF!J62)*NtoN2O*kgtoGg)</f>
        <v>1.4984365063470912E-2</v>
      </c>
      <c r="AL44" s="28">
        <f>IF(('Activity data'!AL13*EF!$H44*EF!K62)*NtoN2O*kgtoGg=0,"NO",('Activity data'!AL13*EF!$H44*EF!K62)*NtoN2O*kgtoGg)</f>
        <v>1.5078737379247895E-2</v>
      </c>
      <c r="AM44" s="28">
        <f>IF(('Activity data'!AM13*EF!$H44*EF!L62)*NtoN2O*kgtoGg=0,"NO",('Activity data'!AM13*EF!$H44*EF!L62)*NtoN2O*kgtoGg)</f>
        <v>1.5122022085784054E-2</v>
      </c>
      <c r="AN44" s="28">
        <f>IF(('Activity data'!AN13*EF!$H44*EF!M62)*NtoN2O*kgtoGg=0,"NO",('Activity data'!AN13*EF!$H44*EF!M62)*NtoN2O*kgtoGg)</f>
        <v>1.5168700186651049E-2</v>
      </c>
      <c r="AO44" s="28">
        <f>IF(('Activity data'!AO13*EF!$H44*EF!N62)*NtoN2O*kgtoGg=0,"NO",('Activity data'!AO13*EF!$H44*EF!N62)*NtoN2O*kgtoGg)</f>
        <v>1.5219291662698977E-2</v>
      </c>
      <c r="AP44" s="28">
        <f>IF(('Activity data'!AP13*EF!$H44*EF!O62)*NtoN2O*kgtoGg=0,"NO",('Activity data'!AP13*EF!$H44*EF!O62)*NtoN2O*kgtoGg)</f>
        <v>1.5274171031448219E-2</v>
      </c>
      <c r="AQ44" s="28">
        <f>IF(('Activity data'!AQ13*EF!$H44*EF!P62)*NtoN2O*kgtoGg=0,"NO",('Activity data'!AQ13*EF!$H44*EF!P62)*NtoN2O*kgtoGg)</f>
        <v>1.5334076575093777E-2</v>
      </c>
      <c r="AR44" s="28">
        <f>IF(('Activity data'!AR13*EF!$H44*EF!Q62)*NtoN2O*kgtoGg=0,"NO",('Activity data'!AR13*EF!$H44*EF!Q62)*NtoN2O*kgtoGg)</f>
        <v>1.5372633836154437E-2</v>
      </c>
      <c r="AS44" s="28">
        <f>IF(('Activity data'!AS13*EF!$H44*EF!R62)*NtoN2O*kgtoGg=0,"NO",('Activity data'!AS13*EF!$H44*EF!R62)*NtoN2O*kgtoGg)</f>
        <v>1.5414710813994566E-2</v>
      </c>
      <c r="AT44" s="28">
        <f>IF(('Activity data'!AT13*EF!$H44*EF!S62)*NtoN2O*kgtoGg=0,"NO",('Activity data'!AT13*EF!$H44*EF!S62)*NtoN2O*kgtoGg)</f>
        <v>1.5459260848218298E-2</v>
      </c>
      <c r="AU44" s="28">
        <f>IF(('Activity data'!AU13*EF!$H44*EF!T62)*NtoN2O*kgtoGg=0,"NO",('Activity data'!AU13*EF!$H44*EF!T62)*NtoN2O*kgtoGg)</f>
        <v>1.5507296791102529E-2</v>
      </c>
      <c r="AV44" s="28">
        <f>IF(('Activity data'!AV13*EF!$H44*EF!U62)*NtoN2O*kgtoGg=0,"NO",('Activity data'!AV13*EF!$H44*EF!U62)*NtoN2O*kgtoGg)</f>
        <v>1.5558834836357003E-2</v>
      </c>
      <c r="AW44" s="28">
        <f>IF(('Activity data'!AW13*EF!$H44*EF!V62)*NtoN2O*kgtoGg=0,"NO",('Activity data'!AW13*EF!$H44*EF!V62)*NtoN2O*kgtoGg)</f>
        <v>1.5592757830860556E-2</v>
      </c>
      <c r="AX44" s="28">
        <f>IF(('Activity data'!AX13*EF!$H44*EF!W62)*NtoN2O*kgtoGg=0,"NO",('Activity data'!AX13*EF!$H44*EF!W62)*NtoN2O*kgtoGg)</f>
        <v>1.562932478627909E-2</v>
      </c>
      <c r="AY44" s="28">
        <f>IF(('Activity data'!AY13*EF!$H44*EF!X62)*NtoN2O*kgtoGg=0,"NO",('Activity data'!AY13*EF!$H44*EF!X62)*NtoN2O*kgtoGg)</f>
        <v>1.5668308058264361E-2</v>
      </c>
      <c r="AZ44" s="28">
        <f>IF(('Activity data'!AZ13*EF!$H44*EF!Y62)*NtoN2O*kgtoGg=0,"NO",('Activity data'!AZ13*EF!$H44*EF!Y62)*NtoN2O*kgtoGg)</f>
        <v>1.5710145809478677E-2</v>
      </c>
      <c r="BA44" s="28">
        <f>IF(('Activity data'!BA13*EF!$H44*EF!Z62)*NtoN2O*kgtoGg=0,"NO",('Activity data'!BA13*EF!$H44*EF!Z62)*NtoN2O*kgtoGg)</f>
        <v>1.5753347197297651E-2</v>
      </c>
      <c r="BB44" s="28">
        <f>IF(('Activity data'!BB13*EF!$H44*EF!AA62)*NtoN2O*kgtoGg=0,"NO",('Activity data'!BB13*EF!$H44*EF!AA62)*NtoN2O*kgtoGg)</f>
        <v>1.5780128357590142E-2</v>
      </c>
      <c r="BC44" s="28">
        <f>IF(('Activity data'!BC13*EF!$H44*EF!AB62)*NtoN2O*kgtoGg=0,"NO",('Activity data'!BC13*EF!$H44*EF!AB62)*NtoN2O*kgtoGg)</f>
        <v>1.5808895494916663E-2</v>
      </c>
      <c r="BD44" s="28">
        <f>IF(('Activity data'!BD13*EF!$H44*EF!AC62)*NtoN2O*kgtoGg=0,"NO",('Activity data'!BD13*EF!$H44*EF!AC62)*NtoN2O*kgtoGg)</f>
        <v>1.5839194459493416E-2</v>
      </c>
      <c r="BE44" s="28">
        <f>IF(('Activity data'!BE13*EF!$H44*EF!AD62)*NtoN2O*kgtoGg=0,"NO",('Activity data'!BE13*EF!$H44*EF!AD62)*NtoN2O*kgtoGg)</f>
        <v>1.5871212894447165E-2</v>
      </c>
      <c r="BF44" s="28">
        <f>IF(('Activity data'!BF13*EF!$H44*EF!AE62)*NtoN2O*kgtoGg=0,"NO",('Activity data'!BF13*EF!$H44*EF!AE62)*NtoN2O*kgtoGg)</f>
        <v>1.5905120208325661E-2</v>
      </c>
      <c r="BG44" s="28">
        <f>IF(('Activity data'!BG13*EF!$H44*EF!AF62)*NtoN2O*kgtoGg=0,"NO",('Activity data'!BG13*EF!$H44*EF!AF62)*NtoN2O*kgtoGg)</f>
        <v>1.5923608440521576E-2</v>
      </c>
      <c r="BH44" s="28">
        <f>IF(('Activity data'!BH13*EF!$H44*EF!AG62)*NtoN2O*kgtoGg=0,"NO",('Activity data'!BH13*EF!$H44*EF!AG62)*NtoN2O*kgtoGg)</f>
        <v>1.5943219194385971E-2</v>
      </c>
      <c r="BI44" s="28">
        <f>IF(('Activity data'!BI13*EF!$H44*EF!AH62)*NtoN2O*kgtoGg=0,"NO",('Activity data'!BI13*EF!$H44*EF!AH62)*NtoN2O*kgtoGg)</f>
        <v>1.5964364076511545E-2</v>
      </c>
      <c r="BJ44" s="28">
        <f>IF(('Activity data'!BJ13*EF!$H44*EF!AI62)*NtoN2O*kgtoGg=0,"NO",('Activity data'!BJ13*EF!$H44*EF!AI62)*NtoN2O*kgtoGg)</f>
        <v>1.5987003748719163E-2</v>
      </c>
      <c r="BK44" s="28">
        <f>IF(('Activity data'!BK13*EF!$H44*EF!AJ62)*NtoN2O*kgtoGg=0,"NO",('Activity data'!BK13*EF!$H44*EF!AJ62)*NtoN2O*kgtoGg)</f>
        <v>1.6011426014492076E-2</v>
      </c>
      <c r="BL44" s="28">
        <f>IF(('Activity data'!BL13*EF!$H44*EF!AK62)*NtoN2O*kgtoGg=0,"NO",('Activity data'!BL13*EF!$H44*EF!AK62)*NtoN2O*kgtoGg)</f>
        <v>1.6019956720470994E-2</v>
      </c>
      <c r="BM44" s="28">
        <f>IF(('Activity data'!BM13*EF!$H44*EF!AL62)*NtoN2O*kgtoGg=0,"NO",('Activity data'!BM13*EF!$H44*EF!AL62)*NtoN2O*kgtoGg)</f>
        <v>1.6026597354274651E-2</v>
      </c>
      <c r="BN44" s="28">
        <f>IF(('Activity data'!BN13*EF!$H44*EF!AM62)*NtoN2O*kgtoGg=0,"NO",('Activity data'!BN13*EF!$H44*EF!AM62)*NtoN2O*kgtoGg)</f>
        <v>1.6034206571030277E-2</v>
      </c>
      <c r="BO44" s="28">
        <f>IF(('Activity data'!BO13*EF!$H44*EF!AN62)*NtoN2O*kgtoGg=0,"NO",('Activity data'!BO13*EF!$H44*EF!AN62)*NtoN2O*kgtoGg)</f>
        <v>1.6043388029308273E-2</v>
      </c>
      <c r="BP44" s="28">
        <f>IF(('Activity data'!BP13*EF!$H44*EF!AO62)*NtoN2O*kgtoGg=0,"NO",('Activity data'!BP13*EF!$H44*EF!AO62)*NtoN2O*kgtoGg)</f>
        <v>1.6053496862987397E-2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8">
        <f>IF(('Activity data'!H14*EF!$H45*EF!$H63)*NtoN2O*kgtoGg=0,"NO",('Activity data'!H14*EF!$H45*EF!$H63)*NtoN2O*kgtoGg)</f>
        <v>0.15674707216898293</v>
      </c>
      <c r="I45" s="28">
        <f>IF(('Activity data'!I14*EF!$H45*EF!$H63)*NtoN2O*kgtoGg=0,"NO",('Activity data'!I14*EF!$H45*EF!$H63)*NtoN2O*kgtoGg)</f>
        <v>0.13860871233976757</v>
      </c>
      <c r="J45" s="28">
        <f>IF(('Activity data'!J14*EF!$H45*EF!$H63)*NtoN2O*kgtoGg=0,"NO",('Activity data'!J14*EF!$H45*EF!$H63)*NtoN2O*kgtoGg)</f>
        <v>0.12911573897120623</v>
      </c>
      <c r="K45" s="28">
        <f>IF(('Activity data'!K14*EF!$H45*EF!$H63)*NtoN2O*kgtoGg=0,"NO",('Activity data'!K14*EF!$H45*EF!$H63)*NtoN2O*kgtoGg)</f>
        <v>0.12199600894478523</v>
      </c>
      <c r="L45" s="28">
        <f>IF(('Activity data'!L14*EF!$H45*EF!$H63)*NtoN2O*kgtoGg=0,"NO",('Activity data'!L14*EF!$H45*EF!$H63)*NtoN2O*kgtoGg)</f>
        <v>0.13205404025195139</v>
      </c>
      <c r="M45" s="28">
        <f>IF(('Activity data'!M14*EF!$H45*EF!$H63)*NtoN2O*kgtoGg=0,"NO",('Activity data'!M14*EF!$H45*EF!$H63)*NtoN2O*kgtoGg)</f>
        <v>0.13386222565548689</v>
      </c>
      <c r="N45" s="28">
        <f>IF(('Activity data'!N14*EF!$H45*EF!$H63)*NtoN2O*kgtoGg=0,"NO",('Activity data'!N14*EF!$H45*EF!$H63)*NtoN2O*kgtoGg)</f>
        <v>0.13595294002832481</v>
      </c>
      <c r="O45" s="28">
        <f>IF(('Activity data'!O14*EF!$H45*EF!$H63)*NtoN2O*kgtoGg=0,"NO",('Activity data'!O14*EF!$H45*EF!$H63)*NtoN2O*kgtoGg)</f>
        <v>0.13527487050199902</v>
      </c>
      <c r="P45" s="28">
        <f>IF(('Activity data'!P14*EF!$H45*EF!$H63)*NtoN2O*kgtoGg=0,"NO",('Activity data'!P14*EF!$H45*EF!$H63)*NtoN2O*kgtoGg)</f>
        <v>0.13335367351074254</v>
      </c>
      <c r="Q45" s="28">
        <f>IF(('Activity data'!Q14*EF!$H45*EF!$H63)*NtoN2O*kgtoGg=0,"NO",('Activity data'!Q14*EF!$H45*EF!$H63)*NtoN2O*kgtoGg)</f>
        <v>0.1313759707256256</v>
      </c>
      <c r="R45" s="28">
        <f>IF(('Activity data'!R14*EF!$H45*EF!$H63)*NtoN2O*kgtoGg=0,"NO",('Activity data'!R14*EF!$H45*EF!$H63)*NtoN2O*kgtoGg)</f>
        <v>0.13307114454144012</v>
      </c>
      <c r="S45" s="28">
        <f>IF(('Activity data'!S14*EF!$H45*EF!$H63)*NtoN2O*kgtoGg=0,"NO",('Activity data'!S14*EF!$H45*EF!$H63)*NtoN2O*kgtoGg)</f>
        <v>0.13713956169939495</v>
      </c>
      <c r="T45" s="28">
        <f>IF(('Activity data'!T14*EF!$H45*EF!$H63)*NtoN2O*kgtoGg=0,"NO",('Activity data'!T14*EF!$H45*EF!$H63)*NtoN2O*kgtoGg)</f>
        <v>0.12521683919483284</v>
      </c>
      <c r="U45" s="28">
        <f>IF(('Activity data'!U14*EF!$H45*EF!$H63)*NtoN2O*kgtoGg=0,"NO",('Activity data'!U14*EF!$H45*EF!$H63)*NtoN2O*kgtoGg)</f>
        <v>0.12205251473864571</v>
      </c>
      <c r="V45" s="28">
        <f>IF(('Activity data'!V14*EF!$H45*EF!$H63)*NtoN2O*kgtoGg=0,"NO",('Activity data'!V14*EF!$H45*EF!$H63)*NtoN2O*kgtoGg)</f>
        <v>0.12227853791408765</v>
      </c>
      <c r="W45" s="28">
        <f>IF(('Activity data'!W14*EF!$H45*EF!$H63)*NtoN2O*kgtoGg=0,"NO",('Activity data'!W14*EF!$H45*EF!$H63)*NtoN2O*kgtoGg)</f>
        <v>0.12069637568599409</v>
      </c>
      <c r="X45" s="28">
        <f>IF(('Activity data'!X14*EF!$H45*EF!$H63)*NtoN2O*kgtoGg=0,"NO",('Activity data'!X14*EF!$H45*EF!$H63)*NtoN2O*kgtoGg)</f>
        <v>0.12323913640971589</v>
      </c>
      <c r="Y45" s="28">
        <f>IF(('Activity data'!Y14*EF!$H45*EF!$H63)*NtoN2O*kgtoGg=0,"NO",('Activity data'!Y14*EF!$H45*EF!$H63)*NtoN2O*kgtoGg)</f>
        <v>0.11956625980878442</v>
      </c>
      <c r="Z45" s="28">
        <f>IF(('Activity data'!Z14*EF!$H45*EF!$H63)*NtoN2O*kgtoGg=0,"NO",('Activity data'!Z14*EF!$H45*EF!$H63)*NtoN2O*kgtoGg)</f>
        <v>0.11945324822106343</v>
      </c>
      <c r="AA45" s="28">
        <f>IF(('Activity data'!AA14*EF!$H45*EF!$H63)*NtoN2O*kgtoGg=0,"NO",('Activity data'!AA14*EF!$H45*EF!$H63)*NtoN2O*kgtoGg)</f>
        <v>0.11736253384822554</v>
      </c>
      <c r="AB45" s="28">
        <f>IF(('Activity data'!AB14*EF!$H45*EF!$H63)*NtoN2O*kgtoGg=0,"NO",('Activity data'!AB14*EF!$H45*EF!$H63)*NtoN2O*kgtoGg)</f>
        <v>0.11594988900171342</v>
      </c>
      <c r="AC45" s="28">
        <f>IF(('Activity data'!AC14*EF!$H45*EF!$H63)*NtoN2O*kgtoGg=0,"NO",('Activity data'!AC14*EF!$H45*EF!$H63)*NtoN2O*kgtoGg)</f>
        <v>0.11487627891836423</v>
      </c>
      <c r="AD45" s="28">
        <f>IF(('Activity data'!AD14*EF!$H45*EF!$H63)*NtoN2O*kgtoGg=0,"NO",('Activity data'!AD14*EF!$H45*EF!$H63)*NtoN2O*kgtoGg)</f>
        <v>0.11481805129047286</v>
      </c>
      <c r="AE45" s="28">
        <f>IF(('Activity data'!AE14*EF!$H45*EF!$H63)*NtoN2O*kgtoGg=0,"NO",('Activity data'!AE14*EF!$H45*EF!$H63)*NtoN2O*kgtoGg)</f>
        <v>0.11511648249680231</v>
      </c>
      <c r="AF45" s="28">
        <f>IF(('Activity data'!AF14*EF!$H45*EF!$H63)*NtoN2O*kgtoGg=0,"NO",('Activity data'!AF14*EF!$H45*EF!$H63)*NtoN2O*kgtoGg)</f>
        <v>0.11551892279798029</v>
      </c>
      <c r="AG45" s="28">
        <f>IF(('Activity data'!AG14*EF!$H45*EF!$H63)*NtoN2O*kgtoGg=0,"NO",('Activity data'!AG14*EF!$H45*EF!$H63)*NtoN2O*kgtoGg)</f>
        <v>0.11600908486762376</v>
      </c>
      <c r="AH45" s="28">
        <f>IF(('Activity data'!AH14*EF!$H45*EF!$H63)*NtoN2O*kgtoGg=0,"NO",('Activity data'!AH14*EF!$H45*EF!$H63)*NtoN2O*kgtoGg)</f>
        <v>0.11659618078632224</v>
      </c>
      <c r="AI45" s="28">
        <f>IF(('Activity data'!AI14*EF!$H45*EF!H63)*NtoN2O*kgtoGg=0,"NO",('Activity data'!AI14*EF!$H45*EF!H63)*NtoN2O*kgtoGg)</f>
        <v>0.11729026369893758</v>
      </c>
      <c r="AJ45" s="28">
        <f>IF(('Activity data'!AJ14*EF!$H45*EF!I63)*NtoN2O*kgtoGg=0,"NO",('Activity data'!AJ14*EF!$H45*EF!I63)*NtoN2O*kgtoGg)</f>
        <v>0.1180258546047787</v>
      </c>
      <c r="AK45" s="28">
        <f>IF(('Activity data'!AK14*EF!$H45*EF!J63)*NtoN2O*kgtoGg=0,"NO",('Activity data'!AK14*EF!$H45*EF!J63)*NtoN2O*kgtoGg)</f>
        <v>0.11879434650093773</v>
      </c>
      <c r="AL45" s="28">
        <f>IF(('Activity data'!AL14*EF!$H45*EF!K63)*NtoN2O*kgtoGg=0,"NO",('Activity data'!AL14*EF!$H45*EF!K63)*NtoN2O*kgtoGg)</f>
        <v>0.1195425195154779</v>
      </c>
      <c r="AM45" s="28">
        <f>IF(('Activity data'!AM14*EF!$H45*EF!L63)*NtoN2O*kgtoGg=0,"NO",('Activity data'!AM14*EF!$H45*EF!L63)*NtoN2O*kgtoGg)</f>
        <v>0.1198856757589802</v>
      </c>
      <c r="AN45" s="28">
        <f>IF(('Activity data'!AN14*EF!$H45*EF!M63)*NtoN2O*kgtoGg=0,"NO",('Activity data'!AN14*EF!$H45*EF!M63)*NtoN2O*kgtoGg)</f>
        <v>0.1202557344478143</v>
      </c>
      <c r="AO45" s="28">
        <f>IF(('Activity data'!AO14*EF!$H45*EF!N63)*NtoN2O*kgtoGg=0,"NO",('Activity data'!AO14*EF!$H45*EF!N63)*NtoN2O*kgtoGg)</f>
        <v>0.1206568179311767</v>
      </c>
      <c r="AP45" s="28">
        <f>IF(('Activity data'!AP14*EF!$H45*EF!O63)*NtoN2O*kgtoGg=0,"NO",('Activity data'!AP14*EF!$H45*EF!O63)*NtoN2O*kgtoGg)</f>
        <v>0.12109189534148641</v>
      </c>
      <c r="AQ45" s="28">
        <f>IF(('Activity data'!AQ14*EF!$H45*EF!P63)*NtoN2O*kgtoGg=0,"NO",('Activity data'!AQ14*EF!$H45*EF!P63)*NtoN2O*kgtoGg)</f>
        <v>0.12156681969623982</v>
      </c>
      <c r="AR45" s="28">
        <f>IF(('Activity data'!AR14*EF!$H45*EF!Q63)*NtoN2O*kgtoGg=0,"NO",('Activity data'!AR14*EF!$H45*EF!Q63)*NtoN2O*kgtoGg)</f>
        <v>0.12187249728826091</v>
      </c>
      <c r="AS45" s="28">
        <f>IF(('Activity data'!AS14*EF!$H45*EF!R63)*NtoN2O*kgtoGg=0,"NO",('Activity data'!AS14*EF!$H45*EF!R63)*NtoN2O*kgtoGg)</f>
        <v>0.12220607879565744</v>
      </c>
      <c r="AT45" s="28">
        <f>IF(('Activity data'!AT14*EF!$H45*EF!S63)*NtoN2O*kgtoGg=0,"NO",('Activity data'!AT14*EF!$H45*EF!S63)*NtoN2O*kgtoGg)</f>
        <v>0.12255926641353683</v>
      </c>
      <c r="AU45" s="28">
        <f>IF(('Activity data'!AU14*EF!$H45*EF!T63)*NtoN2O*kgtoGg=0,"NO",('Activity data'!AU14*EF!$H45*EF!T63)*NtoN2O*kgtoGg)</f>
        <v>0.12294008991985945</v>
      </c>
      <c r="AV45" s="28">
        <f>IF(('Activity data'!AV14*EF!$H45*EF!U63)*NtoN2O*kgtoGg=0,"NO",('Activity data'!AV14*EF!$H45*EF!U63)*NtoN2O*kgtoGg)</f>
        <v>0.12334867769651912</v>
      </c>
      <c r="AW45" s="28">
        <f>IF(('Activity data'!AW14*EF!$H45*EF!V63)*NtoN2O*kgtoGg=0,"NO",('Activity data'!AW14*EF!$H45*EF!V63)*NtoN2O*kgtoGg)</f>
        <v>0.12361761534895452</v>
      </c>
      <c r="AX45" s="28">
        <f>IF(('Activity data'!AX14*EF!$H45*EF!W63)*NtoN2O*kgtoGg=0,"NO",('Activity data'!AX14*EF!$H45*EF!W63)*NtoN2O*kgtoGg)</f>
        <v>0.12390751402361132</v>
      </c>
      <c r="AY45" s="28">
        <f>IF(('Activity data'!AY14*EF!$H45*EF!X63)*NtoN2O*kgtoGg=0,"NO",('Activity data'!AY14*EF!$H45*EF!X63)*NtoN2O*kgtoGg)</f>
        <v>0.124216568981919</v>
      </c>
      <c r="AZ45" s="28">
        <f>IF(('Activity data'!AZ14*EF!$H45*EF!Y63)*NtoN2O*kgtoGg=0,"NO",('Activity data'!AZ14*EF!$H45*EF!Y63)*NtoN2O*kgtoGg)</f>
        <v>0.12454825392776228</v>
      </c>
      <c r="BA45" s="28">
        <f>IF(('Activity data'!BA14*EF!$H45*EF!Z63)*NtoN2O*kgtoGg=0,"NO",('Activity data'!BA14*EF!$H45*EF!Z63)*NtoN2O*kgtoGg)</f>
        <v>0.12489074962992587</v>
      </c>
      <c r="BB45" s="28">
        <f>IF(('Activity data'!BB14*EF!$H45*EF!AA63)*NtoN2O*kgtoGg=0,"NO",('Activity data'!BB14*EF!$H45*EF!AA63)*NtoN2O*kgtoGg)</f>
        <v>0.12510306763085599</v>
      </c>
      <c r="BC45" s="28">
        <f>IF(('Activity data'!BC14*EF!$H45*EF!AB63)*NtoN2O*kgtoGg=0,"NO",('Activity data'!BC14*EF!$H45*EF!AB63)*NtoN2O*kgtoGg)</f>
        <v>0.12533113023243647</v>
      </c>
      <c r="BD45" s="28">
        <f>IF(('Activity data'!BD14*EF!$H45*EF!AC63)*NtoN2O*kgtoGg=0,"NO",('Activity data'!BD14*EF!$H45*EF!AC63)*NtoN2O*kgtoGg)</f>
        <v>0.12557133698669695</v>
      </c>
      <c r="BE45" s="28">
        <f>IF(('Activity data'!BE14*EF!$H45*EF!AD63)*NtoN2O*kgtoGg=0,"NO",('Activity data'!BE14*EF!$H45*EF!AD63)*NtoN2O*kgtoGg)</f>
        <v>0.12582517550706146</v>
      </c>
      <c r="BF45" s="28">
        <f>IF(('Activity data'!BF14*EF!$H45*EF!AE63)*NtoN2O*kgtoGg=0,"NO",('Activity data'!BF14*EF!$H45*EF!AE63)*NtoN2O*kgtoGg)</f>
        <v>0.12609398884528009</v>
      </c>
      <c r="BG45" s="28">
        <f>IF(('Activity data'!BG14*EF!$H45*EF!AF63)*NtoN2O*kgtoGg=0,"NO",('Activity data'!BG14*EF!$H45*EF!AF63)*NtoN2O*kgtoGg)</f>
        <v>0.1262405614529527</v>
      </c>
      <c r="BH45" s="28">
        <f>IF(('Activity data'!BH14*EF!$H45*EF!AG63)*NtoN2O*kgtoGg=0,"NO",('Activity data'!BH14*EF!$H45*EF!AG63)*NtoN2O*kgtoGg)</f>
        <v>0.12639603328508198</v>
      </c>
      <c r="BI45" s="28">
        <f>IF(('Activity data'!BI14*EF!$H45*EF!AH63)*NtoN2O*kgtoGg=0,"NO",('Activity data'!BI14*EF!$H45*EF!AH63)*NtoN2O*kgtoGg)</f>
        <v>0.12656366751204504</v>
      </c>
      <c r="BJ45" s="28">
        <f>IF(('Activity data'!BJ14*EF!$H45*EF!AI63)*NtoN2O*kgtoGg=0,"NO",('Activity data'!BJ14*EF!$H45*EF!AI63)*NtoN2O*kgtoGg)</f>
        <v>0.1267431522652199</v>
      </c>
      <c r="BK45" s="28">
        <f>IF(('Activity data'!BK14*EF!$H45*EF!AJ63)*NtoN2O*kgtoGg=0,"NO",('Activity data'!BK14*EF!$H45*EF!AJ63)*NtoN2O*kgtoGg)</f>
        <v>0.12693676921797539</v>
      </c>
      <c r="BL45" s="28">
        <f>IF(('Activity data'!BL14*EF!$H45*EF!AK63)*NtoN2O*kgtoGg=0,"NO",('Activity data'!BL14*EF!$H45*EF!AK63)*NtoN2O*kgtoGg)</f>
        <v>0.12700439968731225</v>
      </c>
      <c r="BM45" s="28">
        <f>IF(('Activity data'!BM14*EF!$H45*EF!AL63)*NtoN2O*kgtoGg=0,"NO",('Activity data'!BM14*EF!$H45*EF!AL63)*NtoN2O*kgtoGg)</f>
        <v>0.12705704587884023</v>
      </c>
      <c r="BN45" s="28">
        <f>IF(('Activity data'!BN14*EF!$H45*EF!AM63)*NtoN2O*kgtoGg=0,"NO",('Activity data'!BN14*EF!$H45*EF!AM63)*NtoN2O*kgtoGg)</f>
        <v>0.12711737088614225</v>
      </c>
      <c r="BO45" s="28">
        <f>IF(('Activity data'!BO14*EF!$H45*EF!AN63)*NtoN2O*kgtoGg=0,"NO",('Activity data'!BO14*EF!$H45*EF!AN63)*NtoN2O*kgtoGg)</f>
        <v>0.12719016044588929</v>
      </c>
      <c r="BP45" s="28">
        <f>IF(('Activity data'!BP14*EF!$H45*EF!AO63)*NtoN2O*kgtoGg=0,"NO",('Activity data'!BP14*EF!$H45*EF!AO63)*NtoN2O*kgtoGg)</f>
        <v>0.12727030213262158</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8" t="str">
        <f>IF(('Activity data'!H15*EF!$H46*EF!$H64)*NtoN2O*kgtoGg=0,"NO",('Activity data'!H15*EF!$H46*EF!$H64)*NtoN2O*kgtoGg)</f>
        <v>NO</v>
      </c>
      <c r="I46" s="28" t="str">
        <f>IF(('Activity data'!I15*EF!$H46*EF!$H64)*NtoN2O*kgtoGg=0,"NO",('Activity data'!I15*EF!$H46*EF!$H64)*NtoN2O*kgtoGg)</f>
        <v>NO</v>
      </c>
      <c r="J46" s="28" t="str">
        <f>IF(('Activity data'!J15*EF!$H46*EF!$H64)*NtoN2O*kgtoGg=0,"NO",('Activity data'!J15*EF!$H46*EF!$H64)*NtoN2O*kgtoGg)</f>
        <v>NO</v>
      </c>
      <c r="K46" s="28" t="str">
        <f>IF(('Activity data'!K15*EF!$H46*EF!$H64)*NtoN2O*kgtoGg=0,"NO",('Activity data'!K15*EF!$H46*EF!$H64)*NtoN2O*kgtoGg)</f>
        <v>NO</v>
      </c>
      <c r="L46" s="28" t="str">
        <f>IF(('Activity data'!L15*EF!$H46*EF!$H64)*NtoN2O*kgtoGg=0,"NO",('Activity data'!L15*EF!$H46*EF!$H64)*NtoN2O*kgtoGg)</f>
        <v>NO</v>
      </c>
      <c r="M46" s="28" t="str">
        <f>IF(('Activity data'!M15*EF!$H46*EF!$H64)*NtoN2O*kgtoGg=0,"NO",('Activity data'!M15*EF!$H46*EF!$H64)*NtoN2O*kgtoGg)</f>
        <v>NO</v>
      </c>
      <c r="N46" s="28" t="str">
        <f>IF(('Activity data'!N15*EF!$H46*EF!$H64)*NtoN2O*kgtoGg=0,"NO",('Activity data'!N15*EF!$H46*EF!$H64)*NtoN2O*kgtoGg)</f>
        <v>NO</v>
      </c>
      <c r="O46" s="28" t="str">
        <f>IF(('Activity data'!O15*EF!$H46*EF!$H64)*NtoN2O*kgtoGg=0,"NO",('Activity data'!O15*EF!$H46*EF!$H64)*NtoN2O*kgtoGg)</f>
        <v>NO</v>
      </c>
      <c r="P46" s="28" t="str">
        <f>IF(('Activity data'!P15*EF!$H46*EF!$H64)*NtoN2O*kgtoGg=0,"NO",('Activity data'!P15*EF!$H46*EF!$H64)*NtoN2O*kgtoGg)</f>
        <v>NO</v>
      </c>
      <c r="Q46" s="28" t="str">
        <f>IF(('Activity data'!Q15*EF!$H46*EF!$H64)*NtoN2O*kgtoGg=0,"NO",('Activity data'!Q15*EF!$H46*EF!$H64)*NtoN2O*kgtoGg)</f>
        <v>NO</v>
      </c>
      <c r="R46" s="28" t="str">
        <f>IF(('Activity data'!R15*EF!$H46*EF!$H64)*NtoN2O*kgtoGg=0,"NO",('Activity data'!R15*EF!$H46*EF!$H64)*NtoN2O*kgtoGg)</f>
        <v>NO</v>
      </c>
      <c r="S46" s="28" t="str">
        <f>IF(('Activity data'!S15*EF!$H46*EF!$H64)*NtoN2O*kgtoGg=0,"NO",('Activity data'!S15*EF!$H46*EF!$H64)*NtoN2O*kgtoGg)</f>
        <v>NO</v>
      </c>
      <c r="T46" s="28" t="str">
        <f>IF(('Activity data'!T15*EF!$H46*EF!$H64)*NtoN2O*kgtoGg=0,"NO",('Activity data'!T15*EF!$H46*EF!$H64)*NtoN2O*kgtoGg)</f>
        <v>NO</v>
      </c>
      <c r="U46" s="28" t="str">
        <f>IF(('Activity data'!U15*EF!$H46*EF!$H64)*NtoN2O*kgtoGg=0,"NO",('Activity data'!U15*EF!$H46*EF!$H64)*NtoN2O*kgtoGg)</f>
        <v>NO</v>
      </c>
      <c r="V46" s="28" t="str">
        <f>IF(('Activity data'!V15*EF!$H46*EF!$H64)*NtoN2O*kgtoGg=0,"NO",('Activity data'!V15*EF!$H46*EF!$H64)*NtoN2O*kgtoGg)</f>
        <v>NO</v>
      </c>
      <c r="W46" s="28" t="str">
        <f>IF(('Activity data'!W15*EF!$H46*EF!$H64)*NtoN2O*kgtoGg=0,"NO",('Activity data'!W15*EF!$H46*EF!$H64)*NtoN2O*kgtoGg)</f>
        <v>NO</v>
      </c>
      <c r="X46" s="28" t="str">
        <f>IF(('Activity data'!X15*EF!$H46*EF!$H64)*NtoN2O*kgtoGg=0,"NO",('Activity data'!X15*EF!$H46*EF!$H64)*NtoN2O*kgtoGg)</f>
        <v>NO</v>
      </c>
      <c r="Y46" s="28" t="str">
        <f>IF(('Activity data'!Y15*EF!$H46*EF!$H64)*NtoN2O*kgtoGg=0,"NO",('Activity data'!Y15*EF!$H46*EF!$H64)*NtoN2O*kgtoGg)</f>
        <v>NO</v>
      </c>
      <c r="Z46" s="28" t="str">
        <f>IF(('Activity data'!Z15*EF!$H46*EF!$H64)*NtoN2O*kgtoGg=0,"NO",('Activity data'!Z15*EF!$H46*EF!$H64)*NtoN2O*kgtoGg)</f>
        <v>NO</v>
      </c>
      <c r="AA46" s="28" t="str">
        <f>IF(('Activity data'!AA15*EF!$H46*EF!$H64)*NtoN2O*kgtoGg=0,"NO",('Activity data'!AA15*EF!$H46*EF!$H64)*NtoN2O*kgtoGg)</f>
        <v>NO</v>
      </c>
      <c r="AB46" s="28" t="str">
        <f>IF(('Activity data'!AB15*EF!$H46*EF!$H64)*NtoN2O*kgtoGg=0,"NO",('Activity data'!AB15*EF!$H46*EF!$H64)*NtoN2O*kgtoGg)</f>
        <v>NO</v>
      </c>
      <c r="AC46" s="28" t="str">
        <f>IF(('Activity data'!AC15*EF!$H46*EF!$H64)*NtoN2O*kgtoGg=0,"NO",('Activity data'!AC15*EF!$H46*EF!$H64)*NtoN2O*kgtoGg)</f>
        <v>NO</v>
      </c>
      <c r="AD46" s="28" t="str">
        <f>IF(('Activity data'!AD15*EF!$H46*EF!$H64)*NtoN2O*kgtoGg=0,"NO",('Activity data'!AD15*EF!$H46*EF!$H64)*NtoN2O*kgtoGg)</f>
        <v>NO</v>
      </c>
      <c r="AE46" s="28" t="str">
        <f>IF(('Activity data'!AE15*EF!$H46*EF!$H64)*NtoN2O*kgtoGg=0,"NO",('Activity data'!AE15*EF!$H46*EF!$H64)*NtoN2O*kgtoGg)</f>
        <v>NO</v>
      </c>
      <c r="AF46" s="28" t="str">
        <f>IF(('Activity data'!AF15*EF!$H46*EF!$H64)*NtoN2O*kgtoGg=0,"NO",('Activity data'!AF15*EF!$H46*EF!$H64)*NtoN2O*kgtoGg)</f>
        <v>NO</v>
      </c>
      <c r="AG46" s="28" t="str">
        <f>IF(('Activity data'!AG15*EF!$H46*EF!$H64)*NtoN2O*kgtoGg=0,"NO",('Activity data'!AG15*EF!$H46*EF!$H64)*NtoN2O*kgtoGg)</f>
        <v>NO</v>
      </c>
      <c r="AH46" s="28" t="str">
        <f>IF(('Activity data'!AH15*EF!$H46*EF!$H64)*NtoN2O*kgtoGg=0,"NO",('Activity data'!AH15*EF!$H46*EF!$H64)*NtoN2O*kgtoGg)</f>
        <v>NO</v>
      </c>
      <c r="AI46" s="28" t="str">
        <f>IF(('Activity data'!AI15*EF!$H46*EF!H64)*NtoN2O*kgtoGg=0,"NO",('Activity data'!AI15*EF!$H46*EF!H64)*NtoN2O*kgtoGg)</f>
        <v>NO</v>
      </c>
      <c r="AJ46" s="28" t="str">
        <f>IF(('Activity data'!AJ15*EF!$H46*EF!I64)*NtoN2O*kgtoGg=0,"NO",('Activity data'!AJ15*EF!$H46*EF!I64)*NtoN2O*kgtoGg)</f>
        <v>NO</v>
      </c>
      <c r="AK46" s="28" t="str">
        <f>IF(('Activity data'!AK15*EF!$H46*EF!J64)*NtoN2O*kgtoGg=0,"NO",('Activity data'!AK15*EF!$H46*EF!J64)*NtoN2O*kgtoGg)</f>
        <v>NO</v>
      </c>
      <c r="AL46" s="28" t="str">
        <f>IF(('Activity data'!AL15*EF!$H46*EF!K64)*NtoN2O*kgtoGg=0,"NO",('Activity data'!AL15*EF!$H46*EF!K64)*NtoN2O*kgtoGg)</f>
        <v>NO</v>
      </c>
      <c r="AM46" s="28" t="str">
        <f>IF(('Activity data'!AM15*EF!$H46*EF!L64)*NtoN2O*kgtoGg=0,"NO",('Activity data'!AM15*EF!$H46*EF!L64)*NtoN2O*kgtoGg)</f>
        <v>NO</v>
      </c>
      <c r="AN46" s="28" t="str">
        <f>IF(('Activity data'!AN15*EF!$H46*EF!M64)*NtoN2O*kgtoGg=0,"NO",('Activity data'!AN15*EF!$H46*EF!M64)*NtoN2O*kgtoGg)</f>
        <v>NO</v>
      </c>
      <c r="AO46" s="28" t="str">
        <f>IF(('Activity data'!AO15*EF!$H46*EF!N64)*NtoN2O*kgtoGg=0,"NO",('Activity data'!AO15*EF!$H46*EF!N64)*NtoN2O*kgtoGg)</f>
        <v>NO</v>
      </c>
      <c r="AP46" s="28" t="str">
        <f>IF(('Activity data'!AP15*EF!$H46*EF!O64)*NtoN2O*kgtoGg=0,"NO",('Activity data'!AP15*EF!$H46*EF!O64)*NtoN2O*kgtoGg)</f>
        <v>NO</v>
      </c>
      <c r="AQ46" s="28" t="str">
        <f>IF(('Activity data'!AQ15*EF!$H46*EF!P64)*NtoN2O*kgtoGg=0,"NO",('Activity data'!AQ15*EF!$H46*EF!P64)*NtoN2O*kgtoGg)</f>
        <v>NO</v>
      </c>
      <c r="AR46" s="28" t="str">
        <f>IF(('Activity data'!AR15*EF!$H46*EF!Q64)*NtoN2O*kgtoGg=0,"NO",('Activity data'!AR15*EF!$H46*EF!Q64)*NtoN2O*kgtoGg)</f>
        <v>NO</v>
      </c>
      <c r="AS46" s="28" t="str">
        <f>IF(('Activity data'!AS15*EF!$H46*EF!R64)*NtoN2O*kgtoGg=0,"NO",('Activity data'!AS15*EF!$H46*EF!R64)*NtoN2O*kgtoGg)</f>
        <v>NO</v>
      </c>
      <c r="AT46" s="28" t="str">
        <f>IF(('Activity data'!AT15*EF!$H46*EF!S64)*NtoN2O*kgtoGg=0,"NO",('Activity data'!AT15*EF!$H46*EF!S64)*NtoN2O*kgtoGg)</f>
        <v>NO</v>
      </c>
      <c r="AU46" s="28" t="str">
        <f>IF(('Activity data'!AU15*EF!$H46*EF!T64)*NtoN2O*kgtoGg=0,"NO",('Activity data'!AU15*EF!$H46*EF!T64)*NtoN2O*kgtoGg)</f>
        <v>NO</v>
      </c>
      <c r="AV46" s="28" t="str">
        <f>IF(('Activity data'!AV15*EF!$H46*EF!U64)*NtoN2O*kgtoGg=0,"NO",('Activity data'!AV15*EF!$H46*EF!U64)*NtoN2O*kgtoGg)</f>
        <v>NO</v>
      </c>
      <c r="AW46" s="28" t="str">
        <f>IF(('Activity data'!AW15*EF!$H46*EF!V64)*NtoN2O*kgtoGg=0,"NO",('Activity data'!AW15*EF!$H46*EF!V64)*NtoN2O*kgtoGg)</f>
        <v>NO</v>
      </c>
      <c r="AX46" s="28" t="str">
        <f>IF(('Activity data'!AX15*EF!$H46*EF!W64)*NtoN2O*kgtoGg=0,"NO",('Activity data'!AX15*EF!$H46*EF!W64)*NtoN2O*kgtoGg)</f>
        <v>NO</v>
      </c>
      <c r="AY46" s="28" t="str">
        <f>IF(('Activity data'!AY15*EF!$H46*EF!X64)*NtoN2O*kgtoGg=0,"NO",('Activity data'!AY15*EF!$H46*EF!X64)*NtoN2O*kgtoGg)</f>
        <v>NO</v>
      </c>
      <c r="AZ46" s="28" t="str">
        <f>IF(('Activity data'!AZ15*EF!$H46*EF!Y64)*NtoN2O*kgtoGg=0,"NO",('Activity data'!AZ15*EF!$H46*EF!Y64)*NtoN2O*kgtoGg)</f>
        <v>NO</v>
      </c>
      <c r="BA46" s="28" t="str">
        <f>IF(('Activity data'!BA15*EF!$H46*EF!Z64)*NtoN2O*kgtoGg=0,"NO",('Activity data'!BA15*EF!$H46*EF!Z64)*NtoN2O*kgtoGg)</f>
        <v>NO</v>
      </c>
      <c r="BB46" s="28" t="str">
        <f>IF(('Activity data'!BB15*EF!$H46*EF!AA64)*NtoN2O*kgtoGg=0,"NO",('Activity data'!BB15*EF!$H46*EF!AA64)*NtoN2O*kgtoGg)</f>
        <v>NO</v>
      </c>
      <c r="BC46" s="28" t="str">
        <f>IF(('Activity data'!BC15*EF!$H46*EF!AB64)*NtoN2O*kgtoGg=0,"NO",('Activity data'!BC15*EF!$H46*EF!AB64)*NtoN2O*kgtoGg)</f>
        <v>NO</v>
      </c>
      <c r="BD46" s="28" t="str">
        <f>IF(('Activity data'!BD15*EF!$H46*EF!AC64)*NtoN2O*kgtoGg=0,"NO",('Activity data'!BD15*EF!$H46*EF!AC64)*NtoN2O*kgtoGg)</f>
        <v>NO</v>
      </c>
      <c r="BE46" s="28" t="str">
        <f>IF(('Activity data'!BE15*EF!$H46*EF!AD64)*NtoN2O*kgtoGg=0,"NO",('Activity data'!BE15*EF!$H46*EF!AD64)*NtoN2O*kgtoGg)</f>
        <v>NO</v>
      </c>
      <c r="BF46" s="28" t="str">
        <f>IF(('Activity data'!BF15*EF!$H46*EF!AE64)*NtoN2O*kgtoGg=0,"NO",('Activity data'!BF15*EF!$H46*EF!AE64)*NtoN2O*kgtoGg)</f>
        <v>NO</v>
      </c>
      <c r="BG46" s="28" t="str">
        <f>IF(('Activity data'!BG15*EF!$H46*EF!AF64)*NtoN2O*kgtoGg=0,"NO",('Activity data'!BG15*EF!$H46*EF!AF64)*NtoN2O*kgtoGg)</f>
        <v>NO</v>
      </c>
      <c r="BH46" s="28" t="str">
        <f>IF(('Activity data'!BH15*EF!$H46*EF!AG64)*NtoN2O*kgtoGg=0,"NO",('Activity data'!BH15*EF!$H46*EF!AG64)*NtoN2O*kgtoGg)</f>
        <v>NO</v>
      </c>
      <c r="BI46" s="28" t="str">
        <f>IF(('Activity data'!BI15*EF!$H46*EF!AH64)*NtoN2O*kgtoGg=0,"NO",('Activity data'!BI15*EF!$H46*EF!AH64)*NtoN2O*kgtoGg)</f>
        <v>NO</v>
      </c>
      <c r="BJ46" s="28" t="str">
        <f>IF(('Activity data'!BJ15*EF!$H46*EF!AI64)*NtoN2O*kgtoGg=0,"NO",('Activity data'!BJ15*EF!$H46*EF!AI64)*NtoN2O*kgtoGg)</f>
        <v>NO</v>
      </c>
      <c r="BK46" s="28" t="str">
        <f>IF(('Activity data'!BK15*EF!$H46*EF!AJ64)*NtoN2O*kgtoGg=0,"NO",('Activity data'!BK15*EF!$H46*EF!AJ64)*NtoN2O*kgtoGg)</f>
        <v>NO</v>
      </c>
      <c r="BL46" s="28" t="str">
        <f>IF(('Activity data'!BL15*EF!$H46*EF!AK64)*NtoN2O*kgtoGg=0,"NO",('Activity data'!BL15*EF!$H46*EF!AK64)*NtoN2O*kgtoGg)</f>
        <v>NO</v>
      </c>
      <c r="BM46" s="28" t="str">
        <f>IF(('Activity data'!BM15*EF!$H46*EF!AL64)*NtoN2O*kgtoGg=0,"NO",('Activity data'!BM15*EF!$H46*EF!AL64)*NtoN2O*kgtoGg)</f>
        <v>NO</v>
      </c>
      <c r="BN46" s="28" t="str">
        <f>IF(('Activity data'!BN15*EF!$H46*EF!AM64)*NtoN2O*kgtoGg=0,"NO",('Activity data'!BN15*EF!$H46*EF!AM64)*NtoN2O*kgtoGg)</f>
        <v>NO</v>
      </c>
      <c r="BO46" s="28" t="str">
        <f>IF(('Activity data'!BO15*EF!$H46*EF!AN64)*NtoN2O*kgtoGg=0,"NO",('Activity data'!BO15*EF!$H46*EF!AN64)*NtoN2O*kgtoGg)</f>
        <v>NO</v>
      </c>
      <c r="BP46" s="28"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8" t="str">
        <f>IF(('Activity data'!H16*EF!$H47*EF!$H65)*NtoN2O*kgtoGg=0,"NO",('Activity data'!H16*EF!$H47*EF!$H65)*NtoN2O*kgtoGg)</f>
        <v>NO</v>
      </c>
      <c r="I47" s="28" t="str">
        <f>IF(('Activity data'!I16*EF!$H47*EF!$H65)*NtoN2O*kgtoGg=0,"NO",('Activity data'!I16*EF!$H47*EF!$H65)*NtoN2O*kgtoGg)</f>
        <v>NO</v>
      </c>
      <c r="J47" s="28" t="str">
        <f>IF(('Activity data'!J16*EF!$H47*EF!$H65)*NtoN2O*kgtoGg=0,"NO",('Activity data'!J16*EF!$H47*EF!$H65)*NtoN2O*kgtoGg)</f>
        <v>NO</v>
      </c>
      <c r="K47" s="28" t="str">
        <f>IF(('Activity data'!K16*EF!$H47*EF!$H65)*NtoN2O*kgtoGg=0,"NO",('Activity data'!K16*EF!$H47*EF!$H65)*NtoN2O*kgtoGg)</f>
        <v>NO</v>
      </c>
      <c r="L47" s="28" t="str">
        <f>IF(('Activity data'!L16*EF!$H47*EF!$H65)*NtoN2O*kgtoGg=0,"NO",('Activity data'!L16*EF!$H47*EF!$H65)*NtoN2O*kgtoGg)</f>
        <v>NO</v>
      </c>
      <c r="M47" s="28" t="str">
        <f>IF(('Activity data'!M16*EF!$H47*EF!$H65)*NtoN2O*kgtoGg=0,"NO",('Activity data'!M16*EF!$H47*EF!$H65)*NtoN2O*kgtoGg)</f>
        <v>NO</v>
      </c>
      <c r="N47" s="28" t="str">
        <f>IF(('Activity data'!N16*EF!$H47*EF!$H65)*NtoN2O*kgtoGg=0,"NO",('Activity data'!N16*EF!$H47*EF!$H65)*NtoN2O*kgtoGg)</f>
        <v>NO</v>
      </c>
      <c r="O47" s="28" t="str">
        <f>IF(('Activity data'!O16*EF!$H47*EF!$H65)*NtoN2O*kgtoGg=0,"NO",('Activity data'!O16*EF!$H47*EF!$H65)*NtoN2O*kgtoGg)</f>
        <v>NO</v>
      </c>
      <c r="P47" s="28" t="str">
        <f>IF(('Activity data'!P16*EF!$H47*EF!$H65)*NtoN2O*kgtoGg=0,"NO",('Activity data'!P16*EF!$H47*EF!$H65)*NtoN2O*kgtoGg)</f>
        <v>NO</v>
      </c>
      <c r="Q47" s="28" t="str">
        <f>IF(('Activity data'!Q16*EF!$H47*EF!$H65)*NtoN2O*kgtoGg=0,"NO",('Activity data'!Q16*EF!$H47*EF!$H65)*NtoN2O*kgtoGg)</f>
        <v>NO</v>
      </c>
      <c r="R47" s="28" t="str">
        <f>IF(('Activity data'!R16*EF!$H47*EF!$H65)*NtoN2O*kgtoGg=0,"NO",('Activity data'!R16*EF!$H47*EF!$H65)*NtoN2O*kgtoGg)</f>
        <v>NO</v>
      </c>
      <c r="S47" s="28" t="str">
        <f>IF(('Activity data'!S16*EF!$H47*EF!$H65)*NtoN2O*kgtoGg=0,"NO",('Activity data'!S16*EF!$H47*EF!$H65)*NtoN2O*kgtoGg)</f>
        <v>NO</v>
      </c>
      <c r="T47" s="28" t="str">
        <f>IF(('Activity data'!T16*EF!$H47*EF!$H65)*NtoN2O*kgtoGg=0,"NO",('Activity data'!T16*EF!$H47*EF!$H65)*NtoN2O*kgtoGg)</f>
        <v>NO</v>
      </c>
      <c r="U47" s="28" t="str">
        <f>IF(('Activity data'!U16*EF!$H47*EF!$H65)*NtoN2O*kgtoGg=0,"NO",('Activity data'!U16*EF!$H47*EF!$H65)*NtoN2O*kgtoGg)</f>
        <v>NO</v>
      </c>
      <c r="V47" s="28" t="str">
        <f>IF(('Activity data'!V16*EF!$H47*EF!$H65)*NtoN2O*kgtoGg=0,"NO",('Activity data'!V16*EF!$H47*EF!$H65)*NtoN2O*kgtoGg)</f>
        <v>NO</v>
      </c>
      <c r="W47" s="28" t="str">
        <f>IF(('Activity data'!W16*EF!$H47*EF!$H65)*NtoN2O*kgtoGg=0,"NO",('Activity data'!W16*EF!$H47*EF!$H65)*NtoN2O*kgtoGg)</f>
        <v>NO</v>
      </c>
      <c r="X47" s="28" t="str">
        <f>IF(('Activity data'!X16*EF!$H47*EF!$H65)*NtoN2O*kgtoGg=0,"NO",('Activity data'!X16*EF!$H47*EF!$H65)*NtoN2O*kgtoGg)</f>
        <v>NO</v>
      </c>
      <c r="Y47" s="28" t="str">
        <f>IF(('Activity data'!Y16*EF!$H47*EF!$H65)*NtoN2O*kgtoGg=0,"NO",('Activity data'!Y16*EF!$H47*EF!$H65)*NtoN2O*kgtoGg)</f>
        <v>NO</v>
      </c>
      <c r="Z47" s="28" t="str">
        <f>IF(('Activity data'!Z16*EF!$H47*EF!$H65)*NtoN2O*kgtoGg=0,"NO",('Activity data'!Z16*EF!$H47*EF!$H65)*NtoN2O*kgtoGg)</f>
        <v>NO</v>
      </c>
      <c r="AA47" s="28" t="str">
        <f>IF(('Activity data'!AA16*EF!$H47*EF!$H65)*NtoN2O*kgtoGg=0,"NO",('Activity data'!AA16*EF!$H47*EF!$H65)*NtoN2O*kgtoGg)</f>
        <v>NO</v>
      </c>
      <c r="AB47" s="28" t="str">
        <f>IF(('Activity data'!AB16*EF!$H47*EF!$H65)*NtoN2O*kgtoGg=0,"NO",('Activity data'!AB16*EF!$H47*EF!$H65)*NtoN2O*kgtoGg)</f>
        <v>NO</v>
      </c>
      <c r="AC47" s="28" t="str">
        <f>IF(('Activity data'!AC16*EF!$H47*EF!$H65)*NtoN2O*kgtoGg=0,"NO",('Activity data'!AC16*EF!$H47*EF!$H65)*NtoN2O*kgtoGg)</f>
        <v>NO</v>
      </c>
      <c r="AD47" s="28" t="str">
        <f>IF(('Activity data'!AD16*EF!$H47*EF!$H65)*NtoN2O*kgtoGg=0,"NO",('Activity data'!AD16*EF!$H47*EF!$H65)*NtoN2O*kgtoGg)</f>
        <v>NO</v>
      </c>
      <c r="AE47" s="28" t="str">
        <f>IF(('Activity data'!AE16*EF!$H47*EF!$H65)*NtoN2O*kgtoGg=0,"NO",('Activity data'!AE16*EF!$H47*EF!$H65)*NtoN2O*kgtoGg)</f>
        <v>NO</v>
      </c>
      <c r="AF47" s="28" t="str">
        <f>IF(('Activity data'!AF16*EF!$H47*EF!$H65)*NtoN2O*kgtoGg=0,"NO",('Activity data'!AF16*EF!$H47*EF!$H65)*NtoN2O*kgtoGg)</f>
        <v>NO</v>
      </c>
      <c r="AG47" s="28" t="str">
        <f>IF(('Activity data'!AG16*EF!$H47*EF!$H65)*NtoN2O*kgtoGg=0,"NO",('Activity data'!AG16*EF!$H47*EF!$H65)*NtoN2O*kgtoGg)</f>
        <v>NO</v>
      </c>
      <c r="AH47" s="28" t="str">
        <f>IF(('Activity data'!AH16*EF!$H47*EF!$H65)*NtoN2O*kgtoGg=0,"NO",('Activity data'!AH16*EF!$H47*EF!$H65)*NtoN2O*kgtoGg)</f>
        <v>NO</v>
      </c>
      <c r="AI47" s="28" t="str">
        <f>IF(('Activity data'!AI16*EF!$H47*EF!H65)*NtoN2O*kgtoGg=0,"NO",('Activity data'!AI16*EF!$H47*EF!H65)*NtoN2O*kgtoGg)</f>
        <v>NO</v>
      </c>
      <c r="AJ47" s="28" t="str">
        <f>IF(('Activity data'!AJ16*EF!$H47*EF!I65)*NtoN2O*kgtoGg=0,"NO",('Activity data'!AJ16*EF!$H47*EF!I65)*NtoN2O*kgtoGg)</f>
        <v>NO</v>
      </c>
      <c r="AK47" s="28" t="str">
        <f>IF(('Activity data'!AK16*EF!$H47*EF!J65)*NtoN2O*kgtoGg=0,"NO",('Activity data'!AK16*EF!$H47*EF!J65)*NtoN2O*kgtoGg)</f>
        <v>NO</v>
      </c>
      <c r="AL47" s="28" t="str">
        <f>IF(('Activity data'!AL16*EF!$H47*EF!K65)*NtoN2O*kgtoGg=0,"NO",('Activity data'!AL16*EF!$H47*EF!K65)*NtoN2O*kgtoGg)</f>
        <v>NO</v>
      </c>
      <c r="AM47" s="28" t="str">
        <f>IF(('Activity data'!AM16*EF!$H47*EF!L65)*NtoN2O*kgtoGg=0,"NO",('Activity data'!AM16*EF!$H47*EF!L65)*NtoN2O*kgtoGg)</f>
        <v>NO</v>
      </c>
      <c r="AN47" s="28" t="str">
        <f>IF(('Activity data'!AN16*EF!$H47*EF!M65)*NtoN2O*kgtoGg=0,"NO",('Activity data'!AN16*EF!$H47*EF!M65)*NtoN2O*kgtoGg)</f>
        <v>NO</v>
      </c>
      <c r="AO47" s="28" t="str">
        <f>IF(('Activity data'!AO16*EF!$H47*EF!N65)*NtoN2O*kgtoGg=0,"NO",('Activity data'!AO16*EF!$H47*EF!N65)*NtoN2O*kgtoGg)</f>
        <v>NO</v>
      </c>
      <c r="AP47" s="28" t="str">
        <f>IF(('Activity data'!AP16*EF!$H47*EF!O65)*NtoN2O*kgtoGg=0,"NO",('Activity data'!AP16*EF!$H47*EF!O65)*NtoN2O*kgtoGg)</f>
        <v>NO</v>
      </c>
      <c r="AQ47" s="28" t="str">
        <f>IF(('Activity data'!AQ16*EF!$H47*EF!P65)*NtoN2O*kgtoGg=0,"NO",('Activity data'!AQ16*EF!$H47*EF!P65)*NtoN2O*kgtoGg)</f>
        <v>NO</v>
      </c>
      <c r="AR47" s="28" t="str">
        <f>IF(('Activity data'!AR16*EF!$H47*EF!Q65)*NtoN2O*kgtoGg=0,"NO",('Activity data'!AR16*EF!$H47*EF!Q65)*NtoN2O*kgtoGg)</f>
        <v>NO</v>
      </c>
      <c r="AS47" s="28" t="str">
        <f>IF(('Activity data'!AS16*EF!$H47*EF!R65)*NtoN2O*kgtoGg=0,"NO",('Activity data'!AS16*EF!$H47*EF!R65)*NtoN2O*kgtoGg)</f>
        <v>NO</v>
      </c>
      <c r="AT47" s="28" t="str">
        <f>IF(('Activity data'!AT16*EF!$H47*EF!S65)*NtoN2O*kgtoGg=0,"NO",('Activity data'!AT16*EF!$H47*EF!S65)*NtoN2O*kgtoGg)</f>
        <v>NO</v>
      </c>
      <c r="AU47" s="28" t="str">
        <f>IF(('Activity data'!AU16*EF!$H47*EF!T65)*NtoN2O*kgtoGg=0,"NO",('Activity data'!AU16*EF!$H47*EF!T65)*NtoN2O*kgtoGg)</f>
        <v>NO</v>
      </c>
      <c r="AV47" s="28" t="str">
        <f>IF(('Activity data'!AV16*EF!$H47*EF!U65)*NtoN2O*kgtoGg=0,"NO",('Activity data'!AV16*EF!$H47*EF!U65)*NtoN2O*kgtoGg)</f>
        <v>NO</v>
      </c>
      <c r="AW47" s="28" t="str">
        <f>IF(('Activity data'!AW16*EF!$H47*EF!V65)*NtoN2O*kgtoGg=0,"NO",('Activity data'!AW16*EF!$H47*EF!V65)*NtoN2O*kgtoGg)</f>
        <v>NO</v>
      </c>
      <c r="AX47" s="28" t="str">
        <f>IF(('Activity data'!AX16*EF!$H47*EF!W65)*NtoN2O*kgtoGg=0,"NO",('Activity data'!AX16*EF!$H47*EF!W65)*NtoN2O*kgtoGg)</f>
        <v>NO</v>
      </c>
      <c r="AY47" s="28" t="str">
        <f>IF(('Activity data'!AY16*EF!$H47*EF!X65)*NtoN2O*kgtoGg=0,"NO",('Activity data'!AY16*EF!$H47*EF!X65)*NtoN2O*kgtoGg)</f>
        <v>NO</v>
      </c>
      <c r="AZ47" s="28" t="str">
        <f>IF(('Activity data'!AZ16*EF!$H47*EF!Y65)*NtoN2O*kgtoGg=0,"NO",('Activity data'!AZ16*EF!$H47*EF!Y65)*NtoN2O*kgtoGg)</f>
        <v>NO</v>
      </c>
      <c r="BA47" s="28" t="str">
        <f>IF(('Activity data'!BA16*EF!$H47*EF!Z65)*NtoN2O*kgtoGg=0,"NO",('Activity data'!BA16*EF!$H47*EF!Z65)*NtoN2O*kgtoGg)</f>
        <v>NO</v>
      </c>
      <c r="BB47" s="28" t="str">
        <f>IF(('Activity data'!BB16*EF!$H47*EF!AA65)*NtoN2O*kgtoGg=0,"NO",('Activity data'!BB16*EF!$H47*EF!AA65)*NtoN2O*kgtoGg)</f>
        <v>NO</v>
      </c>
      <c r="BC47" s="28" t="str">
        <f>IF(('Activity data'!BC16*EF!$H47*EF!AB65)*NtoN2O*kgtoGg=0,"NO",('Activity data'!BC16*EF!$H47*EF!AB65)*NtoN2O*kgtoGg)</f>
        <v>NO</v>
      </c>
      <c r="BD47" s="28" t="str">
        <f>IF(('Activity data'!BD16*EF!$H47*EF!AC65)*NtoN2O*kgtoGg=0,"NO",('Activity data'!BD16*EF!$H47*EF!AC65)*NtoN2O*kgtoGg)</f>
        <v>NO</v>
      </c>
      <c r="BE47" s="28" t="str">
        <f>IF(('Activity data'!BE16*EF!$H47*EF!AD65)*NtoN2O*kgtoGg=0,"NO",('Activity data'!BE16*EF!$H47*EF!AD65)*NtoN2O*kgtoGg)</f>
        <v>NO</v>
      </c>
      <c r="BF47" s="28" t="str">
        <f>IF(('Activity data'!BF16*EF!$H47*EF!AE65)*NtoN2O*kgtoGg=0,"NO",('Activity data'!BF16*EF!$H47*EF!AE65)*NtoN2O*kgtoGg)</f>
        <v>NO</v>
      </c>
      <c r="BG47" s="28" t="str">
        <f>IF(('Activity data'!BG16*EF!$H47*EF!AF65)*NtoN2O*kgtoGg=0,"NO",('Activity data'!BG16*EF!$H47*EF!AF65)*NtoN2O*kgtoGg)</f>
        <v>NO</v>
      </c>
      <c r="BH47" s="28" t="str">
        <f>IF(('Activity data'!BH16*EF!$H47*EF!AG65)*NtoN2O*kgtoGg=0,"NO",('Activity data'!BH16*EF!$H47*EF!AG65)*NtoN2O*kgtoGg)</f>
        <v>NO</v>
      </c>
      <c r="BI47" s="28" t="str">
        <f>IF(('Activity data'!BI16*EF!$H47*EF!AH65)*NtoN2O*kgtoGg=0,"NO",('Activity data'!BI16*EF!$H47*EF!AH65)*NtoN2O*kgtoGg)</f>
        <v>NO</v>
      </c>
      <c r="BJ47" s="28" t="str">
        <f>IF(('Activity data'!BJ16*EF!$H47*EF!AI65)*NtoN2O*kgtoGg=0,"NO",('Activity data'!BJ16*EF!$H47*EF!AI65)*NtoN2O*kgtoGg)</f>
        <v>NO</v>
      </c>
      <c r="BK47" s="28" t="str">
        <f>IF(('Activity data'!BK16*EF!$H47*EF!AJ65)*NtoN2O*kgtoGg=0,"NO",('Activity data'!BK16*EF!$H47*EF!AJ65)*NtoN2O*kgtoGg)</f>
        <v>NO</v>
      </c>
      <c r="BL47" s="28" t="str">
        <f>IF(('Activity data'!BL16*EF!$H47*EF!AK65)*NtoN2O*kgtoGg=0,"NO",('Activity data'!BL16*EF!$H47*EF!AK65)*NtoN2O*kgtoGg)</f>
        <v>NO</v>
      </c>
      <c r="BM47" s="28" t="str">
        <f>IF(('Activity data'!BM16*EF!$H47*EF!AL65)*NtoN2O*kgtoGg=0,"NO",('Activity data'!BM16*EF!$H47*EF!AL65)*NtoN2O*kgtoGg)</f>
        <v>NO</v>
      </c>
      <c r="BN47" s="28" t="str">
        <f>IF(('Activity data'!BN16*EF!$H47*EF!AM65)*NtoN2O*kgtoGg=0,"NO",('Activity data'!BN16*EF!$H47*EF!AM65)*NtoN2O*kgtoGg)</f>
        <v>NO</v>
      </c>
      <c r="BO47" s="28" t="str">
        <f>IF(('Activity data'!BO16*EF!$H47*EF!AN65)*NtoN2O*kgtoGg=0,"NO",('Activity data'!BO16*EF!$H47*EF!AN65)*NtoN2O*kgtoGg)</f>
        <v>NO</v>
      </c>
      <c r="BP47" s="28"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8">
        <f>IF(('Activity data'!H17*EF!$H48*EF!$H66)*NtoN2O*kgtoGg=0,"NO",('Activity data'!H17*EF!$H48*EF!$H66)*NtoN2O*kgtoGg)</f>
        <v>8.969533176685715E-2</v>
      </c>
      <c r="I48" s="28">
        <f>IF(('Activity data'!I17*EF!$H48*EF!$H66)*NtoN2O*kgtoGg=0,"NO",('Activity data'!I17*EF!$H48*EF!$H66)*NtoN2O*kgtoGg)</f>
        <v>9.7993915611428561E-2</v>
      </c>
      <c r="J48" s="28">
        <f>IF(('Activity data'!J17*EF!$H48*EF!$H66)*NtoN2O*kgtoGg=0,"NO",('Activity data'!J17*EF!$H48*EF!$H66)*NtoN2O*kgtoGg)</f>
        <v>9.7346508361142864E-2</v>
      </c>
      <c r="K48" s="28">
        <f>IF(('Activity data'!K17*EF!$H48*EF!$H66)*NtoN2O*kgtoGg=0,"NO",('Activity data'!K17*EF!$H48*EF!$H66)*NtoN2O*kgtoGg)</f>
        <v>9.7287653156571438E-2</v>
      </c>
      <c r="L48" s="28">
        <f>IF(('Activity data'!L17*EF!$H48*EF!$H66)*NtoN2O*kgtoGg=0,"NO",('Activity data'!L17*EF!$H48*EF!$H66)*NtoN2O*kgtoGg)</f>
        <v>9.2402671177142848E-2</v>
      </c>
      <c r="M48" s="28">
        <f>IF(('Activity data'!M17*EF!$H48*EF!$H66)*NtoN2O*kgtoGg=0,"NO",('Activity data'!M17*EF!$H48*EF!$H66)*NtoN2O*kgtoGg)</f>
        <v>9.328549924571429E-2</v>
      </c>
      <c r="N48" s="28">
        <f>IF(('Activity data'!N17*EF!$H48*EF!$H66)*NtoN2O*kgtoGg=0,"NO",('Activity data'!N17*EF!$H48*EF!$H66)*NtoN2O*kgtoGg)</f>
        <v>0.10046583420342857</v>
      </c>
      <c r="O48" s="28">
        <f>IF(('Activity data'!O17*EF!$H48*EF!$H66)*NtoN2O*kgtoGg=0,"NO",('Activity data'!O17*EF!$H48*EF!$H66)*NtoN2O*kgtoGg)</f>
        <v>9.9994992566857149E-2</v>
      </c>
      <c r="P48" s="28">
        <f>IF(('Activity data'!P17*EF!$H48*EF!$H66)*NtoN2O*kgtoGg=0,"NO",('Activity data'!P17*EF!$H48*EF!$H66)*NtoN2O*kgtoGg)</f>
        <v>0.102172635136</v>
      </c>
      <c r="Q48" s="28">
        <f>IF(('Activity data'!Q17*EF!$H48*EF!$H66)*NtoN2O*kgtoGg=0,"NO",('Activity data'!Q17*EF!$H48*EF!$H66)*NtoN2O*kgtoGg)</f>
        <v>0.10476226413714287</v>
      </c>
      <c r="R48" s="28">
        <f>IF(('Activity data'!R17*EF!$H48*EF!$H66)*NtoN2O*kgtoGg=0,"NO",('Activity data'!R17*EF!$H48*EF!$H66)*NtoN2O*kgtoGg)</f>
        <v>9.6934521929142842E-2</v>
      </c>
      <c r="S48" s="28">
        <f>IF(('Activity data'!S17*EF!$H48*EF!$H66)*NtoN2O*kgtoGg=0,"NO",('Activity data'!S17*EF!$H48*EF!$H66)*NtoN2O*kgtoGg)</f>
        <v>9.8759033270857152E-2</v>
      </c>
      <c r="T48" s="28">
        <f>IF(('Activity data'!T17*EF!$H48*EF!$H66)*NtoN2O*kgtoGg=0,"NO",('Activity data'!T17*EF!$H48*EF!$H66)*NtoN2O*kgtoGg)</f>
        <v>0.10064239981714285</v>
      </c>
      <c r="U48" s="28">
        <f>IF(('Activity data'!U17*EF!$H48*EF!$H66)*NtoN2O*kgtoGg=0,"NO",('Activity data'!U17*EF!$H48*EF!$H66)*NtoN2O*kgtoGg)</f>
        <v>9.7876205202285724E-2</v>
      </c>
      <c r="V48" s="28">
        <f>IF(('Activity data'!V17*EF!$H48*EF!$H66)*NtoN2O*kgtoGg=0,"NO",('Activity data'!V17*EF!$H48*EF!$H66)*NtoN2O*kgtoGg)</f>
        <v>9.7876205202285724E-2</v>
      </c>
      <c r="W48" s="28">
        <f>IF(('Activity data'!W17*EF!$H48*EF!$H66)*NtoN2O*kgtoGg=0,"NO",('Activity data'!W17*EF!$H48*EF!$H66)*NtoN2O*kgtoGg)</f>
        <v>9.7169942747428573E-2</v>
      </c>
      <c r="X48" s="28">
        <f>IF(('Activity data'!X17*EF!$H48*EF!$H66)*NtoN2O*kgtoGg=0,"NO",('Activity data'!X17*EF!$H48*EF!$H66)*NtoN2O*kgtoGg)</f>
        <v>9.5463141814857155E-2</v>
      </c>
      <c r="Y48" s="28">
        <f>IF(('Activity data'!Y17*EF!$H48*EF!$H66)*NtoN2O*kgtoGg=0,"NO",('Activity data'!Y17*EF!$H48*EF!$H66)*NtoN2O*kgtoGg)</f>
        <v>9.7169942747428573E-2</v>
      </c>
      <c r="Z48" s="28">
        <f>IF(('Activity data'!Z17*EF!$H48*EF!$H66)*NtoN2O*kgtoGg=0,"NO",('Activity data'!Z17*EF!$H48*EF!$H66)*NtoN2O*kgtoGg)</f>
        <v>9.5051155382857147E-2</v>
      </c>
      <c r="AA48" s="28">
        <f>IF(('Activity data'!AA17*EF!$H48*EF!$H66)*NtoN2O*kgtoGg=0,"NO",('Activity data'!AA17*EF!$H48*EF!$H66)*NtoN2O*kgtoGg)</f>
        <v>9.4933444973714295E-2</v>
      </c>
      <c r="AB48" s="28">
        <f>IF(('Activity data'!AB17*EF!$H48*EF!$H66)*NtoN2O*kgtoGg=0,"NO",('Activity data'!AB17*EF!$H48*EF!$H66)*NtoN2O*kgtoGg)</f>
        <v>9.381519608685715E-2</v>
      </c>
      <c r="AC48" s="28">
        <f>IF(('Activity data'!AC17*EF!$H48*EF!$H66)*NtoN2O*kgtoGg=0,"NO",('Activity data'!AC17*EF!$H48*EF!$H66)*NtoN2O*kgtoGg)</f>
        <v>9.3226644041142864E-2</v>
      </c>
      <c r="AD48" s="28">
        <f>IF(('Activity data'!AD17*EF!$H48*EF!$H66)*NtoN2O*kgtoGg=0,"NO",('Activity data'!AD17*EF!$H48*EF!$H66)*NtoN2O*kgtoGg)</f>
        <v>9.7855003322124628E-2</v>
      </c>
      <c r="AE48" s="28">
        <f>IF(('Activity data'!AE17*EF!$H48*EF!$H66)*NtoN2O*kgtoGg=0,"NO",('Activity data'!AE17*EF!$H48*EF!$H66)*NtoN2O*kgtoGg)</f>
        <v>9.768205595551481E-2</v>
      </c>
      <c r="AF48" s="28">
        <f>IF(('Activity data'!AF17*EF!$H48*EF!$H66)*NtoN2O*kgtoGg=0,"NO",('Activity data'!AF17*EF!$H48*EF!$H66)*NtoN2O*kgtoGg)</f>
        <v>9.7134008511937764E-2</v>
      </c>
      <c r="AG48" s="28">
        <f>IF(('Activity data'!AG17*EF!$H48*EF!$H66)*NtoN2O*kgtoGg=0,"NO",('Activity data'!AG17*EF!$H48*EF!$H66)*NtoN2O*kgtoGg)</f>
        <v>9.4990622413168677E-2</v>
      </c>
      <c r="AH48" s="28">
        <f>IF(('Activity data'!AH17*EF!$H48*EF!$H66)*NtoN2O*kgtoGg=0,"NO",('Activity data'!AH17*EF!$H48*EF!$H66)*NtoN2O*kgtoGg)</f>
        <v>9.2963704380958218E-2</v>
      </c>
      <c r="AI48" s="28">
        <f>IF(('Activity data'!AI17*EF!$H48*EF!H66)*NtoN2O*kgtoGg=0,"NO",('Activity data'!AI17*EF!$H48*EF!H66)*NtoN2O*kgtoGg)</f>
        <v>9.2636555494494649E-2</v>
      </c>
      <c r="AJ48" s="28">
        <f>IF(('Activity data'!AJ17*EF!$H48*EF!I66)*NtoN2O*kgtoGg=0,"NO",('Activity data'!AJ17*EF!$H48*EF!I66)*NtoN2O*kgtoGg)</f>
        <v>9.1842396693378264E-2</v>
      </c>
      <c r="AK48" s="28">
        <f>IF(('Activity data'!AK17*EF!$H48*EF!J66)*NtoN2O*kgtoGg=0,"NO",('Activity data'!AK17*EF!$H48*EF!J66)*NtoN2O*kgtoGg)</f>
        <v>8.9396441883992581E-2</v>
      </c>
      <c r="AL48" s="28">
        <f>IF(('Activity data'!AL17*EF!$H48*EF!K66)*NtoN2O*kgtoGg=0,"NO",('Activity data'!AL17*EF!$H48*EF!K66)*NtoN2O*kgtoGg)</f>
        <v>7.973748994684815E-2</v>
      </c>
      <c r="AM48" s="28">
        <f>IF(('Activity data'!AM17*EF!$H48*EF!L66)*NtoN2O*kgtoGg=0,"NO",('Activity data'!AM17*EF!$H48*EF!L66)*NtoN2O*kgtoGg)</f>
        <v>8.1452692189288772E-2</v>
      </c>
      <c r="AN48" s="28">
        <f>IF(('Activity data'!AN17*EF!$H48*EF!M66)*NtoN2O*kgtoGg=0,"NO",('Activity data'!AN17*EF!$H48*EF!M66)*NtoN2O*kgtoGg)</f>
        <v>8.2242511804273E-2</v>
      </c>
      <c r="AO48" s="28">
        <f>IF(('Activity data'!AO17*EF!$H48*EF!N66)*NtoN2O*kgtoGg=0,"NO",('Activity data'!AO17*EF!$H48*EF!N66)*NtoN2O*kgtoGg)</f>
        <v>8.2817744096224652E-2</v>
      </c>
      <c r="AP48" s="28">
        <f>IF(('Activity data'!AP17*EF!$H48*EF!O66)*NtoN2O*kgtoGg=0,"NO",('Activity data'!AP17*EF!$H48*EF!O66)*NtoN2O*kgtoGg)</f>
        <v>8.3700880663628088E-2</v>
      </c>
      <c r="AQ48" s="28">
        <f>IF(('Activity data'!AQ17*EF!$H48*EF!P66)*NtoN2O*kgtoGg=0,"NO",('Activity data'!AQ17*EF!$H48*EF!P66)*NtoN2O*kgtoGg)</f>
        <v>8.5662060351678962E-2</v>
      </c>
      <c r="AR48" s="28">
        <f>IF(('Activity data'!AR17*EF!$H48*EF!Q66)*NtoN2O*kgtoGg=0,"NO",('Activity data'!AR17*EF!$H48*EF!Q66)*NtoN2O*kgtoGg)</f>
        <v>8.7869258828121299E-2</v>
      </c>
      <c r="AS48" s="28">
        <f>IF(('Activity data'!AS17*EF!$H48*EF!R66)*NtoN2O*kgtoGg=0,"NO",('Activity data'!AS17*EF!$H48*EF!R66)*NtoN2O*kgtoGg)</f>
        <v>9.0298087380543637E-2</v>
      </c>
      <c r="AT48" s="28">
        <f>IF(('Activity data'!AT17*EF!$H48*EF!S66)*NtoN2O*kgtoGg=0,"NO",('Activity data'!AT17*EF!$H48*EF!S66)*NtoN2O*kgtoGg)</f>
        <v>9.2240276380797723E-2</v>
      </c>
      <c r="AU48" s="28">
        <f>IF(('Activity data'!AU17*EF!$H48*EF!T66)*NtoN2O*kgtoGg=0,"NO",('Activity data'!AU17*EF!$H48*EF!T66)*NtoN2O*kgtoGg)</f>
        <v>9.4619108619267742E-2</v>
      </c>
      <c r="AV48" s="28">
        <f>IF(('Activity data'!AV17*EF!$H48*EF!U66)*NtoN2O*kgtoGg=0,"NO",('Activity data'!AV17*EF!$H48*EF!U66)*NtoN2O*kgtoGg)</f>
        <v>9.7530252215833863E-2</v>
      </c>
      <c r="AW48" s="28">
        <f>IF(('Activity data'!AW17*EF!$H48*EF!V66)*NtoN2O*kgtoGg=0,"NO",('Activity data'!AW17*EF!$H48*EF!V66)*NtoN2O*kgtoGg)</f>
        <v>0.10028578808595486</v>
      </c>
      <c r="AX48" s="28">
        <f>IF(('Activity data'!AX17*EF!$H48*EF!W66)*NtoN2O*kgtoGg=0,"NO",('Activity data'!AX17*EF!$H48*EF!W66)*NtoN2O*kgtoGg)</f>
        <v>0.10315369284356883</v>
      </c>
      <c r="AY48" s="28">
        <f>IF(('Activity data'!AY17*EF!$H48*EF!X66)*NtoN2O*kgtoGg=0,"NO",('Activity data'!AY17*EF!$H48*EF!X66)*NtoN2O*kgtoGg)</f>
        <v>0.10603841363071233</v>
      </c>
      <c r="AZ48" s="28">
        <f>IF(('Activity data'!AZ17*EF!$H48*EF!Y66)*NtoN2O*kgtoGg=0,"NO",('Activity data'!AZ17*EF!$H48*EF!Y66)*NtoN2O*kgtoGg)</f>
        <v>0.10932837219720498</v>
      </c>
      <c r="BA48" s="28">
        <f>IF(('Activity data'!BA17*EF!$H48*EF!Z66)*NtoN2O*kgtoGg=0,"NO",('Activity data'!BA17*EF!$H48*EF!Z66)*NtoN2O*kgtoGg)</f>
        <v>0.11199564217103479</v>
      </c>
      <c r="BB48" s="28">
        <f>IF(('Activity data'!BB17*EF!$H48*EF!AA66)*NtoN2O*kgtoGg=0,"NO",('Activity data'!BB17*EF!$H48*EF!AA66)*NtoN2O*kgtoGg)</f>
        <v>0.11485371208683526</v>
      </c>
      <c r="BC48" s="28">
        <f>IF(('Activity data'!BC17*EF!$H48*EF!AB66)*NtoN2O*kgtoGg=0,"NO",('Activity data'!BC17*EF!$H48*EF!AB66)*NtoN2O*kgtoGg)</f>
        <v>0.11771232198590084</v>
      </c>
      <c r="BD48" s="28">
        <f>IF(('Activity data'!BD17*EF!$H48*EF!AC66)*NtoN2O*kgtoGg=0,"NO",('Activity data'!BD17*EF!$H48*EF!AC66)*NtoN2O*kgtoGg)</f>
        <v>0.12030678115486812</v>
      </c>
      <c r="BE48" s="28">
        <f>IF(('Activity data'!BE17*EF!$H48*EF!AD66)*NtoN2O*kgtoGg=0,"NO",('Activity data'!BE17*EF!$H48*EF!AD66)*NtoN2O*kgtoGg)</f>
        <v>0.12282077145121797</v>
      </c>
      <c r="BF48" s="28">
        <f>IF(('Activity data'!BF17*EF!$H48*EF!AE66)*NtoN2O*kgtoGg=0,"NO",('Activity data'!BF17*EF!$H48*EF!AE66)*NtoN2O*kgtoGg)</f>
        <v>0.12541265580814645</v>
      </c>
      <c r="BG48" s="28">
        <f>IF(('Activity data'!BG17*EF!$H48*EF!AF66)*NtoN2O*kgtoGg=0,"NO",('Activity data'!BG17*EF!$H48*EF!AF66)*NtoN2O*kgtoGg)</f>
        <v>0.12815280796716533</v>
      </c>
      <c r="BH48" s="28">
        <f>IF(('Activity data'!BH17*EF!$H48*EF!AG66)*NtoN2O*kgtoGg=0,"NO",('Activity data'!BH17*EF!$H48*EF!AG66)*NtoN2O*kgtoGg)</f>
        <v>0.13056194972752197</v>
      </c>
      <c r="BI48" s="28">
        <f>IF(('Activity data'!BI17*EF!$H48*EF!AH66)*NtoN2O*kgtoGg=0,"NO",('Activity data'!BI17*EF!$H48*EF!AH66)*NtoN2O*kgtoGg)</f>
        <v>0.13295353804447049</v>
      </c>
      <c r="BJ48" s="28">
        <f>IF(('Activity data'!BJ17*EF!$H48*EF!AI66)*NtoN2O*kgtoGg=0,"NO",('Activity data'!BJ17*EF!$H48*EF!AI66)*NtoN2O*kgtoGg)</f>
        <v>0.13533393181533376</v>
      </c>
      <c r="BK48" s="28">
        <f>IF(('Activity data'!BK17*EF!$H48*EF!AJ66)*NtoN2O*kgtoGg=0,"NO",('Activity data'!BK17*EF!$H48*EF!AJ66)*NtoN2O*kgtoGg)</f>
        <v>0.1379132972636212</v>
      </c>
      <c r="BL48" s="28">
        <f>IF(('Activity data'!BL17*EF!$H48*EF!AK66)*NtoN2O*kgtoGg=0,"NO",('Activity data'!BL17*EF!$H48*EF!AK66)*NtoN2O*kgtoGg)</f>
        <v>0.14053008195021952</v>
      </c>
      <c r="BM48" s="28">
        <f>IF(('Activity data'!BM17*EF!$H48*EF!AL66)*NtoN2O*kgtoGg=0,"NO",('Activity data'!BM17*EF!$H48*EF!AL66)*NtoN2O*kgtoGg)</f>
        <v>0.14114192425764652</v>
      </c>
      <c r="BN48" s="28">
        <f>IF(('Activity data'!BN17*EF!$H48*EF!AM66)*NtoN2O*kgtoGg=0,"NO",('Activity data'!BN17*EF!$H48*EF!AM66)*NtoN2O*kgtoGg)</f>
        <v>0.14158544392848668</v>
      </c>
      <c r="BO48" s="28">
        <f>IF(('Activity data'!BO17*EF!$H48*EF!AN66)*NtoN2O*kgtoGg=0,"NO",('Activity data'!BO17*EF!$H48*EF!AN66)*NtoN2O*kgtoGg)</f>
        <v>0.14225126627613405</v>
      </c>
      <c r="BP48" s="28">
        <f>IF(('Activity data'!BP17*EF!$H48*EF!AO66)*NtoN2O*kgtoGg=0,"NO",('Activity data'!BP17*EF!$H48*EF!AO66)*NtoN2O*kgtoGg)</f>
        <v>0.14277114135536023</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8">
        <f>IF(('Activity data'!H18*EF!$H49*EF!$H67)*NtoN2O*kgtoGg=0,"NO",('Activity data'!H18*EF!$H49*EF!$H67)*NtoN2O*kgtoGg)</f>
        <v>3.3603344466422339E-2</v>
      </c>
      <c r="I49" s="28">
        <f>IF(('Activity data'!I18*EF!$H49*EF!$H67)*NtoN2O*kgtoGg=0,"NO",('Activity data'!I18*EF!$H49*EF!$H67)*NtoN2O*kgtoGg)</f>
        <v>3.6712315312725202E-2</v>
      </c>
      <c r="J49" s="28">
        <f>IF(('Activity data'!J18*EF!$H49*EF!$H67)*NtoN2O*kgtoGg=0,"NO",('Activity data'!J18*EF!$H49*EF!$H67)*NtoN2O*kgtoGg)</f>
        <v>3.6469771487836318E-2</v>
      </c>
      <c r="K49" s="28">
        <f>IF(('Activity data'!K18*EF!$H49*EF!$H67)*NtoN2O*kgtoGg=0,"NO",('Activity data'!K18*EF!$H49*EF!$H67)*NtoN2O*kgtoGg)</f>
        <v>3.6447722049210061E-2</v>
      </c>
      <c r="L49" s="28">
        <f>IF(('Activity data'!L18*EF!$H49*EF!$H67)*NtoN2O*kgtoGg=0,"NO",('Activity data'!L18*EF!$H49*EF!$H67)*NtoN2O*kgtoGg)</f>
        <v>3.4617618643230354E-2</v>
      </c>
      <c r="M49" s="28">
        <f>IF(('Activity data'!M18*EF!$H49*EF!$H67)*NtoN2O*kgtoGg=0,"NO",('Activity data'!M18*EF!$H49*EF!$H67)*NtoN2O*kgtoGg)</f>
        <v>3.4948360222624285E-2</v>
      </c>
      <c r="N49" s="28">
        <f>IF(('Activity data'!N18*EF!$H49*EF!$H67)*NtoN2O*kgtoGg=0,"NO",('Activity data'!N18*EF!$H49*EF!$H67)*NtoN2O*kgtoGg)</f>
        <v>3.763839173502817E-2</v>
      </c>
      <c r="O49" s="28">
        <f>IF(('Activity data'!O18*EF!$H49*EF!$H67)*NtoN2O*kgtoGg=0,"NO",('Activity data'!O18*EF!$H49*EF!$H67)*NtoN2O*kgtoGg)</f>
        <v>3.7461996226018084E-2</v>
      </c>
      <c r="P49" s="28">
        <f>IF(('Activity data'!P18*EF!$H49*EF!$H67)*NtoN2O*kgtoGg=0,"NO",('Activity data'!P18*EF!$H49*EF!$H67)*NtoN2O*kgtoGg)</f>
        <v>3.8277825455189748E-2</v>
      </c>
      <c r="Q49" s="28">
        <f>IF(('Activity data'!Q18*EF!$H49*EF!$H67)*NtoN2O*kgtoGg=0,"NO",('Activity data'!Q18*EF!$H49*EF!$H67)*NtoN2O*kgtoGg)</f>
        <v>3.9248000754745251E-2</v>
      </c>
      <c r="R49" s="28">
        <f>IF(('Activity data'!R18*EF!$H49*EF!$H67)*NtoN2O*kgtoGg=0,"NO",('Activity data'!R18*EF!$H49*EF!$H67)*NtoN2O*kgtoGg)</f>
        <v>3.6315425417452488E-2</v>
      </c>
      <c r="S49" s="28">
        <f>IF(('Activity data'!S18*EF!$H49*EF!$H67)*NtoN2O*kgtoGg=0,"NO",('Activity data'!S18*EF!$H49*EF!$H67)*NtoN2O*kgtoGg)</f>
        <v>3.6998958014866593E-2</v>
      </c>
      <c r="T49" s="28">
        <f>IF(('Activity data'!T18*EF!$H49*EF!$H67)*NtoN2O*kgtoGg=0,"NO",('Activity data'!T18*EF!$H49*EF!$H67)*NtoN2O*kgtoGg)</f>
        <v>3.7704540050906954E-2</v>
      </c>
      <c r="U49" s="28">
        <f>IF(('Activity data'!U18*EF!$H49*EF!$H67)*NtoN2O*kgtoGg=0,"NO",('Activity data'!U18*EF!$H49*EF!$H67)*NtoN2O*kgtoGg)</f>
        <v>3.6668216435472668E-2</v>
      </c>
      <c r="V49" s="28">
        <f>IF(('Activity data'!V18*EF!$H49*EF!$H67)*NtoN2O*kgtoGg=0,"NO",('Activity data'!V18*EF!$H49*EF!$H67)*NtoN2O*kgtoGg)</f>
        <v>3.6668216435472668E-2</v>
      </c>
      <c r="W49" s="28">
        <f>IF(('Activity data'!W18*EF!$H49*EF!$H67)*NtoN2O*kgtoGg=0,"NO",('Activity data'!W18*EF!$H49*EF!$H67)*NtoN2O*kgtoGg)</f>
        <v>3.6403623171957535E-2</v>
      </c>
      <c r="X49" s="28">
        <f>IF(('Activity data'!X18*EF!$H49*EF!$H67)*NtoN2O*kgtoGg=0,"NO",('Activity data'!X18*EF!$H49*EF!$H67)*NtoN2O*kgtoGg)</f>
        <v>3.576418945179595E-2</v>
      </c>
      <c r="Y49" s="28">
        <f>IF(('Activity data'!Y18*EF!$H49*EF!$H67)*NtoN2O*kgtoGg=0,"NO",('Activity data'!Y18*EF!$H49*EF!$H67)*NtoN2O*kgtoGg)</f>
        <v>3.6403623171957535E-2</v>
      </c>
      <c r="Z49" s="28">
        <f>IF(('Activity data'!Z18*EF!$H49*EF!$H67)*NtoN2O*kgtoGg=0,"NO",('Activity data'!Z18*EF!$H49*EF!$H67)*NtoN2O*kgtoGg)</f>
        <v>3.5609843381412126E-2</v>
      </c>
      <c r="AA49" s="28">
        <f>IF(('Activity data'!AA18*EF!$H49*EF!$H67)*NtoN2O*kgtoGg=0,"NO",('Activity data'!AA18*EF!$H49*EF!$H67)*NtoN2O*kgtoGg)</f>
        <v>3.5565744504159599E-2</v>
      </c>
      <c r="AB49" s="28">
        <f>IF(('Activity data'!AB18*EF!$H49*EF!$H67)*NtoN2O*kgtoGg=0,"NO",('Activity data'!AB18*EF!$H49*EF!$H67)*NtoN2O*kgtoGg)</f>
        <v>3.5146805170260635E-2</v>
      </c>
      <c r="AC49" s="28">
        <f>IF(('Activity data'!AC18*EF!$H49*EF!$H67)*NtoN2O*kgtoGg=0,"NO",('Activity data'!AC18*EF!$H49*EF!$H67)*NtoN2O*kgtoGg)</f>
        <v>3.4926310783998021E-2</v>
      </c>
      <c r="AD49" s="28">
        <f>IF(('Activity data'!AD18*EF!$H49*EF!$H67)*NtoN2O*kgtoGg=0,"NO",('Activity data'!AD18*EF!$H49*EF!$H67)*NtoN2O*kgtoGg)</f>
        <v>3.8282858549039588E-2</v>
      </c>
      <c r="AE49" s="28">
        <f>IF(('Activity data'!AE18*EF!$H49*EF!$H67)*NtoN2O*kgtoGg=0,"NO",('Activity data'!AE18*EF!$H49*EF!$H67)*NtoN2O*kgtoGg)</f>
        <v>3.8215198037593316E-2</v>
      </c>
      <c r="AF49" s="28">
        <f>IF(('Activity data'!AF18*EF!$H49*EF!$H67)*NtoN2O*kgtoGg=0,"NO",('Activity data'!AF18*EF!$H49*EF!$H67)*NtoN2O*kgtoGg)</f>
        <v>3.8000790781466037E-2</v>
      </c>
      <c r="AG49" s="28">
        <f>IF(('Activity data'!AG18*EF!$H49*EF!$H67)*NtoN2O*kgtoGg=0,"NO",('Activity data'!AG18*EF!$H49*EF!$H67)*NtoN2O*kgtoGg)</f>
        <v>3.7162254742945426E-2</v>
      </c>
      <c r="AH49" s="28">
        <f>IF(('Activity data'!AH18*EF!$H49*EF!$H67)*NtoN2O*kgtoGg=0,"NO",('Activity data'!AH18*EF!$H49*EF!$H67)*NtoN2O*kgtoGg)</f>
        <v>3.6369283370166726E-2</v>
      </c>
      <c r="AI49" s="28">
        <f>IF(('Activity data'!AI18*EF!$H49*EF!H67)*NtoN2O*kgtoGg=0,"NO",('Activity data'!AI18*EF!$H49*EF!H67)*NtoN2O*kgtoGg)</f>
        <v>3.6241296102068297E-2</v>
      </c>
      <c r="AJ49" s="28">
        <f>IF(('Activity data'!AJ18*EF!$H49*EF!I67)*NtoN2O*kgtoGg=0,"NO",('Activity data'!AJ18*EF!$H49*EF!I67)*NtoN2O*kgtoGg)</f>
        <v>3.5930605099907358E-2</v>
      </c>
      <c r="AK49" s="28">
        <f>IF(('Activity data'!AK18*EF!$H49*EF!J67)*NtoN2O*kgtoGg=0,"NO",('Activity data'!AK18*EF!$H49*EF!J67)*NtoN2O*kgtoGg)</f>
        <v>3.497369805574925E-2</v>
      </c>
      <c r="AL49" s="28">
        <f>IF(('Activity data'!AL18*EF!$H49*EF!K67)*NtoN2O*kgtoGg=0,"NO",('Activity data'!AL18*EF!$H49*EF!K67)*NtoN2O*kgtoGg)</f>
        <v>3.1194920495194334E-2</v>
      </c>
      <c r="AM49" s="28">
        <f>IF(('Activity data'!AM18*EF!$H49*EF!L67)*NtoN2O*kgtoGg=0,"NO",('Activity data'!AM18*EF!$H49*EF!L67)*NtoN2O*kgtoGg)</f>
        <v>3.1865942339771837E-2</v>
      </c>
      <c r="AN49" s="28">
        <f>IF(('Activity data'!AN18*EF!$H49*EF!M67)*NtoN2O*kgtoGg=0,"NO",('Activity data'!AN18*EF!$H49*EF!M67)*NtoN2O*kgtoGg)</f>
        <v>3.21749357644633E-2</v>
      </c>
      <c r="AO49" s="28">
        <f>IF(('Activity data'!AO18*EF!$H49*EF!N67)*NtoN2O*kgtoGg=0,"NO",('Activity data'!AO18*EF!$H49*EF!N67)*NtoN2O*kgtoGg)</f>
        <v>3.2399978283680568E-2</v>
      </c>
      <c r="AP49" s="28">
        <f>IF(('Activity data'!AP18*EF!$H49*EF!O67)*NtoN2O*kgtoGg=0,"NO",('Activity data'!AP18*EF!$H49*EF!O67)*NtoN2O*kgtoGg)</f>
        <v>3.2745479189526895E-2</v>
      </c>
      <c r="AQ49" s="28">
        <f>IF(('Activity data'!AQ18*EF!$H49*EF!P67)*NtoN2O*kgtoGg=0,"NO",('Activity data'!AQ18*EF!$H49*EF!P67)*NtoN2O*kgtoGg)</f>
        <v>3.3512732391080123E-2</v>
      </c>
      <c r="AR49" s="28">
        <f>IF(('Activity data'!AR18*EF!$H49*EF!Q67)*NtoN2O*kgtoGg=0,"NO",('Activity data'!AR18*EF!$H49*EF!Q67)*NtoN2O*kgtoGg)</f>
        <v>3.4376233123742127E-2</v>
      </c>
      <c r="AS49" s="28">
        <f>IF(('Activity data'!AS18*EF!$H49*EF!R67)*NtoN2O*kgtoGg=0,"NO",('Activity data'!AS18*EF!$H49*EF!R67)*NtoN2O*kgtoGg)</f>
        <v>3.5326440029424484E-2</v>
      </c>
      <c r="AT49" s="28">
        <f>IF(('Activity data'!AT18*EF!$H49*EF!S67)*NtoN2O*kgtoGg=0,"NO",('Activity data'!AT18*EF!$H49*EF!S67)*NtoN2O*kgtoGg)</f>
        <v>3.6086263689411195E-2</v>
      </c>
      <c r="AU49" s="28">
        <f>IF(('Activity data'!AU18*EF!$H49*EF!T67)*NtoN2O*kgtoGg=0,"NO",('Activity data'!AU18*EF!$H49*EF!T67)*NtoN2O*kgtoGg)</f>
        <v>3.7016911024810674E-2</v>
      </c>
      <c r="AV49" s="28">
        <f>IF(('Activity data'!AV18*EF!$H49*EF!U67)*NtoN2O*kgtoGg=0,"NO",('Activity data'!AV18*EF!$H49*EF!U67)*NtoN2O*kgtoGg)</f>
        <v>3.8155809341092126E-2</v>
      </c>
      <c r="AW49" s="28">
        <f>IF(('Activity data'!AW18*EF!$H49*EF!V67)*NtoN2O*kgtoGg=0,"NO",('Activity data'!AW18*EF!$H49*EF!V67)*NtoN2O*kgtoGg)</f>
        <v>3.9233830764231724E-2</v>
      </c>
      <c r="AX49" s="28">
        <f>IF(('Activity data'!AX18*EF!$H49*EF!W67)*NtoN2O*kgtoGg=0,"NO",('Activity data'!AX18*EF!$H49*EF!W67)*NtoN2O*kgtoGg)</f>
        <v>4.0355813171267518E-2</v>
      </c>
      <c r="AY49" s="28">
        <f>IF(('Activity data'!AY18*EF!$H49*EF!X67)*NtoN2O*kgtoGg=0,"NO",('Activity data'!AY18*EF!$H49*EF!X67)*NtoN2O*kgtoGg)</f>
        <v>4.1484374349525836E-2</v>
      </c>
      <c r="AZ49" s="28">
        <f>IF(('Activity data'!AZ18*EF!$H49*EF!Y67)*NtoN2O*kgtoGg=0,"NO",('Activity data'!AZ18*EF!$H49*EF!Y67)*NtoN2O*kgtoGg)</f>
        <v>4.2771472751828604E-2</v>
      </c>
      <c r="BA49" s="28">
        <f>IF(('Activity data'!BA18*EF!$H49*EF!Z67)*NtoN2O*kgtoGg=0,"NO",('Activity data'!BA18*EF!$H49*EF!Z67)*NtoN2O*kgtoGg)</f>
        <v>4.3814962769238276E-2</v>
      </c>
      <c r="BB49" s="28">
        <f>IF(('Activity data'!BB18*EF!$H49*EF!AA67)*NtoN2O*kgtoGg=0,"NO",('Activity data'!BB18*EF!$H49*EF!AA67)*NtoN2O*kgtoGg)</f>
        <v>4.4933097587032685E-2</v>
      </c>
      <c r="BC49" s="28">
        <f>IF(('Activity data'!BC18*EF!$H49*EF!AB67)*NtoN2O*kgtoGg=0,"NO",('Activity data'!BC18*EF!$H49*EF!AB67)*NtoN2O*kgtoGg)</f>
        <v>4.605144365721333E-2</v>
      </c>
      <c r="BD49" s="28">
        <f>IF(('Activity data'!BD18*EF!$H49*EF!AC67)*NtoN2O*kgtoGg=0,"NO",('Activity data'!BD18*EF!$H49*EF!AC67)*NtoN2O*kgtoGg)</f>
        <v>4.7066448613575902E-2</v>
      </c>
      <c r="BE49" s="28">
        <f>IF(('Activity data'!BE18*EF!$H49*EF!AD67)*NtoN2O*kgtoGg=0,"NO",('Activity data'!BE18*EF!$H49*EF!AD67)*NtoN2O*kgtoGg)</f>
        <v>4.8049972517734428E-2</v>
      </c>
      <c r="BF49" s="28">
        <f>IF(('Activity data'!BF18*EF!$H49*EF!AE67)*NtoN2O*kgtoGg=0,"NO",('Activity data'!BF18*EF!$H49*EF!AE67)*NtoN2O*kgtoGg)</f>
        <v>4.906397015549574E-2</v>
      </c>
      <c r="BG49" s="28">
        <f>IF(('Activity data'!BG18*EF!$H49*EF!AF67)*NtoN2O*kgtoGg=0,"NO",('Activity data'!BG18*EF!$H49*EF!AF67)*NtoN2O*kgtoGg)</f>
        <v>5.0135973159381467E-2</v>
      </c>
      <c r="BH49" s="28">
        <f>IF(('Activity data'!BH18*EF!$H49*EF!AG67)*NtoN2O*kgtoGg=0,"NO",('Activity data'!BH18*EF!$H49*EF!AG67)*NtoN2O*kgtoGg)</f>
        <v>5.1078478193413449E-2</v>
      </c>
      <c r="BI49" s="28">
        <f>IF(('Activity data'!BI18*EF!$H49*EF!AH67)*NtoN2O*kgtoGg=0,"NO",('Activity data'!BI18*EF!$H49*EF!AH67)*NtoN2O*kgtoGg)</f>
        <v>5.2014115964983336E-2</v>
      </c>
      <c r="BJ49" s="28">
        <f>IF(('Activity data'!BJ18*EF!$H49*EF!AI67)*NtoN2O*kgtoGg=0,"NO",('Activity data'!BJ18*EF!$H49*EF!AI67)*NtoN2O*kgtoGg)</f>
        <v>5.2945374203471063E-2</v>
      </c>
      <c r="BK49" s="28">
        <f>IF(('Activity data'!BK18*EF!$H49*EF!AJ67)*NtoN2O*kgtoGg=0,"NO",('Activity data'!BK18*EF!$H49*EF!AJ67)*NtoN2O*kgtoGg)</f>
        <v>5.395447419070433E-2</v>
      </c>
      <c r="BL49" s="28">
        <f>IF(('Activity data'!BL18*EF!$H49*EF!AK67)*NtoN2O*kgtoGg=0,"NO",('Activity data'!BL18*EF!$H49*EF!AK67)*NtoN2O*kgtoGg)</f>
        <v>5.4978213341584196E-2</v>
      </c>
      <c r="BM49" s="28">
        <f>IF(('Activity data'!BM18*EF!$H49*EF!AL67)*NtoN2O*kgtoGg=0,"NO",('Activity data'!BM18*EF!$H49*EF!AL67)*NtoN2O*kgtoGg)</f>
        <v>5.5217578440090585E-2</v>
      </c>
      <c r="BN49" s="28">
        <f>IF(('Activity data'!BN18*EF!$H49*EF!AM67)*NtoN2O*kgtoGg=0,"NO",('Activity data'!BN18*EF!$H49*EF!AM67)*NtoN2O*kgtoGg)</f>
        <v>5.5391092315171642E-2</v>
      </c>
      <c r="BO49" s="28">
        <f>IF(('Activity data'!BO18*EF!$H49*EF!AN67)*NtoN2O*kgtoGg=0,"NO",('Activity data'!BO18*EF!$H49*EF!AN67)*NtoN2O*kgtoGg)</f>
        <v>5.5651575498334646E-2</v>
      </c>
      <c r="BP49" s="28">
        <f>IF(('Activity data'!BP18*EF!$H49*EF!AO67)*NtoN2O*kgtoGg=0,"NO",('Activity data'!BP18*EF!$H49*EF!AO67)*NtoN2O*kgtoGg)</f>
        <v>5.5854961155128016E-2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8">
        <f>IF(('Activity data'!H19*EF!$H50*EF!$H68)*NtoN2O*kgtoGg=0,"NO",('Activity data'!H19*EF!$H50*EF!$H68)*NtoN2O*kgtoGg)</f>
        <v>0.20296133454737286</v>
      </c>
      <c r="I50" s="28">
        <f>IF(('Activity data'!I19*EF!$H50*EF!$H68)*NtoN2O*kgtoGg=0,"NO",('Activity data'!I19*EF!$H50*EF!$H68)*NtoN2O*kgtoGg)</f>
        <v>0.19717389585886808</v>
      </c>
      <c r="J50" s="28">
        <f>IF(('Activity data'!J19*EF!$H50*EF!$H68)*NtoN2O*kgtoGg=0,"NO",('Activity data'!J19*EF!$H50*EF!$H68)*NtoN2O*kgtoGg)</f>
        <v>0.18700572466593463</v>
      </c>
      <c r="K50" s="28">
        <f>IF(('Activity data'!K19*EF!$H50*EF!$H68)*NtoN2O*kgtoGg=0,"NO",('Activity data'!K19*EF!$H50*EF!$H68)*NtoN2O*kgtoGg)</f>
        <v>0.1840653888057816</v>
      </c>
      <c r="L50" s="28">
        <f>IF(('Activity data'!L19*EF!$H50*EF!$H68)*NtoN2O*kgtoGg=0,"NO",('Activity data'!L19*EF!$H50*EF!$H68)*NtoN2O*kgtoGg)</f>
        <v>0.17605920711970463</v>
      </c>
      <c r="M50" s="28">
        <f>IF(('Activity data'!M19*EF!$H50*EF!$H68)*NtoN2O*kgtoGg=0,"NO",('Activity data'!M19*EF!$H50*EF!$H68)*NtoN2O*kgtoGg)</f>
        <v>0.19210250795483447</v>
      </c>
      <c r="N50" s="28">
        <f>IF(('Activity data'!N19*EF!$H50*EF!$H68)*NtoN2O*kgtoGg=0,"NO",('Activity data'!N19*EF!$H50*EF!$H68)*NtoN2O*kgtoGg)</f>
        <v>0.20291887626044761</v>
      </c>
      <c r="O50" s="28">
        <f>IF(('Activity data'!O19*EF!$H50*EF!$H68)*NtoN2O*kgtoGg=0,"NO",('Activity data'!O19*EF!$H50*EF!$H68)*NtoN2O*kgtoGg)</f>
        <v>0.20358614843156064</v>
      </c>
      <c r="P50" s="28">
        <f>IF(('Activity data'!P19*EF!$H50*EF!$H68)*NtoN2O*kgtoGg=0,"NO",('Activity data'!P19*EF!$H50*EF!$H68)*NtoN2O*kgtoGg)</f>
        <v>0.22922082424272011</v>
      </c>
      <c r="Q50" s="28">
        <f>IF(('Activity data'!Q19*EF!$H50*EF!$H68)*NtoN2O*kgtoGg=0,"NO",('Activity data'!Q19*EF!$H50*EF!$H68)*NtoN2O*kgtoGg)</f>
        <v>0.24574772569354431</v>
      </c>
      <c r="R50" s="28">
        <f>IF(('Activity data'!R19*EF!$H50*EF!$H68)*NtoN2O*kgtoGg=0,"NO",('Activity data'!R19*EF!$H50*EF!$H68)*NtoN2O*kgtoGg)</f>
        <v>0.24054072570239549</v>
      </c>
      <c r="S50" s="28">
        <f>IF(('Activity data'!S19*EF!$H50*EF!$H68)*NtoN2O*kgtoGg=0,"NO",('Activity data'!S19*EF!$H50*EF!$H68)*NtoN2O*kgtoGg)</f>
        <v>0.24695749420493165</v>
      </c>
      <c r="T50" s="28">
        <f>IF(('Activity data'!T19*EF!$H50*EF!$H68)*NtoN2O*kgtoGg=0,"NO",('Activity data'!T19*EF!$H50*EF!$H68)*NtoN2O*kgtoGg)</f>
        <v>0.24501923229562322</v>
      </c>
      <c r="U50" s="28">
        <f>IF(('Activity data'!U19*EF!$H50*EF!$H68)*NtoN2O*kgtoGg=0,"NO",('Activity data'!U19*EF!$H50*EF!$H68)*NtoN2O*kgtoGg)</f>
        <v>0.23523745158495141</v>
      </c>
      <c r="V50" s="28">
        <f>IF(('Activity data'!V19*EF!$H50*EF!$H68)*NtoN2O*kgtoGg=0,"NO",('Activity data'!V19*EF!$H50*EF!$H68)*NtoN2O*kgtoGg)</f>
        <v>0.24376740544300249</v>
      </c>
      <c r="W50" s="28">
        <f>IF(('Activity data'!W19*EF!$H50*EF!$H68)*NtoN2O*kgtoGg=0,"NO",('Activity data'!W19*EF!$H50*EF!$H68)*NtoN2O*kgtoGg)</f>
        <v>0.25846670786599002</v>
      </c>
      <c r="X50" s="28">
        <f>IF(('Activity data'!X19*EF!$H50*EF!$H68)*NtoN2O*kgtoGg=0,"NO",('Activity data'!X19*EF!$H50*EF!$H68)*NtoN2O*kgtoGg)</f>
        <v>0.28524838842815914</v>
      </c>
      <c r="Y50" s="28">
        <f>IF(('Activity data'!Y19*EF!$H50*EF!$H68)*NtoN2O*kgtoGg=0,"NO",('Activity data'!Y19*EF!$H50*EF!$H68)*NtoN2O*kgtoGg)</f>
        <v>0.3156764917693638</v>
      </c>
      <c r="Z50" s="28">
        <f>IF(('Activity data'!Z19*EF!$H50*EF!$H68)*NtoN2O*kgtoGg=0,"NO",('Activity data'!Z19*EF!$H50*EF!$H68)*NtoN2O*kgtoGg)</f>
        <v>0.31983391250576138</v>
      </c>
      <c r="AA50" s="28">
        <f>IF(('Activity data'!AA19*EF!$H50*EF!$H68)*NtoN2O*kgtoGg=0,"NO",('Activity data'!AA19*EF!$H50*EF!$H68)*NtoN2O*kgtoGg)</f>
        <v>0.30804277788191292</v>
      </c>
      <c r="AB50" s="28">
        <f>IF(('Activity data'!AB19*EF!$H50*EF!$H68)*NtoN2O*kgtoGg=0,"NO",('Activity data'!AB19*EF!$H50*EF!$H68)*NtoN2O*kgtoGg)</f>
        <v>0.32004210844863845</v>
      </c>
      <c r="AC50" s="28">
        <f>IF(('Activity data'!AC19*EF!$H50*EF!$H68)*NtoN2O*kgtoGg=0,"NO",('Activity data'!AC19*EF!$H50*EF!$H68)*NtoN2O*kgtoGg)</f>
        <v>0.33481439404248187</v>
      </c>
      <c r="AD50" s="28">
        <f>IF(('Activity data'!AD19*EF!$H50*EF!$H68)*NtoN2O*kgtoGg=0,"NO",('Activity data'!AD19*EF!$H50*EF!$H68)*NtoN2O*kgtoGg)</f>
        <v>0.32879130142743862</v>
      </c>
      <c r="AE50" s="28">
        <f>IF(('Activity data'!AE19*EF!$H50*EF!$H68)*NtoN2O*kgtoGg=0,"NO",('Activity data'!AE19*EF!$H50*EF!$H68)*NtoN2O*kgtoGg)</f>
        <v>0.33618147320266517</v>
      </c>
      <c r="AF50" s="28">
        <f>IF(('Activity data'!AF19*EF!$H50*EF!$H68)*NtoN2O*kgtoGg=0,"NO",('Activity data'!AF19*EF!$H50*EF!$H68)*NtoN2O*kgtoGg)</f>
        <v>0.34286580262317662</v>
      </c>
      <c r="AG50" s="28">
        <f>IF(('Activity data'!AG19*EF!$H50*EF!$H68)*NtoN2O*kgtoGg=0,"NO",('Activity data'!AG19*EF!$H50*EF!$H68)*NtoN2O*kgtoGg)</f>
        <v>0.34631663130525719</v>
      </c>
      <c r="AH50" s="28">
        <f>IF(('Activity data'!AH19*EF!$H50*EF!$H68)*NtoN2O*kgtoGg=0,"NO",('Activity data'!AH19*EF!$H50*EF!$H68)*NtoN2O*kgtoGg)</f>
        <v>0.34986259378047058</v>
      </c>
      <c r="AI50" s="28">
        <f>IF(('Activity data'!AI19*EF!$H50*EF!H68)*NtoN2O*kgtoGg=0,"NO",('Activity data'!AI19*EF!$H50*EF!H68)*NtoN2O*kgtoGg)</f>
        <v>0.35692259519801384</v>
      </c>
      <c r="AJ50" s="28">
        <f>IF(('Activity data'!AJ19*EF!$H50*EF!I68)*NtoN2O*kgtoGg=0,"NO",('Activity data'!AJ19*EF!$H50*EF!I68)*NtoN2O*kgtoGg)</f>
        <v>0.36295954497520366</v>
      </c>
      <c r="AK50" s="28">
        <f>IF(('Activity data'!AK19*EF!$H50*EF!J68)*NtoN2O*kgtoGg=0,"NO",('Activity data'!AK19*EF!$H50*EF!J68)*NtoN2O*kgtoGg)</f>
        <v>0.36525102127555931</v>
      </c>
      <c r="AL50" s="28">
        <f>IF(('Activity data'!AL19*EF!$H50*EF!K68)*NtoN2O*kgtoGg=0,"NO",('Activity data'!AL19*EF!$H50*EF!K68)*NtoN2O*kgtoGg)</f>
        <v>0.35074524152454095</v>
      </c>
      <c r="AM50" s="28">
        <f>IF(('Activity data'!AM19*EF!$H50*EF!L68)*NtoN2O*kgtoGg=0,"NO",('Activity data'!AM19*EF!$H50*EF!L68)*NtoN2O*kgtoGg)</f>
        <v>0.36118344194798235</v>
      </c>
      <c r="AN50" s="28">
        <f>IF(('Activity data'!AN19*EF!$H50*EF!M68)*NtoN2O*kgtoGg=0,"NO",('Activity data'!AN19*EF!$H50*EF!M68)*NtoN2O*kgtoGg)</f>
        <v>0.36961966083970876</v>
      </c>
      <c r="AO50" s="28">
        <f>IF(('Activity data'!AO19*EF!$H50*EF!N68)*NtoN2O*kgtoGg=0,"NO",('Activity data'!AO19*EF!$H50*EF!N68)*NtoN2O*kgtoGg)</f>
        <v>0.37765888442551321</v>
      </c>
      <c r="AP50" s="28">
        <f>IF(('Activity data'!AP19*EF!$H50*EF!O68)*NtoN2O*kgtoGg=0,"NO",('Activity data'!AP19*EF!$H50*EF!O68)*NtoN2O*kgtoGg)</f>
        <v>0.38658550533232433</v>
      </c>
      <c r="AQ50" s="28">
        <f>IF(('Activity data'!AQ19*EF!$H50*EF!P68)*NtoN2O*kgtoGg=0,"NO",('Activity data'!AQ19*EF!$H50*EF!P68)*NtoN2O*kgtoGg)</f>
        <v>0.39843478474254634</v>
      </c>
      <c r="AR50" s="28">
        <f>IF(('Activity data'!AR19*EF!$H50*EF!Q68)*NtoN2O*kgtoGg=0,"NO",('Activity data'!AR19*EF!$H50*EF!Q68)*NtoN2O*kgtoGg)</f>
        <v>0.41088019341175391</v>
      </c>
      <c r="AS50" s="28">
        <f>IF(('Activity data'!AS19*EF!$H50*EF!R68)*NtoN2O*kgtoGg=0,"NO",('Activity data'!AS19*EF!$H50*EF!R68)*NtoN2O*kgtoGg)</f>
        <v>0.42422078606736746</v>
      </c>
      <c r="AT50" s="28">
        <f>IF(('Activity data'!AT19*EF!$H50*EF!S68)*NtoN2O*kgtoGg=0,"NO",('Activity data'!AT19*EF!$H50*EF!S68)*NtoN2O*kgtoGg)</f>
        <v>0.4365608627490552</v>
      </c>
      <c r="AU50" s="28">
        <f>IF(('Activity data'!AU19*EF!$H50*EF!T68)*NtoN2O*kgtoGg=0,"NO",('Activity data'!AU19*EF!$H50*EF!T68)*NtoN2O*kgtoGg)</f>
        <v>0.45040527564099359</v>
      </c>
      <c r="AV50" s="28">
        <f>IF(('Activity data'!AV19*EF!$H50*EF!U68)*NtoN2O*kgtoGg=0,"NO",('Activity data'!AV19*EF!$H50*EF!U68)*NtoN2O*kgtoGg)</f>
        <v>0.46610821416360254</v>
      </c>
      <c r="AW50" s="28">
        <f>IF(('Activity data'!AW19*EF!$H50*EF!V68)*NtoN2O*kgtoGg=0,"NO",('Activity data'!AW19*EF!$H50*EF!V68)*NtoN2O*kgtoGg)</f>
        <v>0.48149963825345377</v>
      </c>
      <c r="AX50" s="28">
        <f>IF(('Activity data'!AX19*EF!$H50*EF!W68)*NtoN2O*kgtoGg=0,"NO",('Activity data'!AX19*EF!$H50*EF!W68)*NtoN2O*kgtoGg)</f>
        <v>0.49761952403274901</v>
      </c>
      <c r="AY50" s="28">
        <f>IF(('Activity data'!AY19*EF!$H50*EF!X68)*NtoN2O*kgtoGg=0,"NO",('Activity data'!AY19*EF!$H50*EF!X68)*NtoN2O*kgtoGg)</f>
        <v>0.51420726915291115</v>
      </c>
      <c r="AZ50" s="28">
        <f>IF(('Activity data'!AZ19*EF!$H50*EF!Y68)*NtoN2O*kgtoGg=0,"NO",('Activity data'!AZ19*EF!$H50*EF!Y68)*NtoN2O*kgtoGg)</f>
        <v>0.53247410489136104</v>
      </c>
      <c r="BA50" s="28">
        <f>IF(('Activity data'!BA19*EF!$H50*EF!Z68)*NtoN2O*kgtoGg=0,"NO",('Activity data'!BA19*EF!$H50*EF!Z68)*NtoN2O*kgtoGg)</f>
        <v>0.5492684403625786</v>
      </c>
      <c r="BB50" s="28">
        <f>IF(('Activity data'!BB19*EF!$H50*EF!AA68)*NtoN2O*kgtoGg=0,"NO",('Activity data'!BB19*EF!$H50*EF!AA68)*NtoN2O*kgtoGg)</f>
        <v>0.56683832060292816</v>
      </c>
      <c r="BC50" s="28">
        <f>IF(('Activity data'!BC19*EF!$H50*EF!AB68)*NtoN2O*kgtoGg=0,"NO",('Activity data'!BC19*EF!$H50*EF!AB68)*NtoN2O*kgtoGg)</f>
        <v>0.584861650511455</v>
      </c>
      <c r="BD50" s="28">
        <f>IF(('Activity data'!BD19*EF!$H50*EF!AC68)*NtoN2O*kgtoGg=0,"NO",('Activity data'!BD19*EF!$H50*EF!AC68)*NtoN2O*kgtoGg)</f>
        <v>0.60246746038216259</v>
      </c>
      <c r="BE50" s="28">
        <f>IF(('Activity data'!BE19*EF!$H50*EF!AD68)*NtoN2O*kgtoGg=0,"NO",('Activity data'!BE19*EF!$H50*EF!AD68)*NtoN2O*kgtoGg)</f>
        <v>0.62024062021411375</v>
      </c>
      <c r="BF50" s="28">
        <f>IF(('Activity data'!BF19*EF!$H50*EF!AE68)*NtoN2O*kgtoGg=0,"NO",('Activity data'!BF19*EF!$H50*EF!AE68)*NtoN2O*kgtoGg)</f>
        <v>0.63872476172334525</v>
      </c>
      <c r="BG50" s="28">
        <f>IF(('Activity data'!BG19*EF!$H50*EF!AF68)*NtoN2O*kgtoGg=0,"NO",('Activity data'!BG19*EF!$H50*EF!AF68)*NtoN2O*kgtoGg)</f>
        <v>0.65794922439522119</v>
      </c>
      <c r="BH50" s="28">
        <f>IF(('Activity data'!BH19*EF!$H50*EF!AG68)*NtoN2O*kgtoGg=0,"NO",('Activity data'!BH19*EF!$H50*EF!AG68)*NtoN2O*kgtoGg)</f>
        <v>0.67647629594315495</v>
      </c>
      <c r="BI50" s="28">
        <f>IF(('Activity data'!BI19*EF!$H50*EF!AH68)*NtoN2O*kgtoGg=0,"NO",('Activity data'!BI19*EF!$H50*EF!AH68)*NtoN2O*kgtoGg)</f>
        <v>0.69539916939277291</v>
      </c>
      <c r="BJ50" s="28">
        <f>IF(('Activity data'!BJ19*EF!$H50*EF!AI68)*NtoN2O*kgtoGg=0,"NO",('Activity data'!BJ19*EF!$H50*EF!AI68)*NtoN2O*kgtoGg)</f>
        <v>0.71475050403818352</v>
      </c>
      <c r="BK50" s="28">
        <f>IF(('Activity data'!BK19*EF!$H50*EF!AJ68)*NtoN2O*kgtoGg=0,"NO",('Activity data'!BK19*EF!$H50*EF!AJ68)*NtoN2O*kgtoGg)</f>
        <v>0.73533889699431976</v>
      </c>
      <c r="BL50" s="28">
        <f>IF(('Activity data'!BL19*EF!$H50*EF!AK68)*NtoN2O*kgtoGg=0,"NO",('Activity data'!BL19*EF!$H50*EF!AK68)*NtoN2O*kgtoGg)</f>
        <v>0.75634294211031738</v>
      </c>
      <c r="BM50" s="28">
        <f>IF(('Activity data'!BM19*EF!$H50*EF!AL68)*NtoN2O*kgtoGg=0,"NO",('Activity data'!BM19*EF!$H50*EF!AL68)*NtoN2O*kgtoGg)</f>
        <v>0.76999066398321547</v>
      </c>
      <c r="BN50" s="28">
        <f>IF(('Activity data'!BN19*EF!$H50*EF!AM68)*NtoN2O*kgtoGg=0,"NO",('Activity data'!BN19*EF!$H50*EF!AM68)*NtoN2O*kgtoGg)</f>
        <v>0.78322712569021657</v>
      </c>
      <c r="BO50" s="28">
        <f>IF(('Activity data'!BO19*EF!$H50*EF!AN68)*NtoN2O*kgtoGg=0,"NO",('Activity data'!BO19*EF!$H50*EF!AN68)*NtoN2O*kgtoGg)</f>
        <v>0.79761951278112875</v>
      </c>
      <c r="BP50" s="28">
        <f>IF(('Activity data'!BP19*EF!$H50*EF!AO68)*NtoN2O*kgtoGg=0,"NO",('Activity data'!BP19*EF!$H50*EF!AO68)*NtoN2O*kgtoGg)</f>
        <v>0.8116941649813233</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8">
        <f>IF(('Activity data'!H20*EF!$H51*EF!$H69)*NtoN2O*kgtoGg=0,"NO",('Activity data'!H20*EF!$H51*EF!$H69)*NtoN2O*kgtoGg)</f>
        <v>0.72930971263591093</v>
      </c>
      <c r="I51" s="28">
        <f>IF(('Activity data'!I20*EF!$H51*EF!$H69)*NtoN2O*kgtoGg=0,"NO",('Activity data'!I20*EF!$H51*EF!$H69)*NtoN2O*kgtoGg)</f>
        <v>0.68555113076259577</v>
      </c>
      <c r="J51" s="28">
        <f>IF(('Activity data'!J20*EF!$H51*EF!$H69)*NtoN2O*kgtoGg=0,"NO",('Activity data'!J20*EF!$H51*EF!$H69)*NtoN2O*kgtoGg)</f>
        <v>0.64789485942199276</v>
      </c>
      <c r="K51" s="28">
        <f>IF(('Activity data'!K20*EF!$H51*EF!$H69)*NtoN2O*kgtoGg=0,"NO",('Activity data'!K20*EF!$H51*EF!$H69)*NtoN2O*kgtoGg)</f>
        <v>0.72865140284093732</v>
      </c>
      <c r="L51" s="28">
        <f>IF(('Activity data'!L20*EF!$H51*EF!$H69)*NtoN2O*kgtoGg=0,"NO",('Activity data'!L20*EF!$H51*EF!$H69)*NtoN2O*kgtoGg)</f>
        <v>0.72181757150319903</v>
      </c>
      <c r="M51" s="28">
        <f>IF(('Activity data'!M20*EF!$H51*EF!$H69)*NtoN2O*kgtoGg=0,"NO",('Activity data'!M20*EF!$H51*EF!$H69)*NtoN2O*kgtoGg)</f>
        <v>0.82622573049281356</v>
      </c>
      <c r="N51" s="28">
        <f>IF(('Activity data'!N20*EF!$H51*EF!$H69)*NtoN2O*kgtoGg=0,"NO",('Activity data'!N20*EF!$H51*EF!$H69)*NtoN2O*kgtoGg)</f>
        <v>0.96068755914648207</v>
      </c>
      <c r="O51" s="28">
        <f>IF(('Activity data'!O20*EF!$H51*EF!$H69)*NtoN2O*kgtoGg=0,"NO",('Activity data'!O20*EF!$H51*EF!$H69)*NtoN2O*kgtoGg)</f>
        <v>0.97787012142542185</v>
      </c>
      <c r="P51" s="28">
        <f>IF(('Activity data'!P20*EF!$H51*EF!$H69)*NtoN2O*kgtoGg=0,"NO",('Activity data'!P20*EF!$H51*EF!$H69)*NtoN2O*kgtoGg)</f>
        <v>1.071484472052648</v>
      </c>
      <c r="Q51" s="28">
        <f>IF(('Activity data'!Q20*EF!$H51*EF!$H69)*NtoN2O*kgtoGg=0,"NO",('Activity data'!Q20*EF!$H51*EF!$H69)*NtoN2O*kgtoGg)</f>
        <v>1.1186177697218391</v>
      </c>
      <c r="R51" s="28">
        <f>IF(('Activity data'!R20*EF!$H51*EF!$H69)*NtoN2O*kgtoGg=0,"NO",('Activity data'!R20*EF!$H51*EF!$H69)*NtoN2O*kgtoGg)</f>
        <v>1.2035502905081028</v>
      </c>
      <c r="S51" s="28">
        <f>IF(('Activity data'!S20*EF!$H51*EF!$H69)*NtoN2O*kgtoGg=0,"NO",('Activity data'!S20*EF!$H51*EF!$H69)*NtoN2O*kgtoGg)</f>
        <v>1.1621542696380114</v>
      </c>
      <c r="T51" s="28">
        <f>IF(('Activity data'!T20*EF!$H51*EF!$H69)*NtoN2O*kgtoGg=0,"NO",('Activity data'!T20*EF!$H51*EF!$H69)*NtoN2O*kgtoGg)</f>
        <v>1.2880438918534249</v>
      </c>
      <c r="U51" s="28">
        <f>IF(('Activity data'!U20*EF!$H51*EF!$H69)*NtoN2O*kgtoGg=0,"NO",('Activity data'!U20*EF!$H51*EF!$H69)*NtoN2O*kgtoGg)</f>
        <v>1.225124187011174</v>
      </c>
      <c r="V51" s="28">
        <f>IF(('Activity data'!V20*EF!$H51*EF!$H69)*NtoN2O*kgtoGg=0,"NO",('Activity data'!V20*EF!$H51*EF!$H69)*NtoN2O*kgtoGg)</f>
        <v>1.2546997536257585</v>
      </c>
      <c r="W51" s="28">
        <f>IF(('Activity data'!W20*EF!$H51*EF!$H69)*NtoN2O*kgtoGg=0,"NO",('Activity data'!W20*EF!$H51*EF!$H69)*NtoN2O*kgtoGg)</f>
        <v>1.3882935327729005</v>
      </c>
      <c r="X51" s="28">
        <f>IF(('Activity data'!X20*EF!$H51*EF!$H69)*NtoN2O*kgtoGg=0,"NO",('Activity data'!X20*EF!$H51*EF!$H69)*NtoN2O*kgtoGg)</f>
        <v>1.4849096879687185</v>
      </c>
      <c r="Y51" s="28">
        <f>IF(('Activity data'!Y20*EF!$H51*EF!$H69)*NtoN2O*kgtoGg=0,"NO",('Activity data'!Y20*EF!$H51*EF!$H69)*NtoN2O*kgtoGg)</f>
        <v>1.5536225594206139</v>
      </c>
      <c r="Z51" s="28">
        <f>IF(('Activity data'!Z20*EF!$H51*EF!$H69)*NtoN2O*kgtoGg=0,"NO",('Activity data'!Z20*EF!$H51*EF!$H69)*NtoN2O*kgtoGg)</f>
        <v>1.6541861721500675</v>
      </c>
      <c r="AA51" s="28">
        <f>IF(('Activity data'!AA20*EF!$H51*EF!$H69)*NtoN2O*kgtoGg=0,"NO",('Activity data'!AA20*EF!$H51*EF!$H69)*NtoN2O*kgtoGg)</f>
        <v>1.5609057472739727</v>
      </c>
      <c r="AB51" s="28">
        <f>IF(('Activity data'!AB20*EF!$H51*EF!$H69)*NtoN2O*kgtoGg=0,"NO",('Activity data'!AB20*EF!$H51*EF!$H69)*NtoN2O*kgtoGg)</f>
        <v>1.6001637714485282</v>
      </c>
      <c r="AC51" s="28">
        <f>IF(('Activity data'!AC20*EF!$H51*EF!$H69)*NtoN2O*kgtoGg=0,"NO",('Activity data'!AC20*EF!$H51*EF!$H69)*NtoN2O*kgtoGg)</f>
        <v>1.6549888552911012</v>
      </c>
      <c r="AD51" s="28">
        <f>IF(('Activity data'!AD20*EF!$H51*EF!$H69)*NtoN2O*kgtoGg=0,"NO",('Activity data'!AD20*EF!$H51*EF!$H69)*NtoN2O*kgtoGg)</f>
        <v>1.7130795703114865</v>
      </c>
      <c r="AE51" s="28">
        <f>IF(('Activity data'!AE20*EF!$H51*EF!$H69)*NtoN2O*kgtoGg=0,"NO",('Activity data'!AE20*EF!$H51*EF!$H69)*NtoN2O*kgtoGg)</f>
        <v>1.7448742149951937</v>
      </c>
      <c r="AF51" s="28">
        <f>IF(('Activity data'!AF20*EF!$H51*EF!$H69)*NtoN2O*kgtoGg=0,"NO",('Activity data'!AF20*EF!$H51*EF!$H69)*NtoN2O*kgtoGg)</f>
        <v>1.7656986639980343</v>
      </c>
      <c r="AG51" s="28">
        <f>IF(('Activity data'!AG20*EF!$H51*EF!$H69)*NtoN2O*kgtoGg=0,"NO",('Activity data'!AG20*EF!$H51*EF!$H69)*NtoN2O*kgtoGg)</f>
        <v>1.7427941986174933</v>
      </c>
      <c r="AH51" s="28">
        <f>IF(('Activity data'!AH20*EF!$H51*EF!$H69)*NtoN2O*kgtoGg=0,"NO",('Activity data'!AH20*EF!$H51*EF!$H69)*NtoN2O*kgtoGg)</f>
        <v>1.7205815318546955</v>
      </c>
      <c r="AI51" s="28">
        <f>IF(('Activity data'!AI20*EF!$H51*EF!H69)*NtoN2O*kgtoGg=0,"NO",('Activity data'!AI20*EF!$H51*EF!H69)*NtoN2O*kgtoGg)</f>
        <v>1.7425923100139877</v>
      </c>
      <c r="AJ51" s="28">
        <f>IF(('Activity data'!AJ20*EF!$H51*EF!I69)*NtoN2O*kgtoGg=0,"NO",('Activity data'!AJ20*EF!$H51*EF!I69)*NtoN2O*kgtoGg)</f>
        <v>1.7510736876348556</v>
      </c>
      <c r="AK51" s="28">
        <f>IF(('Activity data'!AK20*EF!$H51*EF!J69)*NtoN2O*kgtoGg=0,"NO",('Activity data'!AK20*EF!$H51*EF!J69)*NtoN2O*kgtoGg)</f>
        <v>1.7121897293862536</v>
      </c>
      <c r="AL51" s="28">
        <f>IF(('Activity data'!AL20*EF!$H51*EF!K69)*NtoN2O*kgtoGg=0,"NO",('Activity data'!AL20*EF!$H51*EF!K69)*NtoN2O*kgtoGg)</f>
        <v>1.4655218906646825</v>
      </c>
      <c r="AM51" s="28">
        <f>IF(('Activity data'!AM20*EF!$H51*EF!L69)*NtoN2O*kgtoGg=0,"NO",('Activity data'!AM20*EF!$H51*EF!L69)*NtoN2O*kgtoGg)</f>
        <v>1.5438535261882376</v>
      </c>
      <c r="AN51" s="28">
        <f>IF(('Activity data'!AN20*EF!$H51*EF!M69)*NtoN2O*kgtoGg=0,"NO",('Activity data'!AN20*EF!$H51*EF!M69)*NtoN2O*kgtoGg)</f>
        <v>1.5962945286475767</v>
      </c>
      <c r="AO51" s="28">
        <f>IF(('Activity data'!AO20*EF!$H51*EF!N69)*NtoN2O*kgtoGg=0,"NO",('Activity data'!AO20*EF!$H51*EF!N69)*NtoN2O*kgtoGg)</f>
        <v>1.642907889886944</v>
      </c>
      <c r="AP51" s="28">
        <f>IF(('Activity data'!AP20*EF!$H51*EF!O69)*NtoN2O*kgtoGg=0,"NO",('Activity data'!AP20*EF!$H51*EF!O69)*NtoN2O*kgtoGg)</f>
        <v>1.6991978110377575</v>
      </c>
      <c r="AQ51" s="28">
        <f>IF(('Activity data'!AQ20*EF!$H51*EF!P69)*NtoN2O*kgtoGg=0,"NO",('Activity data'!AQ20*EF!$H51*EF!P69)*NtoN2O*kgtoGg)</f>
        <v>1.7890350626064766</v>
      </c>
      <c r="AR51" s="28">
        <f>IF(('Activity data'!AR20*EF!$H51*EF!Q69)*NtoN2O*kgtoGg=0,"NO",('Activity data'!AR20*EF!$H51*EF!Q69)*NtoN2O*kgtoGg)</f>
        <v>1.8895080919073246</v>
      </c>
      <c r="AS51" s="28">
        <f>IF(('Activity data'!AS20*EF!$H51*EF!R69)*NtoN2O*kgtoGg=0,"NO",('Activity data'!AS20*EF!$H51*EF!R69)*NtoN2O*kgtoGg)</f>
        <v>1.9987693788658938</v>
      </c>
      <c r="AT51" s="28">
        <f>IF(('Activity data'!AT20*EF!$H51*EF!S69)*NtoN2O*kgtoGg=0,"NO",('Activity data'!AT20*EF!$H51*EF!S69)*NtoN2O*kgtoGg)</f>
        <v>2.0947103415895203</v>
      </c>
      <c r="AU51" s="28">
        <f>IF(('Activity data'!AU20*EF!$H51*EF!T69)*NtoN2O*kgtoGg=0,"NO",('Activity data'!AU20*EF!$H51*EF!T69)*NtoN2O*kgtoGg)</f>
        <v>2.2064115736901493</v>
      </c>
      <c r="AV51" s="28">
        <f>IF(('Activity data'!AV20*EF!$H51*EF!U69)*NtoN2O*kgtoGg=0,"NO",('Activity data'!AV20*EF!$H51*EF!U69)*NtoN2O*kgtoGg)</f>
        <v>2.3375745911599179</v>
      </c>
      <c r="AW51" s="28">
        <f>IF(('Activity data'!AW20*EF!$H51*EF!V69)*NtoN2O*kgtoGg=0,"NO",('Activity data'!AW20*EF!$H51*EF!V69)*NtoN2O*kgtoGg)</f>
        <v>2.4674301417551581</v>
      </c>
      <c r="AX51" s="28">
        <f>IF(('Activity data'!AX20*EF!$H51*EF!W69)*NtoN2O*kgtoGg=0,"NO",('Activity data'!AX20*EF!$H51*EF!W69)*NtoN2O*kgtoGg)</f>
        <v>2.6036408947859315</v>
      </c>
      <c r="AY51" s="28">
        <f>IF(('Activity data'!AY20*EF!$H51*EF!X69)*NtoN2O*kgtoGg=0,"NO",('Activity data'!AY20*EF!$H51*EF!X69)*NtoN2O*kgtoGg)</f>
        <v>2.7431932989553216</v>
      </c>
      <c r="AZ51" s="28">
        <f>IF(('Activity data'!AZ20*EF!$H51*EF!Y69)*NtoN2O*kgtoGg=0,"NO",('Activity data'!AZ20*EF!$H51*EF!Y69)*NtoN2O*kgtoGg)</f>
        <v>2.8994590521514279</v>
      </c>
      <c r="BA51" s="28">
        <f>IF(('Activity data'!BA20*EF!$H51*EF!Z69)*NtoN2O*kgtoGg=0,"NO",('Activity data'!BA20*EF!$H51*EF!Z69)*NtoN2O*kgtoGg)</f>
        <v>3.037455952913116</v>
      </c>
      <c r="BB51" s="28">
        <f>IF(('Activity data'!BB20*EF!$H51*EF!AA69)*NtoN2O*kgtoGg=0,"NO",('Activity data'!BB20*EF!$H51*EF!AA69)*NtoN2O*kgtoGg)</f>
        <v>3.1860329911149803</v>
      </c>
      <c r="BC51" s="28">
        <f>IF(('Activity data'!BC20*EF!$H51*EF!AB69)*NtoN2O*kgtoGg=0,"NO",('Activity data'!BC20*EF!$H51*EF!AB69)*NtoN2O*kgtoGg)</f>
        <v>3.3377024540250857</v>
      </c>
      <c r="BD51" s="28">
        <f>IF(('Activity data'!BD20*EF!$H51*EF!AC69)*NtoN2O*kgtoGg=0,"NO",('Activity data'!BD20*EF!$H51*EF!AC69)*NtoN2O*kgtoGg)</f>
        <v>3.4830302875985271</v>
      </c>
      <c r="BE51" s="28">
        <f>IF(('Activity data'!BE20*EF!$H51*EF!AD69)*NtoN2O*kgtoGg=0,"NO",('Activity data'!BE20*EF!$H51*EF!AD69)*NtoN2O*kgtoGg)</f>
        <v>3.6284282503451957</v>
      </c>
      <c r="BF51" s="28">
        <f>IF(('Activity data'!BF20*EF!$H51*EF!AE69)*NtoN2O*kgtoGg=0,"NO",('Activity data'!BF20*EF!$H51*EF!AE69)*NtoN2O*kgtoGg)</f>
        <v>3.7797085645009982</v>
      </c>
      <c r="BG51" s="28">
        <f>IF(('Activity data'!BG20*EF!$H51*EF!AF69)*NtoN2O*kgtoGg=0,"NO",('Activity data'!BG20*EF!$H51*EF!AF69)*NtoN2O*kgtoGg)</f>
        <v>3.9406773028531807</v>
      </c>
      <c r="BH51" s="28">
        <f>IF(('Activity data'!BH20*EF!$H51*EF!AG69)*NtoN2O*kgtoGg=0,"NO",('Activity data'!BH20*EF!$H51*EF!AG69)*NtoN2O*kgtoGg)</f>
        <v>4.09252605936598</v>
      </c>
      <c r="BI51" s="28">
        <f>IF(('Activity data'!BI20*EF!$H51*EF!AH69)*NtoN2O*kgtoGg=0,"NO",('Activity data'!BI20*EF!$H51*EF!AH69)*NtoN2O*kgtoGg)</f>
        <v>4.2468797909937708</v>
      </c>
      <c r="BJ51" s="28">
        <f>IF(('Activity data'!BJ20*EF!$H51*EF!AI69)*NtoN2O*kgtoGg=0,"NO",('Activity data'!BJ20*EF!$H51*EF!AI69)*NtoN2O*kgtoGg)</f>
        <v>4.4040525088231126</v>
      </c>
      <c r="BK51" s="28">
        <f>IF(('Activity data'!BK20*EF!$H51*EF!AJ69)*NtoN2O*kgtoGg=0,"NO",('Activity data'!BK20*EF!$H51*EF!AJ69)*NtoN2O*kgtoGg)</f>
        <v>4.5723846640377745</v>
      </c>
      <c r="BL51" s="28">
        <f>IF(('Activity data'!BL20*EF!$H51*EF!AK69)*NtoN2O*kgtoGg=0,"NO",('Activity data'!BL20*EF!$H51*EF!AK69)*NtoN2O*kgtoGg)</f>
        <v>4.746828077621343</v>
      </c>
      <c r="BM51" s="28">
        <f>IF(('Activity data'!BM20*EF!$H51*EF!AL69)*NtoN2O*kgtoGg=0,"NO",('Activity data'!BM20*EF!$H51*EF!AL69)*NtoN2O*kgtoGg)</f>
        <v>4.8441966867749811</v>
      </c>
      <c r="BN51" s="28">
        <f>IF(('Activity data'!BN20*EF!$H51*EF!AM69)*NtoN2O*kgtoGg=0,"NO",('Activity data'!BN20*EF!$H51*EF!AM69)*NtoN2O*kgtoGg)</f>
        <v>4.9364837725054729</v>
      </c>
      <c r="BO51" s="28">
        <f>IF(('Activity data'!BO20*EF!$H51*EF!AN69)*NtoN2O*kgtoGg=0,"NO",('Activity data'!BO20*EF!$H51*EF!AN69)*NtoN2O*kgtoGg)</f>
        <v>5.0396527637872595</v>
      </c>
      <c r="BP51" s="28">
        <f>IF(('Activity data'!BP20*EF!$H51*EF!AO69)*NtoN2O*kgtoGg=0,"NO",('Activity data'!BP20*EF!$H51*EF!AO69)*NtoN2O*kgtoGg)</f>
        <v>5.1386857535726884</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8">
        <f>IF(('Activity data'!H21*EF!$H52*EF!$H70)*NtoN2O*kgtoGg=0,"NO",('Activity data'!H21*EF!$H52*EF!$H70)*NtoN2O*kgtoGg)</f>
        <v>8.5243760509896623E-3</v>
      </c>
      <c r="I52" s="28">
        <f>IF(('Activity data'!I21*EF!$H52*EF!$H70)*NtoN2O*kgtoGg=0,"NO",('Activity data'!I21*EF!$H52*EF!$H70)*NtoN2O*kgtoGg)</f>
        <v>8.2813036260724598E-3</v>
      </c>
      <c r="J52" s="28">
        <f>IF(('Activity data'!J21*EF!$H52*EF!$H70)*NtoN2O*kgtoGg=0,"NO",('Activity data'!J21*EF!$H52*EF!$H70)*NtoN2O*kgtoGg)</f>
        <v>7.8542404359692557E-3</v>
      </c>
      <c r="K52" s="28">
        <f>IF(('Activity data'!K21*EF!$H52*EF!$H70)*NtoN2O*kgtoGg=0,"NO",('Activity data'!K21*EF!$H52*EF!$H70)*NtoN2O*kgtoGg)</f>
        <v>7.7307463298428268E-3</v>
      </c>
      <c r="L52" s="28">
        <f>IF(('Activity data'!L21*EF!$H52*EF!$H70)*NtoN2O*kgtoGg=0,"NO",('Activity data'!L21*EF!$H52*EF!$H70)*NtoN2O*kgtoGg)</f>
        <v>7.394486699027595E-3</v>
      </c>
      <c r="M52" s="28">
        <f>IF(('Activity data'!M21*EF!$H52*EF!$H70)*NtoN2O*kgtoGg=0,"NO",('Activity data'!M21*EF!$H52*EF!$H70)*NtoN2O*kgtoGg)</f>
        <v>8.0683053341030469E-3</v>
      </c>
      <c r="N52" s="28">
        <f>IF(('Activity data'!N21*EF!$H52*EF!$H70)*NtoN2O*kgtoGg=0,"NO",('Activity data'!N21*EF!$H52*EF!$H70)*NtoN2O*kgtoGg)</f>
        <v>8.5225928029387995E-3</v>
      </c>
      <c r="O52" s="28">
        <f>IF(('Activity data'!O21*EF!$H52*EF!$H70)*NtoN2O*kgtoGg=0,"NO",('Activity data'!O21*EF!$H52*EF!$H70)*NtoN2O*kgtoGg)</f>
        <v>8.55061823412555E-3</v>
      </c>
      <c r="P52" s="28">
        <f>IF(('Activity data'!P21*EF!$H52*EF!$H70)*NtoN2O*kgtoGg=0,"NO",('Activity data'!P21*EF!$H52*EF!$H70)*NtoN2O*kgtoGg)</f>
        <v>9.627274618194244E-3</v>
      </c>
      <c r="Q52" s="28">
        <f>IF(('Activity data'!Q21*EF!$H52*EF!$H70)*NtoN2O*kgtoGg=0,"NO",('Activity data'!Q21*EF!$H52*EF!$H70)*NtoN2O*kgtoGg)</f>
        <v>1.0321404479128861E-2</v>
      </c>
      <c r="R52" s="28">
        <f>IF(('Activity data'!R21*EF!$H52*EF!$H70)*NtoN2O*kgtoGg=0,"NO",('Activity data'!R21*EF!$H52*EF!$H70)*NtoN2O*kgtoGg)</f>
        <v>1.010271047950061E-2</v>
      </c>
      <c r="S52" s="28">
        <f>IF(('Activity data'!S21*EF!$H52*EF!$H70)*NtoN2O*kgtoGg=0,"NO",('Activity data'!S21*EF!$H52*EF!$H70)*NtoN2O*kgtoGg)</f>
        <v>1.0372214756607131E-2</v>
      </c>
      <c r="T52" s="28">
        <f>IF(('Activity data'!T21*EF!$H52*EF!$H70)*NtoN2O*kgtoGg=0,"NO",('Activity data'!T21*EF!$H52*EF!$H70)*NtoN2O*kgtoGg)</f>
        <v>1.0290807756416174E-2</v>
      </c>
      <c r="U52" s="28">
        <f>IF(('Activity data'!U21*EF!$H52*EF!$H70)*NtoN2O*kgtoGg=0,"NO",('Activity data'!U21*EF!$H52*EF!$H70)*NtoN2O*kgtoGg)</f>
        <v>9.8799729665679584E-3</v>
      </c>
      <c r="V52" s="28">
        <f>IF(('Activity data'!V21*EF!$H52*EF!$H70)*NtoN2O*kgtoGg=0,"NO",('Activity data'!V21*EF!$H52*EF!$H70)*NtoN2O*kgtoGg)</f>
        <v>1.0238231028606104E-2</v>
      </c>
      <c r="W52" s="28">
        <f>IF(('Activity data'!W21*EF!$H52*EF!$H70)*NtoN2O*kgtoGg=0,"NO",('Activity data'!W21*EF!$H52*EF!$H70)*NtoN2O*kgtoGg)</f>
        <v>1.085560173037158E-2</v>
      </c>
      <c r="X52" s="28">
        <f>IF(('Activity data'!X21*EF!$H52*EF!$H70)*NtoN2O*kgtoGg=0,"NO",('Activity data'!X21*EF!$H52*EF!$H70)*NtoN2O*kgtoGg)</f>
        <v>1.1980432313982685E-2</v>
      </c>
      <c r="Y52" s="28">
        <f>IF(('Activity data'!Y21*EF!$H52*EF!$H70)*NtoN2O*kgtoGg=0,"NO",('Activity data'!Y21*EF!$H52*EF!$H70)*NtoN2O*kgtoGg)</f>
        <v>1.3258412654313281E-2</v>
      </c>
      <c r="Z52" s="28">
        <f>IF(('Activity data'!Z21*EF!$H52*EF!$H70)*NtoN2O*kgtoGg=0,"NO",('Activity data'!Z21*EF!$H52*EF!$H70)*NtoN2O*kgtoGg)</f>
        <v>1.3433024325241976E-2</v>
      </c>
      <c r="AA52" s="28">
        <f>IF(('Activity data'!AA21*EF!$H52*EF!$H70)*NtoN2O*kgtoGg=0,"NO",('Activity data'!AA21*EF!$H52*EF!$H70)*NtoN2O*kgtoGg)</f>
        <v>1.2937796671040344E-2</v>
      </c>
      <c r="AB52" s="28">
        <f>IF(('Activity data'!AB21*EF!$H52*EF!$H70)*NtoN2O*kgtoGg=0,"NO",('Activity data'!AB21*EF!$H52*EF!$H70)*NtoN2O*kgtoGg)</f>
        <v>1.3441768554842816E-2</v>
      </c>
      <c r="AC52" s="28">
        <f>IF(('Activity data'!AC21*EF!$H52*EF!$H70)*NtoN2O*kgtoGg=0,"NO",('Activity data'!AC21*EF!$H52*EF!$H70)*NtoN2O*kgtoGg)</f>
        <v>1.4062204549784241E-2</v>
      </c>
      <c r="AD52" s="28">
        <f>IF(('Activity data'!AD21*EF!$H52*EF!$H70)*NtoN2O*kgtoGg=0,"NO",('Activity data'!AD21*EF!$H52*EF!$H70)*NtoN2O*kgtoGg)</f>
        <v>1.3699637559476618E-2</v>
      </c>
      <c r="AE52" s="28">
        <f>IF(('Activity data'!AE21*EF!$H52*EF!$H70)*NtoN2O*kgtoGg=0,"NO",('Activity data'!AE21*EF!$H52*EF!$H70)*NtoN2O*kgtoGg)</f>
        <v>1.4007561383444394E-2</v>
      </c>
      <c r="AF52" s="28">
        <f>IF(('Activity data'!AF21*EF!$H52*EF!$H70)*NtoN2O*kgtoGg=0,"NO",('Activity data'!AF21*EF!$H52*EF!$H70)*NtoN2O*kgtoGg)</f>
        <v>1.4286075109299039E-2</v>
      </c>
      <c r="AG52" s="28">
        <f>IF(('Activity data'!AG21*EF!$H52*EF!$H70)*NtoN2O*kgtoGg=0,"NO",('Activity data'!AG21*EF!$H52*EF!$H70)*NtoN2O*kgtoGg)</f>
        <v>1.4429859637719061E-2</v>
      </c>
      <c r="AH52" s="28">
        <f>IF(('Activity data'!AH21*EF!$H52*EF!$H70)*NtoN2O*kgtoGg=0,"NO",('Activity data'!AH21*EF!$H52*EF!$H70)*NtoN2O*kgtoGg)</f>
        <v>1.4577608074186288E-2</v>
      </c>
      <c r="AI52" s="28">
        <f>IF(('Activity data'!AI21*EF!$H52*EF!H70)*NtoN2O*kgtoGg=0,"NO",('Activity data'!AI21*EF!$H52*EF!H70)*NtoN2O*kgtoGg)</f>
        <v>1.4871774799917255E-2</v>
      </c>
      <c r="AJ52" s="28">
        <f>IF(('Activity data'!AJ21*EF!$H52*EF!I70)*NtoN2O*kgtoGg=0,"NO",('Activity data'!AJ21*EF!$H52*EF!I70)*NtoN2O*kgtoGg)</f>
        <v>1.5123314373966834E-2</v>
      </c>
      <c r="AK52" s="28">
        <f>IF(('Activity data'!AK21*EF!$H52*EF!J70)*NtoN2O*kgtoGg=0,"NO",('Activity data'!AK21*EF!$H52*EF!J70)*NtoN2O*kgtoGg)</f>
        <v>1.5218792553148319E-2</v>
      </c>
      <c r="AL52" s="28">
        <f>IF(('Activity data'!AL21*EF!$H52*EF!K70)*NtoN2O*kgtoGg=0,"NO",('Activity data'!AL21*EF!$H52*EF!K70)*NtoN2O*kgtoGg)</f>
        <v>1.4614385063522554E-2</v>
      </c>
      <c r="AM52" s="28">
        <f>IF(('Activity data'!AM21*EF!$H52*EF!L70)*NtoN2O*kgtoGg=0,"NO",('Activity data'!AM21*EF!$H52*EF!L70)*NtoN2O*kgtoGg)</f>
        <v>1.5049310081165945E-2</v>
      </c>
      <c r="AN52" s="28">
        <f>IF(('Activity data'!AN21*EF!$H52*EF!M70)*NtoN2O*kgtoGg=0,"NO",('Activity data'!AN21*EF!$H52*EF!M70)*NtoN2O*kgtoGg)</f>
        <v>1.5400819201654545E-2</v>
      </c>
      <c r="AO52" s="28">
        <f>IF(('Activity data'!AO21*EF!$H52*EF!N70)*NtoN2O*kgtoGg=0,"NO",('Activity data'!AO21*EF!$H52*EF!N70)*NtoN2O*kgtoGg)</f>
        <v>1.5735786851063062E-2</v>
      </c>
      <c r="AP52" s="28">
        <f>IF(('Activity data'!AP21*EF!$H52*EF!O70)*NtoN2O*kgtoGg=0,"NO",('Activity data'!AP21*EF!$H52*EF!O70)*NtoN2O*kgtoGg)</f>
        <v>1.6107729388846862E-2</v>
      </c>
      <c r="AQ52" s="28">
        <f>IF(('Activity data'!AQ21*EF!$H52*EF!P70)*NtoN2O*kgtoGg=0,"NO",('Activity data'!AQ21*EF!$H52*EF!P70)*NtoN2O*kgtoGg)</f>
        <v>1.6601449364272783E-2</v>
      </c>
      <c r="AR52" s="28">
        <f>IF(('Activity data'!AR21*EF!$H52*EF!Q70)*NtoN2O*kgtoGg=0,"NO",('Activity data'!AR21*EF!$H52*EF!Q70)*NtoN2O*kgtoGg)</f>
        <v>1.7120008058823098E-2</v>
      </c>
      <c r="AS52" s="28">
        <f>IF(('Activity data'!AS21*EF!$H52*EF!R70)*NtoN2O*kgtoGg=0,"NO",('Activity data'!AS21*EF!$H52*EF!R70)*NtoN2O*kgtoGg)</f>
        <v>1.7675866086140329E-2</v>
      </c>
      <c r="AT52" s="28">
        <f>IF(('Activity data'!AT21*EF!$H52*EF!S70)*NtoN2O*kgtoGg=0,"NO",('Activity data'!AT21*EF!$H52*EF!S70)*NtoN2O*kgtoGg)</f>
        <v>1.8190035947877312E-2</v>
      </c>
      <c r="AU52" s="28">
        <f>IF(('Activity data'!AU21*EF!$H52*EF!T70)*NtoN2O*kgtoGg=0,"NO",('Activity data'!AU21*EF!$H52*EF!T70)*NtoN2O*kgtoGg)</f>
        <v>1.8766886485041417E-2</v>
      </c>
      <c r="AV52" s="28">
        <f>IF(('Activity data'!AV21*EF!$H52*EF!U70)*NtoN2O*kgtoGg=0,"NO",('Activity data'!AV21*EF!$H52*EF!U70)*NtoN2O*kgtoGg)</f>
        <v>1.9421175590150126E-2</v>
      </c>
      <c r="AW52" s="28">
        <f>IF(('Activity data'!AW21*EF!$H52*EF!V70)*NtoN2O*kgtoGg=0,"NO",('Activity data'!AW21*EF!$H52*EF!V70)*NtoN2O*kgtoGg)</f>
        <v>2.0062484927227259E-2</v>
      </c>
      <c r="AX52" s="28">
        <f>IF(('Activity data'!AX21*EF!$H52*EF!W70)*NtoN2O*kgtoGg=0,"NO",('Activity data'!AX21*EF!$H52*EF!W70)*NtoN2O*kgtoGg)</f>
        <v>2.0734146834697896E-2</v>
      </c>
      <c r="AY52" s="28">
        <f>IF(('Activity data'!AY21*EF!$H52*EF!X70)*NtoN2O*kgtoGg=0,"NO",('Activity data'!AY21*EF!$H52*EF!X70)*NtoN2O*kgtoGg)</f>
        <v>2.1425302881371316E-2</v>
      </c>
      <c r="AZ52" s="28">
        <f>IF(('Activity data'!AZ21*EF!$H52*EF!Y70)*NtoN2O*kgtoGg=0,"NO",('Activity data'!AZ21*EF!$H52*EF!Y70)*NtoN2O*kgtoGg)</f>
        <v>2.2186421037140063E-2</v>
      </c>
      <c r="BA52" s="28">
        <f>IF(('Activity data'!BA21*EF!$H52*EF!Z70)*NtoN2O*kgtoGg=0,"NO",('Activity data'!BA21*EF!$H52*EF!Z70)*NtoN2O*kgtoGg)</f>
        <v>2.2886185015107467E-2</v>
      </c>
      <c r="BB52" s="28">
        <f>IF(('Activity data'!BB21*EF!$H52*EF!AA70)*NtoN2O*kgtoGg=0,"NO",('Activity data'!BB21*EF!$H52*EF!AA70)*NtoN2O*kgtoGg)</f>
        <v>2.3618263358455356E-2</v>
      </c>
      <c r="BC52" s="28">
        <f>IF(('Activity data'!BC21*EF!$H52*EF!AB70)*NtoN2O*kgtoGg=0,"NO",('Activity data'!BC21*EF!$H52*EF!AB70)*NtoN2O*kgtoGg)</f>
        <v>2.436923543797731E-2</v>
      </c>
      <c r="BD52" s="28">
        <f>IF(('Activity data'!BD21*EF!$H52*EF!AC70)*NtoN2O*kgtoGg=0,"NO",('Activity data'!BD21*EF!$H52*EF!AC70)*NtoN2O*kgtoGg)</f>
        <v>2.5102810849256797E-2</v>
      </c>
      <c r="BE52" s="28">
        <f>IF(('Activity data'!BE21*EF!$H52*EF!AD70)*NtoN2O*kgtoGg=0,"NO",('Activity data'!BE21*EF!$H52*EF!AD70)*NtoN2O*kgtoGg)</f>
        <v>2.5843359175588099E-2</v>
      </c>
      <c r="BF52" s="28">
        <f>IF(('Activity data'!BF21*EF!$H52*EF!AE70)*NtoN2O*kgtoGg=0,"NO",('Activity data'!BF21*EF!$H52*EF!AE70)*NtoN2O*kgtoGg)</f>
        <v>2.6613531738472741E-2</v>
      </c>
      <c r="BG52" s="28">
        <f>IF(('Activity data'!BG21*EF!$H52*EF!AF70)*NtoN2O*kgtoGg=0,"NO",('Activity data'!BG21*EF!$H52*EF!AF70)*NtoN2O*kgtoGg)</f>
        <v>2.7414551016467576E-2</v>
      </c>
      <c r="BH52" s="28">
        <f>IF(('Activity data'!BH21*EF!$H52*EF!AG70)*NtoN2O*kgtoGg=0,"NO",('Activity data'!BH21*EF!$H52*EF!AG70)*NtoN2O*kgtoGg)</f>
        <v>2.8186512330964811E-2</v>
      </c>
      <c r="BI52" s="28">
        <f>IF(('Activity data'!BI21*EF!$H52*EF!AH70)*NtoN2O*kgtoGg=0,"NO",('Activity data'!BI21*EF!$H52*EF!AH70)*NtoN2O*kgtoGg)</f>
        <v>2.8974965391365567E-2</v>
      </c>
      <c r="BJ52" s="28">
        <f>IF(('Activity data'!BJ21*EF!$H52*EF!AI70)*NtoN2O*kgtoGg=0,"NO",('Activity data'!BJ21*EF!$H52*EF!AI70)*NtoN2O*kgtoGg)</f>
        <v>2.978127100159101E-2</v>
      </c>
      <c r="BK52" s="28">
        <f>IF(('Activity data'!BK21*EF!$H52*EF!AJ70)*NtoN2O*kgtoGg=0,"NO",('Activity data'!BK21*EF!$H52*EF!AJ70)*NtoN2O*kgtoGg)</f>
        <v>3.0639120708096691E-2</v>
      </c>
      <c r="BL52" s="28">
        <f>IF(('Activity data'!BL21*EF!$H52*EF!AK70)*NtoN2O*kgtoGg=0,"NO",('Activity data'!BL21*EF!$H52*EF!AK70)*NtoN2O*kgtoGg)</f>
        <v>3.1514289254596581E-2</v>
      </c>
      <c r="BM52" s="28">
        <f>IF(('Activity data'!BM21*EF!$H52*EF!AL70)*NtoN2O*kgtoGg=0,"NO",('Activity data'!BM21*EF!$H52*EF!AL70)*NtoN2O*kgtoGg)</f>
        <v>3.2082944332634006E-2</v>
      </c>
      <c r="BN52" s="28">
        <f>IF(('Activity data'!BN21*EF!$H52*EF!AM70)*NtoN2O*kgtoGg=0,"NO",('Activity data'!BN21*EF!$H52*EF!AM70)*NtoN2O*kgtoGg)</f>
        <v>3.2634463570425723E-2</v>
      </c>
      <c r="BO52" s="28">
        <f>IF(('Activity data'!BO21*EF!$H52*EF!AN70)*NtoN2O*kgtoGg=0,"NO",('Activity data'!BO21*EF!$H52*EF!AN70)*NtoN2O*kgtoGg)</f>
        <v>3.3234146365880395E-2</v>
      </c>
      <c r="BP52" s="28">
        <f>IF(('Activity data'!BP21*EF!$H52*EF!AO70)*NtoN2O*kgtoGg=0,"NO",('Activity data'!BP21*EF!$H52*EF!AO70)*NtoN2O*kgtoGg)</f>
        <v>3.3820590207555172E-2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8">
        <f>IF(('Activity data'!H22*EF!$H53*EF!$H71)*NtoN2O*kgtoGg=0,"NO",('Activity data'!H22*EF!$H53*EF!$H71)*NtoN2O*kgtoGg)</f>
        <v>3.0631007930708259E-2</v>
      </c>
      <c r="I53" s="28">
        <f>IF(('Activity data'!I22*EF!$H53*EF!$H71)*NtoN2O*kgtoGg=0,"NO",('Activity data'!I22*EF!$H53*EF!$H71)*NtoN2O*kgtoGg)</f>
        <v>2.8793147492029023E-2</v>
      </c>
      <c r="J53" s="28">
        <f>IF(('Activity data'!J22*EF!$H53*EF!$H71)*NtoN2O*kgtoGg=0,"NO",('Activity data'!J22*EF!$H53*EF!$H71)*NtoN2O*kgtoGg)</f>
        <v>2.7211584095723697E-2</v>
      </c>
      <c r="K53" s="28">
        <f>IF(('Activity data'!K22*EF!$H53*EF!$H71)*NtoN2O*kgtoGg=0,"NO",('Activity data'!K22*EF!$H53*EF!$H71)*NtoN2O*kgtoGg)</f>
        <v>3.0603358919319371E-2</v>
      </c>
      <c r="L53" s="28">
        <f>IF(('Activity data'!L22*EF!$H53*EF!$H71)*NtoN2O*kgtoGg=0,"NO",('Activity data'!L22*EF!$H53*EF!$H71)*NtoN2O*kgtoGg)</f>
        <v>3.0316338003134366E-2</v>
      </c>
      <c r="M53" s="28">
        <f>IF(('Activity data'!M22*EF!$H53*EF!$H71)*NtoN2O*kgtoGg=0,"NO",('Activity data'!M22*EF!$H53*EF!$H71)*NtoN2O*kgtoGg)</f>
        <v>3.4701480680698171E-2</v>
      </c>
      <c r="N53" s="28">
        <f>IF(('Activity data'!N22*EF!$H53*EF!$H71)*NtoN2O*kgtoGg=0,"NO",('Activity data'!N22*EF!$H53*EF!$H71)*NtoN2O*kgtoGg)</f>
        <v>4.0348877484152244E-2</v>
      </c>
      <c r="O53" s="28">
        <f>IF(('Activity data'!O22*EF!$H53*EF!$H71)*NtoN2O*kgtoGg=0,"NO",('Activity data'!O22*EF!$H53*EF!$H71)*NtoN2O*kgtoGg)</f>
        <v>4.1070545099867725E-2</v>
      </c>
      <c r="P53" s="28">
        <f>IF(('Activity data'!P22*EF!$H53*EF!$H71)*NtoN2O*kgtoGg=0,"NO",('Activity data'!P22*EF!$H53*EF!$H71)*NtoN2O*kgtoGg)</f>
        <v>4.5002347826211216E-2</v>
      </c>
      <c r="Q53" s="28">
        <f>IF(('Activity data'!Q22*EF!$H53*EF!$H71)*NtoN2O*kgtoGg=0,"NO",('Activity data'!Q22*EF!$H53*EF!$H71)*NtoN2O*kgtoGg)</f>
        <v>4.6981946328317245E-2</v>
      </c>
      <c r="R53" s="28">
        <f>IF(('Activity data'!R22*EF!$H53*EF!$H71)*NtoN2O*kgtoGg=0,"NO",('Activity data'!R22*EF!$H53*EF!$H71)*NtoN2O*kgtoGg)</f>
        <v>5.0549112201340313E-2</v>
      </c>
      <c r="S53" s="28">
        <f>IF(('Activity data'!S22*EF!$H53*EF!$H71)*NtoN2O*kgtoGg=0,"NO",('Activity data'!S22*EF!$H53*EF!$H71)*NtoN2O*kgtoGg)</f>
        <v>4.8810479324796478E-2</v>
      </c>
      <c r="T53" s="28">
        <f>IF(('Activity data'!T22*EF!$H53*EF!$H71)*NtoN2O*kgtoGg=0,"NO",('Activity data'!T22*EF!$H53*EF!$H71)*NtoN2O*kgtoGg)</f>
        <v>5.4097843457843853E-2</v>
      </c>
      <c r="U53" s="28">
        <f>IF(('Activity data'!U22*EF!$H53*EF!$H71)*NtoN2O*kgtoGg=0,"NO",('Activity data'!U22*EF!$H53*EF!$H71)*NtoN2O*kgtoGg)</f>
        <v>5.1455215854469313E-2</v>
      </c>
      <c r="V53" s="28">
        <f>IF(('Activity data'!V22*EF!$H53*EF!$H71)*NtoN2O*kgtoGg=0,"NO",('Activity data'!V22*EF!$H53*EF!$H71)*NtoN2O*kgtoGg)</f>
        <v>5.2697389652281851E-2</v>
      </c>
      <c r="W53" s="28">
        <f>IF(('Activity data'!W22*EF!$H53*EF!$H71)*NtoN2O*kgtoGg=0,"NO",('Activity data'!W22*EF!$H53*EF!$H71)*NtoN2O*kgtoGg)</f>
        <v>5.8308328376461827E-2</v>
      </c>
      <c r="X53" s="28">
        <f>IF(('Activity data'!X22*EF!$H53*EF!$H71)*NtoN2O*kgtoGg=0,"NO",('Activity data'!X22*EF!$H53*EF!$H71)*NtoN2O*kgtoGg)</f>
        <v>6.236620689468618E-2</v>
      </c>
      <c r="Y53" s="28">
        <f>IF(('Activity data'!Y22*EF!$H53*EF!$H71)*NtoN2O*kgtoGg=0,"NO",('Activity data'!Y22*EF!$H53*EF!$H71)*NtoN2O*kgtoGg)</f>
        <v>6.5252147495665797E-2</v>
      </c>
      <c r="Z53" s="28">
        <f>IF(('Activity data'!Z22*EF!$H53*EF!$H71)*NtoN2O*kgtoGg=0,"NO",('Activity data'!Z22*EF!$H53*EF!$H71)*NtoN2O*kgtoGg)</f>
        <v>6.9475819230302827E-2</v>
      </c>
      <c r="AA53" s="28">
        <f>IF(('Activity data'!AA22*EF!$H53*EF!$H71)*NtoN2O*kgtoGg=0,"NO",('Activity data'!AA22*EF!$H53*EF!$H71)*NtoN2O*kgtoGg)</f>
        <v>6.555804138550686E-2</v>
      </c>
      <c r="AB53" s="28">
        <f>IF(('Activity data'!AB22*EF!$H53*EF!$H71)*NtoN2O*kgtoGg=0,"NO",('Activity data'!AB22*EF!$H53*EF!$H71)*NtoN2O*kgtoGg)</f>
        <v>6.7206878400838194E-2</v>
      </c>
      <c r="AC53" s="28">
        <f>IF(('Activity data'!AC22*EF!$H53*EF!$H71)*NtoN2O*kgtoGg=0,"NO",('Activity data'!AC22*EF!$H53*EF!$H71)*NtoN2O*kgtoGg)</f>
        <v>6.9509531922226239E-2</v>
      </c>
      <c r="AD53" s="28">
        <f>IF(('Activity data'!AD22*EF!$H53*EF!$H71)*NtoN2O*kgtoGg=0,"NO",('Activity data'!AD22*EF!$H53*EF!$H71)*NtoN2O*kgtoGg)</f>
        <v>7.1378315429645331E-2</v>
      </c>
      <c r="AE53" s="28">
        <f>IF(('Activity data'!AE22*EF!$H53*EF!$H71)*NtoN2O*kgtoGg=0,"NO",('Activity data'!AE22*EF!$H53*EF!$H71)*NtoN2O*kgtoGg)</f>
        <v>7.2703092291466473E-2</v>
      </c>
      <c r="AF53" s="28">
        <f>IF(('Activity data'!AF22*EF!$H53*EF!$H71)*NtoN2O*kgtoGg=0,"NO",('Activity data'!AF22*EF!$H53*EF!$H71)*NtoN2O*kgtoGg)</f>
        <v>7.3570777666584833E-2</v>
      </c>
      <c r="AG53" s="28">
        <f>IF(('Activity data'!AG22*EF!$H53*EF!$H71)*NtoN2O*kgtoGg=0,"NO",('Activity data'!AG22*EF!$H53*EF!$H71)*NtoN2O*kgtoGg)</f>
        <v>7.2616424942395619E-2</v>
      </c>
      <c r="AH53" s="28">
        <f>IF(('Activity data'!AH22*EF!$H53*EF!$H71)*NtoN2O*kgtoGg=0,"NO",('Activity data'!AH22*EF!$H53*EF!$H71)*NtoN2O*kgtoGg)</f>
        <v>7.1690897160612388E-2</v>
      </c>
      <c r="AI53" s="28">
        <f>IF(('Activity data'!AI22*EF!$H53*EF!H71)*NtoN2O*kgtoGg=0,"NO",('Activity data'!AI22*EF!$H53*EF!H71)*NtoN2O*kgtoGg)</f>
        <v>7.2608012917249581E-2</v>
      </c>
      <c r="AJ53" s="28">
        <f>IF(('Activity data'!AJ22*EF!$H53*EF!I71)*NtoN2O*kgtoGg=0,"NO",('Activity data'!AJ22*EF!$H53*EF!I71)*NtoN2O*kgtoGg)</f>
        <v>7.2961403651452372E-2</v>
      </c>
      <c r="AK53" s="28">
        <f>IF(('Activity data'!AK22*EF!$H53*EF!J71)*NtoN2O*kgtoGg=0,"NO",('Activity data'!AK22*EF!$H53*EF!J71)*NtoN2O*kgtoGg)</f>
        <v>7.1341238724427325E-2</v>
      </c>
      <c r="AL53" s="28">
        <f>IF(('Activity data'!AL22*EF!$H53*EF!K71)*NtoN2O*kgtoGg=0,"NO",('Activity data'!AL22*EF!$H53*EF!K71)*NtoN2O*kgtoGg)</f>
        <v>6.1063412111028503E-2</v>
      </c>
      <c r="AM53" s="28">
        <f>IF(('Activity data'!AM22*EF!$H53*EF!L71)*NtoN2O*kgtoGg=0,"NO",('Activity data'!AM22*EF!$H53*EF!L71)*NtoN2O*kgtoGg)</f>
        <v>6.4327230257843288E-2</v>
      </c>
      <c r="AN53" s="28">
        <f>IF(('Activity data'!AN22*EF!$H53*EF!M71)*NtoN2O*kgtoGg=0,"NO",('Activity data'!AN22*EF!$H53*EF!M71)*NtoN2O*kgtoGg)</f>
        <v>6.6512272026982414E-2</v>
      </c>
      <c r="AO53" s="28">
        <f>IF(('Activity data'!AO22*EF!$H53*EF!N71)*NtoN2O*kgtoGg=0,"NO",('Activity data'!AO22*EF!$H53*EF!N71)*NtoN2O*kgtoGg)</f>
        <v>6.8454495411956071E-2</v>
      </c>
      <c r="AP53" s="28">
        <f>IF(('Activity data'!AP22*EF!$H53*EF!O71)*NtoN2O*kgtoGg=0,"NO",('Activity data'!AP22*EF!$H53*EF!O71)*NtoN2O*kgtoGg)</f>
        <v>7.0799908793239955E-2</v>
      </c>
      <c r="AQ53" s="28">
        <f>IF(('Activity data'!AQ22*EF!$H53*EF!P71)*NtoN2O*kgtoGg=0,"NO",('Activity data'!AQ22*EF!$H53*EF!P71)*NtoN2O*kgtoGg)</f>
        <v>7.4543127608603252E-2</v>
      </c>
      <c r="AR53" s="28">
        <f>IF(('Activity data'!AR22*EF!$H53*EF!Q71)*NtoN2O*kgtoGg=0,"NO",('Activity data'!AR22*EF!$H53*EF!Q71)*NtoN2O*kgtoGg)</f>
        <v>7.8729503829471928E-2</v>
      </c>
      <c r="AS53" s="28">
        <f>IF(('Activity data'!AS22*EF!$H53*EF!R71)*NtoN2O*kgtoGg=0,"NO",('Activity data'!AS22*EF!$H53*EF!R71)*NtoN2O*kgtoGg)</f>
        <v>8.3282057452745667E-2</v>
      </c>
      <c r="AT53" s="28">
        <f>IF(('Activity data'!AT22*EF!$H53*EF!S71)*NtoN2O*kgtoGg=0,"NO",('Activity data'!AT22*EF!$H53*EF!S71)*NtoN2O*kgtoGg)</f>
        <v>8.7279597566230077E-2</v>
      </c>
      <c r="AU53" s="28">
        <f>IF(('Activity data'!AU22*EF!$H53*EF!T71)*NtoN2O*kgtoGg=0,"NO",('Activity data'!AU22*EF!$H53*EF!T71)*NtoN2O*kgtoGg)</f>
        <v>9.1933815570422989E-2</v>
      </c>
      <c r="AV53" s="28">
        <f>IF(('Activity data'!AV22*EF!$H53*EF!U71)*NtoN2O*kgtoGg=0,"NO",('Activity data'!AV22*EF!$H53*EF!U71)*NtoN2O*kgtoGg)</f>
        <v>9.7398941298330002E-2</v>
      </c>
      <c r="AW53" s="28">
        <f>IF(('Activity data'!AW22*EF!$H53*EF!V71)*NtoN2O*kgtoGg=0,"NO",('Activity data'!AW22*EF!$H53*EF!V71)*NtoN2O*kgtoGg)</f>
        <v>0.10280958923979837</v>
      </c>
      <c r="AX53" s="28">
        <f>IF(('Activity data'!AX22*EF!$H53*EF!W71)*NtoN2O*kgtoGg=0,"NO",('Activity data'!AX22*EF!$H53*EF!W71)*NtoN2O*kgtoGg)</f>
        <v>0.10848503728274725</v>
      </c>
      <c r="AY53" s="28">
        <f>IF(('Activity data'!AY22*EF!$H53*EF!X71)*NtoN2O*kgtoGg=0,"NO",('Activity data'!AY22*EF!$H53*EF!X71)*NtoN2O*kgtoGg)</f>
        <v>0.11429972078980519</v>
      </c>
      <c r="AZ53" s="28">
        <f>IF(('Activity data'!AZ22*EF!$H53*EF!Y71)*NtoN2O*kgtoGg=0,"NO",('Activity data'!AZ22*EF!$H53*EF!Y71)*NtoN2O*kgtoGg)</f>
        <v>0.12081079383964298</v>
      </c>
      <c r="BA53" s="28">
        <f>IF(('Activity data'!BA22*EF!$H53*EF!Z71)*NtoN2O*kgtoGg=0,"NO",('Activity data'!BA22*EF!$H53*EF!Z71)*NtoN2O*kgtoGg)</f>
        <v>0.12656066470471328</v>
      </c>
      <c r="BB53" s="28">
        <f>IF(('Activity data'!BB22*EF!$H53*EF!AA71)*NtoN2O*kgtoGg=0,"NO",('Activity data'!BB22*EF!$H53*EF!AA71)*NtoN2O*kgtoGg)</f>
        <v>0.13275137462979095</v>
      </c>
      <c r="BC53" s="28">
        <f>IF(('Activity data'!BC22*EF!$H53*EF!AB71)*NtoN2O*kgtoGg=0,"NO",('Activity data'!BC22*EF!$H53*EF!AB71)*NtoN2O*kgtoGg)</f>
        <v>0.13907093558437875</v>
      </c>
      <c r="BD53" s="28">
        <f>IF(('Activity data'!BD22*EF!$H53*EF!AC71)*NtoN2O*kgtoGg=0,"NO",('Activity data'!BD22*EF!$H53*EF!AC71)*NtoN2O*kgtoGg)</f>
        <v>0.14512626198327211</v>
      </c>
      <c r="BE53" s="28">
        <f>IF(('Activity data'!BE22*EF!$H53*EF!AD71)*NtoN2O*kgtoGg=0,"NO",('Activity data'!BE22*EF!$H53*EF!AD71)*NtoN2O*kgtoGg)</f>
        <v>0.15118451043105</v>
      </c>
      <c r="BF53" s="28">
        <f>IF(('Activity data'!BF22*EF!$H53*EF!AE71)*NtoN2O*kgtoGg=0,"NO",('Activity data'!BF22*EF!$H53*EF!AE71)*NtoN2O*kgtoGg)</f>
        <v>0.15748785685420838</v>
      </c>
      <c r="BG53" s="28">
        <f>IF(('Activity data'!BG22*EF!$H53*EF!AF71)*NtoN2O*kgtoGg=0,"NO",('Activity data'!BG22*EF!$H53*EF!AF71)*NtoN2O*kgtoGg)</f>
        <v>0.16419488761888268</v>
      </c>
      <c r="BH53" s="28">
        <f>IF(('Activity data'!BH22*EF!$H53*EF!AG71)*NtoN2O*kgtoGg=0,"NO",('Activity data'!BH22*EF!$H53*EF!AG71)*NtoN2O*kgtoGg)</f>
        <v>0.17052191914024933</v>
      </c>
      <c r="BI53" s="28">
        <f>IF(('Activity data'!BI22*EF!$H53*EF!AH71)*NtoN2O*kgtoGg=0,"NO",('Activity data'!BI22*EF!$H53*EF!AH71)*NtoN2O*kgtoGg)</f>
        <v>0.17695332462474059</v>
      </c>
      <c r="BJ53" s="28">
        <f>IF(('Activity data'!BJ22*EF!$H53*EF!AI71)*NtoN2O*kgtoGg=0,"NO",('Activity data'!BJ22*EF!$H53*EF!AI71)*NtoN2O*kgtoGg)</f>
        <v>0.18350218786762987</v>
      </c>
      <c r="BK53" s="28">
        <f>IF(('Activity data'!BK22*EF!$H53*EF!AJ71)*NtoN2O*kgtoGg=0,"NO",('Activity data'!BK22*EF!$H53*EF!AJ71)*NtoN2O*kgtoGg)</f>
        <v>0.1905160276682408</v>
      </c>
      <c r="BL53" s="28">
        <f>IF(('Activity data'!BL22*EF!$H53*EF!AK71)*NtoN2O*kgtoGg=0,"NO",('Activity data'!BL22*EF!$H53*EF!AK71)*NtoN2O*kgtoGg)</f>
        <v>0.19778450323422284</v>
      </c>
      <c r="BM53" s="28">
        <f>IF(('Activity data'!BM22*EF!$H53*EF!AL71)*NtoN2O*kgtoGg=0,"NO",('Activity data'!BM22*EF!$H53*EF!AL71)*NtoN2O*kgtoGg)</f>
        <v>0.20184152861562438</v>
      </c>
      <c r="BN53" s="28">
        <f>IF(('Activity data'!BN22*EF!$H53*EF!AM71)*NtoN2O*kgtoGg=0,"NO",('Activity data'!BN22*EF!$H53*EF!AM71)*NtoN2O*kgtoGg)</f>
        <v>0.20568682385439491</v>
      </c>
      <c r="BO53" s="28">
        <f>IF(('Activity data'!BO22*EF!$H53*EF!AN71)*NtoN2O*kgtoGg=0,"NO",('Activity data'!BO22*EF!$H53*EF!AN71)*NtoN2O*kgtoGg)</f>
        <v>0.20998553182446936</v>
      </c>
      <c r="BP53" s="28">
        <f>IF(('Activity data'!BP22*EF!$H53*EF!AO71)*NtoN2O*kgtoGg=0,"NO",('Activity data'!BP22*EF!$H53*EF!AO71)*NtoN2O*kgtoGg)</f>
        <v>0.21411190639886218</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888.5196405131752</v>
      </c>
      <c r="AF86" s="22">
        <f>'Activity data'!AF45*EF!$H$149*CtoCO2*ttoGg</f>
        <v>891.96064822562096</v>
      </c>
      <c r="AG86" s="22">
        <f>'Activity data'!AG45*EF!$H$149*CtoCO2*ttoGg</f>
        <v>894.88916078976843</v>
      </c>
      <c r="AH86" s="22">
        <f>'Activity data'!AH45*EF!$H$149*CtoCO2*ttoGg</f>
        <v>895.84739945695708</v>
      </c>
      <c r="AI86" s="22">
        <f>'Activity data'!AI45*EF!$H$149*CtoCO2*ttoGg</f>
        <v>896.81728908321736</v>
      </c>
      <c r="AJ86" s="22">
        <f>'Activity data'!AJ45*EF!$H$149*CtoCO2*ttoGg</f>
        <v>899.77409431497051</v>
      </c>
      <c r="AK86" s="22">
        <f>'Activity data'!AK45*EF!$H$149*CtoCO2*ttoGg</f>
        <v>902.09125086952031</v>
      </c>
      <c r="AL86" s="22">
        <f>'Activity data'!AL45*EF!$H$149*CtoCO2*ttoGg</f>
        <v>902.24725498392274</v>
      </c>
      <c r="AM86" s="22">
        <f>'Activity data'!AM45*EF!$H$149*CtoCO2*ttoGg</f>
        <v>892.60902179925608</v>
      </c>
      <c r="AN86" s="22">
        <f>'Activity data'!AN45*EF!$H$149*CtoCO2*ttoGg</f>
        <v>897.88077216623924</v>
      </c>
      <c r="AO86" s="22">
        <f>'Activity data'!AO45*EF!$H$149*CtoCO2*ttoGg</f>
        <v>901.86785433623902</v>
      </c>
      <c r="AP86" s="22">
        <f>'Activity data'!AP45*EF!$H$149*CtoCO2*ttoGg</f>
        <v>905.54375743786386</v>
      </c>
      <c r="AQ86" s="22">
        <f>'Activity data'!AQ45*EF!$H$149*CtoCO2*ttoGg</f>
        <v>909.62789125994425</v>
      </c>
      <c r="AR86" s="22">
        <f>'Activity data'!AR45*EF!$H$149*CtoCO2*ttoGg</f>
        <v>915.17819871340487</v>
      </c>
      <c r="AS86" s="22">
        <f>'Activity data'!AS45*EF!$H$149*CtoCO2*ttoGg</f>
        <v>920.99002879575733</v>
      </c>
      <c r="AT86" s="22">
        <f>'Activity data'!AT45*EF!$H$149*CtoCO2*ttoGg</f>
        <v>927.07478216005029</v>
      </c>
      <c r="AU86" s="22">
        <f>'Activity data'!AU45*EF!$H$149*CtoCO2*ttoGg</f>
        <v>932.48269891354084</v>
      </c>
      <c r="AV86" s="22">
        <f>'Activity data'!AV45*EF!$H$149*CtoCO2*ttoGg</f>
        <v>938.44873038731919</v>
      </c>
      <c r="AW86" s="22">
        <f>'Activity data'!AW45*EF!$H$149*CtoCO2*ttoGg</f>
        <v>945.07999666505555</v>
      </c>
      <c r="AX86" s="22">
        <f>'Activity data'!AX45*EF!$H$149*CtoCO2*ttoGg</f>
        <v>951.43174054913004</v>
      </c>
      <c r="AY86" s="22">
        <f>'Activity data'!AY45*EF!$H$149*CtoCO2*ttoGg</f>
        <v>957.88938710584625</v>
      </c>
      <c r="AZ86" s="22">
        <f>'Activity data'!AZ45*EF!$H$149*CtoCO2*ttoGg</f>
        <v>964.3285468230124</v>
      </c>
      <c r="BA86" s="22">
        <f>'Activity data'!BA45*EF!$H$149*CtoCO2*ttoGg</f>
        <v>971.2274721173485</v>
      </c>
      <c r="BB86" s="22">
        <f>'Activity data'!BB45*EF!$H$149*CtoCO2*ttoGg</f>
        <v>977.31823571713028</v>
      </c>
      <c r="BC86" s="22">
        <f>'Activity data'!BC45*EF!$H$149*CtoCO2*ttoGg</f>
        <v>983.57793052447698</v>
      </c>
      <c r="BD86" s="22">
        <f>'Activity data'!BD45*EF!$H$149*CtoCO2*ttoGg</f>
        <v>989.80396855314598</v>
      </c>
      <c r="BE86" s="22">
        <f>'Activity data'!BE45*EF!$H$149*CtoCO2*ttoGg</f>
        <v>995.6874985828008</v>
      </c>
      <c r="BF86" s="22">
        <f>'Activity data'!BF45*EF!$H$149*CtoCO2*ttoGg</f>
        <v>1001.4527108587529</v>
      </c>
      <c r="BG86" s="22">
        <f>'Activity data'!BG45*EF!$H$149*CtoCO2*ttoGg</f>
        <v>1007.2848843182181</v>
      </c>
      <c r="BH86" s="22">
        <f>'Activity data'!BH45*EF!$H$149*CtoCO2*ttoGg</f>
        <v>1013.2376412307941</v>
      </c>
      <c r="BI86" s="22">
        <f>'Activity data'!BI45*EF!$H$149*CtoCO2*ttoGg</f>
        <v>1018.7943384588782</v>
      </c>
      <c r="BJ86" s="22">
        <f>'Activity data'!BJ45*EF!$H$149*CtoCO2*ttoGg</f>
        <v>1024.3150671694632</v>
      </c>
      <c r="BK86" s="22">
        <f>'Activity data'!BK45*EF!$H$149*CtoCO2*ttoGg</f>
        <v>1029.8081254914655</v>
      </c>
      <c r="BL86" s="22">
        <f>'Activity data'!BL45*EF!$H$149*CtoCO2*ttoGg</f>
        <v>1035.5032855203945</v>
      </c>
      <c r="BM86" s="22">
        <f>'Activity data'!BM45*EF!$H$149*CtoCO2*ttoGg</f>
        <v>1041.199437822145</v>
      </c>
      <c r="BN86" s="22">
        <f>'Activity data'!BN45*EF!$H$149*CtoCO2*ttoGg</f>
        <v>1044.7334229183193</v>
      </c>
      <c r="BO86" s="22">
        <f>'Activity data'!BO45*EF!$H$149*CtoCO2*ttoGg</f>
        <v>1048.092878940131</v>
      </c>
      <c r="BP86" s="22">
        <f>'Activity data'!BP45*EF!$H$149*CtoCO2*ttoGg</f>
        <v>1051.6990964077904</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470.04378916185391</v>
      </c>
      <c r="AF87" s="22">
        <f>'Activity data'!AF46*EF!$H$150*CtoCO2*ttoGg</f>
        <v>469.95709010424787</v>
      </c>
      <c r="AG87" s="22">
        <f>'Activity data'!AG46*EF!$H$150*CtoCO2*ttoGg</f>
        <v>469.88330378909933</v>
      </c>
      <c r="AH87" s="22">
        <f>'Activity data'!AH46*EF!$H$150*CtoCO2*ttoGg</f>
        <v>469.85916016712889</v>
      </c>
      <c r="AI87" s="22">
        <f>'Activity data'!AI46*EF!$H$150*CtoCO2*ttoGg</f>
        <v>469.83472298953274</v>
      </c>
      <c r="AJ87" s="22">
        <f>'Activity data'!AJ46*EF!$H$150*CtoCO2*ttoGg</f>
        <v>469.76022381704024</v>
      </c>
      <c r="AK87" s="22">
        <f>'Activity data'!AK46*EF!$H$150*CtoCO2*ttoGg</f>
        <v>469.7018411261563</v>
      </c>
      <c r="AL87" s="22">
        <f>'Activity data'!AL46*EF!$H$150*CtoCO2*ttoGg</f>
        <v>469.69791047245496</v>
      </c>
      <c r="AM87" s="22">
        <f>'Activity data'!AM46*EF!$H$150*CtoCO2*ttoGg</f>
        <v>469.94075379160097</v>
      </c>
      <c r="AN87" s="22">
        <f>'Activity data'!AN46*EF!$H$150*CtoCO2*ttoGg</f>
        <v>469.80792764677761</v>
      </c>
      <c r="AO87" s="22">
        <f>'Activity data'!AO46*EF!$H$150*CtoCO2*ttoGg</f>
        <v>469.70746978802691</v>
      </c>
      <c r="AP87" s="22">
        <f>'Activity data'!AP46*EF!$H$150*CtoCO2*ttoGg</f>
        <v>469.61485234529096</v>
      </c>
      <c r="AQ87" s="22">
        <f>'Activity data'!AQ46*EF!$H$150*CtoCO2*ttoGg</f>
        <v>469.51194918926763</v>
      </c>
      <c r="AR87" s="22">
        <f>'Activity data'!AR46*EF!$H$150*CtoCO2*ttoGg</f>
        <v>469.37210456645607</v>
      </c>
      <c r="AS87" s="22">
        <f>'Activity data'!AS46*EF!$H$150*CtoCO2*ttoGg</f>
        <v>469.22567066301434</v>
      </c>
      <c r="AT87" s="22">
        <f>'Activity data'!AT46*EF!$H$150*CtoCO2*ttoGg</f>
        <v>469.07236022998597</v>
      </c>
      <c r="AU87" s="22">
        <f>'Activity data'!AU46*EF!$H$150*CtoCO2*ttoGg</f>
        <v>468.93610325955154</v>
      </c>
      <c r="AV87" s="22">
        <f>'Activity data'!AV46*EF!$H$150*CtoCO2*ttoGg</f>
        <v>468.78578412351658</v>
      </c>
      <c r="AW87" s="22">
        <f>'Activity data'!AW46*EF!$H$150*CtoCO2*ttoGg</f>
        <v>468.61870384208186</v>
      </c>
      <c r="AX87" s="22">
        <f>'Activity data'!AX46*EF!$H$150*CtoCO2*ttoGg</f>
        <v>468.45866636035458</v>
      </c>
      <c r="AY87" s="22">
        <f>'Activity data'!AY46*EF!$H$150*CtoCO2*ttoGg</f>
        <v>468.29596057251365</v>
      </c>
      <c r="AZ87" s="22">
        <f>'Activity data'!AZ46*EF!$H$150*CtoCO2*ttoGg</f>
        <v>468.1337205760052</v>
      </c>
      <c r="BA87" s="22">
        <f>'Activity data'!BA46*EF!$H$150*CtoCO2*ttoGg</f>
        <v>467.95989640253708</v>
      </c>
      <c r="BB87" s="22">
        <f>'Activity data'!BB46*EF!$H$150*CtoCO2*ttoGg</f>
        <v>467.8064345366156</v>
      </c>
      <c r="BC87" s="22">
        <f>'Activity data'!BC46*EF!$H$150*CtoCO2*ttoGg</f>
        <v>467.64871630810501</v>
      </c>
      <c r="BD87" s="22">
        <f>'Activity data'!BD46*EF!$H$150*CtoCO2*ttoGg</f>
        <v>467.49184609018818</v>
      </c>
      <c r="BE87" s="22">
        <f>'Activity data'!BE46*EF!$H$150*CtoCO2*ttoGg</f>
        <v>467.34360564680793</v>
      </c>
      <c r="BF87" s="22">
        <f>'Activity data'!BF46*EF!$H$150*CtoCO2*ttoGg</f>
        <v>467.19834631785739</v>
      </c>
      <c r="BG87" s="22">
        <f>'Activity data'!BG46*EF!$H$150*CtoCO2*ttoGg</f>
        <v>467.05139984607189</v>
      </c>
      <c r="BH87" s="22">
        <f>'Activity data'!BH46*EF!$H$150*CtoCO2*ttoGg</f>
        <v>466.90141517367164</v>
      </c>
      <c r="BI87" s="22">
        <f>'Activity data'!BI46*EF!$H$150*CtoCO2*ttoGg</f>
        <v>466.76140955516212</v>
      </c>
      <c r="BJ87" s="22">
        <f>'Activity data'!BJ46*EF!$H$150*CtoCO2*ttoGg</f>
        <v>466.62231019343295</v>
      </c>
      <c r="BK87" s="22">
        <f>'Activity data'!BK46*EF!$H$150*CtoCO2*ttoGg</f>
        <v>466.48390801020918</v>
      </c>
      <c r="BL87" s="22">
        <f>'Activity data'!BL46*EF!$H$150*CtoCO2*ttoGg</f>
        <v>466.34041370601517</v>
      </c>
      <c r="BM87" s="22">
        <f>'Activity data'!BM46*EF!$H$150*CtoCO2*ttoGg</f>
        <v>466.19689440068032</v>
      </c>
      <c r="BN87" s="22">
        <f>'Activity data'!BN46*EF!$H$150*CtoCO2*ttoGg</f>
        <v>466.10785270038889</v>
      </c>
      <c r="BO87" s="22">
        <f>'Activity data'!BO46*EF!$H$150*CtoCO2*ttoGg</f>
        <v>466.02320840560674</v>
      </c>
      <c r="BP87" s="22">
        <f>'Activity data'!BP46*EF!$H$150*CtoCO2*ttoGg</f>
        <v>465.93234675050559</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6.6056660352543144</v>
      </c>
      <c r="AF88" s="22">
        <f>'Activity data'!AF47*ttokg*SNEF*NtoN2O*kgtoGg</f>
        <v>6.6042995522505379</v>
      </c>
      <c r="AG88" s="22">
        <f>'Activity data'!AG47*ttokg*SNEF*NtoN2O*kgtoGg</f>
        <v>6.6031365898338095</v>
      </c>
      <c r="AH88" s="22">
        <f>'Activity data'!AH47*ttokg*SNEF*NtoN2O*kgtoGg</f>
        <v>6.6027560568732087</v>
      </c>
      <c r="AI88" s="22">
        <f>'Activity data'!AI47*ttokg*SNEF*NtoN2O*kgtoGg</f>
        <v>6.6023708971175274</v>
      </c>
      <c r="AJ88" s="22">
        <f>'Activity data'!AJ47*ttokg*SNEF*NtoN2O*kgtoGg</f>
        <v>6.6011966991986881</v>
      </c>
      <c r="AK88" s="22">
        <f>'Activity data'!AK47*ttokg*SNEF*NtoN2O*kgtoGg</f>
        <v>6.6002765167075461</v>
      </c>
      <c r="AL88" s="22">
        <f>'Activity data'!AL47*ttokg*SNEF*NtoN2O*kgtoGg</f>
        <v>6.6002145648060502</v>
      </c>
      <c r="AM88" s="22">
        <f>'Activity data'!AM47*ttokg*SNEF*NtoN2O*kgtoGg</f>
        <v>6.6040420720172728</v>
      </c>
      <c r="AN88" s="22">
        <f>'Activity data'!AN47*ttokg*SNEF*NtoN2O*kgtoGg</f>
        <v>6.6019485697997204</v>
      </c>
      <c r="AO88" s="22">
        <f>'Activity data'!AO47*ttokg*SNEF*NtoN2O*kgtoGg</f>
        <v>6.6003652312909882</v>
      </c>
      <c r="AP88" s="22">
        <f>'Activity data'!AP47*ttokg*SNEF*NtoN2O*kgtoGg</f>
        <v>6.5989054673114653</v>
      </c>
      <c r="AQ88" s="22">
        <f>'Activity data'!AQ47*ttokg*SNEF*NtoN2O*kgtoGg</f>
        <v>6.5972835879321101</v>
      </c>
      <c r="AR88" s="22">
        <f>'Activity data'!AR47*ttokg*SNEF*NtoN2O*kgtoGg</f>
        <v>6.5950794659321978</v>
      </c>
      <c r="AS88" s="22">
        <f>'Activity data'!AS47*ttokg*SNEF*NtoN2O*kgtoGg</f>
        <v>6.5927714888243178</v>
      </c>
      <c r="AT88" s="22">
        <f>'Activity data'!AT47*ttokg*SNEF*NtoN2O*kgtoGg</f>
        <v>6.5903551292141982</v>
      </c>
      <c r="AU88" s="22">
        <f>'Activity data'!AU47*ttokg*SNEF*NtoN2O*kgtoGg</f>
        <v>6.5882075529961197</v>
      </c>
      <c r="AV88" s="22">
        <f>'Activity data'!AV47*ttokg*SNEF*NtoN2O*kgtoGg</f>
        <v>6.5858383398788654</v>
      </c>
      <c r="AW88" s="22">
        <f>'Activity data'!AW47*ttokg*SNEF*NtoN2O*kgtoGg</f>
        <v>6.5832049506454569</v>
      </c>
      <c r="AX88" s="22">
        <f>'Activity data'!AX47*ttokg*SNEF*NtoN2O*kgtoGg</f>
        <v>6.5806825645343991</v>
      </c>
      <c r="AY88" s="22">
        <f>'Activity data'!AY47*ttokg*SNEF*NtoN2O*kgtoGg</f>
        <v>6.5781181226611025</v>
      </c>
      <c r="AZ88" s="22">
        <f>'Activity data'!AZ47*ttokg*SNEF*NtoN2O*kgtoGg</f>
        <v>6.5755610222279151</v>
      </c>
      <c r="BA88" s="22">
        <f>'Activity data'!BA47*ttokg*SNEF*NtoN2O*kgtoGg</f>
        <v>6.5728213410220508</v>
      </c>
      <c r="BB88" s="22">
        <f>'Activity data'!BB47*ttokg*SNEF*NtoN2O*kgtoGg</f>
        <v>6.5704025946446434</v>
      </c>
      <c r="BC88" s="22">
        <f>'Activity data'!BC47*ttokg*SNEF*NtoN2O*kgtoGg</f>
        <v>6.5679167627959911</v>
      </c>
      <c r="BD88" s="22">
        <f>'Activity data'!BD47*ttokg*SNEF*NtoN2O*kgtoGg</f>
        <v>6.5654442966296829</v>
      </c>
      <c r="BE88" s="22">
        <f>'Activity data'!BE47*ttokg*SNEF*NtoN2O*kgtoGg</f>
        <v>6.5631078462466625</v>
      </c>
      <c r="BF88" s="22">
        <f>'Activity data'!BF47*ttokg*SNEF*NtoN2O*kgtoGg</f>
        <v>6.5608183818668682</v>
      </c>
      <c r="BG88" s="22">
        <f>'Activity data'!BG47*ttokg*SNEF*NtoN2O*kgtoGg</f>
        <v>6.5585023260560664</v>
      </c>
      <c r="BH88" s="22">
        <f>'Activity data'!BH47*ttokg*SNEF*NtoN2O*kgtoGg</f>
        <v>6.5561383844940604</v>
      </c>
      <c r="BI88" s="22">
        <f>'Activity data'!BI47*ttokg*SNEF*NtoN2O*kgtoGg</f>
        <v>6.5539317250053788</v>
      </c>
      <c r="BJ88" s="22">
        <f>'Activity data'!BJ47*ttokg*SNEF*NtoN2O*kgtoGg</f>
        <v>6.5517393492300551</v>
      </c>
      <c r="BK88" s="22">
        <f>'Activity data'!BK47*ttokg*SNEF*NtoN2O*kgtoGg</f>
        <v>6.5495579618392012</v>
      </c>
      <c r="BL88" s="22">
        <f>'Activity data'!BL47*ttokg*SNEF*NtoN2O*kgtoGg</f>
        <v>6.5472963164045943</v>
      </c>
      <c r="BM88" s="22">
        <f>'Activity data'!BM47*ttokg*SNEF*NtoN2O*kgtoGg</f>
        <v>6.5450342769214798</v>
      </c>
      <c r="BN88" s="22">
        <f>'Activity data'!BN47*ttokg*SNEF*NtoN2O*kgtoGg</f>
        <v>6.5436308710087152</v>
      </c>
      <c r="BO88" s="22">
        <f>'Activity data'!BO47*ttokg*SNEF*NtoN2O*kgtoGg</f>
        <v>6.5422967735758233</v>
      </c>
      <c r="BP88" s="22">
        <f>'Activity data'!BP47*ttokg*SNEF*NtoN2O*kgtoGg</f>
        <v>6.5408646829531705</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4.3597395832678479E-2</v>
      </c>
      <c r="AF89" s="22">
        <f>'Activity data'!AF48*ttokg*ONEF*NtoN2O*kgtoGg</f>
        <v>4.3588377044853563E-2</v>
      </c>
      <c r="AG89" s="22">
        <f>'Activity data'!AG48*ttokg*ONEF*NtoN2O*kgtoGg</f>
        <v>4.3580701492903162E-2</v>
      </c>
      <c r="AH89" s="22">
        <f>'Activity data'!AH48*ttokg*ONEF*NtoN2O*kgtoGg</f>
        <v>4.3578189975363169E-2</v>
      </c>
      <c r="AI89" s="22">
        <f>'Activity data'!AI48*ttokg*ONEF*NtoN2O*kgtoGg</f>
        <v>4.3575647920975694E-2</v>
      </c>
      <c r="AJ89" s="22">
        <f>'Activity data'!AJ48*ttokg*ONEF*NtoN2O*kgtoGg</f>
        <v>4.3567898214711354E-2</v>
      </c>
      <c r="AK89" s="22">
        <f>'Activity data'!AK48*ttokg*ONEF*NtoN2O*kgtoGg</f>
        <v>4.3561825010269811E-2</v>
      </c>
      <c r="AL89" s="22">
        <f>'Activity data'!AL48*ttokg*ONEF*NtoN2O*kgtoGg</f>
        <v>4.3561416127719944E-2</v>
      </c>
      <c r="AM89" s="22">
        <f>'Activity data'!AM48*ttokg*ONEF*NtoN2O*kgtoGg</f>
        <v>4.358667767531401E-2</v>
      </c>
      <c r="AN89" s="22">
        <f>'Activity data'!AN48*ttokg*ONEF*NtoN2O*kgtoGg</f>
        <v>4.3572860560678155E-2</v>
      </c>
      <c r="AO89" s="22">
        <f>'Activity data'!AO48*ttokg*ONEF*NtoN2O*kgtoGg</f>
        <v>4.3562410526520524E-2</v>
      </c>
      <c r="AP89" s="22">
        <f>'Activity data'!AP48*ttokg*ONEF*NtoN2O*kgtoGg</f>
        <v>4.3552776084255673E-2</v>
      </c>
      <c r="AQ89" s="22">
        <f>'Activity data'!AQ48*ttokg*ONEF*NtoN2O*kgtoGg</f>
        <v>4.3542071680351936E-2</v>
      </c>
      <c r="AR89" s="22">
        <f>'Activity data'!AR48*ttokg*ONEF*NtoN2O*kgtoGg</f>
        <v>4.3527524475152499E-2</v>
      </c>
      <c r="AS89" s="22">
        <f>'Activity data'!AS48*ttokg*ONEF*NtoN2O*kgtoGg</f>
        <v>4.3512291826240515E-2</v>
      </c>
      <c r="AT89" s="22">
        <f>'Activity data'!AT48*ttokg*ONEF*NtoN2O*kgtoGg</f>
        <v>4.3496343852813708E-2</v>
      </c>
      <c r="AU89" s="22">
        <f>'Activity data'!AU48*ttokg*ONEF*NtoN2O*kgtoGg</f>
        <v>4.3482169849774405E-2</v>
      </c>
      <c r="AV89" s="22">
        <f>'Activity data'!AV48*ttokg*ONEF*NtoN2O*kgtoGg</f>
        <v>4.3466533043200514E-2</v>
      </c>
      <c r="AW89" s="22">
        <f>'Activity data'!AW48*ttokg*ONEF*NtoN2O*kgtoGg</f>
        <v>4.3449152674260021E-2</v>
      </c>
      <c r="AX89" s="22">
        <f>'Activity data'!AX48*ttokg*ONEF*NtoN2O*kgtoGg</f>
        <v>4.3432504925927033E-2</v>
      </c>
      <c r="AY89" s="22">
        <f>'Activity data'!AY48*ttokg*ONEF*NtoN2O*kgtoGg</f>
        <v>4.3415579609563271E-2</v>
      </c>
      <c r="AZ89" s="22">
        <f>'Activity data'!AZ48*ttokg*ONEF*NtoN2O*kgtoGg</f>
        <v>4.3398702746704231E-2</v>
      </c>
      <c r="BA89" s="22">
        <f>'Activity data'!BA48*ttokg*ONEF*NtoN2O*kgtoGg</f>
        <v>4.3380620850745545E-2</v>
      </c>
      <c r="BB89" s="22">
        <f>'Activity data'!BB48*ttokg*ONEF*NtoN2O*kgtoGg</f>
        <v>4.3364657124654649E-2</v>
      </c>
      <c r="BC89" s="22">
        <f>'Activity data'!BC48*ttokg*ONEF*NtoN2O*kgtoGg</f>
        <v>4.3348250634453557E-2</v>
      </c>
      <c r="BD89" s="22">
        <f>'Activity data'!BD48*ttokg*ONEF*NtoN2O*kgtoGg</f>
        <v>4.3331932357755919E-2</v>
      </c>
      <c r="BE89" s="22">
        <f>'Activity data'!BE48*ttokg*ONEF*NtoN2O*kgtoGg</f>
        <v>4.3316511785227982E-2</v>
      </c>
      <c r="BF89" s="22">
        <f>'Activity data'!BF48*ttokg*ONEF*NtoN2O*kgtoGg</f>
        <v>4.3301401320321335E-2</v>
      </c>
      <c r="BG89" s="22">
        <f>'Activity data'!BG48*ttokg*ONEF*NtoN2O*kgtoGg</f>
        <v>4.328611535197005E-2</v>
      </c>
      <c r="BH89" s="22">
        <f>'Activity data'!BH48*ttokg*ONEF*NtoN2O*kgtoGg</f>
        <v>4.3270513337660813E-2</v>
      </c>
      <c r="BI89" s="22">
        <f>'Activity data'!BI48*ttokg*ONEF*NtoN2O*kgtoGg</f>
        <v>4.3255949385035505E-2</v>
      </c>
      <c r="BJ89" s="22">
        <f>'Activity data'!BJ48*ttokg*ONEF*NtoN2O*kgtoGg</f>
        <v>4.3241479704918373E-2</v>
      </c>
      <c r="BK89" s="22">
        <f>'Activity data'!BK48*ttokg*ONEF*NtoN2O*kgtoGg</f>
        <v>4.3227082548138743E-2</v>
      </c>
      <c r="BL89" s="22">
        <f>'Activity data'!BL48*ttokg*ONEF*NtoN2O*kgtoGg</f>
        <v>4.3212155688270325E-2</v>
      </c>
      <c r="BM89" s="22">
        <f>'Activity data'!BM48*ttokg*ONEF*NtoN2O*kgtoGg</f>
        <v>4.3197226227681768E-2</v>
      </c>
      <c r="BN89" s="22">
        <f>'Activity data'!BN48*ttokg*ONEF*NtoN2O*kgtoGg</f>
        <v>4.3187963748657528E-2</v>
      </c>
      <c r="BO89" s="22">
        <f>'Activity data'!BO48*ttokg*ONEF*NtoN2O*kgtoGg</f>
        <v>4.3179158705600441E-2</v>
      </c>
      <c r="BP89" s="22">
        <f>'Activity data'!BP48*ttokg*ONEF*NtoN2O*kgtoGg</f>
        <v>4.3169706907490939E-2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2.9553948259346963</v>
      </c>
      <c r="AF90" s="22">
        <f>'Activity data'!AF85*CREF*NtoN2O*kgtoGg</f>
        <v>2.9655964240149095</v>
      </c>
      <c r="AG90" s="22">
        <f>'Activity data'!AG85*CREF*NtoN2O*kgtoGg</f>
        <v>2.9742786213968655</v>
      </c>
      <c r="AH90" s="22">
        <f>'Activity data'!AH85*CREF*NtoN2O*kgtoGg</f>
        <v>2.9771195234129291</v>
      </c>
      <c r="AI90" s="22">
        <f>'Activity data'!AI85*CREF*NtoN2O*kgtoGg</f>
        <v>2.9799949671713049</v>
      </c>
      <c r="AJ90" s="22">
        <f>'Activity data'!AJ85*CREF*NtoN2O*kgtoGg</f>
        <v>2.9887610441744785</v>
      </c>
      <c r="AK90" s="22">
        <f>'Activity data'!AK85*CREF*NtoN2O*kgtoGg</f>
        <v>2.9956307468412153</v>
      </c>
      <c r="AL90" s="22">
        <f>'Activity data'!AL85*CREF*NtoN2O*kgtoGg</f>
        <v>2.9960932541666816</v>
      </c>
      <c r="AM90" s="22">
        <f>'Activity data'!AM85*CREF*NtoN2O*kgtoGg</f>
        <v>2.9675186651595986</v>
      </c>
      <c r="AN90" s="22">
        <f>'Activity data'!AN85*CREF*NtoN2O*kgtoGg</f>
        <v>2.9831478886073279</v>
      </c>
      <c r="AO90" s="22">
        <f>'Activity data'!AO85*CREF*NtoN2O*kgtoGg</f>
        <v>2.9949684403788361</v>
      </c>
      <c r="AP90" s="22">
        <f>'Activity data'!AP85*CREF*NtoN2O*kgtoGg</f>
        <v>3.0058664357215821</v>
      </c>
      <c r="AQ90" s="22">
        <f>'Activity data'!AQ85*CREF*NtoN2O*kgtoGg</f>
        <v>3.0179747177251275</v>
      </c>
      <c r="AR90" s="22">
        <f>'Activity data'!AR85*CREF*NtoN2O*kgtoGg</f>
        <v>3.0344297828088291</v>
      </c>
      <c r="AS90" s="22">
        <f>'Activity data'!AS85*CREF*NtoN2O*kgtoGg</f>
        <v>3.051660187261632</v>
      </c>
      <c r="AT90" s="22">
        <f>'Activity data'!AT85*CREF*NtoN2O*kgtoGg</f>
        <v>3.0696997307404872</v>
      </c>
      <c r="AU90" s="22">
        <f>'Activity data'!AU85*CREF*NtoN2O*kgtoGg</f>
        <v>3.0857326483566894</v>
      </c>
      <c r="AV90" s="22">
        <f>'Activity data'!AV85*CREF*NtoN2O*kgtoGg</f>
        <v>3.1034202155798769</v>
      </c>
      <c r="AW90" s="22">
        <f>'Activity data'!AW85*CREF*NtoN2O*kgtoGg</f>
        <v>3.1230800126456195</v>
      </c>
      <c r="AX90" s="22">
        <f>'Activity data'!AX85*CREF*NtoN2O*kgtoGg</f>
        <v>3.1419111062172522</v>
      </c>
      <c r="AY90" s="22">
        <f>'Activity data'!AY85*CREF*NtoN2O*kgtoGg</f>
        <v>3.1610561707509404</v>
      </c>
      <c r="AZ90" s="22">
        <f>'Activity data'!AZ85*CREF*NtoN2O*kgtoGg</f>
        <v>3.1801464271230016</v>
      </c>
      <c r="BA90" s="22">
        <f>'Activity data'!BA85*CREF*NtoN2O*kgtoGg</f>
        <v>3.2005997561822985</v>
      </c>
      <c r="BB90" s="22">
        <f>'Activity data'!BB85*CREF*NtoN2O*kgtoGg</f>
        <v>3.2186571182805661</v>
      </c>
      <c r="BC90" s="22">
        <f>'Activity data'!BC85*CREF*NtoN2O*kgtoGg</f>
        <v>3.2372153128171188</v>
      </c>
      <c r="BD90" s="22">
        <f>'Activity data'!BD85*CREF*NtoN2O*kgtoGg</f>
        <v>3.2556737246860838</v>
      </c>
      <c r="BE90" s="22">
        <f>'Activity data'!BE85*CREF*NtoN2O*kgtoGg</f>
        <v>3.2731166988585363</v>
      </c>
      <c r="BF90" s="22">
        <f>'Activity data'!BF85*CREF*NtoN2O*kgtoGg</f>
        <v>3.2902088949247208</v>
      </c>
      <c r="BG90" s="22">
        <f>'Activity data'!BG85*CREF*NtoN2O*kgtoGg</f>
        <v>3.3074996116389994</v>
      </c>
      <c r="BH90" s="22">
        <f>'Activity data'!BH85*CREF*NtoN2O*kgtoGg</f>
        <v>3.3251478236065783</v>
      </c>
      <c r="BI90" s="22">
        <f>'Activity data'!BI85*CREF*NtoN2O*kgtoGg</f>
        <v>3.3416218325340545</v>
      </c>
      <c r="BJ90" s="22">
        <f>'Activity data'!BJ85*CREF*NtoN2O*kgtoGg</f>
        <v>3.3579892051532951</v>
      </c>
      <c r="BK90" s="22">
        <f>'Activity data'!BK85*CREF*NtoN2O*kgtoGg</f>
        <v>3.3742745430296259</v>
      </c>
      <c r="BL90" s="22">
        <f>'Activity data'!BL85*CREF*NtoN2O*kgtoGg</f>
        <v>3.391159054333535</v>
      </c>
      <c r="BM90" s="22">
        <f>'Activity data'!BM85*CREF*NtoN2O*kgtoGg</f>
        <v>3.4080465074409378</v>
      </c>
      <c r="BN90" s="22">
        <f>'Activity data'!BN85*CREF*NtoN2O*kgtoGg</f>
        <v>3.4185237567194666</v>
      </c>
      <c r="BO90" s="22">
        <f>'Activity data'!BO85*CREF*NtoN2O*kgtoGg</f>
        <v>3.4284835774948501</v>
      </c>
      <c r="BP90" s="22">
        <f>'Activity data'!BP85*CREF*NtoN2O*kgtoGg</f>
        <v>3.439174974977584</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0.31910516055557447</v>
      </c>
      <c r="AE91" s="22">
        <f>'Activity data'!AE50*ManureNEF*NtoN2O*kgtoGg</f>
        <v>0.32125977651579962</v>
      </c>
      <c r="AF91" s="22">
        <f>'Activity data'!AF50*ManureNEF*NtoN2O*kgtoGg</f>
        <v>0.32314451970240549</v>
      </c>
      <c r="AG91" s="22">
        <f>'Activity data'!AG50*ManureNEF*NtoN2O*kgtoGg</f>
        <v>0.32338831518425315</v>
      </c>
      <c r="AH91" s="22">
        <f>'Activity data'!AH50*ManureNEF*NtoN2O*kgtoGg</f>
        <v>0.32380822899810918</v>
      </c>
      <c r="AI91" s="22">
        <f>'Activity data'!AI50*ManureNEF*NtoN2O*kgtoGg</f>
        <v>0.32621761700786678</v>
      </c>
      <c r="AJ91" s="22">
        <f>'Activity data'!AJ50*ManureNEF*NtoN2O*kgtoGg</f>
        <v>0.32814424518292917</v>
      </c>
      <c r="AK91" s="22">
        <f>'Activity data'!AK50*ManureNEF*NtoN2O*kgtoGg</f>
        <v>0.32816113797461788</v>
      </c>
      <c r="AL91" s="22">
        <f>'Activity data'!AL50*ManureNEF*NtoN2O*kgtoGg</f>
        <v>0.31946691799605059</v>
      </c>
      <c r="AM91" s="22">
        <f>'Activity data'!AM50*ManureNEF*NtoN2O*kgtoGg</f>
        <v>0.32366704753421133</v>
      </c>
      <c r="AN91" s="22">
        <f>'Activity data'!AN50*ManureNEF*NtoN2O*kgtoGg</f>
        <v>0.32684647343041223</v>
      </c>
      <c r="AO91" s="22">
        <f>'Activity data'!AO50*ManureNEF*NtoN2O*kgtoGg</f>
        <v>0.32984618652559566</v>
      </c>
      <c r="AP91" s="22">
        <f>'Activity data'!AP50*ManureNEF*NtoN2O*kgtoGg</f>
        <v>0.33332444228182462</v>
      </c>
      <c r="AQ91" s="22">
        <f>'Activity data'!AQ50*ManureNEF*NtoN2O*kgtoGg</f>
        <v>0.33830825606612447</v>
      </c>
      <c r="AR91" s="22">
        <f>'Activity data'!AR50*ManureNEF*NtoN2O*kgtoGg</f>
        <v>0.34349698611877544</v>
      </c>
      <c r="AS91" s="22">
        <f>'Activity data'!AS50*ManureNEF*NtoN2O*kgtoGg</f>
        <v>0.34913311823129872</v>
      </c>
      <c r="AT91" s="22">
        <f>'Activity data'!AT50*ManureNEF*NtoN2O*kgtoGg</f>
        <v>0.3542586043658163</v>
      </c>
      <c r="AU91" s="22">
        <f>'Activity data'!AU50*ManureNEF*NtoN2O*kgtoGg</f>
        <v>0.36013116096519615</v>
      </c>
      <c r="AV91" s="22">
        <f>'Activity data'!AV50*ManureNEF*NtoN2O*kgtoGg</f>
        <v>0.36691641068568986</v>
      </c>
      <c r="AW91" s="22">
        <f>'Activity data'!AW50*ManureNEF*NtoN2O*kgtoGg</f>
        <v>0.3734489276960708</v>
      </c>
      <c r="AX91" s="22">
        <f>'Activity data'!AX50*ManureNEF*NtoN2O*kgtoGg</f>
        <v>0.38032201074224209</v>
      </c>
      <c r="AY91" s="22">
        <f>'Activity data'!AY50*ManureNEF*NtoN2O*kgtoGg</f>
        <v>0.3874035589263955</v>
      </c>
      <c r="AZ91" s="22">
        <f>'Activity data'!AZ50*ManureNEF*NtoN2O*kgtoGg</f>
        <v>0.39528331644509546</v>
      </c>
      <c r="BA91" s="22">
        <f>'Activity data'!BA50*ManureNEF*NtoN2O*kgtoGg</f>
        <v>0.402417436180809</v>
      </c>
      <c r="BB91" s="22">
        <f>'Activity data'!BB50*ManureNEF*NtoN2O*kgtoGg</f>
        <v>0.40983057953506236</v>
      </c>
      <c r="BC91" s="22">
        <f>'Activity data'!BC50*ManureNEF*NtoN2O*kgtoGg</f>
        <v>0.41743748809199982</v>
      </c>
      <c r="BD91" s="22">
        <f>'Activity data'!BD50*ManureNEF*NtoN2O*kgtoGg</f>
        <v>0.42481700614270618</v>
      </c>
      <c r="BE91" s="22">
        <f>'Activity data'!BE50*ManureNEF*NtoN2O*kgtoGg</f>
        <v>0.4322524543038212</v>
      </c>
      <c r="BF91" s="22">
        <f>'Activity data'!BF50*ManureNEF*NtoN2O*kgtoGg</f>
        <v>0.44000331272539195</v>
      </c>
      <c r="BG91" s="22">
        <f>'Activity data'!BG50*ManureNEF*NtoN2O*kgtoGg</f>
        <v>0.44801081079437804</v>
      </c>
      <c r="BH91" s="22">
        <f>'Activity data'!BH50*ManureNEF*NtoN2O*kgtoGg</f>
        <v>0.45565879156165573</v>
      </c>
      <c r="BI91" s="22">
        <f>'Activity data'!BI50*ManureNEF*NtoN2O*kgtoGg</f>
        <v>0.46346832830199552</v>
      </c>
      <c r="BJ91" s="22">
        <f>'Activity data'!BJ50*ManureNEF*NtoN2O*kgtoGg</f>
        <v>0.47145349561124583</v>
      </c>
      <c r="BK91" s="22">
        <f>'Activity data'!BK50*ManureNEF*NtoN2O*kgtoGg</f>
        <v>0.47999285299993844</v>
      </c>
      <c r="BL91" s="22">
        <f>'Activity data'!BL50*ManureNEF*NtoN2O*kgtoGg</f>
        <v>0.4886261928960397</v>
      </c>
      <c r="BM91" s="22">
        <f>'Activity data'!BM50*ManureNEF*NtoN2O*kgtoGg</f>
        <v>0.49379335063722096</v>
      </c>
      <c r="BN91" s="22">
        <f>'Activity data'!BN50*ManureNEF*NtoN2O*kgtoGg</f>
        <v>0.4987597531133639</v>
      </c>
      <c r="BO91" s="22">
        <f>'Activity data'!BO50*ManureNEF*NtoN2O*kgtoGg</f>
        <v>0.5042544828247203</v>
      </c>
      <c r="BP91" s="22">
        <f>'Activity data'!BP50*ManureNEF*NtoN2O*kgtoGg</f>
        <v>0.50959085302689011</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0.93305416014115006</v>
      </c>
      <c r="AE92" s="22">
        <f>'Activity data'!AE51*ManureNEF*NtoN2O*kgtoGg</f>
        <v>0.93935419421673338</v>
      </c>
      <c r="AF92" s="22">
        <f>'Activity data'!AF51*ManureNEF*NtoN2O*kgtoGg</f>
        <v>0.94486512819222468</v>
      </c>
      <c r="AG92" s="22">
        <f>'Activity data'!AG51*ManureNEF*NtoN2O*kgtoGg</f>
        <v>0.94557797905356933</v>
      </c>
      <c r="AH92" s="22">
        <f>'Activity data'!AH51*ManureNEF*NtoN2O*kgtoGg</f>
        <v>0.94680579476873028</v>
      </c>
      <c r="AI92" s="22">
        <f>'Activity data'!AI51*ManureNEF*NtoN2O*kgtoGg</f>
        <v>0.9538507748686591</v>
      </c>
      <c r="AJ92" s="22">
        <f>'Activity data'!AJ51*ManureNEF*NtoN2O*kgtoGg</f>
        <v>0.95948417932585228</v>
      </c>
      <c r="AK92" s="22">
        <f>'Activity data'!AK51*ManureNEF*NtoN2O*kgtoGg</f>
        <v>0.95953357335487388</v>
      </c>
      <c r="AL92" s="22">
        <f>'Activity data'!AL51*ManureNEF*NtoN2O*kgtoGg</f>
        <v>0.9341119283208017</v>
      </c>
      <c r="AM92" s="22">
        <f>'Activity data'!AM51*ManureNEF*NtoN2O*kgtoGg</f>
        <v>0.94639298429585894</v>
      </c>
      <c r="AN92" s="22">
        <f>'Activity data'!AN51*ManureNEF*NtoN2O*kgtoGg</f>
        <v>0.95568953266300471</v>
      </c>
      <c r="AO92" s="22">
        <f>'Activity data'!AO51*ManureNEF*NtoN2O*kgtoGg</f>
        <v>0.96446060605403905</v>
      </c>
      <c r="AP92" s="22">
        <f>'Activity data'!AP51*ManureNEF*NtoN2O*kgtoGg</f>
        <v>0.97463092419535036</v>
      </c>
      <c r="AQ92" s="22">
        <f>'Activity data'!AQ51*ManureNEF*NtoN2O*kgtoGg</f>
        <v>0.98920344999441168</v>
      </c>
      <c r="AR92" s="22">
        <f>'Activity data'!AR51*ManureNEF*NtoN2O*kgtoGg</f>
        <v>1.0043751449712224</v>
      </c>
      <c r="AS92" s="22">
        <f>'Activity data'!AS51*ManureNEF*NtoN2O*kgtoGg</f>
        <v>1.0208550304909023</v>
      </c>
      <c r="AT92" s="22">
        <f>'Activity data'!AT51*ManureNEF*NtoN2O*kgtoGg</f>
        <v>1.0358418021000837</v>
      </c>
      <c r="AU92" s="22">
        <f>'Activity data'!AU51*ManureNEF*NtoN2O*kgtoGg</f>
        <v>1.0530129859072517</v>
      </c>
      <c r="AV92" s="22">
        <f>'Activity data'!AV51*ManureNEF*NtoN2O*kgtoGg</f>
        <v>1.0728528577171612</v>
      </c>
      <c r="AW92" s="22">
        <f>'Activity data'!AW51*ManureNEF*NtoN2O*kgtoGg</f>
        <v>1.0919537464715672</v>
      </c>
      <c r="AX92" s="22">
        <f>'Activity data'!AX51*ManureNEF*NtoN2O*kgtoGg</f>
        <v>1.1120504403578721</v>
      </c>
      <c r="AY92" s="22">
        <f>'Activity data'!AY51*ManureNEF*NtoN2O*kgtoGg</f>
        <v>1.1327566802129738</v>
      </c>
      <c r="AZ92" s="22">
        <f>'Activity data'!AZ51*ManureNEF*NtoN2O*kgtoGg</f>
        <v>1.1557968608259288</v>
      </c>
      <c r="BA92" s="22">
        <f>'Activity data'!BA51*ManureNEF*NtoN2O*kgtoGg</f>
        <v>1.1766568183608164</v>
      </c>
      <c r="BB92" s="22">
        <f>'Activity data'!BB51*ManureNEF*NtoN2O*kgtoGg</f>
        <v>1.1983326327988097</v>
      </c>
      <c r="BC92" s="22">
        <f>'Activity data'!BC51*ManureNEF*NtoN2O*kgtoGg</f>
        <v>1.2205750110245537</v>
      </c>
      <c r="BD92" s="22">
        <f>'Activity data'!BD51*ManureNEF*NtoN2O*kgtoGg</f>
        <v>1.2421525060580416</v>
      </c>
      <c r="BE92" s="22">
        <f>'Activity data'!BE51*ManureNEF*NtoN2O*kgtoGg</f>
        <v>1.2638935390991974</v>
      </c>
      <c r="BF92" s="22">
        <f>'Activity data'!BF51*ManureNEF*NtoN2O*kgtoGg</f>
        <v>1.2865568225206274</v>
      </c>
      <c r="BG92" s="22">
        <f>'Activity data'!BG51*ManureNEF*NtoN2O*kgtoGg</f>
        <v>1.3099705127680101</v>
      </c>
      <c r="BH92" s="22">
        <f>'Activity data'!BH51*ManureNEF*NtoN2O*kgtoGg</f>
        <v>1.3323329849360066</v>
      </c>
      <c r="BI92" s="22">
        <f>'Activity data'!BI51*ManureNEF*NtoN2O*kgtoGg</f>
        <v>1.3551678420460032</v>
      </c>
      <c r="BJ92" s="22">
        <f>'Activity data'!BJ51*ManureNEF*NtoN2O*kgtoGg</f>
        <v>1.3785162378047791</v>
      </c>
      <c r="BK92" s="22">
        <f>'Activity data'!BK51*ManureNEF*NtoN2O*kgtoGg</f>
        <v>1.4034850691536036</v>
      </c>
      <c r="BL92" s="22">
        <f>'Activity data'!BL51*ManureNEF*NtoN2O*kgtoGg</f>
        <v>1.4287287026064286</v>
      </c>
      <c r="BM92" s="22">
        <f>'Activity data'!BM51*ManureNEF*NtoN2O*kgtoGg</f>
        <v>1.4438373207751876</v>
      </c>
      <c r="BN92" s="22">
        <f>'Activity data'!BN51*ManureNEF*NtoN2O*kgtoGg</f>
        <v>1.4583589364182332</v>
      </c>
      <c r="BO92" s="22">
        <f>'Activity data'!BO51*ManureNEF*NtoN2O*kgtoGg</f>
        <v>1.4744253654509265</v>
      </c>
      <c r="BP92" s="22">
        <f>'Activity data'!BP51*ManureNEF*NtoN2O*kgtoGg</f>
        <v>1.490028755908539</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4.9913136648560473E-2</v>
      </c>
      <c r="AE93" s="22">
        <f>'Activity data'!AE52*ManureNEF*NtoN2O*kgtoGg</f>
        <v>5.0250152949583772E-2</v>
      </c>
      <c r="AF93" s="22">
        <f>'Activity data'!AF52*ManureNEF*NtoN2O*kgtoGg</f>
        <v>5.0544956844502678E-2</v>
      </c>
      <c r="AG93" s="22">
        <f>'Activity data'!AG52*ManureNEF*NtoN2O*kgtoGg</f>
        <v>5.0583090346256708E-2</v>
      </c>
      <c r="AH93" s="22">
        <f>'Activity data'!AH52*ManureNEF*NtoN2O*kgtoGg</f>
        <v>5.0648771564119566E-2</v>
      </c>
      <c r="AI93" s="22">
        <f>'Activity data'!AI52*ManureNEF*NtoN2O*kgtoGg</f>
        <v>5.1025638277152528E-2</v>
      </c>
      <c r="AJ93" s="22">
        <f>'Activity data'!AJ52*ManureNEF*NtoN2O*kgtoGg</f>
        <v>5.1326993652306703E-2</v>
      </c>
      <c r="AK93" s="22">
        <f>'Activity data'!AK52*ManureNEF*NtoN2O*kgtoGg</f>
        <v>5.1329635954356786E-2</v>
      </c>
      <c r="AL93" s="22">
        <f>'Activity data'!AL52*ManureNEF*NtoN2O*kgtoGg</f>
        <v>4.9969721282067128E-2</v>
      </c>
      <c r="AM93" s="22">
        <f>'Activity data'!AM52*ManureNEF*NtoN2O*kgtoGg</f>
        <v>5.0626688531405499E-2</v>
      </c>
      <c r="AN93" s="22">
        <f>'Activity data'!AN52*ManureNEF*NtoN2O*kgtoGg</f>
        <v>5.1124001451524841E-2</v>
      </c>
      <c r="AO93" s="22">
        <f>'Activity data'!AO52*ManureNEF*NtoN2O*kgtoGg</f>
        <v>5.1593204423252687E-2</v>
      </c>
      <c r="AP93" s="22">
        <f>'Activity data'!AP52*ManureNEF*NtoN2O*kgtoGg</f>
        <v>5.2137259099639094E-2</v>
      </c>
      <c r="AQ93" s="22">
        <f>'Activity data'!AQ52*ManureNEF*NtoN2O*kgtoGg</f>
        <v>5.2916807064371608E-2</v>
      </c>
      <c r="AR93" s="22">
        <f>'Activity data'!AR52*ManureNEF*NtoN2O*kgtoGg</f>
        <v>5.3728407201766935E-2</v>
      </c>
      <c r="AS93" s="22">
        <f>'Activity data'!AS52*ManureNEF*NtoN2O*kgtoGg</f>
        <v>5.4609988157123229E-2</v>
      </c>
      <c r="AT93" s="22">
        <f>'Activity data'!AT52*ManureNEF*NtoN2O*kgtoGg</f>
        <v>5.5411695937019619E-2</v>
      </c>
      <c r="AU93" s="22">
        <f>'Activity data'!AU52*ManureNEF*NtoN2O*kgtoGg</f>
        <v>5.6330257452950339E-2</v>
      </c>
      <c r="AV93" s="22">
        <f>'Activity data'!AV52*ManureNEF*NtoN2O*kgtoGg</f>
        <v>5.7391578729936159E-2</v>
      </c>
      <c r="AW93" s="22">
        <f>'Activity data'!AW52*ManureNEF*NtoN2O*kgtoGg</f>
        <v>5.8413368580123831E-2</v>
      </c>
      <c r="AX93" s="22">
        <f>'Activity data'!AX52*ManureNEF*NtoN2O*kgtoGg</f>
        <v>5.9488428390134962E-2</v>
      </c>
      <c r="AY93" s="22">
        <f>'Activity data'!AY52*ManureNEF*NtoN2O*kgtoGg</f>
        <v>6.0596095472621583E-2</v>
      </c>
      <c r="AZ93" s="22">
        <f>'Activity data'!AZ52*ManureNEF*NtoN2O*kgtoGg</f>
        <v>6.1828615225995781E-2</v>
      </c>
      <c r="BA93" s="22">
        <f>'Activity data'!BA52*ManureNEF*NtoN2O*kgtoGg</f>
        <v>6.2944505337631407E-2</v>
      </c>
      <c r="BB93" s="22">
        <f>'Activity data'!BB52*ManureNEF*NtoN2O*kgtoGg</f>
        <v>6.4104039193467549E-2</v>
      </c>
      <c r="BC93" s="22">
        <f>'Activity data'!BC52*ManureNEF*NtoN2O*kgtoGg</f>
        <v>6.5293881017443309E-2</v>
      </c>
      <c r="BD93" s="22">
        <f>'Activity data'!BD52*ManureNEF*NtoN2O*kgtoGg</f>
        <v>6.6448155339501103E-2</v>
      </c>
      <c r="BE93" s="22">
        <f>'Activity data'!BE52*ManureNEF*NtoN2O*kgtoGg</f>
        <v>6.7611178022878776E-2</v>
      </c>
      <c r="BF93" s="22">
        <f>'Activity data'!BF52*ManureNEF*NtoN2O*kgtoGg</f>
        <v>6.8823535901598024E-2</v>
      </c>
      <c r="BG93" s="22">
        <f>'Activity data'!BG52*ManureNEF*NtoN2O*kgtoGg</f>
        <v>7.0076036314422829E-2</v>
      </c>
      <c r="BH93" s="22">
        <f>'Activity data'!BH52*ManureNEF*NtoN2O*kgtoGg</f>
        <v>7.1272302487173145E-2</v>
      </c>
      <c r="BI93" s="22">
        <f>'Activity data'!BI52*ManureNEF*NtoN2O*kgtoGg</f>
        <v>7.2493838590832138E-2</v>
      </c>
      <c r="BJ93" s="22">
        <f>'Activity data'!BJ52*ManureNEF*NtoN2O*kgtoGg</f>
        <v>7.3742846116671951E-2</v>
      </c>
      <c r="BK93" s="22">
        <f>'Activity data'!BK52*ManureNEF*NtoN2O*kgtoGg</f>
        <v>7.507853780993895E-2</v>
      </c>
      <c r="BL93" s="22">
        <f>'Activity data'!BL52*ManureNEF*NtoN2O*kgtoGg</f>
        <v>7.6428929866329778E-2</v>
      </c>
      <c r="BM93" s="22">
        <f>'Activity data'!BM52*ManureNEF*NtoN2O*kgtoGg</f>
        <v>7.7237155750145656E-2</v>
      </c>
      <c r="BN93" s="22">
        <f>'Activity data'!BN52*ManureNEF*NtoN2O*kgtoGg</f>
        <v>7.8013980308582434E-2</v>
      </c>
      <c r="BO93" s="22">
        <f>'Activity data'!BO52*ManureNEF*NtoN2O*kgtoGg</f>
        <v>7.8873443673111984E-2</v>
      </c>
      <c r="BP93" s="22">
        <f>'Activity data'!BP52*ManureNEF*NtoN2O*kgtoGg</f>
        <v>7.970813708466469E-2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0.40197336823107255</v>
      </c>
      <c r="AE94" s="22">
        <f>'Activity data'!AE53*ManureNEF*NtoN2O*kgtoGg</f>
        <v>0.39992683453201888</v>
      </c>
      <c r="AF94" s="22">
        <f>'Activity data'!AF53*ManureNEF*NtoN2O*kgtoGg</f>
        <v>0.39619153570803745</v>
      </c>
      <c r="AG94" s="22">
        <f>'Activity data'!AG53*ManureNEF*NtoN2O*kgtoGg</f>
        <v>0.38596696743557218</v>
      </c>
      <c r="AH94" s="22">
        <f>'Activity data'!AH53*ManureNEF*NtoN2O*kgtoGg</f>
        <v>0.37615042112991043</v>
      </c>
      <c r="AI94" s="22">
        <f>'Activity data'!AI53*ManureNEF*NtoN2O*kgtoGg</f>
        <v>0.37293713836150383</v>
      </c>
      <c r="AJ94" s="22">
        <f>'Activity data'!AJ53*ManureNEF*NtoN2O*kgtoGg</f>
        <v>0.36774734482056881</v>
      </c>
      <c r="AK94" s="22">
        <f>'Activity data'!AK53*ManureNEF*NtoN2O*kgtoGg</f>
        <v>0.35608688957109119</v>
      </c>
      <c r="AL94" s="22">
        <f>'Activity data'!AL53*ManureNEF*NtoN2O*kgtoGg</f>
        <v>0.31696486473191704</v>
      </c>
      <c r="AM94" s="22">
        <f>'Activity data'!AM53*ManureNEF*NtoN2O*kgtoGg</f>
        <v>0.32470985028067645</v>
      </c>
      <c r="AN94" s="22">
        <f>'Activity data'!AN53*ManureNEF*NtoN2O*kgtoGg</f>
        <v>0.32889312054031467</v>
      </c>
      <c r="AO94" s="22">
        <f>'Activity data'!AO53*ManureNEF*NtoN2O*kgtoGg</f>
        <v>0.33221809700085297</v>
      </c>
      <c r="AP94" s="22">
        <f>'Activity data'!AP53*ManureNEF*NtoN2O*kgtoGg</f>
        <v>0.33668665148563554</v>
      </c>
      <c r="AQ94" s="22">
        <f>'Activity data'!AQ53*ManureNEF*NtoN2O*kgtoGg</f>
        <v>0.34526566414363768</v>
      </c>
      <c r="AR94" s="22">
        <f>'Activity data'!AR53*ManureNEF*NtoN2O*kgtoGg</f>
        <v>0.3546551951018343</v>
      </c>
      <c r="AS94" s="22">
        <f>'Activity data'!AS53*ManureNEF*NtoN2O*kgtoGg</f>
        <v>0.36488607427670622</v>
      </c>
      <c r="AT94" s="22">
        <f>'Activity data'!AT53*ManureNEF*NtoN2O*kgtoGg</f>
        <v>0.37322811475659617</v>
      </c>
      <c r="AU94" s="22">
        <f>'Activity data'!AU53*ManureNEF*NtoN2O*kgtoGg</f>
        <v>0.38324164621633577</v>
      </c>
      <c r="AV94" s="22">
        <f>'Activity data'!AV53*ManureNEF*NtoN2O*kgtoGg</f>
        <v>0.39530317301942447</v>
      </c>
      <c r="AW94" s="22">
        <f>'Activity data'!AW53*ManureNEF*NtoN2O*kgtoGg</f>
        <v>0.40324844631367707</v>
      </c>
      <c r="AX94" s="22">
        <f>'Activity data'!AX53*ManureNEF*NtoN2O*kgtoGg</f>
        <v>0.41136426834445033</v>
      </c>
      <c r="AY94" s="22">
        <f>'Activity data'!AY53*ManureNEF*NtoN2O*kgtoGg</f>
        <v>0.41927237917692112</v>
      </c>
      <c r="AZ94" s="22">
        <f>'Activity data'!AZ53*ManureNEF*NtoN2O*kgtoGg</f>
        <v>0.428421433457634</v>
      </c>
      <c r="BA94" s="22">
        <f>'Activity data'!BA53*ManureNEF*NtoN2O*kgtoGg</f>
        <v>0.43494110190191582</v>
      </c>
      <c r="BB94" s="22">
        <f>'Activity data'!BB53*ManureNEF*NtoN2O*kgtoGg</f>
        <v>0.44180947123061814</v>
      </c>
      <c r="BC94" s="22">
        <f>'Activity data'!BC53*ManureNEF*NtoN2O*kgtoGg</f>
        <v>0.4483818832498262</v>
      </c>
      <c r="BD94" s="22">
        <f>'Activity data'!BD53*ManureNEF*NtoN2O*kgtoGg</f>
        <v>0.45369176487192819</v>
      </c>
      <c r="BE94" s="22">
        <f>'Activity data'!BE53*ManureNEF*NtoN2O*kgtoGg</f>
        <v>0.45841729176886709</v>
      </c>
      <c r="BF94" s="22">
        <f>'Activity data'!BF53*ManureNEF*NtoN2O*kgtoGg</f>
        <v>0.46312160165358524</v>
      </c>
      <c r="BG94" s="22">
        <f>'Activity data'!BG53*ManureNEF*NtoN2O*kgtoGg</f>
        <v>0.47036226337760684</v>
      </c>
      <c r="BH94" s="22">
        <f>'Activity data'!BH53*ManureNEF*NtoN2O*kgtoGg</f>
        <v>0.47625895476630487</v>
      </c>
      <c r="BI94" s="22">
        <f>'Activity data'!BI53*ManureNEF*NtoN2O*kgtoGg</f>
        <v>0.48192117394918943</v>
      </c>
      <c r="BJ94" s="22">
        <f>'Activity data'!BJ53*ManureNEF*NtoN2O*kgtoGg</f>
        <v>0.48736750310542487</v>
      </c>
      <c r="BK94" s="22">
        <f>'Activity data'!BK53*ManureNEF*NtoN2O*kgtoGg</f>
        <v>0.49331923171164554</v>
      </c>
      <c r="BL94" s="22">
        <f>'Activity data'!BL53*ManureNEF*NtoN2O*kgtoGg</f>
        <v>0.49914888511282934</v>
      </c>
      <c r="BM94" s="22">
        <f>'Activity data'!BM53*ManureNEF*NtoN2O*kgtoGg</f>
        <v>0.49794780494726931</v>
      </c>
      <c r="BN94" s="22">
        <f>'Activity data'!BN53*ManureNEF*NtoN2O*kgtoGg</f>
        <v>0.49606316174761622</v>
      </c>
      <c r="BO94" s="22">
        <f>'Activity data'!BO53*ManureNEF*NtoN2O*kgtoGg</f>
        <v>0.49481743932732059</v>
      </c>
      <c r="BP94" s="22">
        <f>'Activity data'!BP53*ManureNEF*NtoN2O*kgtoGg</f>
        <v>0.49296371491806151</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2.6734246327620794</v>
      </c>
      <c r="AE95" s="22">
        <f>'Activity data'!AE54*ManureNEF*NtoN2O*kgtoGg</f>
        <v>2.6598136474699339</v>
      </c>
      <c r="AF95" s="22">
        <f>'Activity data'!AF54*ManureNEF*NtoN2O*kgtoGg</f>
        <v>2.6349711064560761</v>
      </c>
      <c r="AG95" s="22">
        <f>'Activity data'!AG54*ManureNEF*NtoN2O*kgtoGg</f>
        <v>2.5669700525572687</v>
      </c>
      <c r="AH95" s="22">
        <f>'Activity data'!AH54*ManureNEF*NtoN2O*kgtoGg</f>
        <v>2.5016826510120014</v>
      </c>
      <c r="AI95" s="22">
        <f>'Activity data'!AI54*ManureNEF*NtoN2O*kgtoGg</f>
        <v>2.4803119086096084</v>
      </c>
      <c r="AJ95" s="22">
        <f>'Activity data'!AJ54*ManureNEF*NtoN2O*kgtoGg</f>
        <v>2.4457958859379039</v>
      </c>
      <c r="AK95" s="22">
        <f>'Activity data'!AK54*ManureNEF*NtoN2O*kgtoGg</f>
        <v>2.3682451058194229</v>
      </c>
      <c r="AL95" s="22">
        <f>'Activity data'!AL54*ManureNEF*NtoN2O*kgtoGg</f>
        <v>2.1080542743998265</v>
      </c>
      <c r="AM95" s="22">
        <f>'Activity data'!AM54*ManureNEF*NtoN2O*kgtoGg</f>
        <v>2.1595642419321464</v>
      </c>
      <c r="AN95" s="22">
        <f>'Activity data'!AN54*ManureNEF*NtoN2O*kgtoGg</f>
        <v>2.1873861292547638</v>
      </c>
      <c r="AO95" s="22">
        <f>'Activity data'!AO54*ManureNEF*NtoN2O*kgtoGg</f>
        <v>2.2094997185506768</v>
      </c>
      <c r="AP95" s="22">
        <f>'Activity data'!AP54*ManureNEF*NtoN2O*kgtoGg</f>
        <v>2.2392189601139396</v>
      </c>
      <c r="AQ95" s="22">
        <f>'Activity data'!AQ54*ManureNEF*NtoN2O*kgtoGg</f>
        <v>2.2962758339700611</v>
      </c>
      <c r="AR95" s="22">
        <f>'Activity data'!AR54*ManureNEF*NtoN2O*kgtoGg</f>
        <v>2.3587232629233519</v>
      </c>
      <c r="AS95" s="22">
        <f>'Activity data'!AS54*ManureNEF*NtoN2O*kgtoGg</f>
        <v>2.4267662890603274</v>
      </c>
      <c r="AT95" s="22">
        <f>'Activity data'!AT54*ManureNEF*NtoN2O*kgtoGg</f>
        <v>2.482247120053132</v>
      </c>
      <c r="AU95" s="22">
        <f>'Activity data'!AU54*ManureNEF*NtoN2O*kgtoGg</f>
        <v>2.5488446207363533</v>
      </c>
      <c r="AV95" s="22">
        <f>'Activity data'!AV54*ManureNEF*NtoN2O*kgtoGg</f>
        <v>2.6290628277434434</v>
      </c>
      <c r="AW95" s="22">
        <f>'Activity data'!AW54*ManureNEF*NtoN2O*kgtoGg</f>
        <v>2.6819048591256602</v>
      </c>
      <c r="AX95" s="22">
        <f>'Activity data'!AX54*ManureNEF*NtoN2O*kgtoGg</f>
        <v>2.7358811676250578</v>
      </c>
      <c r="AY95" s="22">
        <f>'Activity data'!AY54*ManureNEF*NtoN2O*kgtoGg</f>
        <v>2.7884760407410969</v>
      </c>
      <c r="AZ95" s="22">
        <f>'Activity data'!AZ54*ManureNEF*NtoN2O*kgtoGg</f>
        <v>2.8493241192796606</v>
      </c>
      <c r="BA95" s="22">
        <f>'Activity data'!BA54*ManureNEF*NtoN2O*kgtoGg</f>
        <v>2.8926848083051211</v>
      </c>
      <c r="BB95" s="22">
        <f>'Activity data'!BB54*ManureNEF*NtoN2O*kgtoGg</f>
        <v>2.9383646199579787</v>
      </c>
      <c r="BC95" s="22">
        <f>'Activity data'!BC54*ManureNEF*NtoN2O*kgtoGg</f>
        <v>2.9820760933477084</v>
      </c>
      <c r="BD95" s="22">
        <f>'Activity data'!BD54*ManureNEF*NtoN2O*kgtoGg</f>
        <v>3.0173907919011151</v>
      </c>
      <c r="BE95" s="22">
        <f>'Activity data'!BE54*ManureNEF*NtoN2O*kgtoGg</f>
        <v>3.0488190928969017</v>
      </c>
      <c r="BF95" s="22">
        <f>'Activity data'!BF54*ManureNEF*NtoN2O*kgtoGg</f>
        <v>3.0801062848352543</v>
      </c>
      <c r="BG95" s="22">
        <f>'Activity data'!BG54*ManureNEF*NtoN2O*kgtoGg</f>
        <v>3.1282621203715273</v>
      </c>
      <c r="BH95" s="22">
        <f>'Activity data'!BH54*ManureNEF*NtoN2O*kgtoGg</f>
        <v>3.1674795443509169</v>
      </c>
      <c r="BI95" s="22">
        <f>'Activity data'!BI54*ManureNEF*NtoN2O*kgtoGg</f>
        <v>3.2051375521593344</v>
      </c>
      <c r="BJ95" s="22">
        <f>'Activity data'!BJ54*ManureNEF*NtoN2O*kgtoGg</f>
        <v>3.2413597292365988</v>
      </c>
      <c r="BK95" s="22">
        <f>'Activity data'!BK54*ManureNEF*NtoN2O*kgtoGg</f>
        <v>3.2809431920252043</v>
      </c>
      <c r="BL95" s="22">
        <f>'Activity data'!BL54*ManureNEF*NtoN2O*kgtoGg</f>
        <v>3.319714763066774</v>
      </c>
      <c r="BM95" s="22">
        <f>'Activity data'!BM54*ManureNEF*NtoN2O*kgtoGg</f>
        <v>3.3117266783967354</v>
      </c>
      <c r="BN95" s="22">
        <f>'Activity data'!BN54*ManureNEF*NtoN2O*kgtoGg</f>
        <v>3.2991923864457724</v>
      </c>
      <c r="BO95" s="22">
        <f>'Activity data'!BO54*ManureNEF*NtoN2O*kgtoGg</f>
        <v>3.2909073972718437</v>
      </c>
      <c r="BP95" s="22">
        <f>'Activity data'!BP54*ManureNEF*NtoN2O*kgtoGg</f>
        <v>3.2785787384856291</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0.34456271820054257</v>
      </c>
      <c r="AE96" s="22">
        <f>'Activity data'!AE55*ManureNEF*NtoN2O*kgtoGg</f>
        <v>0.35741698731572036</v>
      </c>
      <c r="AF96" s="22">
        <f>'Activity data'!AF55*ManureNEF*NtoN2O*kgtoGg</f>
        <v>0.36896489164513291</v>
      </c>
      <c r="AG96" s="22">
        <f>'Activity data'!AG55*ManureNEF*NtoN2O*kgtoGg</f>
        <v>0.37438401076610434</v>
      </c>
      <c r="AH96" s="22">
        <f>'Activity data'!AH55*ManureNEF*NtoN2O*kgtoGg</f>
        <v>0.37988604718806568</v>
      </c>
      <c r="AI96" s="22">
        <f>'Activity data'!AI55*ManureNEF*NtoN2O*kgtoGg</f>
        <v>0.39203102133073692</v>
      </c>
      <c r="AJ96" s="22">
        <f>'Activity data'!AJ55*ManureNEF*NtoN2O*kgtoGg</f>
        <v>0.40227536328848007</v>
      </c>
      <c r="AK96" s="22">
        <f>'Activity data'!AK55*ManureNEF*NtoN2O*kgtoGg</f>
        <v>0.40526591417131741</v>
      </c>
      <c r="AL96" s="22">
        <f>'Activity data'!AL55*ManureNEF*NtoN2O*kgtoGg</f>
        <v>0.37527481867018142</v>
      </c>
      <c r="AM96" s="22">
        <f>'Activity data'!AM55*ManureNEF*NtoN2O*kgtoGg</f>
        <v>0.39365996287351818</v>
      </c>
      <c r="AN96" s="22">
        <f>'Activity data'!AN55*ManureNEF*NtoN2O*kgtoGg</f>
        <v>0.40815819868382563</v>
      </c>
      <c r="AO96" s="22">
        <f>'Activity data'!AO55*ManureNEF*NtoN2O*kgtoGg</f>
        <v>0.42190781589388981</v>
      </c>
      <c r="AP96" s="22">
        <f>'Activity data'!AP55*ManureNEF*NtoN2O*kgtoGg</f>
        <v>0.4374457677220121</v>
      </c>
      <c r="AQ96" s="22">
        <f>'Activity data'!AQ55*ManureNEF*NtoN2O*kgtoGg</f>
        <v>0.45882709525597559</v>
      </c>
      <c r="AR96" s="22">
        <f>'Activity data'!AR55*ManureNEF*NtoN2O*kgtoGg</f>
        <v>0.48194951358683946</v>
      </c>
      <c r="AS96" s="22">
        <f>'Activity data'!AS55*ManureNEF*NtoN2O*kgtoGg</f>
        <v>0.5069467882453319</v>
      </c>
      <c r="AT96" s="22">
        <f>'Activity data'!AT55*ManureNEF*NtoN2O*kgtoGg</f>
        <v>0.53003801773568016</v>
      </c>
      <c r="AU96" s="22">
        <f>'Activity data'!AU55*ManureNEF*NtoN2O*kgtoGg</f>
        <v>0.55623390953100238</v>
      </c>
      <c r="AV96" s="22">
        <f>'Activity data'!AV55*ManureNEF*NtoN2O*kgtoGg</f>
        <v>0.58627034555980351</v>
      </c>
      <c r="AW96" s="22">
        <f>'Activity data'!AW55*ManureNEF*NtoN2O*kgtoGg</f>
        <v>0.61782159985165686</v>
      </c>
      <c r="AX96" s="22">
        <f>'Activity data'!AX55*ManureNEF*NtoN2O*kgtoGg</f>
        <v>0.65112867925188422</v>
      </c>
      <c r="AY96" s="22">
        <f>'Activity data'!AY55*ManureNEF*NtoN2O*kgtoGg</f>
        <v>0.68568148380807281</v>
      </c>
      <c r="AZ96" s="22">
        <f>'Activity data'!AZ55*ManureNEF*NtoN2O*kgtoGg</f>
        <v>0.72398256864978949</v>
      </c>
      <c r="BA96" s="22">
        <f>'Activity data'!BA55*ManureNEF*NtoN2O*kgtoGg</f>
        <v>0.75957681879798822</v>
      </c>
      <c r="BB96" s="22">
        <f>'Activity data'!BB55*ManureNEF*NtoN2O*kgtoGg</f>
        <v>0.79748571472295215</v>
      </c>
      <c r="BC96" s="22">
        <f>'Activity data'!BC55*ManureNEF*NtoN2O*kgtoGg</f>
        <v>0.83666894668287939</v>
      </c>
      <c r="BD96" s="22">
        <f>'Activity data'!BD55*ManureNEF*NtoN2O*kgtoGg</f>
        <v>0.87531443785412277</v>
      </c>
      <c r="BE96" s="22">
        <f>'Activity data'!BE55*ManureNEF*NtoN2O*kgtoGg</f>
        <v>0.91464095810421253</v>
      </c>
      <c r="BF96" s="22">
        <f>'Activity data'!BF55*ManureNEF*NtoN2O*kgtoGg</f>
        <v>0.95580463534177018</v>
      </c>
      <c r="BG96" s="22">
        <f>'Activity data'!BG55*ManureNEF*NtoN2O*kgtoGg</f>
        <v>0.99803934996482946</v>
      </c>
      <c r="BH96" s="22">
        <f>'Activity data'!BH55*ManureNEF*NtoN2O*kgtoGg</f>
        <v>1.0390605531241226</v>
      </c>
      <c r="BI96" s="22">
        <f>'Activity data'!BI55*ManureNEF*NtoN2O*kgtoGg</f>
        <v>1.0811924287176657</v>
      </c>
      <c r="BJ96" s="22">
        <f>'Activity data'!BJ55*ManureNEF*NtoN2O*kgtoGg</f>
        <v>1.1245143338669252</v>
      </c>
      <c r="BK96" s="22">
        <f>'Activity data'!BK55*ManureNEF*NtoN2O*kgtoGg</f>
        <v>1.1707805213950246</v>
      </c>
      <c r="BL96" s="22">
        <f>'Activity data'!BL55*ManureNEF*NtoN2O*kgtoGg</f>
        <v>1.2186517327491972</v>
      </c>
      <c r="BM96" s="22">
        <f>'Activity data'!BM55*ManureNEF*NtoN2O*kgtoGg</f>
        <v>1.2508464245777533</v>
      </c>
      <c r="BN96" s="22">
        <f>'Activity data'!BN55*ManureNEF*NtoN2O*kgtoGg</f>
        <v>1.2823366685557687</v>
      </c>
      <c r="BO96" s="22">
        <f>'Activity data'!BO55*ManureNEF*NtoN2O*kgtoGg</f>
        <v>1.3165428948829248</v>
      </c>
      <c r="BP96" s="22">
        <f>'Activity data'!BP55*ManureNEF*NtoN2O*kgtoGg</f>
        <v>1.3502550917336287</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5.8351352726762881E-2</v>
      </c>
      <c r="AE97" s="22">
        <f>'Activity data'!AE56*ManureNEF*NtoN2O*kgtoGg</f>
        <v>5.838284383946888E-2</v>
      </c>
      <c r="AF97" s="22">
        <f>'Activity data'!AF56*ManureNEF*NtoN2O*kgtoGg</f>
        <v>5.8455239222652444E-2</v>
      </c>
      <c r="AG97" s="22">
        <f>'Activity data'!AG56*ManureNEF*NtoN2O*kgtoGg</f>
        <v>5.8562716913640872E-2</v>
      </c>
      <c r="AH97" s="22">
        <f>'Activity data'!AH56*ManureNEF*NtoN2O*kgtoGg</f>
        <v>5.8707782505400478E-2</v>
      </c>
      <c r="AI97" s="22">
        <f>'Activity data'!AI56*ManureNEF*NtoN2O*kgtoGg</f>
        <v>5.8893351419097517E-2</v>
      </c>
      <c r="AJ97" s="22">
        <f>'Activity data'!AJ56*ManureNEF*NtoN2O*kgtoGg</f>
        <v>5.909782905733385E-2</v>
      </c>
      <c r="AK97" s="22">
        <f>'Activity data'!AK56*ManureNEF*NtoN2O*kgtoGg</f>
        <v>5.9318039560246685E-2</v>
      </c>
      <c r="AL97" s="22">
        <f>'Activity data'!AL56*ManureNEF*NtoN2O*kgtoGg</f>
        <v>5.9536211182470676E-2</v>
      </c>
      <c r="AM97" s="22">
        <f>'Activity data'!AM56*ManureNEF*NtoN2O*kgtoGg</f>
        <v>5.9625496743982688E-2</v>
      </c>
      <c r="AN97" s="22">
        <f>'Activity data'!AN56*ManureNEF*NtoN2O*kgtoGg</f>
        <v>5.9726883271183619E-2</v>
      </c>
      <c r="AO97" s="22">
        <f>'Activity data'!AO56*ManureNEF*NtoN2O*kgtoGg</f>
        <v>5.9841544259393621E-2</v>
      </c>
      <c r="AP97" s="22">
        <f>'Activity data'!AP56*ManureNEF*NtoN2O*kgtoGg</f>
        <v>5.9970311446414445E-2</v>
      </c>
      <c r="AQ97" s="22">
        <f>'Activity data'!AQ56*ManureNEF*NtoN2O*kgtoGg</f>
        <v>6.0115005305831533E-2</v>
      </c>
      <c r="AR97" s="22">
        <f>'Activity data'!AR56*ManureNEF*NtoN2O*kgtoGg</f>
        <v>6.0205982501934943E-2</v>
      </c>
      <c r="AS97" s="22">
        <f>'Activity data'!AS56*ManureNEF*NtoN2O*kgtoGg</f>
        <v>6.0308427456259674E-2</v>
      </c>
      <c r="AT97" s="22">
        <f>'Activity data'!AT56*ManureNEF*NtoN2O*kgtoGg</f>
        <v>6.0419488984851388E-2</v>
      </c>
      <c r="AU97" s="22">
        <f>'Activity data'!AU56*ManureNEF*NtoN2O*kgtoGg</f>
        <v>6.0541770911636386E-2</v>
      </c>
      <c r="AV97" s="22">
        <f>'Activity data'!AV56*ManureNEF*NtoN2O*kgtoGg</f>
        <v>6.0675259234702413E-2</v>
      </c>
      <c r="AW97" s="22">
        <f>'Activity data'!AW56*ManureNEF*NtoN2O*kgtoGg</f>
        <v>6.0763612545599144E-2</v>
      </c>
      <c r="AX97" s="22">
        <f>'Activity data'!AX56*ManureNEF*NtoN2O*kgtoGg</f>
        <v>6.0860562125647062E-2</v>
      </c>
      <c r="AY97" s="22">
        <f>'Activity data'!AY56*ManureNEF*NtoN2O*kgtoGg</f>
        <v>6.0965456696796608E-2</v>
      </c>
      <c r="AZ97" s="22">
        <f>'Activity data'!AZ56*ManureNEF*NtoN2O*kgtoGg</f>
        <v>6.1079431750386354E-2</v>
      </c>
      <c r="BA97" s="22">
        <f>'Activity data'!BA56*ManureNEF*NtoN2O*kgtoGg</f>
        <v>6.1198454005462005E-2</v>
      </c>
      <c r="BB97" s="22">
        <f>'Activity data'!BB56*ManureNEF*NtoN2O*kgtoGg</f>
        <v>6.1274601225536553E-2</v>
      </c>
      <c r="BC97" s="22">
        <f>'Activity data'!BC56*ManureNEF*NtoN2O*kgtoGg</f>
        <v>6.1357207979697827E-2</v>
      </c>
      <c r="BD97" s="22">
        <f>'Activity data'!BD56*ManureNEF*NtoN2O*kgtoGg</f>
        <v>6.1445023192111883E-2</v>
      </c>
      <c r="BE97" s="22">
        <f>'Activity data'!BE56*ManureNEF*NtoN2O*kgtoGg</f>
        <v>6.1538527566909175E-2</v>
      </c>
      <c r="BF97" s="22">
        <f>'Activity data'!BF56*ManureNEF*NtoN2O*kgtoGg</f>
        <v>6.163815914834115E-2</v>
      </c>
      <c r="BG97" s="22">
        <f>'Activity data'!BG56*ManureNEF*NtoN2O*kgtoGg</f>
        <v>6.1696880609150663E-2</v>
      </c>
      <c r="BH97" s="22">
        <f>'Activity data'!BH56*ManureNEF*NtoN2O*kgtoGg</f>
        <v>6.1759449666934245E-2</v>
      </c>
      <c r="BI97" s="22">
        <f>'Activity data'!BI56*ManureNEF*NtoN2O*kgtoGg</f>
        <v>6.1826968943055068E-2</v>
      </c>
      <c r="BJ97" s="22">
        <f>'Activity data'!BJ56*ManureNEF*NtoN2O*kgtoGg</f>
        <v>6.1899319328770012E-2</v>
      </c>
      <c r="BK97" s="22">
        <f>'Activity data'!BK56*ManureNEF*NtoN2O*kgtoGg</f>
        <v>6.1977277610442229E-2</v>
      </c>
      <c r="BL97" s="22">
        <f>'Activity data'!BL56*ManureNEF*NtoN2O*kgtoGg</f>
        <v>6.2012413359244796E-2</v>
      </c>
      <c r="BM97" s="22">
        <f>'Activity data'!BM56*ManureNEF*NtoN2O*kgtoGg</f>
        <v>6.2042910745793073E-2</v>
      </c>
      <c r="BN97" s="22">
        <f>'Activity data'!BN56*ManureNEF*NtoN2O*kgtoGg</f>
        <v>6.2076578921359475E-2</v>
      </c>
      <c r="BO97" s="22">
        <f>'Activity data'!BO56*ManureNEF*NtoN2O*kgtoGg</f>
        <v>6.2115070786636459E-2</v>
      </c>
      <c r="BP97" s="22">
        <f>'Activity data'!BP56*ManureNEF*NtoN2O*kgtoGg</f>
        <v>6.2156607972806463E-2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4.7490069351463909E-2</v>
      </c>
      <c r="AE98" s="22">
        <f>'Activity data'!AE57*ManureNEF*NtoN2O*kgtoGg</f>
        <v>4.7515698836582541E-2</v>
      </c>
      <c r="AF98" s="22">
        <f>'Activity data'!AF57*ManureNEF*NtoN2O*kgtoGg</f>
        <v>4.7574618837704238E-2</v>
      </c>
      <c r="AG98" s="22">
        <f>'Activity data'!AG57*ManureNEF*NtoN2O*kgtoGg</f>
        <v>4.7662091068599664E-2</v>
      </c>
      <c r="AH98" s="22">
        <f>'Activity data'!AH57*ManureNEF*NtoN2O*kgtoGg</f>
        <v>4.7780154741355184E-2</v>
      </c>
      <c r="AI98" s="22">
        <f>'Activity data'!AI57*ManureNEF*NtoN2O*kgtoGg</f>
        <v>4.7931182612503523E-2</v>
      </c>
      <c r="AJ98" s="22">
        <f>'Activity data'!AJ57*ManureNEF*NtoN2O*kgtoGg</f>
        <v>4.809759961514163E-2</v>
      </c>
      <c r="AK98" s="22">
        <f>'Activity data'!AK57*ManureNEF*NtoN2O*kgtoGg</f>
        <v>4.8276821031039585E-2</v>
      </c>
      <c r="AL98" s="22">
        <f>'Activity data'!AL57*ManureNEF*NtoN2O*kgtoGg</f>
        <v>4.845438307520427E-2</v>
      </c>
      <c r="AM98" s="22">
        <f>'Activity data'!AM57*ManureNEF*NtoN2O*kgtoGg</f>
        <v>4.8527049385583491E-2</v>
      </c>
      <c r="AN98" s="22">
        <f>'Activity data'!AN57*ManureNEF*NtoN2O*kgtoGg</f>
        <v>4.8609564237134945E-2</v>
      </c>
      <c r="AO98" s="22">
        <f>'Activity data'!AO57*ManureNEF*NtoN2O*kgtoGg</f>
        <v>4.8702882695534688E-2</v>
      </c>
      <c r="AP98" s="22">
        <f>'Activity data'!AP57*ManureNEF*NtoN2O*kgtoGg</f>
        <v>4.8807681682294192E-2</v>
      </c>
      <c r="AQ98" s="22">
        <f>'Activity data'!AQ57*ManureNEF*NtoN2O*kgtoGg</f>
        <v>4.8925442815452934E-2</v>
      </c>
      <c r="AR98" s="22">
        <f>'Activity data'!AR57*ManureNEF*NtoN2O*kgtoGg</f>
        <v>4.899948588644365E-2</v>
      </c>
      <c r="AS98" s="22">
        <f>'Activity data'!AS57*ManureNEF*NtoN2O*kgtoGg</f>
        <v>4.9082862153800644E-2</v>
      </c>
      <c r="AT98" s="22">
        <f>'Activity data'!AT57*ManureNEF*NtoN2O*kgtoGg</f>
        <v>4.9173251141349877E-2</v>
      </c>
      <c r="AU98" s="22">
        <f>'Activity data'!AU57*ManureNEF*NtoN2O*kgtoGg</f>
        <v>4.9272772007826496E-2</v>
      </c>
      <c r="AV98" s="22">
        <f>'Activity data'!AV57*ManureNEF*NtoN2O*kgtoGg</f>
        <v>4.9381413357577224E-2</v>
      </c>
      <c r="AW98" s="22">
        <f>'Activity data'!AW57*ManureNEF*NtoN2O*kgtoGg</f>
        <v>4.9453320942677535E-2</v>
      </c>
      <c r="AX98" s="22">
        <f>'Activity data'!AX57*ManureNEF*NtoN2O*kgtoGg</f>
        <v>4.9532224722365882E-2</v>
      </c>
      <c r="AY98" s="22">
        <f>'Activity data'!AY57*ManureNEF*NtoN2O*kgtoGg</f>
        <v>4.9617594644838996E-2</v>
      </c>
      <c r="AZ98" s="22">
        <f>'Activity data'!AZ57*ManureNEF*NtoN2O*kgtoGg</f>
        <v>4.9710354845697732E-2</v>
      </c>
      <c r="BA98" s="22">
        <f>'Activity data'!BA57*ManureNEF*NtoN2O*kgtoGg</f>
        <v>4.9807222782493964E-2</v>
      </c>
      <c r="BB98" s="22">
        <f>'Activity data'!BB57*ManureNEF*NtoN2O*kgtoGg</f>
        <v>4.9869196268853305E-2</v>
      </c>
      <c r="BC98" s="22">
        <f>'Activity data'!BC57*ManureNEF*NtoN2O*kgtoGg</f>
        <v>4.9936426937907168E-2</v>
      </c>
      <c r="BD98" s="22">
        <f>'Activity data'!BD57*ManureNEF*NtoN2O*kgtoGg</f>
        <v>5.0007896583986924E-2</v>
      </c>
      <c r="BE98" s="22">
        <f>'Activity data'!BE57*ManureNEF*NtoN2O*kgtoGg</f>
        <v>5.0083996434912091E-2</v>
      </c>
      <c r="BF98" s="22">
        <f>'Activity data'!BF57*ManureNEF*NtoN2O*kgtoGg</f>
        <v>5.0165082999159477E-2</v>
      </c>
      <c r="BG98" s="22">
        <f>'Activity data'!BG57*ManureNEF*NtoN2O*kgtoGg</f>
        <v>5.0212874286181063E-2</v>
      </c>
      <c r="BH98" s="22">
        <f>'Activity data'!BH57*ManureNEF*NtoN2O*kgtoGg</f>
        <v>5.0263796994131166E-2</v>
      </c>
      <c r="BI98" s="22">
        <f>'Activity data'!BI57*ManureNEF*NtoN2O*kgtoGg</f>
        <v>5.0318748506918774E-2</v>
      </c>
      <c r="BJ98" s="22">
        <f>'Activity data'!BJ57*ManureNEF*NtoN2O*kgtoGg</f>
        <v>5.0377631886217578E-2</v>
      </c>
      <c r="BK98" s="22">
        <f>'Activity data'!BK57*ManureNEF*NtoN2O*kgtoGg</f>
        <v>5.0441079330537687E-2</v>
      </c>
      <c r="BL98" s="22">
        <f>'Activity data'!BL57*ManureNEF*NtoN2O*kgtoGg</f>
        <v>5.0469675054019239E-2</v>
      </c>
      <c r="BM98" s="22">
        <f>'Activity data'!BM57*ManureNEF*NtoN2O*kgtoGg</f>
        <v>5.049449578112386E-2</v>
      </c>
      <c r="BN98" s="22">
        <f>'Activity data'!BN57*ManureNEF*NtoN2O*kgtoGg</f>
        <v>5.0521897099480149E-2</v>
      </c>
      <c r="BO98" s="22">
        <f>'Activity data'!BO57*ManureNEF*NtoN2O*kgtoGg</f>
        <v>5.055322424557103E-2</v>
      </c>
      <c r="BP98" s="22">
        <f>'Activity data'!BP57*ManureNEF*NtoN2O*kgtoGg</f>
        <v>5.0587029868914744E-2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7.2124379000375856E-3</v>
      </c>
      <c r="AE99" s="22">
        <f>'Activity data'!AE58*ManureNEF*NtoN2O*kgtoGg</f>
        <v>7.2311842253661622E-3</v>
      </c>
      <c r="AF99" s="22">
        <f>'Activity data'!AF58*ManureNEF*NtoN2O*kgtoGg</f>
        <v>7.2564640106272402E-3</v>
      </c>
      <c r="AG99" s="22">
        <f>'Activity data'!AG58*ManureNEF*NtoN2O*kgtoGg</f>
        <v>7.287254147269725E-3</v>
      </c>
      <c r="AH99" s="22">
        <f>'Activity data'!AH58*ManureNEF*NtoN2O*kgtoGg</f>
        <v>7.3241333035294473E-3</v>
      </c>
      <c r="AI99" s="22">
        <f>'Activity data'!AI58*ManureNEF*NtoN2O*kgtoGg</f>
        <v>7.3677329801347495E-3</v>
      </c>
      <c r="AJ99" s="22">
        <f>'Activity data'!AJ58*ManureNEF*NtoN2O*kgtoGg</f>
        <v>7.4139400326720672E-3</v>
      </c>
      <c r="AK99" s="22">
        <f>'Activity data'!AK58*ManureNEF*NtoN2O*kgtoGg</f>
        <v>7.4622138016085145E-3</v>
      </c>
      <c r="AL99" s="22">
        <f>'Activity data'!AL58*ManureNEF*NtoN2O*kgtoGg</f>
        <v>7.509211214865451E-3</v>
      </c>
      <c r="AM99" s="22">
        <f>'Activity data'!AM58*ManureNEF*NtoN2O*kgtoGg</f>
        <v>7.5307669987204583E-3</v>
      </c>
      <c r="AN99" s="22">
        <f>'Activity data'!AN58*ManureNEF*NtoN2O*kgtoGg</f>
        <v>7.5540126929522231E-3</v>
      </c>
      <c r="AO99" s="22">
        <f>'Activity data'!AO58*ManureNEF*NtoN2O*kgtoGg</f>
        <v>7.5792072480240892E-3</v>
      </c>
      <c r="AP99" s="22">
        <f>'Activity data'!AP58*ManureNEF*NtoN2O*kgtoGg</f>
        <v>7.6065371736612122E-3</v>
      </c>
      <c r="AQ99" s="22">
        <f>'Activity data'!AQ58*ManureNEF*NtoN2O*kgtoGg</f>
        <v>7.6363701343967012E-3</v>
      </c>
      <c r="AR99" s="22">
        <f>'Activity data'!AR58*ManureNEF*NtoN2O*kgtoGg</f>
        <v>7.6555716504049104E-3</v>
      </c>
      <c r="AS99" s="22">
        <f>'Activity data'!AS58*ManureNEF*NtoN2O*kgtoGg</f>
        <v>7.6765259853692923E-3</v>
      </c>
      <c r="AT99" s="22">
        <f>'Activity data'!AT58*ManureNEF*NtoN2O*kgtoGg</f>
        <v>7.6987119024127136E-3</v>
      </c>
      <c r="AU99" s="22">
        <f>'Activity data'!AU58*ManureNEF*NtoN2O*kgtoGg</f>
        <v>7.7226338019690602E-3</v>
      </c>
      <c r="AV99" s="22">
        <f>'Activity data'!AV58*ManureNEF*NtoN2O*kgtoGg</f>
        <v>7.7482997485057862E-3</v>
      </c>
      <c r="AW99" s="22">
        <f>'Activity data'!AW58*ManureNEF*NtoN2O*kgtoGg</f>
        <v>7.7651933997685552E-3</v>
      </c>
      <c r="AX99" s="22">
        <f>'Activity data'!AX58*ManureNEF*NtoN2O*kgtoGg</f>
        <v>7.7834037435669879E-3</v>
      </c>
      <c r="AY99" s="22">
        <f>'Activity data'!AY58*ManureNEF*NtoN2O*kgtoGg</f>
        <v>7.802817413015653E-3</v>
      </c>
      <c r="AZ99" s="22">
        <f>'Activity data'!AZ58*ManureNEF*NtoN2O*kgtoGg</f>
        <v>7.8236526131203795E-3</v>
      </c>
      <c r="BA99" s="22">
        <f>'Activity data'!BA58*ManureNEF*NtoN2O*kgtoGg</f>
        <v>7.8451669042542294E-3</v>
      </c>
      <c r="BB99" s="22">
        <f>'Activity data'!BB58*ManureNEF*NtoN2O*kgtoGg</f>
        <v>7.8585039220798909E-3</v>
      </c>
      <c r="BC99" s="22">
        <f>'Activity data'!BC58*ManureNEF*NtoN2O*kgtoGg</f>
        <v>7.8728299564684995E-3</v>
      </c>
      <c r="BD99" s="22">
        <f>'Activity data'!BD58*ManureNEF*NtoN2O*kgtoGg</f>
        <v>7.8879188408277207E-3</v>
      </c>
      <c r="BE99" s="22">
        <f>'Activity data'!BE58*ManureNEF*NtoN2O*kgtoGg</f>
        <v>7.9038640214346874E-3</v>
      </c>
      <c r="BF99" s="22">
        <f>'Activity data'!BF58*ManureNEF*NtoN2O*kgtoGg</f>
        <v>7.9207498637461782E-3</v>
      </c>
      <c r="BG99" s="22">
        <f>'Activity data'!BG58*ManureNEF*NtoN2O*kgtoGg</f>
        <v>7.9299570033797458E-3</v>
      </c>
      <c r="BH99" s="22">
        <f>'Activity data'!BH58*ManureNEF*NtoN2O*kgtoGg</f>
        <v>7.9397231588042138E-3</v>
      </c>
      <c r="BI99" s="22">
        <f>'Activity data'!BI58*ManureNEF*NtoN2O*kgtoGg</f>
        <v>7.9502533101027516E-3</v>
      </c>
      <c r="BJ99" s="22">
        <f>'Activity data'!BJ58*ManureNEF*NtoN2O*kgtoGg</f>
        <v>7.9615278668621423E-3</v>
      </c>
      <c r="BK99" s="22">
        <f>'Activity data'!BK58*ManureNEF*NtoN2O*kgtoGg</f>
        <v>7.9736901552170548E-3</v>
      </c>
      <c r="BL99" s="22">
        <f>'Activity data'!BL58*ManureNEF*NtoN2O*kgtoGg</f>
        <v>7.9779384467945549E-3</v>
      </c>
      <c r="BM99" s="22">
        <f>'Activity data'!BM58*ManureNEF*NtoN2O*kgtoGg</f>
        <v>7.9812454824287754E-3</v>
      </c>
      <c r="BN99" s="22">
        <f>'Activity data'!BN58*ManureNEF*NtoN2O*kgtoGg</f>
        <v>7.9850348723730785E-3</v>
      </c>
      <c r="BO99" s="22">
        <f>'Activity data'!BO58*ManureNEF*NtoN2O*kgtoGg</f>
        <v>7.9896072385955193E-3</v>
      </c>
      <c r="BP99" s="22">
        <f>'Activity data'!BP58*ManureNEF*NtoN2O*kgtoGg</f>
        <v>7.9946414377677251E-3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8.7025704097551199E-2</v>
      </c>
      <c r="AE100" s="22">
        <f>'Activity data'!AE59*ManureNEF*NtoN2O*kgtoGg</f>
        <v>8.7251898372437478E-2</v>
      </c>
      <c r="AF100" s="22">
        <f>'Activity data'!AF59*ManureNEF*NtoN2O*kgtoGg</f>
        <v>8.7556925762935861E-2</v>
      </c>
      <c r="AG100" s="22">
        <f>'Activity data'!AG59*ManureNEF*NtoN2O*kgtoGg</f>
        <v>8.7928441380499503E-2</v>
      </c>
      <c r="AH100" s="22">
        <f>'Activity data'!AH59*ManureNEF*NtoN2O*kgtoGg</f>
        <v>8.8373427470433044E-2</v>
      </c>
      <c r="AI100" s="22">
        <f>'Activity data'!AI59*ManureNEF*NtoN2O*kgtoGg</f>
        <v>8.8899503758033641E-2</v>
      </c>
      <c r="AJ100" s="22">
        <f>'Activity data'!AJ59*ManureNEF*NtoN2O*kgtoGg</f>
        <v>8.9457040798499768E-2</v>
      </c>
      <c r="AK100" s="22">
        <f>'Activity data'!AK59*ManureNEF*NtoN2O*kgtoGg</f>
        <v>9.0039514961794118E-2</v>
      </c>
      <c r="AL100" s="22">
        <f>'Activity data'!AL59*ManureNEF*NtoN2O*kgtoGg</f>
        <v>9.0606588541648075E-2</v>
      </c>
      <c r="AM100" s="22">
        <f>'Activity data'!AM59*ManureNEF*NtoN2O*kgtoGg</f>
        <v>9.0866681909987077E-2</v>
      </c>
      <c r="AN100" s="22">
        <f>'Activity data'!AN59*ManureNEF*NtoN2O*kgtoGg</f>
        <v>9.1147165837307267E-2</v>
      </c>
      <c r="AO100" s="22">
        <f>'Activity data'!AO59*ManureNEF*NtoN2O*kgtoGg</f>
        <v>9.1451164835280221E-2</v>
      </c>
      <c r="AP100" s="22">
        <f>'Activity data'!AP59*ManureNEF*NtoN2O*kgtoGg</f>
        <v>9.1780929341327769E-2</v>
      </c>
      <c r="AQ100" s="22">
        <f>'Activity data'!AQ59*ManureNEF*NtoN2O*kgtoGg</f>
        <v>9.2140895617544447E-2</v>
      </c>
      <c r="AR100" s="22">
        <f>'Activity data'!AR59*ManureNEF*NtoN2O*kgtoGg</f>
        <v>9.2372582250207988E-2</v>
      </c>
      <c r="AS100" s="22">
        <f>'Activity data'!AS59*ManureNEF*NtoN2O*kgtoGg</f>
        <v>9.2625418500508608E-2</v>
      </c>
      <c r="AT100" s="22">
        <f>'Activity data'!AT59*ManureNEF*NtoN2O*kgtoGg</f>
        <v>9.2893115093326858E-2</v>
      </c>
      <c r="AU100" s="22">
        <f>'Activity data'!AU59*ManureNEF*NtoN2O*kgtoGg</f>
        <v>9.3181758154257929E-2</v>
      </c>
      <c r="AV100" s="22">
        <f>'Activity data'!AV59*ManureNEF*NtoN2O*kgtoGg</f>
        <v>9.3491444989645012E-2</v>
      </c>
      <c r="AW100" s="22">
        <f>'Activity data'!AW59*ManureNEF*NtoN2O*kgtoGg</f>
        <v>9.3695284789210367E-2</v>
      </c>
      <c r="AX100" s="22">
        <f>'Activity data'!AX59*ManureNEF*NtoN2O*kgtoGg</f>
        <v>9.3915011879118299E-2</v>
      </c>
      <c r="AY100" s="22">
        <f>'Activity data'!AY59*ManureNEF*NtoN2O*kgtoGg</f>
        <v>9.4149258367795627E-2</v>
      </c>
      <c r="AZ100" s="22">
        <f>'Activity data'!AZ59*ManureNEF*NtoN2O*kgtoGg</f>
        <v>9.4400657129803389E-2</v>
      </c>
      <c r="BA100" s="22">
        <f>'Activity data'!BA59*ManureNEF*NtoN2O*kgtoGg</f>
        <v>9.4660249844504385E-2</v>
      </c>
      <c r="BB100" s="22">
        <f>'Activity data'!BB59*ManureNEF*NtoN2O*kgtoGg</f>
        <v>9.4821175093764906E-2</v>
      </c>
      <c r="BC100" s="22">
        <f>'Activity data'!BC59*ManureNEF*NtoN2O*kgtoGg</f>
        <v>9.4994033875618389E-2</v>
      </c>
      <c r="BD100" s="22">
        <f>'Activity data'!BD59*ManureNEF*NtoN2O*kgtoGg</f>
        <v>9.5176097250528169E-2</v>
      </c>
      <c r="BE100" s="22">
        <f>'Activity data'!BE59*ManureNEF*NtoN2O*kgtoGg</f>
        <v>9.5368492746824421E-2</v>
      </c>
      <c r="BF100" s="22">
        <f>'Activity data'!BF59*ManureNEF*NtoN2O*kgtoGg</f>
        <v>9.5572238323119812E-2</v>
      </c>
      <c r="BG100" s="22">
        <f>'Activity data'!BG59*ManureNEF*NtoN2O*kgtoGg</f>
        <v>9.5683332216812994E-2</v>
      </c>
      <c r="BH100" s="22">
        <f>'Activity data'!BH59*ManureNEF*NtoN2O*kgtoGg</f>
        <v>9.5801171228242971E-2</v>
      </c>
      <c r="BI100" s="22">
        <f>'Activity data'!BI59*ManureNEF*NtoN2O*kgtoGg</f>
        <v>9.5928228659268394E-2</v>
      </c>
      <c r="BJ100" s="22">
        <f>'Activity data'!BJ59*ManureNEF*NtoN2O*kgtoGg</f>
        <v>9.6064268130799754E-2</v>
      </c>
      <c r="BK100" s="22">
        <f>'Activity data'!BK59*ManureNEF*NtoN2O*kgtoGg</f>
        <v>9.6211019024491043E-2</v>
      </c>
      <c r="BL100" s="22">
        <f>'Activity data'!BL59*ManureNEF*NtoN2O*kgtoGg</f>
        <v>9.6262279163000078E-2</v>
      </c>
      <c r="BM100" s="22">
        <f>'Activity data'!BM59*ManureNEF*NtoN2O*kgtoGg</f>
        <v>9.6302182051389879E-2</v>
      </c>
      <c r="BN100" s="22">
        <f>'Activity data'!BN59*ManureNEF*NtoN2O*kgtoGg</f>
        <v>9.634790505553549E-2</v>
      </c>
      <c r="BO100" s="22">
        <f>'Activity data'!BO59*ManureNEF*NtoN2O*kgtoGg</f>
        <v>9.6403075497959345E-2</v>
      </c>
      <c r="BP100" s="22">
        <f>'Activity data'!BP59*ManureNEF*NtoN2O*kgtoGg</f>
        <v>9.6463818444186472E-2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0.12512489027733434</v>
      </c>
      <c r="AE103" s="22">
        <f>'Activity data'!AE62*ManureNEF*NtoN2O*kgtoGg</f>
        <v>0.1249037465490002</v>
      </c>
      <c r="AF103" s="22">
        <f>'Activity data'!AF62*ManureNEF*NtoN2O*kgtoGg</f>
        <v>0.12420297117813216</v>
      </c>
      <c r="AG103" s="22">
        <f>'Activity data'!AG62*ManureNEF*NtoN2O*kgtoGg</f>
        <v>0.12146227380625023</v>
      </c>
      <c r="AH103" s="22">
        <f>'Activity data'!AH62*ManureNEF*NtoN2O*kgtoGg</f>
        <v>0.11887050141065171</v>
      </c>
      <c r="AI103" s="22">
        <f>'Activity data'!AI62*ManureNEF*NtoN2O*kgtoGg</f>
        <v>0.11845218382715161</v>
      </c>
      <c r="AJ103" s="22">
        <f>'Activity data'!AJ62*ManureNEF*NtoN2O*kgtoGg</f>
        <v>0.11743671165425351</v>
      </c>
      <c r="AK103" s="22">
        <f>'Activity data'!AK62*ManureNEF*NtoN2O*kgtoGg</f>
        <v>0.11430912679136991</v>
      </c>
      <c r="AL103" s="22">
        <f>'Activity data'!AL62*ManureNEF*NtoN2O*kgtoGg</f>
        <v>0.1019584522188007</v>
      </c>
      <c r="AM103" s="22">
        <f>'Activity data'!AM62*ManureNEF*NtoN2O*kgtoGg</f>
        <v>0.10415164096850968</v>
      </c>
      <c r="AN103" s="22">
        <f>'Activity data'!AN62*ManureNEF*NtoN2O*kgtoGg</f>
        <v>0.10516156472619907</v>
      </c>
      <c r="AO103" s="22">
        <f>'Activity data'!AO62*ManureNEF*NtoN2O*kgtoGg</f>
        <v>0.10589710072304019</v>
      </c>
      <c r="AP103" s="22">
        <f>'Activity data'!AP62*ManureNEF*NtoN2O*kgtoGg</f>
        <v>0.10702634667209501</v>
      </c>
      <c r="AQ103" s="22">
        <f>'Activity data'!AQ62*ManureNEF*NtoN2O*kgtoGg</f>
        <v>0.10953406099380125</v>
      </c>
      <c r="AR103" s="22">
        <f>'Activity data'!AR62*ManureNEF*NtoN2O*kgtoGg</f>
        <v>0.11235635375154626</v>
      </c>
      <c r="AS103" s="22">
        <f>'Activity data'!AS62*ManureNEF*NtoN2O*kgtoGg</f>
        <v>0.11546203967262161</v>
      </c>
      <c r="AT103" s="22">
        <f>'Activity data'!AT62*ManureNEF*NtoN2O*kgtoGg</f>
        <v>0.11794547104868178</v>
      </c>
      <c r="AU103" s="22">
        <f>'Activity data'!AU62*ManureNEF*NtoN2O*kgtoGg</f>
        <v>0.12098722785949015</v>
      </c>
      <c r="AV103" s="22">
        <f>'Activity data'!AV62*ManureNEF*NtoN2O*kgtoGg</f>
        <v>0.12470963867892285</v>
      </c>
      <c r="AW103" s="22">
        <f>'Activity data'!AW62*ManureNEF*NtoN2O*kgtoGg</f>
        <v>0.12823307755990843</v>
      </c>
      <c r="AX103" s="22">
        <f>'Activity data'!AX62*ManureNEF*NtoN2O*kgtoGg</f>
        <v>0.13190019989335749</v>
      </c>
      <c r="AY103" s="22">
        <f>'Activity data'!AY62*ManureNEF*NtoN2O*kgtoGg</f>
        <v>0.13558882448809464</v>
      </c>
      <c r="AZ103" s="22">
        <f>'Activity data'!AZ62*ManureNEF*NtoN2O*kgtoGg</f>
        <v>0.139795617096279</v>
      </c>
      <c r="BA103" s="22">
        <f>'Activity data'!BA62*ManureNEF*NtoN2O*kgtoGg</f>
        <v>0.14320619245252167</v>
      </c>
      <c r="BB103" s="22">
        <f>'Activity data'!BB62*ManureNEF*NtoN2O*kgtoGg</f>
        <v>0.14686073920515186</v>
      </c>
      <c r="BC103" s="22">
        <f>'Activity data'!BC62*ManureNEF*NtoN2O*kgtoGg</f>
        <v>0.15051597642167761</v>
      </c>
      <c r="BD103" s="22">
        <f>'Activity data'!BD62*ManureNEF*NtoN2O*kgtoGg</f>
        <v>0.15383345031493795</v>
      </c>
      <c r="BE103" s="22">
        <f>'Activity data'!BE62*ManureNEF*NtoN2O*kgtoGg</f>
        <v>0.15704803055416769</v>
      </c>
      <c r="BF103" s="22">
        <f>'Activity data'!BF62*ManureNEF*NtoN2O*kgtoGg</f>
        <v>0.16036221209585783</v>
      </c>
      <c r="BG103" s="22">
        <f>'Activity data'!BG62*ManureNEF*NtoN2O*kgtoGg</f>
        <v>0.16386598018742685</v>
      </c>
      <c r="BH103" s="22">
        <f>'Activity data'!BH62*ManureNEF*NtoN2O*kgtoGg</f>
        <v>0.16694649307070639</v>
      </c>
      <c r="BI103" s="22">
        <f>'Activity data'!BI62*ManureNEF*NtoN2O*kgtoGg</f>
        <v>0.17000456077892223</v>
      </c>
      <c r="BJ103" s="22">
        <f>'Activity data'!BJ62*ManureNEF*NtoN2O*kgtoGg</f>
        <v>0.17304831428445985</v>
      </c>
      <c r="BK103" s="22">
        <f>'Activity data'!BK62*ManureNEF*NtoN2O*kgtoGg</f>
        <v>0.17634648819223331</v>
      </c>
      <c r="BL103" s="22">
        <f>'Activity data'!BL62*ManureNEF*NtoN2O*kgtoGg</f>
        <v>0.17969250919958218</v>
      </c>
      <c r="BM103" s="22">
        <f>'Activity data'!BM62*ManureNEF*NtoN2O*kgtoGg</f>
        <v>0.18047485756179946</v>
      </c>
      <c r="BN103" s="22">
        <f>'Activity data'!BN62*ManureNEF*NtoN2O*kgtoGg</f>
        <v>0.18104197572914582</v>
      </c>
      <c r="BO103" s="22">
        <f>'Activity data'!BO62*ManureNEF*NtoN2O*kgtoGg</f>
        <v>0.18189334709867436</v>
      </c>
      <c r="BP103" s="22">
        <f>'Activity data'!BP62*ManureNEF*NtoN2O*kgtoGg</f>
        <v>0.18255809913012605</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3.1744662482237319E-2</v>
      </c>
      <c r="AE104" s="22">
        <f>'Activity data'!AE63*ManureNEF*NtoN2O*kgtoGg</f>
        <v>3.1688557473869519E-2</v>
      </c>
      <c r="AF104" s="22">
        <f>'Activity data'!AF63*ManureNEF*NtoN2O*kgtoGg</f>
        <v>3.151076808620442E-2</v>
      </c>
      <c r="AG104" s="22">
        <f>'Activity data'!AG63*ManureNEF*NtoN2O*kgtoGg</f>
        <v>3.0815442696959246E-2</v>
      </c>
      <c r="AH104" s="22">
        <f>'Activity data'!AH63*ManureNEF*NtoN2O*kgtoGg</f>
        <v>3.0157900142902292E-2</v>
      </c>
      <c r="AI104" s="22">
        <f>'Activity data'!AI63*ManureNEF*NtoN2O*kgtoGg</f>
        <v>3.0051771374524052E-2</v>
      </c>
      <c r="AJ104" s="22">
        <f>'Activity data'!AJ63*ManureNEF*NtoN2O*kgtoGg</f>
        <v>2.9794142206440031E-2</v>
      </c>
      <c r="AK104" s="22">
        <f>'Activity data'!AK63*ManureNEF*NtoN2O*kgtoGg</f>
        <v>2.9000661983306687E-2</v>
      </c>
      <c r="AL104" s="22">
        <f>'Activity data'!AL63*ManureNEF*NtoN2O*kgtoGg</f>
        <v>2.5867248680284741E-2</v>
      </c>
      <c r="AM104" s="22">
        <f>'Activity data'!AM63*ManureNEF*NtoN2O*kgtoGg</f>
        <v>2.6423669041293948E-2</v>
      </c>
      <c r="AN104" s="22">
        <f>'Activity data'!AN63*ManureNEF*NtoN2O*kgtoGg</f>
        <v>2.6679890555251589E-2</v>
      </c>
      <c r="AO104" s="22">
        <f>'Activity data'!AO63*ManureNEF*NtoN2O*kgtoGg</f>
        <v>2.6866498846467711E-2</v>
      </c>
      <c r="AP104" s="22">
        <f>'Activity data'!AP63*ManureNEF*NtoN2O*kgtoGg</f>
        <v>2.7152992856034661E-2</v>
      </c>
      <c r="AQ104" s="22">
        <f>'Activity data'!AQ63*ManureNEF*NtoN2O*kgtoGg</f>
        <v>2.7789209555749587E-2</v>
      </c>
      <c r="AR104" s="22">
        <f>'Activity data'!AR63*ManureNEF*NtoN2O*kgtoGg</f>
        <v>2.8505236005979432E-2</v>
      </c>
      <c r="AS104" s="22">
        <f>'Activity data'!AS63*ManureNEF*NtoN2O*kgtoGg</f>
        <v>2.9293160383949742E-2</v>
      </c>
      <c r="AT104" s="22">
        <f>'Activity data'!AT63*ManureNEF*NtoN2O*kgtoGg</f>
        <v>2.9923216407624114E-2</v>
      </c>
      <c r="AU104" s="22">
        <f>'Activity data'!AU63*ManureNEF*NtoN2O*kgtoGg</f>
        <v>3.0694921726191319E-2</v>
      </c>
      <c r="AV104" s="22">
        <f>'Activity data'!AV63*ManureNEF*NtoN2O*kgtoGg</f>
        <v>3.1639311565984256E-2</v>
      </c>
      <c r="AW104" s="22">
        <f>'Activity data'!AW63*ManureNEF*NtoN2O*kgtoGg</f>
        <v>3.2533221465171916E-2</v>
      </c>
      <c r="AX104" s="22">
        <f>'Activity data'!AX63*ManureNEF*NtoN2O*kgtoGg</f>
        <v>3.3463584404938677E-2</v>
      </c>
      <c r="AY104" s="22">
        <f>'Activity data'!AY63*ManureNEF*NtoN2O*kgtoGg</f>
        <v>3.4399402550505692E-2</v>
      </c>
      <c r="AZ104" s="22">
        <f>'Activity data'!AZ63*ManureNEF*NtoN2O*kgtoGg</f>
        <v>3.5466681899830918E-2</v>
      </c>
      <c r="BA104" s="22">
        <f>'Activity data'!BA63*ManureNEF*NtoN2O*kgtoGg</f>
        <v>3.633195789179533E-2</v>
      </c>
      <c r="BB104" s="22">
        <f>'Activity data'!BB63*ManureNEF*NtoN2O*kgtoGg</f>
        <v>3.7259130358685527E-2</v>
      </c>
      <c r="BC104" s="22">
        <f>'Activity data'!BC63*ManureNEF*NtoN2O*kgtoGg</f>
        <v>3.8186477998902742E-2</v>
      </c>
      <c r="BD104" s="22">
        <f>'Activity data'!BD63*ManureNEF*NtoN2O*kgtoGg</f>
        <v>3.9028133794178674E-2</v>
      </c>
      <c r="BE104" s="22">
        <f>'Activity data'!BE63*ManureNEF*NtoN2O*kgtoGg</f>
        <v>3.984368507650337E-2</v>
      </c>
      <c r="BF104" s="22">
        <f>'Activity data'!BF63*ManureNEF*NtoN2O*kgtoGg</f>
        <v>4.0684505589613319E-2</v>
      </c>
      <c r="BG104" s="22">
        <f>'Activity data'!BG63*ManureNEF*NtoN2O*kgtoGg</f>
        <v>4.1573424934408458E-2</v>
      </c>
      <c r="BH104" s="22">
        <f>'Activity data'!BH63*ManureNEF*NtoN2O*kgtoGg</f>
        <v>4.2354962816560815E-2</v>
      </c>
      <c r="BI104" s="22">
        <f>'Activity data'!BI63*ManureNEF*NtoN2O*kgtoGg</f>
        <v>4.3130806272087305E-2</v>
      </c>
      <c r="BJ104" s="22">
        <f>'Activity data'!BJ63*ManureNEF*NtoN2O*kgtoGg</f>
        <v>4.3903018159732181E-2</v>
      </c>
      <c r="BK104" s="22">
        <f>'Activity data'!BK63*ManureNEF*NtoN2O*kgtoGg</f>
        <v>4.4739777474988543E-2</v>
      </c>
      <c r="BL104" s="22">
        <f>'Activity data'!BL63*ManureNEF*NtoN2O*kgtoGg</f>
        <v>4.5588675782122633E-2</v>
      </c>
      <c r="BM104" s="22">
        <f>'Activity data'!BM63*ManureNEF*NtoN2O*kgtoGg</f>
        <v>4.5787160549198715E-2</v>
      </c>
      <c r="BN104" s="22">
        <f>'Activity data'!BN63*ManureNEF*NtoN2O*kgtoGg</f>
        <v>4.5931040593928836E-2</v>
      </c>
      <c r="BO104" s="22">
        <f>'Activity data'!BO63*ManureNEF*NtoN2O*kgtoGg</f>
        <v>4.6147036761540416E-2</v>
      </c>
      <c r="BP104" s="22">
        <f>'Activity data'!BP63*ManureNEF*NtoN2O*kgtoGg</f>
        <v>4.6315686890432001E-2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0.1574619566019842</v>
      </c>
      <c r="AE105" s="22">
        <f>'Activity data'!AE64*ManureNEF*NtoN2O*kgtoGg</f>
        <v>0.16100119532971174</v>
      </c>
      <c r="AF105" s="22">
        <f>'Activity data'!AF64*ManureNEF*NtoN2O*kgtoGg</f>
        <v>0.16420239799096348</v>
      </c>
      <c r="AG105" s="22">
        <f>'Activity data'!AG64*ManureNEF*NtoN2O*kgtoGg</f>
        <v>0.16585503975435448</v>
      </c>
      <c r="AH105" s="22">
        <f>'Activity data'!AH64*ManureNEF*NtoN2O*kgtoGg</f>
        <v>0.16755324219146345</v>
      </c>
      <c r="AI105" s="22">
        <f>'Activity data'!AI64*ManureNEF*NtoN2O*kgtoGg</f>
        <v>0.1709343585165998</v>
      </c>
      <c r="AJ105" s="22">
        <f>'Activity data'!AJ64*ManureNEF*NtoN2O*kgtoGg</f>
        <v>0.17382552357996145</v>
      </c>
      <c r="AK105" s="22">
        <f>'Activity data'!AK64*ManureNEF*NtoN2O*kgtoGg</f>
        <v>0.17492293808026785</v>
      </c>
      <c r="AL105" s="22">
        <f>'Activity data'!AL64*ManureNEF*NtoN2O*kgtoGg</f>
        <v>0.16797595240358967</v>
      </c>
      <c r="AM105" s="22">
        <f>'Activity data'!AM64*ManureNEF*NtoN2O*kgtoGg</f>
        <v>0.17297492730025818</v>
      </c>
      <c r="AN105" s="22">
        <f>'Activity data'!AN64*ManureNEF*NtoN2O*kgtoGg</f>
        <v>0.17701513008922104</v>
      </c>
      <c r="AO105" s="22">
        <f>'Activity data'!AO64*ManureNEF*NtoN2O*kgtoGg</f>
        <v>0.18086520723507568</v>
      </c>
      <c r="AP105" s="22">
        <f>'Activity data'!AP64*ManureNEF*NtoN2O*kgtoGg</f>
        <v>0.18514026922037843</v>
      </c>
      <c r="AQ105" s="22">
        <f>'Activity data'!AQ64*ManureNEF*NtoN2O*kgtoGg</f>
        <v>0.19081502616241675</v>
      </c>
      <c r="AR105" s="22">
        <f>'Activity data'!AR64*ManureNEF*NtoN2O*kgtoGg</f>
        <v>0.19677527630059505</v>
      </c>
      <c r="AS105" s="22">
        <f>'Activity data'!AS64*ManureNEF*NtoN2O*kgtoGg</f>
        <v>0.20316424040233105</v>
      </c>
      <c r="AT105" s="22">
        <f>'Activity data'!AT64*ManureNEF*NtoN2O*kgtoGg</f>
        <v>0.2090740458335611</v>
      </c>
      <c r="AU105" s="22">
        <f>'Activity data'!AU64*ManureNEF*NtoN2O*kgtoGg</f>
        <v>0.21570429527296558</v>
      </c>
      <c r="AV105" s="22">
        <f>'Activity data'!AV64*ManureNEF*NtoN2O*kgtoGg</f>
        <v>0.22322461413005179</v>
      </c>
      <c r="AW105" s="22">
        <f>'Activity data'!AW64*ManureNEF*NtoN2O*kgtoGg</f>
        <v>0.23059574512274245</v>
      </c>
      <c r="AX105" s="22">
        <f>'Activity data'!AX64*ManureNEF*NtoN2O*kgtoGg</f>
        <v>0.23831574484289472</v>
      </c>
      <c r="AY105" s="22">
        <f>'Activity data'!AY64*ManureNEF*NtoN2O*kgtoGg</f>
        <v>0.24625980781200643</v>
      </c>
      <c r="AZ105" s="22">
        <f>'Activity data'!AZ64*ManureNEF*NtoN2O*kgtoGg</f>
        <v>0.25500800669627088</v>
      </c>
      <c r="BA105" s="22">
        <f>'Activity data'!BA64*ManureNEF*NtoN2O*kgtoGg</f>
        <v>0.26305100817364307</v>
      </c>
      <c r="BB105" s="22">
        <f>'Activity data'!BB64*ManureNEF*NtoN2O*kgtoGg</f>
        <v>0.27146542700983761</v>
      </c>
      <c r="BC105" s="22">
        <f>'Activity data'!BC64*ManureNEF*NtoN2O*kgtoGg</f>
        <v>0.28009700813609817</v>
      </c>
      <c r="BD105" s="22">
        <f>'Activity data'!BD64*ManureNEF*NtoN2O*kgtoGg</f>
        <v>0.28852863408778395</v>
      </c>
      <c r="BE105" s="22">
        <f>'Activity data'!BE64*ManureNEF*NtoN2O*kgtoGg</f>
        <v>0.29704040587124897</v>
      </c>
      <c r="BF105" s="22">
        <f>'Activity data'!BF64*ManureNEF*NtoN2O*kgtoGg</f>
        <v>0.30589267500220069</v>
      </c>
      <c r="BG105" s="22">
        <f>'Activity data'!BG64*ManureNEF*NtoN2O*kgtoGg</f>
        <v>0.31509949249948005</v>
      </c>
      <c r="BH105" s="22">
        <f>'Activity data'!BH64*ManureNEF*NtoN2O*kgtoGg</f>
        <v>0.32397232132243609</v>
      </c>
      <c r="BI105" s="22">
        <f>'Activity data'!BI64*ManureNEF*NtoN2O*kgtoGg</f>
        <v>0.33303470425340953</v>
      </c>
      <c r="BJ105" s="22">
        <f>'Activity data'!BJ64*ManureNEF*NtoN2O*kgtoGg</f>
        <v>0.34230228220604159</v>
      </c>
      <c r="BK105" s="22">
        <f>'Activity data'!BK64*ManureNEF*NtoN2O*kgtoGg</f>
        <v>0.35216230168979662</v>
      </c>
      <c r="BL105" s="22">
        <f>'Activity data'!BL64*ManureNEF*NtoN2O*kgtoGg</f>
        <v>0.36222138179977098</v>
      </c>
      <c r="BM105" s="22">
        <f>'Activity data'!BM64*ManureNEF*NtoN2O*kgtoGg</f>
        <v>0.36875743363549901</v>
      </c>
      <c r="BN105" s="22">
        <f>'Activity data'!BN64*ManureNEF*NtoN2O*kgtoGg</f>
        <v>0.37509652822170919</v>
      </c>
      <c r="BO105" s="22">
        <f>'Activity data'!BO64*ManureNEF*NtoN2O*kgtoGg</f>
        <v>0.38198920884211868</v>
      </c>
      <c r="BP105" s="22">
        <f>'Activity data'!BP64*ManureNEF*NtoN2O*kgtoGg</f>
        <v>0.3887297225488785</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0.79145317534147697</v>
      </c>
      <c r="AE106" s="22">
        <f>'Activity data'!AE65*ManureNEF*NtoN2O*kgtoGg</f>
        <v>0.80614249446586472</v>
      </c>
      <c r="AF106" s="22">
        <f>'Activity data'!AF65*ManureNEF*NtoN2O*kgtoGg</f>
        <v>0.81576351649757217</v>
      </c>
      <c r="AG106" s="22">
        <f>'Activity data'!AG65*ManureNEF*NtoN2O*kgtoGg</f>
        <v>0.8051815142548906</v>
      </c>
      <c r="AH106" s="22">
        <f>'Activity data'!AH65*ManureNEF*NtoN2O*kgtoGg</f>
        <v>0.79491912717906921</v>
      </c>
      <c r="AI106" s="22">
        <f>'Activity data'!AI65*ManureNEF*NtoN2O*kgtoGg</f>
        <v>0.8050882404927846</v>
      </c>
      <c r="AJ106" s="22">
        <f>'Activity data'!AJ65*ManureNEF*NtoN2O*kgtoGg</f>
        <v>0.80900668851215218</v>
      </c>
      <c r="AK106" s="22">
        <f>'Activity data'!AK65*ManureNEF*NtoN2O*kgtoGg</f>
        <v>0.79104206342465233</v>
      </c>
      <c r="AL106" s="22">
        <f>'Activity data'!AL65*ManureNEF*NtoN2O*kgtoGg</f>
        <v>0.67708002243474696</v>
      </c>
      <c r="AM106" s="22">
        <f>'Activity data'!AM65*ManureNEF*NtoN2O*kgtoGg</f>
        <v>0.71326971422678453</v>
      </c>
      <c r="AN106" s="22">
        <f>'Activity data'!AN65*ManureNEF*NtoN2O*kgtoGg</f>
        <v>0.73749777615328771</v>
      </c>
      <c r="AO106" s="22">
        <f>'Activity data'!AO65*ManureNEF*NtoN2O*kgtoGg</f>
        <v>0.75903343240977361</v>
      </c>
      <c r="AP106" s="22">
        <f>'Activity data'!AP65*ManureNEF*NtoN2O*kgtoGg</f>
        <v>0.78503971816941975</v>
      </c>
      <c r="AQ106" s="22">
        <f>'Activity data'!AQ65*ManureNEF*NtoN2O*kgtoGg</f>
        <v>0.8265450745172781</v>
      </c>
      <c r="AR106" s="22">
        <f>'Activity data'!AR65*ManureNEF*NtoN2O*kgtoGg</f>
        <v>0.87296422483256353</v>
      </c>
      <c r="AS106" s="22">
        <f>'Activity data'!AS65*ManureNEF*NtoN2O*kgtoGg</f>
        <v>0.92344360360977484</v>
      </c>
      <c r="AT106" s="22">
        <f>'Activity data'!AT65*ManureNEF*NtoN2O*kgtoGg</f>
        <v>0.9677689116158269</v>
      </c>
      <c r="AU106" s="22">
        <f>'Activity data'!AU65*ManureNEF*NtoN2O*kgtoGg</f>
        <v>1.0193755598811634</v>
      </c>
      <c r="AV106" s="22">
        <f>'Activity data'!AV65*ManureNEF*NtoN2O*kgtoGg</f>
        <v>1.0799736712957677</v>
      </c>
      <c r="AW106" s="22">
        <f>'Activity data'!AW65*ManureNEF*NtoN2O*kgtoGg</f>
        <v>1.1399677250662128</v>
      </c>
      <c r="AX106" s="22">
        <f>'Activity data'!AX65*ManureNEF*NtoN2O*kgtoGg</f>
        <v>1.2028979209953241</v>
      </c>
      <c r="AY106" s="22">
        <f>'Activity data'!AY65*ManureNEF*NtoN2O*kgtoGg</f>
        <v>1.2673719800644652</v>
      </c>
      <c r="AZ106" s="22">
        <f>'Activity data'!AZ65*ManureNEF*NtoN2O*kgtoGg</f>
        <v>1.3395677079848545</v>
      </c>
      <c r="BA106" s="22">
        <f>'Activity data'!BA65*ManureNEF*NtoN2O*kgtoGg</f>
        <v>1.4033231150236891</v>
      </c>
      <c r="BB106" s="22">
        <f>'Activity data'!BB65*ManureNEF*NtoN2O*kgtoGg</f>
        <v>1.4719666098768296</v>
      </c>
      <c r="BC106" s="22">
        <f>'Activity data'!BC65*ManureNEF*NtoN2O*kgtoGg</f>
        <v>1.5420388237441127</v>
      </c>
      <c r="BD106" s="22">
        <f>'Activity data'!BD65*ManureNEF*NtoN2O*kgtoGg</f>
        <v>1.6091811663069184</v>
      </c>
      <c r="BE106" s="22">
        <f>'Activity data'!BE65*ManureNEF*NtoN2O*kgtoGg</f>
        <v>1.6763559089740723</v>
      </c>
      <c r="BF106" s="22">
        <f>'Activity data'!BF65*ManureNEF*NtoN2O*kgtoGg</f>
        <v>1.7462483337512213</v>
      </c>
      <c r="BG106" s="22">
        <f>'Activity data'!BG65*ManureNEF*NtoN2O*kgtoGg</f>
        <v>1.8206168694032934</v>
      </c>
      <c r="BH106" s="22">
        <f>'Activity data'!BH65*ManureNEF*NtoN2O*kgtoGg</f>
        <v>1.8907719180049514</v>
      </c>
      <c r="BI106" s="22">
        <f>'Activity data'!BI65*ManureNEF*NtoN2O*kgtoGg</f>
        <v>1.9620842803375478</v>
      </c>
      <c r="BJ106" s="22">
        <f>'Activity data'!BJ65*ManureNEF*NtoN2O*kgtoGg</f>
        <v>2.0346990314319551</v>
      </c>
      <c r="BK106" s="22">
        <f>'Activity data'!BK65*ManureNEF*NtoN2O*kgtoGg</f>
        <v>2.1124695104369047</v>
      </c>
      <c r="BL106" s="22">
        <f>'Activity data'!BL65*ManureNEF*NtoN2O*kgtoGg</f>
        <v>2.1930634279587973</v>
      </c>
      <c r="BM106" s="22">
        <f>'Activity data'!BM65*ManureNEF*NtoN2O*kgtoGg</f>
        <v>2.2380483172942163</v>
      </c>
      <c r="BN106" s="22">
        <f>'Activity data'!BN65*ManureNEF*NtoN2O*kgtoGg</f>
        <v>2.2806855119174227</v>
      </c>
      <c r="BO106" s="22">
        <f>'Activity data'!BO65*ManureNEF*NtoN2O*kgtoGg</f>
        <v>2.3283502130567282</v>
      </c>
      <c r="BP106" s="22">
        <f>'Activity data'!BP65*ManureNEF*NtoN2O*kgtoGg</f>
        <v>2.3741040563618498</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1.0786753296429479</v>
      </c>
      <c r="AE108" s="22">
        <f>'Activity data'!AE67*UDCPPEF*NtoN2O*kgtoGg</f>
        <v>1.0859586060309057</v>
      </c>
      <c r="AF108" s="22">
        <f>'Activity data'!AF67*UDCPPEF*NtoN2O*kgtoGg</f>
        <v>1.0923296279678898</v>
      </c>
      <c r="AG108" s="22">
        <f>'Activity data'!AG67*UDCPPEF*NtoN2O*kgtoGg</f>
        <v>1.0931537330099066</v>
      </c>
      <c r="AH108" s="22">
        <f>'Activity data'!AH67*UDCPPEF*NtoN2O*kgtoGg</f>
        <v>1.0945731731430408</v>
      </c>
      <c r="AI108" s="22">
        <f>'Activity data'!AI67*UDCPPEF*NtoN2O*kgtoGg</f>
        <v>1.1027176588076981</v>
      </c>
      <c r="AJ108" s="22">
        <f>'Activity data'!AJ67*UDCPPEF*NtoN2O*kgtoGg</f>
        <v>1.1092302651165924</v>
      </c>
      <c r="AK108" s="22">
        <f>'Activity data'!AK67*UDCPPEF*NtoN2O*kgtoGg</f>
        <v>1.109287368040317</v>
      </c>
      <c r="AL108" s="22">
        <f>'Activity data'!AL67*UDCPPEF*NtoN2O*kgtoGg</f>
        <v>1.0798981830298287</v>
      </c>
      <c r="AM108" s="22">
        <f>'Activity data'!AM67*UDCPPEF*NtoN2O*kgtoGg</f>
        <v>1.0940959356021487</v>
      </c>
      <c r="AN108" s="22">
        <f>'Activity data'!AN67*UDCPPEF*NtoN2O*kgtoGg</f>
        <v>1.1048433903618551</v>
      </c>
      <c r="AO108" s="22">
        <f>'Activity data'!AO67*UDCPPEF*NtoN2O*kgtoGg</f>
        <v>1.1149833596000451</v>
      </c>
      <c r="AP108" s="22">
        <f>'Activity data'!AP67*UDCPPEF*NtoN2O*kgtoGg</f>
        <v>1.1267409528269945</v>
      </c>
      <c r="AQ108" s="22">
        <f>'Activity data'!AQ67*UDCPPEF*NtoN2O*kgtoGg</f>
        <v>1.1435878034617475</v>
      </c>
      <c r="AR108" s="22">
        <f>'Activity data'!AR67*UDCPPEF*NtoN2O*kgtoGg</f>
        <v>1.1611273352268467</v>
      </c>
      <c r="AS108" s="22">
        <f>'Activity data'!AS67*UDCPPEF*NtoN2O*kgtoGg</f>
        <v>1.1801792260010431</v>
      </c>
      <c r="AT108" s="22">
        <f>'Activity data'!AT67*UDCPPEF*NtoN2O*kgtoGg</f>
        <v>1.1975049735261083</v>
      </c>
      <c r="AU108" s="22">
        <f>'Activity data'!AU67*UDCPPEF*NtoN2O*kgtoGg</f>
        <v>1.2173560530719671</v>
      </c>
      <c r="AV108" s="22">
        <f>'Activity data'!AV67*UDCPPEF*NtoN2O*kgtoGg</f>
        <v>1.2402923210603021</v>
      </c>
      <c r="AW108" s="22">
        <f>'Activity data'!AW67*UDCPPEF*NtoN2O*kgtoGg</f>
        <v>1.2623742733775345</v>
      </c>
      <c r="AX108" s="22">
        <f>'Activity data'!AX67*UDCPPEF*NtoN2O*kgtoGg</f>
        <v>1.2856074455004303</v>
      </c>
      <c r="AY108" s="22">
        <f>'Activity data'!AY67*UDCPPEF*NtoN2O*kgtoGg</f>
        <v>1.3095452950439004</v>
      </c>
      <c r="AZ108" s="22">
        <f>'Activity data'!AZ67*UDCPPEF*NtoN2O*kgtoGg</f>
        <v>1.3361813419952935</v>
      </c>
      <c r="BA108" s="22">
        <f>'Activity data'!BA67*UDCPPEF*NtoN2O*kgtoGg</f>
        <v>1.3602968998390941</v>
      </c>
      <c r="BB108" s="22">
        <f>'Activity data'!BB67*UDCPPEF*NtoN2O*kgtoGg</f>
        <v>1.3853556448541151</v>
      </c>
      <c r="BC108" s="22">
        <f>'Activity data'!BC67*UDCPPEF*NtoN2O*kgtoGg</f>
        <v>1.4110693769069982</v>
      </c>
      <c r="BD108" s="22">
        <f>'Activity data'!BD67*UDCPPEF*NtoN2O*kgtoGg</f>
        <v>1.4360144578705683</v>
      </c>
      <c r="BE108" s="22">
        <f>'Activity data'!BE67*UDCPPEF*NtoN2O*kgtoGg</f>
        <v>1.4611486001146794</v>
      </c>
      <c r="BF108" s="22">
        <f>'Activity data'!BF67*UDCPPEF*NtoN2O*kgtoGg</f>
        <v>1.4873489277695111</v>
      </c>
      <c r="BG108" s="22">
        <f>'Activity data'!BG67*UDCPPEF*NtoN2O*kgtoGg</f>
        <v>1.5144167777664856</v>
      </c>
      <c r="BH108" s="22">
        <f>'Activity data'!BH67*UDCPPEF*NtoN2O*kgtoGg</f>
        <v>1.540269346746828</v>
      </c>
      <c r="BI108" s="22">
        <f>'Activity data'!BI67*UDCPPEF*NtoN2O*kgtoGg</f>
        <v>1.5666680254867089</v>
      </c>
      <c r="BJ108" s="22">
        <f>'Activity data'!BJ67*UDCPPEF*NtoN2O*kgtoGg</f>
        <v>1.593660390525756</v>
      </c>
      <c r="BK108" s="22">
        <f>'Activity data'!BK67*UDCPPEF*NtoN2O*kgtoGg</f>
        <v>1.6225260915070563</v>
      </c>
      <c r="BL108" s="22">
        <f>'Activity data'!BL67*UDCPPEF*NtoN2O*kgtoGg</f>
        <v>1.6517094827819983</v>
      </c>
      <c r="BM108" s="22">
        <f>'Activity data'!BM67*UDCPPEF*NtoN2O*kgtoGg</f>
        <v>1.6691760933817195</v>
      </c>
      <c r="BN108" s="22">
        <f>'Activity data'!BN67*UDCPPEF*NtoN2O*kgtoGg</f>
        <v>1.6859640883447786</v>
      </c>
      <c r="BO108" s="22">
        <f>'Activity data'!BO67*UDCPPEF*NtoN2O*kgtoGg</f>
        <v>1.7045379947409554</v>
      </c>
      <c r="BP108" s="22">
        <f>'Activity data'!BP67*UDCPPEF*NtoN2O*kgtoGg</f>
        <v>1.7225765964260569</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0.73458527987811684</v>
      </c>
      <c r="AE109" s="22">
        <f>'Activity data'!AE68*UDCPPEF*NtoN2O*kgtoGg</f>
        <v>0.73954524093113228</v>
      </c>
      <c r="AF109" s="22">
        <f>'Activity data'!AF68*UDCPPEF*NtoN2O*kgtoGg</f>
        <v>0.74388395046130973</v>
      </c>
      <c r="AG109" s="22">
        <f>'Activity data'!AG68*UDCPPEF*NtoN2O*kgtoGg</f>
        <v>0.7444451716335222</v>
      </c>
      <c r="AH109" s="22">
        <f>'Activity data'!AH68*UDCPPEF*NtoN2O*kgtoGg</f>
        <v>0.7454118200761205</v>
      </c>
      <c r="AI109" s="22">
        <f>'Activity data'!AI68*UDCPPEF*NtoN2O*kgtoGg</f>
        <v>0.75095827053903796</v>
      </c>
      <c r="AJ109" s="22">
        <f>'Activity data'!AJ68*UDCPPEF*NtoN2O*kgtoGg</f>
        <v>0.75539339999521871</v>
      </c>
      <c r="AK109" s="22">
        <f>'Activity data'!AK68*UDCPPEF*NtoN2O*kgtoGg</f>
        <v>0.75543228747697821</v>
      </c>
      <c r="AL109" s="22">
        <f>'Activity data'!AL68*UDCPPEF*NtoN2O*kgtoGg</f>
        <v>0.73541805140145267</v>
      </c>
      <c r="AM109" s="22">
        <f>'Activity data'!AM68*UDCPPEF*NtoN2O*kgtoGg</f>
        <v>0.74508681804547194</v>
      </c>
      <c r="AN109" s="22">
        <f>'Activity data'!AN68*UDCPPEF*NtoN2O*kgtoGg</f>
        <v>0.75240590827186049</v>
      </c>
      <c r="AO109" s="22">
        <f>'Activity data'!AO68*UDCPPEF*NtoN2O*kgtoGg</f>
        <v>0.75931129670162745</v>
      </c>
      <c r="AP109" s="22">
        <f>'Activity data'!AP68*UDCPPEF*NtoN2O*kgtoGg</f>
        <v>0.76731829813566454</v>
      </c>
      <c r="AQ109" s="22">
        <f>'Activity data'!AQ68*UDCPPEF*NtoN2O*kgtoGg</f>
        <v>0.77879111868556206</v>
      </c>
      <c r="AR109" s="22">
        <f>'Activity data'!AR68*UDCPPEF*NtoN2O*kgtoGg</f>
        <v>0.79073565982461014</v>
      </c>
      <c r="AS109" s="22">
        <f>'Activity data'!AS68*UDCPPEF*NtoN2O*kgtoGg</f>
        <v>0.80371012779654638</v>
      </c>
      <c r="AT109" s="22">
        <f>'Activity data'!AT68*UDCPPEF*NtoN2O*kgtoGg</f>
        <v>0.81550908040540082</v>
      </c>
      <c r="AU109" s="22">
        <f>'Activity data'!AU68*UDCPPEF*NtoN2O*kgtoGg</f>
        <v>0.82902780139895904</v>
      </c>
      <c r="AV109" s="22">
        <f>'Activity data'!AV68*UDCPPEF*NtoN2O*kgtoGg</f>
        <v>0.84464755683097381</v>
      </c>
      <c r="AW109" s="22">
        <f>'Activity data'!AW68*UDCPPEF*NtoN2O*kgtoGg</f>
        <v>0.85968551744566435</v>
      </c>
      <c r="AX109" s="22">
        <f>'Activity data'!AX68*UDCPPEF*NtoN2O*kgtoGg</f>
        <v>0.8755074666247592</v>
      </c>
      <c r="AY109" s="22">
        <f>'Activity data'!AY68*UDCPPEF*NtoN2O*kgtoGg</f>
        <v>0.89180930594872954</v>
      </c>
      <c r="AZ109" s="22">
        <f>'Activity data'!AZ68*UDCPPEF*NtoN2O*kgtoGg</f>
        <v>0.90994863616879917</v>
      </c>
      <c r="BA109" s="22">
        <f>'Activity data'!BA68*UDCPPEF*NtoN2O*kgtoGg</f>
        <v>0.9263714960611904</v>
      </c>
      <c r="BB109" s="22">
        <f>'Activity data'!BB68*UDCPPEF*NtoN2O*kgtoGg</f>
        <v>0.94343667287055244</v>
      </c>
      <c r="BC109" s="22">
        <f>'Activity data'!BC68*UDCPPEF*NtoN2O*kgtoGg</f>
        <v>0.96094790033417754</v>
      </c>
      <c r="BD109" s="22">
        <f>'Activity data'!BD68*UDCPPEF*NtoN2O*kgtoGg</f>
        <v>0.97793567114680158</v>
      </c>
      <c r="BE109" s="22">
        <f>'Activity data'!BE68*UDCPPEF*NtoN2O*kgtoGg</f>
        <v>0.99505219398504785</v>
      </c>
      <c r="BF109" s="22">
        <f>'Activity data'!BF68*UDCPPEF*NtoN2O*kgtoGg</f>
        <v>1.0128947963829298</v>
      </c>
      <c r="BG109" s="22">
        <f>'Activity data'!BG68*UDCPPEF*NtoN2O*kgtoGg</f>
        <v>1.0313281874314744</v>
      </c>
      <c r="BH109" s="22">
        <f>'Activity data'!BH68*UDCPPEF*NtoN2O*kgtoGg</f>
        <v>1.0489339637926334</v>
      </c>
      <c r="BI109" s="22">
        <f>'Activity data'!BI68*UDCPPEF*NtoN2O*kgtoGg</f>
        <v>1.066911644636569</v>
      </c>
      <c r="BJ109" s="22">
        <f>'Activity data'!BJ68*UDCPPEF*NtoN2O*kgtoGg</f>
        <v>1.0852936299122902</v>
      </c>
      <c r="BK109" s="22">
        <f>'Activity data'!BK68*UDCPPEF*NtoN2O*kgtoGg</f>
        <v>1.1049513697822153</v>
      </c>
      <c r="BL109" s="22">
        <f>'Activity data'!BL68*UDCPPEF*NtoN2O*kgtoGg</f>
        <v>1.1248254589157749</v>
      </c>
      <c r="BM109" s="22">
        <f>'Activity data'!BM68*UDCPPEF*NtoN2O*kgtoGg</f>
        <v>1.1367203402422674</v>
      </c>
      <c r="BN109" s="22">
        <f>'Activity data'!BN68*UDCPPEF*NtoN2O*kgtoGg</f>
        <v>1.1481530796770461</v>
      </c>
      <c r="BO109" s="22">
        <f>'Activity data'!BO68*UDCPPEF*NtoN2O*kgtoGg</f>
        <v>1.1608020370171399</v>
      </c>
      <c r="BP109" s="22">
        <f>'Activity data'!BP68*UDCPPEF*NtoN2O*kgtoGg</f>
        <v>1.1730864481863896</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15.429280800788639</v>
      </c>
      <c r="AE110" s="22">
        <f>'Activity data'!AE69*UDCPPEF*NtoN2O*kgtoGg</f>
        <v>15.35072698203709</v>
      </c>
      <c r="AF110" s="22">
        <f>'Activity data'!AF69*UDCPPEF*NtoN2O*kgtoGg</f>
        <v>15.207351875662043</v>
      </c>
      <c r="AG110" s="22">
        <f>'Activity data'!AG69*UDCPPEF*NtoN2O*kgtoGg</f>
        <v>14.814893699547214</v>
      </c>
      <c r="AH110" s="22">
        <f>'Activity data'!AH69*UDCPPEF*NtoN2O*kgtoGg</f>
        <v>14.438096972663228</v>
      </c>
      <c r="AI110" s="22">
        <f>'Activity data'!AI69*UDCPPEF*NtoN2O*kgtoGg</f>
        <v>14.314758846199135</v>
      </c>
      <c r="AJ110" s="22">
        <f>'Activity data'!AJ69*UDCPPEF*NtoN2O*kgtoGg</f>
        <v>14.115554649678398</v>
      </c>
      <c r="AK110" s="22">
        <f>'Activity data'!AK69*UDCPPEF*NtoN2O*kgtoGg</f>
        <v>13.66798161990047</v>
      </c>
      <c r="AL110" s="22">
        <f>'Activity data'!AL69*UDCPPEF*NtoN2O*kgtoGg</f>
        <v>12.166328141225097</v>
      </c>
      <c r="AM110" s="22">
        <f>'Activity data'!AM69*UDCPPEF*NtoN2O*kgtoGg</f>
        <v>12.463610414813839</v>
      </c>
      <c r="AN110" s="22">
        <f>'Activity data'!AN69*UDCPPEF*NtoN2O*kgtoGg</f>
        <v>12.624180384375714</v>
      </c>
      <c r="AO110" s="22">
        <f>'Activity data'!AO69*UDCPPEF*NtoN2O*kgtoGg</f>
        <v>12.751805743467081</v>
      </c>
      <c r="AP110" s="22">
        <f>'Activity data'!AP69*UDCPPEF*NtoN2O*kgtoGg</f>
        <v>12.923326016620354</v>
      </c>
      <c r="AQ110" s="22">
        <f>'Activity data'!AQ69*UDCPPEF*NtoN2O*kgtoGg</f>
        <v>13.25262145197801</v>
      </c>
      <c r="AR110" s="22">
        <f>'Activity data'!AR69*UDCPPEF*NtoN2O*kgtoGg</f>
        <v>13.613027690777479</v>
      </c>
      <c r="AS110" s="22">
        <f>'Activity data'!AS69*UDCPPEF*NtoN2O*kgtoGg</f>
        <v>14.005728103550339</v>
      </c>
      <c r="AT110" s="22">
        <f>'Activity data'!AT69*UDCPPEF*NtoN2O*kgtoGg</f>
        <v>14.32592763712187</v>
      </c>
      <c r="AU110" s="22">
        <f>'Activity data'!AU69*UDCPPEF*NtoN2O*kgtoGg</f>
        <v>14.710285410323998</v>
      </c>
      <c r="AV110" s="22">
        <f>'Activity data'!AV69*UDCPPEF*NtoN2O*kgtoGg</f>
        <v>15.173253105796089</v>
      </c>
      <c r="AW110" s="22">
        <f>'Activity data'!AW69*UDCPPEF*NtoN2O*kgtoGg</f>
        <v>15.47822319183811</v>
      </c>
      <c r="AX110" s="22">
        <f>'Activity data'!AX69*UDCPPEF*NtoN2O*kgtoGg</f>
        <v>15.789739593019302</v>
      </c>
      <c r="AY110" s="22">
        <f>'Activity data'!AY69*UDCPPEF*NtoN2O*kgtoGg</f>
        <v>16.093283241134344</v>
      </c>
      <c r="AZ110" s="22">
        <f>'Activity data'!AZ69*UDCPPEF*NtoN2O*kgtoGg</f>
        <v>16.444459062010196</v>
      </c>
      <c r="BA110" s="22">
        <f>'Activity data'!BA69*UDCPPEF*NtoN2O*kgtoGg</f>
        <v>16.694708961891717</v>
      </c>
      <c r="BB110" s="22">
        <f>'Activity data'!BB69*UDCPPEF*NtoN2O*kgtoGg</f>
        <v>16.95834334016514</v>
      </c>
      <c r="BC110" s="22">
        <f>'Activity data'!BC69*UDCPPEF*NtoN2O*kgtoGg</f>
        <v>17.210617740902418</v>
      </c>
      <c r="BD110" s="22">
        <f>'Activity data'!BD69*UDCPPEF*NtoN2O*kgtoGg</f>
        <v>17.41443137892249</v>
      </c>
      <c r="BE110" s="22">
        <f>'Activity data'!BE69*UDCPPEF*NtoN2O*kgtoGg</f>
        <v>17.595815239613078</v>
      </c>
      <c r="BF110" s="22">
        <f>'Activity data'!BF69*UDCPPEF*NtoN2O*kgtoGg</f>
        <v>17.776384709935595</v>
      </c>
      <c r="BG110" s="22">
        <f>'Activity data'!BG69*UDCPPEF*NtoN2O*kgtoGg</f>
        <v>18.054309099342483</v>
      </c>
      <c r="BH110" s="22">
        <f>'Activity data'!BH69*UDCPPEF*NtoN2O*kgtoGg</f>
        <v>18.280646748605641</v>
      </c>
      <c r="BI110" s="22">
        <f>'Activity data'!BI69*UDCPPEF*NtoN2O*kgtoGg</f>
        <v>18.497984454615345</v>
      </c>
      <c r="BJ110" s="22">
        <f>'Activity data'!BJ69*UDCPPEF*NtoN2O*kgtoGg</f>
        <v>18.70703547273348</v>
      </c>
      <c r="BK110" s="22">
        <f>'Activity data'!BK69*UDCPPEF*NtoN2O*kgtoGg</f>
        <v>18.935485661659122</v>
      </c>
      <c r="BL110" s="22">
        <f>'Activity data'!BL69*UDCPPEF*NtoN2O*kgtoGg</f>
        <v>19.159250135643951</v>
      </c>
      <c r="BM110" s="22">
        <f>'Activity data'!BM69*UDCPPEF*NtoN2O*kgtoGg</f>
        <v>19.11314806868306</v>
      </c>
      <c r="BN110" s="22">
        <f>'Activity data'!BN69*UDCPPEF*NtoN2O*kgtoGg</f>
        <v>19.040808228696374</v>
      </c>
      <c r="BO110" s="22">
        <f>'Activity data'!BO69*UDCPPEF*NtoN2O*kgtoGg</f>
        <v>18.992992620644625</v>
      </c>
      <c r="BP110" s="22">
        <f>'Activity data'!BP69*UDCPPEF*NtoN2O*kgtoGg</f>
        <v>18.921839562511444</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9.701944231797869</v>
      </c>
      <c r="AE111" s="22">
        <f>'Activity data'!AE70*UDCPPEF*NtoN2O*kgtoGg</f>
        <v>9.652549527108631</v>
      </c>
      <c r="AF111" s="22">
        <f>'Activity data'!AF70*UDCPPEF*NtoN2O*kgtoGg</f>
        <v>9.5623951443970494</v>
      </c>
      <c r="AG111" s="22">
        <f>'Activity data'!AG70*UDCPPEF*NtoN2O*kgtoGg</f>
        <v>9.3156171262158942</v>
      </c>
      <c r="AH111" s="22">
        <f>'Activity data'!AH70*UDCPPEF*NtoN2O*kgtoGg</f>
        <v>9.0786870399629098</v>
      </c>
      <c r="AI111" s="22">
        <f>'Activity data'!AI70*UDCPPEF*NtoN2O*kgtoGg</f>
        <v>9.0011319264058365</v>
      </c>
      <c r="AJ111" s="22">
        <f>'Activity data'!AJ70*UDCPPEF*NtoN2O*kgtoGg</f>
        <v>8.8758721667101366</v>
      </c>
      <c r="AK111" s="22">
        <f>'Activity data'!AK70*UDCPPEF*NtoN2O*kgtoGg</f>
        <v>8.5944378840220992</v>
      </c>
      <c r="AL111" s="22">
        <f>'Activity data'!AL70*UDCPPEF*NtoN2O*kgtoGg</f>
        <v>7.6501969635477565</v>
      </c>
      <c r="AM111" s="22">
        <f>'Activity data'!AM70*UDCPPEF*NtoN2O*kgtoGg</f>
        <v>7.8371282973344023</v>
      </c>
      <c r="AN111" s="22">
        <f>'Activity data'!AN70*UDCPPEF*NtoN2O*kgtoGg</f>
        <v>7.9380948239084157</v>
      </c>
      <c r="AO111" s="22">
        <f>'Activity data'!AO70*UDCPPEF*NtoN2O*kgtoGg</f>
        <v>8.0183457528048763</v>
      </c>
      <c r="AP111" s="22">
        <f>'Activity data'!AP70*UDCPPEF*NtoN2O*kgtoGg</f>
        <v>8.1261978391231704</v>
      </c>
      <c r="AQ111" s="22">
        <f>'Activity data'!AQ70*UDCPPEF*NtoN2O*kgtoGg</f>
        <v>8.3332590748913482</v>
      </c>
      <c r="AR111" s="22">
        <f>'Activity data'!AR70*UDCPPEF*NtoN2O*kgtoGg</f>
        <v>8.5598828089960346</v>
      </c>
      <c r="AS111" s="22">
        <f>'Activity data'!AS70*UDCPPEF*NtoN2O*kgtoGg</f>
        <v>8.8068131457834475</v>
      </c>
      <c r="AT111" s="22">
        <f>'Activity data'!AT70*UDCPPEF*NtoN2O*kgtoGg</f>
        <v>9.0081548711605581</v>
      </c>
      <c r="AU111" s="22">
        <f>'Activity data'!AU70*UDCPPEF*NtoN2O*kgtoGg</f>
        <v>9.249839349446443</v>
      </c>
      <c r="AV111" s="22">
        <f>'Activity data'!AV70*UDCPPEF*NtoN2O*kgtoGg</f>
        <v>9.5409538103592695</v>
      </c>
      <c r="AW111" s="22">
        <f>'Activity data'!AW70*UDCPPEF*NtoN2O*kgtoGg</f>
        <v>9.7327192468269903</v>
      </c>
      <c r="AX111" s="22">
        <f>'Activity data'!AX70*UDCPPEF*NtoN2O*kgtoGg</f>
        <v>9.9286010115425469</v>
      </c>
      <c r="AY111" s="22">
        <f>'Activity data'!AY70*UDCPPEF*NtoN2O*kgtoGg</f>
        <v>10.119469502689464</v>
      </c>
      <c r="AZ111" s="22">
        <f>'Activity data'!AZ70*UDCPPEF*NtoN2O*kgtoGg</f>
        <v>10.340289142547157</v>
      </c>
      <c r="BA111" s="22">
        <f>'Activity data'!BA70*UDCPPEF*NtoN2O*kgtoGg</f>
        <v>10.497646481752456</v>
      </c>
      <c r="BB111" s="22">
        <f>'Activity data'!BB70*UDCPPEF*NtoN2O*kgtoGg</f>
        <v>10.663419991782989</v>
      </c>
      <c r="BC111" s="22">
        <f>'Activity data'!BC70*UDCPPEF*NtoN2O*kgtoGg</f>
        <v>10.822050338761844</v>
      </c>
      <c r="BD111" s="22">
        <f>'Activity data'!BD70*UDCPPEF*NtoN2O*kgtoGg</f>
        <v>10.950208518995984</v>
      </c>
      <c r="BE111" s="22">
        <f>'Activity data'!BE70*UDCPPEF*NtoN2O*kgtoGg</f>
        <v>11.064262837125854</v>
      </c>
      <c r="BF111" s="22">
        <f>'Activity data'!BF70*UDCPPEF*NtoN2O*kgtoGg</f>
        <v>11.17780506593439</v>
      </c>
      <c r="BG111" s="22">
        <f>'Activity data'!BG70*UDCPPEF*NtoN2O*kgtoGg</f>
        <v>11.352564146509573</v>
      </c>
      <c r="BH111" s="22">
        <f>'Activity data'!BH70*UDCPPEF*NtoN2O*kgtoGg</f>
        <v>11.494885443208972</v>
      </c>
      <c r="BI111" s="22">
        <f>'Activity data'!BI70*UDCPPEF*NtoN2O*kgtoGg</f>
        <v>11.631547568320162</v>
      </c>
      <c r="BJ111" s="22">
        <f>'Activity data'!BJ70*UDCPPEF*NtoN2O*kgtoGg</f>
        <v>11.762999017390882</v>
      </c>
      <c r="BK111" s="22">
        <f>'Activity data'!BK70*UDCPPEF*NtoN2O*kgtoGg</f>
        <v>11.906648680736627</v>
      </c>
      <c r="BL111" s="22">
        <f>'Activity data'!BL70*UDCPPEF*NtoN2O*kgtoGg</f>
        <v>12.047351962742322</v>
      </c>
      <c r="BM111" s="22">
        <f>'Activity data'!BM70*UDCPPEF*NtoN2O*kgtoGg</f>
        <v>12.018362945794602</v>
      </c>
      <c r="BN111" s="22">
        <f>'Activity data'!BN70*UDCPPEF*NtoN2O*kgtoGg</f>
        <v>11.972875595972562</v>
      </c>
      <c r="BO111" s="22">
        <f>'Activity data'!BO70*UDCPPEF*NtoN2O*kgtoGg</f>
        <v>11.942809103002656</v>
      </c>
      <c r="BP111" s="22">
        <f>'Activity data'!BP70*UDCPPEF*NtoN2O*kgtoGg</f>
        <v>11.898068002568817</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5.7999838553710088</v>
      </c>
      <c r="AE113" s="22">
        <f>'Activity data'!AE72*UDSOEF*NtoN2O*kgtoGg</f>
        <v>5.8031139960917857</v>
      </c>
      <c r="AF113" s="22">
        <f>'Activity data'!AF72*UDSOEF*NtoN2O*kgtoGg</f>
        <v>5.8103099227335253</v>
      </c>
      <c r="AG113" s="22">
        <f>'Activity data'!AG72*UDSOEF*NtoN2O*kgtoGg</f>
        <v>5.8209929462353873</v>
      </c>
      <c r="AH113" s="22">
        <f>'Activity data'!AH72*UDSOEF*NtoN2O*kgtoGg</f>
        <v>5.8354121165006498</v>
      </c>
      <c r="AI113" s="22">
        <f>'Activity data'!AI72*UDSOEF*NtoN2O*kgtoGg</f>
        <v>5.8538572193681269</v>
      </c>
      <c r="AJ113" s="22">
        <f>'Activity data'!AJ72*UDSOEF*NtoN2O*kgtoGg</f>
        <v>5.8741818038916174</v>
      </c>
      <c r="AK113" s="22">
        <f>'Activity data'!AK72*UDSOEF*NtoN2O*kgtoGg</f>
        <v>5.8960701972534357</v>
      </c>
      <c r="AL113" s="22">
        <f>'Activity data'!AL72*UDSOEF*NtoN2O*kgtoGg</f>
        <v>5.9177559307877479</v>
      </c>
      <c r="AM113" s="22">
        <f>'Activity data'!AM72*UDSOEF*NtoN2O*kgtoGg</f>
        <v>5.9266307004561112</v>
      </c>
      <c r="AN113" s="22">
        <f>'Activity data'!AN72*UDSOEF*NtoN2O*kgtoGg</f>
        <v>5.9367082769549988</v>
      </c>
      <c r="AO113" s="22">
        <f>'Activity data'!AO72*UDSOEF*NtoN2O*kgtoGg</f>
        <v>5.9481053028915358</v>
      </c>
      <c r="AP113" s="22">
        <f>'Activity data'!AP72*UDSOEF*NtoN2O*kgtoGg</f>
        <v>5.960904450999025</v>
      </c>
      <c r="AQ113" s="22">
        <f>'Activity data'!AQ72*UDSOEF*NtoN2O*kgtoGg</f>
        <v>5.9752866719651836</v>
      </c>
      <c r="AR113" s="22">
        <f>'Activity data'!AR72*UDSOEF*NtoN2O*kgtoGg</f>
        <v>5.9843295860357024</v>
      </c>
      <c r="AS113" s="22">
        <f>'Activity data'!AS72*UDSOEF*NtoN2O*kgtoGg</f>
        <v>5.9945123676402678</v>
      </c>
      <c r="AT113" s="22">
        <f>'Activity data'!AT72*UDSOEF*NtoN2O*kgtoGg</f>
        <v>6.0055516159641433</v>
      </c>
      <c r="AU113" s="22">
        <f>'Activity data'!AU72*UDSOEF*NtoN2O*kgtoGg</f>
        <v>6.0177061448313278</v>
      </c>
      <c r="AV113" s="22">
        <f>'Activity data'!AV72*UDSOEF*NtoN2O*kgtoGg</f>
        <v>6.03097456248548</v>
      </c>
      <c r="AW113" s="22">
        <f>'Activity data'!AW72*UDSOEF*NtoN2O*kgtoGg</f>
        <v>6.0397566686890718</v>
      </c>
      <c r="AX113" s="22">
        <f>'Activity data'!AX72*UDSOEF*NtoN2O*kgtoGg</f>
        <v>6.0493932233323875</v>
      </c>
      <c r="AY113" s="22">
        <f>'Activity data'!AY72*UDSOEF*NtoN2O*kgtoGg</f>
        <v>6.0598194909466505</v>
      </c>
      <c r="AZ113" s="22">
        <f>'Activity data'!AZ72*UDSOEF*NtoN2O*kgtoGg</f>
        <v>6.0711483366347876</v>
      </c>
      <c r="BA113" s="22">
        <f>'Activity data'!BA72*UDSOEF*NtoN2O*kgtoGg</f>
        <v>6.0829788619886944</v>
      </c>
      <c r="BB113" s="22">
        <f>'Activity data'!BB72*UDSOEF*NtoN2O*kgtoGg</f>
        <v>6.0905477121768259</v>
      </c>
      <c r="BC113" s="22">
        <f>'Activity data'!BC72*UDSOEF*NtoN2O*kgtoGg</f>
        <v>6.0987586244880356</v>
      </c>
      <c r="BD113" s="22">
        <f>'Activity data'!BD72*UDSOEF*NtoN2O*kgtoGg</f>
        <v>6.1074872449990725</v>
      </c>
      <c r="BE113" s="22">
        <f>'Activity data'!BE72*UDSOEF*NtoN2O*kgtoGg</f>
        <v>6.1167813545421765</v>
      </c>
      <c r="BF113" s="22">
        <f>'Activity data'!BF72*UDSOEF*NtoN2O*kgtoGg</f>
        <v>6.1266844936604166</v>
      </c>
      <c r="BG113" s="22">
        <f>'Activity data'!BG72*UDSOEF*NtoN2O*kgtoGg</f>
        <v>6.1325212653673837</v>
      </c>
      <c r="BH113" s="22">
        <f>'Activity data'!BH72*UDSOEF*NtoN2O*kgtoGg</f>
        <v>6.1387404789422586</v>
      </c>
      <c r="BI113" s="22">
        <f>'Activity data'!BI72*UDSOEF*NtoN2O*kgtoGg</f>
        <v>6.145451732291618</v>
      </c>
      <c r="BJ113" s="22">
        <f>'Activity data'!BJ72*UDSOEF*NtoN2O*kgtoGg</f>
        <v>6.152643186293405</v>
      </c>
      <c r="BK113" s="22">
        <f>'Activity data'!BK72*UDSOEF*NtoN2O*kgtoGg</f>
        <v>6.1603920516403416</v>
      </c>
      <c r="BL113" s="22">
        <f>'Activity data'!BL72*UDSOEF*NtoN2O*kgtoGg</f>
        <v>6.1638844604068606</v>
      </c>
      <c r="BM113" s="22">
        <f>'Activity data'!BM72*UDSOEF*NtoN2O*kgtoGg</f>
        <v>6.1669158271420823</v>
      </c>
      <c r="BN113" s="22">
        <f>'Activity data'!BN72*UDSOEF*NtoN2O*kgtoGg</f>
        <v>6.1702623626652491</v>
      </c>
      <c r="BO113" s="22">
        <f>'Activity data'!BO72*UDSOEF*NtoN2O*kgtoGg</f>
        <v>6.1740883613222994</v>
      </c>
      <c r="BP113" s="22">
        <f>'Activity data'!BP72*UDSOEF*NtoN2O*kgtoGg</f>
        <v>6.1782170575379913</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0.64744945388640951</v>
      </c>
      <c r="AE114" s="22">
        <f>'Activity data'!AE73*UDSOEF*NtoN2O*kgtoGg</f>
        <v>0.64779887001424552</v>
      </c>
      <c r="AF114" s="22">
        <f>'Activity data'!AF73*UDSOEF*NtoN2O*kgtoGg</f>
        <v>0.64860214790097404</v>
      </c>
      <c r="AG114" s="22">
        <f>'Activity data'!AG73*UDSOEF*NtoN2O*kgtoGg</f>
        <v>0.64979468876050261</v>
      </c>
      <c r="AH114" s="22">
        <f>'Activity data'!AH73*UDSOEF*NtoN2O*kgtoGg</f>
        <v>0.65140429391571231</v>
      </c>
      <c r="AI114" s="22">
        <f>'Activity data'!AI73*UDSOEF*NtoN2O*kgtoGg</f>
        <v>0.6534633120226967</v>
      </c>
      <c r="AJ114" s="22">
        <f>'Activity data'!AJ73*UDSOEF*NtoN2O*kgtoGg</f>
        <v>0.65573213577778644</v>
      </c>
      <c r="AK114" s="22">
        <f>'Activity data'!AK73*UDSOEF*NtoN2O*kgtoGg</f>
        <v>0.65817552677368318</v>
      </c>
      <c r="AL114" s="22">
        <f>'Activity data'!AL73*UDSOEF*NtoN2O*kgtoGg</f>
        <v>0.66059629494891092</v>
      </c>
      <c r="AM114" s="22">
        <f>'Activity data'!AM73*UDSOEF*NtoN2O*kgtoGg</f>
        <v>0.66158698128846494</v>
      </c>
      <c r="AN114" s="22">
        <f>'Activity data'!AN73*UDSOEF*NtoN2O*kgtoGg</f>
        <v>0.66271193638547965</v>
      </c>
      <c r="AO114" s="22">
        <f>'Activity data'!AO73*UDSOEF*NtoN2O*kgtoGg</f>
        <v>0.6639841809990068</v>
      </c>
      <c r="AP114" s="22">
        <f>'Activity data'!AP73*UDSOEF*NtoN2O*kgtoGg</f>
        <v>0.66541294384715366</v>
      </c>
      <c r="AQ114" s="22">
        <f>'Activity data'!AQ73*UDSOEF*NtoN2O*kgtoGg</f>
        <v>0.66701842436958481</v>
      </c>
      <c r="AR114" s="22">
        <f>'Activity data'!AR73*UDSOEF*NtoN2O*kgtoGg</f>
        <v>0.66802788058920459</v>
      </c>
      <c r="AS114" s="22">
        <f>'Activity data'!AS73*UDSOEF*NtoN2O*kgtoGg</f>
        <v>0.66916457968239529</v>
      </c>
      <c r="AT114" s="22">
        <f>'Activity data'!AT73*UDSOEF*NtoN2O*kgtoGg</f>
        <v>0.67039688575028045</v>
      </c>
      <c r="AU114" s="22">
        <f>'Activity data'!AU73*UDSOEF*NtoN2O*kgtoGg</f>
        <v>0.671753690057592</v>
      </c>
      <c r="AV114" s="22">
        <f>'Activity data'!AV73*UDSOEF*NtoN2O*kgtoGg</f>
        <v>0.67323483724322841</v>
      </c>
      <c r="AW114" s="22">
        <f>'Activity data'!AW73*UDSOEF*NtoN2O*kgtoGg</f>
        <v>0.67421517960404742</v>
      </c>
      <c r="AX114" s="22">
        <f>'Activity data'!AX73*UDSOEF*NtoN2O*kgtoGg</f>
        <v>0.6752909036399658</v>
      </c>
      <c r="AY114" s="22">
        <f>'Activity data'!AY73*UDSOEF*NtoN2O*kgtoGg</f>
        <v>0.67645478296122918</v>
      </c>
      <c r="AZ114" s="22">
        <f>'Activity data'!AZ73*UDSOEF*NtoN2O*kgtoGg</f>
        <v>0.67771941664588264</v>
      </c>
      <c r="BA114" s="22">
        <f>'Activity data'!BA73*UDSOEF*NtoN2O*kgtoGg</f>
        <v>0.67904005259428835</v>
      </c>
      <c r="BB114" s="22">
        <f>'Activity data'!BB73*UDSOEF*NtoN2O*kgtoGg</f>
        <v>0.67988495976007579</v>
      </c>
      <c r="BC114" s="22">
        <f>'Activity data'!BC73*UDSOEF*NtoN2O*kgtoGg</f>
        <v>0.68080154001691195</v>
      </c>
      <c r="BD114" s="22">
        <f>'Activity data'!BD73*UDSOEF*NtoN2O*kgtoGg</f>
        <v>0.68177591179517449</v>
      </c>
      <c r="BE114" s="22">
        <f>'Activity data'!BE73*UDSOEF*NtoN2O*kgtoGg</f>
        <v>0.68281340884656228</v>
      </c>
      <c r="BF114" s="22">
        <f>'Activity data'!BF73*UDSOEF*NtoN2O*kgtoGg</f>
        <v>0.68391889158129904</v>
      </c>
      <c r="BG114" s="22">
        <f>'Activity data'!BG73*UDSOEF*NtoN2O*kgtoGg</f>
        <v>0.68457044764565533</v>
      </c>
      <c r="BH114" s="22">
        <f>'Activity data'!BH73*UDSOEF*NtoN2O*kgtoGg</f>
        <v>0.68526469551479852</v>
      </c>
      <c r="BI114" s="22">
        <f>'Activity data'!BI73*UDSOEF*NtoN2O*kgtoGg</f>
        <v>0.68601386955119048</v>
      </c>
      <c r="BJ114" s="22">
        <f>'Activity data'!BJ73*UDSOEF*NtoN2O*kgtoGg</f>
        <v>0.68681664815923671</v>
      </c>
      <c r="BK114" s="22">
        <f>'Activity data'!BK73*UDSOEF*NtoN2O*kgtoGg</f>
        <v>0.68768165033203899</v>
      </c>
      <c r="BL114" s="22">
        <f>'Activity data'!BL73*UDSOEF*NtoN2O*kgtoGg</f>
        <v>0.68807150627043723</v>
      </c>
      <c r="BM114" s="22">
        <f>'Activity data'!BM73*UDSOEF*NtoN2O*kgtoGg</f>
        <v>0.68840989630499416</v>
      </c>
      <c r="BN114" s="22">
        <f>'Activity data'!BN73*UDSOEF*NtoN2O*kgtoGg</f>
        <v>0.68878346848224781</v>
      </c>
      <c r="BO114" s="22">
        <f>'Activity data'!BO73*UDSOEF*NtoN2O*kgtoGg</f>
        <v>0.68921056290230964</v>
      </c>
      <c r="BP114" s="22">
        <f>'Activity data'!BP73*UDSOEF*NtoN2O*kgtoGg</f>
        <v>0.68967144730764052</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0.71689894789530229</v>
      </c>
      <c r="AE115" s="22">
        <f>'Activity data'!AE74*UDSOEF*NtoN2O*kgtoGg</f>
        <v>0.71876228746109427</v>
      </c>
      <c r="AF115" s="22">
        <f>'Activity data'!AF74*UDSOEF*NtoN2O*kgtoGg</f>
        <v>0.72127503720090047</v>
      </c>
      <c r="AG115" s="22">
        <f>'Activity data'!AG74*UDSOEF*NtoN2O*kgtoGg</f>
        <v>0.72433550259006296</v>
      </c>
      <c r="AH115" s="22">
        <f>'Activity data'!AH74*UDSOEF*NtoN2O*kgtoGg</f>
        <v>0.72800120185684258</v>
      </c>
      <c r="AI115" s="22">
        <f>'Activity data'!AI74*UDSOEF*NtoN2O*kgtoGg</f>
        <v>0.73233490465194795</v>
      </c>
      <c r="AJ115" s="22">
        <f>'Activity data'!AJ74*UDSOEF*NtoN2O*kgtoGg</f>
        <v>0.73692777433186207</v>
      </c>
      <c r="AK115" s="22">
        <f>'Activity data'!AK74*UDSOEF*NtoN2O*kgtoGg</f>
        <v>0.74172607064181018</v>
      </c>
      <c r="AL115" s="22">
        <f>'Activity data'!AL74*UDSOEF*NtoN2O*kgtoGg</f>
        <v>0.74639750027277085</v>
      </c>
      <c r="AM115" s="22">
        <f>'Activity data'!AM74*UDSOEF*NtoN2O*kgtoGg</f>
        <v>0.74854009324631066</v>
      </c>
      <c r="AN115" s="22">
        <f>'Activity data'!AN74*UDSOEF*NtoN2O*kgtoGg</f>
        <v>0.75085065923922678</v>
      </c>
      <c r="AO115" s="22">
        <f>'Activity data'!AO74*UDSOEF*NtoN2O*kgtoGg</f>
        <v>0.75335493730359926</v>
      </c>
      <c r="AP115" s="22">
        <f>'Activity data'!AP74*UDSOEF*NtoN2O*kgtoGg</f>
        <v>0.75607146605668685</v>
      </c>
      <c r="AQ115" s="22">
        <f>'Activity data'!AQ74*UDSOEF*NtoN2O*kgtoGg</f>
        <v>0.75903679046714201</v>
      </c>
      <c r="AR115" s="22">
        <f>'Activity data'!AR74*UDSOEF*NtoN2O*kgtoGg</f>
        <v>0.76094537488964475</v>
      </c>
      <c r="AS115" s="22">
        <f>'Activity data'!AS74*UDSOEF*NtoN2O*kgtoGg</f>
        <v>0.76302818529273087</v>
      </c>
      <c r="AT115" s="22">
        <f>'Activity data'!AT74*UDSOEF*NtoN2O*kgtoGg</f>
        <v>0.76523341198680583</v>
      </c>
      <c r="AU115" s="22">
        <f>'Activity data'!AU74*UDSOEF*NtoN2O*kgtoGg</f>
        <v>0.76761119115957532</v>
      </c>
      <c r="AV115" s="22">
        <f>'Activity data'!AV74*UDSOEF*NtoN2O*kgtoGg</f>
        <v>0.77016232439967147</v>
      </c>
      <c r="AW115" s="22">
        <f>'Activity data'!AW74*UDSOEF*NtoN2O*kgtoGg</f>
        <v>0.77184151262759737</v>
      </c>
      <c r="AX115" s="22">
        <f>'Activity data'!AX74*UDSOEF*NtoN2O*kgtoGg</f>
        <v>0.7736515769208151</v>
      </c>
      <c r="AY115" s="22">
        <f>'Activity data'!AY74*UDSOEF*NtoN2O*kgtoGg</f>
        <v>0.77558124888408586</v>
      </c>
      <c r="AZ115" s="22">
        <f>'Activity data'!AZ74*UDSOEF*NtoN2O*kgtoGg</f>
        <v>0.77765221756919434</v>
      </c>
      <c r="BA115" s="22">
        <f>'Activity data'!BA74*UDSOEF*NtoN2O*kgtoGg</f>
        <v>0.7797906862662336</v>
      </c>
      <c r="BB115" s="22">
        <f>'Activity data'!BB74*UDSOEF*NtoN2O*kgtoGg</f>
        <v>0.7811163537007122</v>
      </c>
      <c r="BC115" s="22">
        <f>'Activity data'!BC74*UDSOEF*NtoN2O*kgtoGg</f>
        <v>0.78254032699837495</v>
      </c>
      <c r="BD115" s="22">
        <f>'Activity data'!BD74*UDSOEF*NtoN2O*kgtoGg</f>
        <v>0.78404012574492399</v>
      </c>
      <c r="BE115" s="22">
        <f>'Activity data'!BE74*UDSOEF*NtoN2O*kgtoGg</f>
        <v>0.78562503827513464</v>
      </c>
      <c r="BF115" s="22">
        <f>'Activity data'!BF74*UDSOEF*NtoN2O*kgtoGg</f>
        <v>0.78730345031212023</v>
      </c>
      <c r="BG115" s="22">
        <f>'Activity data'!BG74*UDSOEF*NtoN2O*kgtoGg</f>
        <v>0.78821861780581803</v>
      </c>
      <c r="BH115" s="22">
        <f>'Activity data'!BH74*UDSOEF*NtoN2O*kgtoGg</f>
        <v>0.78918935012210545</v>
      </c>
      <c r="BI115" s="22">
        <f>'Activity data'!BI74*UDSOEF*NtoN2O*kgtoGg</f>
        <v>0.79023602178732166</v>
      </c>
      <c r="BJ115" s="22">
        <f>'Activity data'!BJ74*UDSOEF*NtoN2O*kgtoGg</f>
        <v>0.79135668556159844</v>
      </c>
      <c r="BK115" s="22">
        <f>'Activity data'!BK74*UDSOEF*NtoN2O*kgtoGg</f>
        <v>0.79256558771735774</v>
      </c>
      <c r="BL115" s="22">
        <f>'Activity data'!BL74*UDSOEF*NtoN2O*kgtoGg</f>
        <v>0.79298785766331426</v>
      </c>
      <c r="BM115" s="22">
        <f>'Activity data'!BM74*UDSOEF*NtoN2O*kgtoGg</f>
        <v>0.79331656903659509</v>
      </c>
      <c r="BN115" s="22">
        <f>'Activity data'!BN74*UDSOEF*NtoN2O*kgtoGg</f>
        <v>0.79369322526599873</v>
      </c>
      <c r="BO115" s="22">
        <f>'Activity data'!BO74*UDSOEF*NtoN2O*kgtoGg</f>
        <v>0.79414770745075947</v>
      </c>
      <c r="BP115" s="22">
        <f>'Activity data'!BP74*UDSOEF*NtoN2O*kgtoGg</f>
        <v>0.79464809471787612</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1.1864531966682197</v>
      </c>
      <c r="AE116" s="22">
        <f>'Activity data'!AE75*UDSOEF*NtoN2O*kgtoGg</f>
        <v>1.1895369858002907</v>
      </c>
      <c r="AF116" s="22">
        <f>'Activity data'!AF75*UDSOEF*NtoN2O*kgtoGg</f>
        <v>1.1936955355791294</v>
      </c>
      <c r="AG116" s="22">
        <f>'Activity data'!AG75*UDSOEF*NtoN2O*kgtoGg</f>
        <v>1.1987605436321125</v>
      </c>
      <c r="AH116" s="22">
        <f>'Activity data'!AH75*UDSOEF*NtoN2O*kgtoGg</f>
        <v>1.2048272014586632</v>
      </c>
      <c r="AI116" s="22">
        <f>'Activity data'!AI75*UDSOEF*NtoN2O*kgtoGg</f>
        <v>1.2119993915556884</v>
      </c>
      <c r="AJ116" s="22">
        <f>'Activity data'!AJ75*UDSOEF*NtoN2O*kgtoGg</f>
        <v>1.2196004975827131</v>
      </c>
      <c r="AK116" s="22">
        <f>'Activity data'!AK75*UDSOEF*NtoN2O*kgtoGg</f>
        <v>1.2275415805096901</v>
      </c>
      <c r="AL116" s="22">
        <f>'Activity data'!AL75*UDSOEF*NtoN2O*kgtoGg</f>
        <v>1.2352727016599383</v>
      </c>
      <c r="AM116" s="22">
        <f>'Activity data'!AM75*UDSOEF*NtoN2O*kgtoGg</f>
        <v>1.238818649509462</v>
      </c>
      <c r="AN116" s="22">
        <f>'Activity data'!AN75*UDSOEF*NtoN2O*kgtoGg</f>
        <v>1.2426425892940813</v>
      </c>
      <c r="AO116" s="22">
        <f>'Activity data'!AO75*UDSOEF*NtoN2O*kgtoGg</f>
        <v>1.2467871186221595</v>
      </c>
      <c r="AP116" s="22">
        <f>'Activity data'!AP75*UDSOEF*NtoN2O*kgtoGg</f>
        <v>1.2512829185286929</v>
      </c>
      <c r="AQ116" s="22">
        <f>'Activity data'!AQ75*UDSOEF*NtoN2O*kgtoGg</f>
        <v>1.2561904701944779</v>
      </c>
      <c r="AR116" s="22">
        <f>'Activity data'!AR75*UDSOEF*NtoN2O*kgtoGg</f>
        <v>1.2593491386453628</v>
      </c>
      <c r="AS116" s="22">
        <f>'Activity data'!AS75*UDSOEF*NtoN2O*kgtoGg</f>
        <v>1.2627961475551268</v>
      </c>
      <c r="AT116" s="22">
        <f>'Activity data'!AT75*UDSOEF*NtoN2O*kgtoGg</f>
        <v>1.2664457529398805</v>
      </c>
      <c r="AU116" s="22">
        <f>'Activity data'!AU75*UDSOEF*NtoN2O*kgtoGg</f>
        <v>1.2703809291718808</v>
      </c>
      <c r="AV116" s="22">
        <f>'Activity data'!AV75*UDSOEF*NtoN2O*kgtoGg</f>
        <v>1.2746030028640307</v>
      </c>
      <c r="AW116" s="22">
        <f>'Activity data'!AW75*UDSOEF*NtoN2O*kgtoGg</f>
        <v>1.2773820252725296</v>
      </c>
      <c r="AX116" s="22">
        <f>'Activity data'!AX75*UDSOEF*NtoN2O*kgtoGg</f>
        <v>1.2803776449106503</v>
      </c>
      <c r="AY116" s="22">
        <f>'Activity data'!AY75*UDSOEF*NtoN2O*kgtoGg</f>
        <v>1.2835712128131631</v>
      </c>
      <c r="AZ116" s="22">
        <f>'Activity data'!AZ75*UDSOEF*NtoN2O*kgtoGg</f>
        <v>1.2869986239202102</v>
      </c>
      <c r="BA116" s="22">
        <f>'Activity data'!BA75*UDSOEF*NtoN2O*kgtoGg</f>
        <v>1.2905377461759007</v>
      </c>
      <c r="BB116" s="22">
        <f>'Activity data'!BB75*UDSOEF*NtoN2O*kgtoGg</f>
        <v>1.2927316988521784</v>
      </c>
      <c r="BC116" s="22">
        <f>'Activity data'!BC75*UDSOEF*NtoN2O*kgtoGg</f>
        <v>1.2950883457351767</v>
      </c>
      <c r="BD116" s="22">
        <f>'Activity data'!BD75*UDSOEF*NtoN2O*kgtoGg</f>
        <v>1.2975704821958689</v>
      </c>
      <c r="BE116" s="22">
        <f>'Activity data'!BE75*UDSOEF*NtoN2O*kgtoGg</f>
        <v>1.3001934802396349</v>
      </c>
      <c r="BF116" s="22">
        <f>'Activity data'!BF75*UDSOEF*NtoN2O*kgtoGg</f>
        <v>1.3029712180678941</v>
      </c>
      <c r="BG116" s="22">
        <f>'Activity data'!BG75*UDSOEF*NtoN2O*kgtoGg</f>
        <v>1.3044858016805112</v>
      </c>
      <c r="BH116" s="22">
        <f>'Activity data'!BH75*UDSOEF*NtoN2O*kgtoGg</f>
        <v>1.3060923439458467</v>
      </c>
      <c r="BI116" s="22">
        <f>'Activity data'!BI75*UDSOEF*NtoN2O*kgtoGg</f>
        <v>1.3078245642911324</v>
      </c>
      <c r="BJ116" s="22">
        <f>'Activity data'!BJ75*UDSOEF*NtoN2O*kgtoGg</f>
        <v>1.309679240073939</v>
      </c>
      <c r="BK116" s="22">
        <f>'Activity data'!BK75*UDSOEF*NtoN2O*kgtoGg</f>
        <v>1.3116799485857458</v>
      </c>
      <c r="BL116" s="22">
        <f>'Activity data'!BL75*UDSOEF*NtoN2O*kgtoGg</f>
        <v>1.3123787967688931</v>
      </c>
      <c r="BM116" s="22">
        <f>'Activity data'!BM75*UDSOEF*NtoN2O*kgtoGg</f>
        <v>1.3129228074146826</v>
      </c>
      <c r="BN116" s="22">
        <f>'Activity data'!BN75*UDSOEF*NtoN2O*kgtoGg</f>
        <v>1.3135461658234697</v>
      </c>
      <c r="BO116" s="22">
        <f>'Activity data'!BO75*UDSOEF*NtoN2O*kgtoGg</f>
        <v>1.3142983246075228</v>
      </c>
      <c r="BP116" s="22">
        <f>'Activity data'!BP75*UDSOEF*NtoN2O*kgtoGg</f>
        <v>1.3151264553704232</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0.19181822763057532</v>
      </c>
      <c r="AE117" s="22">
        <f>'Activity data'!AE76*UDSOEF*NtoN2O*kgtoGg</f>
        <v>0.19311010534642395</v>
      </c>
      <c r="AF117" s="22">
        <f>'Activity data'!AF76*UDSOEF*NtoN2O*kgtoGg</f>
        <v>0.19389173119299405</v>
      </c>
      <c r="AG117" s="22">
        <f>'Activity data'!AG76*UDSOEF*NtoN2O*kgtoGg</f>
        <v>0.19286331841675533</v>
      </c>
      <c r="AH117" s="22">
        <f>'Activity data'!AH76*UDSOEF*NtoN2O*kgtoGg</f>
        <v>0.19181235815879408</v>
      </c>
      <c r="AI117" s="22">
        <f>'Activity data'!AI76*UDSOEF*NtoN2O*kgtoGg</f>
        <v>0.19246355732374573</v>
      </c>
      <c r="AJ117" s="22">
        <f>'Activity data'!AJ76*UDSOEF*NtoN2O*kgtoGg</f>
        <v>0.19254768245204176</v>
      </c>
      <c r="AK117" s="22">
        <f>'Activity data'!AK76*UDSOEF*NtoN2O*kgtoGg</f>
        <v>0.1907519738898287</v>
      </c>
      <c r="AL117" s="22">
        <f>'Activity data'!AL76*UDSOEF*NtoN2O*kgtoGg</f>
        <v>0.18088699682644091</v>
      </c>
      <c r="AM117" s="22">
        <f>'Activity data'!AM76*UDSOEF*NtoN2O*kgtoGg</f>
        <v>0.1838972381660133</v>
      </c>
      <c r="AN117" s="22">
        <f>'Activity data'!AN76*UDSOEF*NtoN2O*kgtoGg</f>
        <v>0.18587548996919678</v>
      </c>
      <c r="AO117" s="22">
        <f>'Activity data'!AO76*UDSOEF*NtoN2O*kgtoGg</f>
        <v>0.18760159282395869</v>
      </c>
      <c r="AP117" s="22">
        <f>'Activity data'!AP76*UDSOEF*NtoN2O*kgtoGg</f>
        <v>0.1896732782375587</v>
      </c>
      <c r="AQ117" s="22">
        <f>'Activity data'!AQ76*UDSOEF*NtoN2O*kgtoGg</f>
        <v>0.1930022477976579</v>
      </c>
      <c r="AR117" s="22">
        <f>'Activity data'!AR76*UDSOEF*NtoN2O*kgtoGg</f>
        <v>0.19680822491201644</v>
      </c>
      <c r="AS117" s="22">
        <f>'Activity data'!AS76*UDSOEF*NtoN2O*kgtoGg</f>
        <v>0.20092114686502896</v>
      </c>
      <c r="AT117" s="22">
        <f>'Activity data'!AT76*UDSOEF*NtoN2O*kgtoGg</f>
        <v>0.20449468327122119</v>
      </c>
      <c r="AU117" s="22">
        <f>'Activity data'!AU76*UDSOEF*NtoN2O*kgtoGg</f>
        <v>0.20863723377024176</v>
      </c>
      <c r="AV117" s="22">
        <f>'Activity data'!AV76*UDSOEF*NtoN2O*kgtoGg</f>
        <v>0.21348409201000912</v>
      </c>
      <c r="AW117" s="22">
        <f>'Activity data'!AW76*UDSOEF*NtoN2O*kgtoGg</f>
        <v>0.21835511855598433</v>
      </c>
      <c r="AX117" s="22">
        <f>'Activity data'!AX76*UDSOEF*NtoN2O*kgtoGg</f>
        <v>0.22343868148870985</v>
      </c>
      <c r="AY117" s="22">
        <f>'Activity data'!AY76*UDSOEF*NtoN2O*kgtoGg</f>
        <v>0.22861834548683552</v>
      </c>
      <c r="AZ117" s="22">
        <f>'Activity data'!AZ76*UDSOEF*NtoN2O*kgtoGg</f>
        <v>0.23439670920107816</v>
      </c>
      <c r="BA117" s="22">
        <f>'Activity data'!BA76*UDSOEF*NtoN2O*kgtoGg</f>
        <v>0.23945118587989581</v>
      </c>
      <c r="BB117" s="22">
        <f>'Activity data'!BB76*UDSOEF*NtoN2O*kgtoGg</f>
        <v>0.24500563890300198</v>
      </c>
      <c r="BC117" s="22">
        <f>'Activity data'!BC76*UDSOEF*NtoN2O*kgtoGg</f>
        <v>0.25065226424650994</v>
      </c>
      <c r="BD117" s="22">
        <f>'Activity data'!BD76*UDSOEF*NtoN2O*kgtoGg</f>
        <v>0.25603495440723167</v>
      </c>
      <c r="BE117" s="22">
        <f>'Activity data'!BE76*UDSOEF*NtoN2O*kgtoGg</f>
        <v>0.26139389266760604</v>
      </c>
      <c r="BF117" s="22">
        <f>'Activity data'!BF76*UDSOEF*NtoN2O*kgtoGg</f>
        <v>0.26694586167829398</v>
      </c>
      <c r="BG117" s="22">
        <f>'Activity data'!BG76*UDSOEF*NtoN2O*kgtoGg</f>
        <v>0.2729875481925238</v>
      </c>
      <c r="BH117" s="22">
        <f>'Activity data'!BH76*UDSOEF*NtoN2O*kgtoGg</f>
        <v>0.27866949697835908</v>
      </c>
      <c r="BI117" s="22">
        <f>'Activity data'!BI76*UDSOEF*NtoN2O*kgtoGg</f>
        <v>0.28442636508269281</v>
      </c>
      <c r="BJ117" s="22">
        <f>'Activity data'!BJ76*UDSOEF*NtoN2O*kgtoGg</f>
        <v>0.29026877942449542</v>
      </c>
      <c r="BK117" s="22">
        <f>'Activity data'!BK76*UDSOEF*NtoN2O*kgtoGg</f>
        <v>0.2965076361345787</v>
      </c>
      <c r="BL117" s="22">
        <f>'Activity data'!BL76*UDSOEF*NtoN2O*kgtoGg</f>
        <v>0.30314124222534444</v>
      </c>
      <c r="BM117" s="22">
        <f>'Activity data'!BM76*UDSOEF*NtoN2O*kgtoGg</f>
        <v>0.30687944467675132</v>
      </c>
      <c r="BN117" s="22">
        <f>'Activity data'!BN76*UDSOEF*NtoN2O*kgtoGg</f>
        <v>0.31041516575775774</v>
      </c>
      <c r="BO117" s="22">
        <f>'Activity data'!BO76*UDSOEF*NtoN2O*kgtoGg</f>
        <v>0.31434593932944749</v>
      </c>
      <c r="BP117" s="22">
        <f>'Activity data'!BP76*UDSOEF*NtoN2O*kgtoGg</f>
        <v>0.31810899011348942</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0.66056660352543128</v>
      </c>
      <c r="AF135" s="22">
        <f>'Activity data'!AF47*ttokg*FracGASF*MSVolatEF*NtoN2O*kgtoGg</f>
        <v>0.66042995522505377</v>
      </c>
      <c r="AG135" s="22">
        <f>'Activity data'!AG47*ttokg*FracGASF*MSVolatEF*NtoN2O*kgtoGg</f>
        <v>0.66031365898338112</v>
      </c>
      <c r="AH135" s="22">
        <f>'Activity data'!AH47*ttokg*FracGASF*MSVolatEF*NtoN2O*kgtoGg</f>
        <v>0.66027560568732091</v>
      </c>
      <c r="AI135" s="22">
        <f>'Activity data'!AI47*ttokg*FracGASF*MSVolatEF*NtoN2O*kgtoGg</f>
        <v>0.66023708971175277</v>
      </c>
      <c r="AJ135" s="22">
        <f>'Activity data'!AJ47*ttokg*FracGASF*MSVolatEF*NtoN2O*kgtoGg</f>
        <v>0.66011966991986881</v>
      </c>
      <c r="AK135" s="22">
        <f>'Activity data'!AK47*ttokg*FracGASF*MSVolatEF*NtoN2O*kgtoGg</f>
        <v>0.66002765167075472</v>
      </c>
      <c r="AL135" s="22">
        <f>'Activity data'!AL47*ttokg*FracGASF*MSVolatEF*NtoN2O*kgtoGg</f>
        <v>0.66002145648060517</v>
      </c>
      <c r="AM135" s="22">
        <f>'Activity data'!AM47*ttokg*FracGASF*MSVolatEF*NtoN2O*kgtoGg</f>
        <v>0.66040420720172732</v>
      </c>
      <c r="AN135" s="22">
        <f>'Activity data'!AN47*ttokg*FracGASF*MSVolatEF*NtoN2O*kgtoGg</f>
        <v>0.66019485697997204</v>
      </c>
      <c r="AO135" s="22">
        <f>'Activity data'!AO47*ttokg*FracGASF*MSVolatEF*NtoN2O*kgtoGg</f>
        <v>0.66003652312909888</v>
      </c>
      <c r="AP135" s="22">
        <f>'Activity data'!AP47*ttokg*FracGASF*MSVolatEF*NtoN2O*kgtoGg</f>
        <v>0.65989054673114655</v>
      </c>
      <c r="AQ135" s="22">
        <f>'Activity data'!AQ47*ttokg*FracGASF*MSVolatEF*NtoN2O*kgtoGg</f>
        <v>0.65972835879321112</v>
      </c>
      <c r="AR135" s="22">
        <f>'Activity data'!AR47*ttokg*FracGASF*MSVolatEF*NtoN2O*kgtoGg</f>
        <v>0.65950794659321976</v>
      </c>
      <c r="AS135" s="22">
        <f>'Activity data'!AS47*ttokg*FracGASF*MSVolatEF*NtoN2O*kgtoGg</f>
        <v>0.65927714888243172</v>
      </c>
      <c r="AT135" s="22">
        <f>'Activity data'!AT47*ttokg*FracGASF*MSVolatEF*NtoN2O*kgtoGg</f>
        <v>0.65903551292141993</v>
      </c>
      <c r="AU135" s="22">
        <f>'Activity data'!AU47*ttokg*FracGASF*MSVolatEF*NtoN2O*kgtoGg</f>
        <v>0.65882075529961204</v>
      </c>
      <c r="AV135" s="22">
        <f>'Activity data'!AV47*ttokg*FracGASF*MSVolatEF*NtoN2O*kgtoGg</f>
        <v>0.65858383398788667</v>
      </c>
      <c r="AW135" s="22">
        <f>'Activity data'!AW47*ttokg*FracGASF*MSVolatEF*NtoN2O*kgtoGg</f>
        <v>0.65832049506454571</v>
      </c>
      <c r="AX135" s="22">
        <f>'Activity data'!AX47*ttokg*FracGASF*MSVolatEF*NtoN2O*kgtoGg</f>
        <v>0.65806825645343991</v>
      </c>
      <c r="AY135" s="22">
        <f>'Activity data'!AY47*ttokg*FracGASF*MSVolatEF*NtoN2O*kgtoGg</f>
        <v>0.65781181226611019</v>
      </c>
      <c r="AZ135" s="22">
        <f>'Activity data'!AZ47*ttokg*FracGASF*MSVolatEF*NtoN2O*kgtoGg</f>
        <v>0.65755610222279148</v>
      </c>
      <c r="BA135" s="22">
        <f>'Activity data'!BA47*ttokg*FracGASF*MSVolatEF*NtoN2O*kgtoGg</f>
        <v>0.65728213410220515</v>
      </c>
      <c r="BB135" s="22">
        <f>'Activity data'!BB47*ttokg*FracGASF*MSVolatEF*NtoN2O*kgtoGg</f>
        <v>0.65704025946446432</v>
      </c>
      <c r="BC135" s="22">
        <f>'Activity data'!BC47*ttokg*FracGASF*MSVolatEF*NtoN2O*kgtoGg</f>
        <v>0.65679167627959911</v>
      </c>
      <c r="BD135" s="22">
        <f>'Activity data'!BD47*ttokg*FracGASF*MSVolatEF*NtoN2O*kgtoGg</f>
        <v>0.65654442966296833</v>
      </c>
      <c r="BE135" s="22">
        <f>'Activity data'!BE47*ttokg*FracGASF*MSVolatEF*NtoN2O*kgtoGg</f>
        <v>0.6563107846246663</v>
      </c>
      <c r="BF135" s="22">
        <f>'Activity data'!BF47*ttokg*FracGASF*MSVolatEF*NtoN2O*kgtoGg</f>
        <v>0.65608183818668697</v>
      </c>
      <c r="BG135" s="22">
        <f>'Activity data'!BG47*ttokg*FracGASF*MSVolatEF*NtoN2O*kgtoGg</f>
        <v>0.6558502326056066</v>
      </c>
      <c r="BH135" s="22">
        <f>'Activity data'!BH47*ttokg*FracGASF*MSVolatEF*NtoN2O*kgtoGg</f>
        <v>0.65561383844940613</v>
      </c>
      <c r="BI135" s="22">
        <f>'Activity data'!BI47*ttokg*FracGASF*MSVolatEF*NtoN2O*kgtoGg</f>
        <v>0.65539317250053775</v>
      </c>
      <c r="BJ135" s="22">
        <f>'Activity data'!BJ47*ttokg*FracGASF*MSVolatEF*NtoN2O*kgtoGg</f>
        <v>0.65517393492300557</v>
      </c>
      <c r="BK135" s="22">
        <f>'Activity data'!BK47*ttokg*FracGASF*MSVolatEF*NtoN2O*kgtoGg</f>
        <v>0.65495579618392019</v>
      </c>
      <c r="BL135" s="22">
        <f>'Activity data'!BL47*ttokg*FracGASF*MSVolatEF*NtoN2O*kgtoGg</f>
        <v>0.65472963164045961</v>
      </c>
      <c r="BM135" s="22">
        <f>'Activity data'!BM47*ttokg*FracGASF*MSVolatEF*NtoN2O*kgtoGg</f>
        <v>0.65450342769214809</v>
      </c>
      <c r="BN135" s="22">
        <f>'Activity data'!BN47*ttokg*FracGASF*MSVolatEF*NtoN2O*kgtoGg</f>
        <v>0.65436308710087154</v>
      </c>
      <c r="BO135" s="22">
        <f>'Activity data'!BO47*ttokg*FracGASF*MSVolatEF*NtoN2O*kgtoGg</f>
        <v>0.65422967735758231</v>
      </c>
      <c r="BP135" s="22">
        <f>'Activity data'!BP47*ttokg*FracGASF*MSVolatEF*NtoN2O*kgtoGg</f>
        <v>0.65408646829531714</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8.7194791665356954E-3</v>
      </c>
      <c r="AF136" s="22">
        <f>'Activity data'!AF48*ttokg*FracGASM*MSVolatEF*NtoN2O*kgtoGg</f>
        <v>8.7176754089707108E-3</v>
      </c>
      <c r="AG136" s="22">
        <f>'Activity data'!AG48*ttokg*FracGASM*MSVolatEF*NtoN2O*kgtoGg</f>
        <v>8.7161402985806314E-3</v>
      </c>
      <c r="AH136" s="22">
        <f>'Activity data'!AH48*ttokg*FracGASM*MSVolatEF*NtoN2O*kgtoGg</f>
        <v>8.7156379950726372E-3</v>
      </c>
      <c r="AI136" s="22">
        <f>'Activity data'!AI48*ttokg*FracGASM*MSVolatEF*NtoN2O*kgtoGg</f>
        <v>8.7151295841951387E-3</v>
      </c>
      <c r="AJ136" s="22">
        <f>'Activity data'!AJ48*ttokg*FracGASM*MSVolatEF*NtoN2O*kgtoGg</f>
        <v>8.7135796429422714E-3</v>
      </c>
      <c r="AK136" s="22">
        <f>'Activity data'!AK48*ttokg*FracGASM*MSVolatEF*NtoN2O*kgtoGg</f>
        <v>8.7123650020539626E-3</v>
      </c>
      <c r="AL136" s="22">
        <f>'Activity data'!AL48*ttokg*FracGASM*MSVolatEF*NtoN2O*kgtoGg</f>
        <v>8.7122832255439892E-3</v>
      </c>
      <c r="AM136" s="22">
        <f>'Activity data'!AM48*ttokg*FracGASM*MSVolatEF*NtoN2O*kgtoGg</f>
        <v>8.7173355350628028E-3</v>
      </c>
      <c r="AN136" s="22">
        <f>'Activity data'!AN48*ttokg*FracGASM*MSVolatEF*NtoN2O*kgtoGg</f>
        <v>8.7145721121356327E-3</v>
      </c>
      <c r="AO136" s="22">
        <f>'Activity data'!AO48*ttokg*FracGASM*MSVolatEF*NtoN2O*kgtoGg</f>
        <v>8.7124821053041063E-3</v>
      </c>
      <c r="AP136" s="22">
        <f>'Activity data'!AP48*ttokg*FracGASM*MSVolatEF*NtoN2O*kgtoGg</f>
        <v>8.7105552168511343E-3</v>
      </c>
      <c r="AQ136" s="22">
        <f>'Activity data'!AQ48*ttokg*FracGASM*MSVolatEF*NtoN2O*kgtoGg</f>
        <v>8.7084143360703897E-3</v>
      </c>
      <c r="AR136" s="22">
        <f>'Activity data'!AR48*ttokg*FracGASM*MSVolatEF*NtoN2O*kgtoGg</f>
        <v>8.7055048950305004E-3</v>
      </c>
      <c r="AS136" s="22">
        <f>'Activity data'!AS48*ttokg*FracGASM*MSVolatEF*NtoN2O*kgtoGg</f>
        <v>8.7024583652481006E-3</v>
      </c>
      <c r="AT136" s="22">
        <f>'Activity data'!AT48*ttokg*FracGASM*MSVolatEF*NtoN2O*kgtoGg</f>
        <v>8.6992687705627434E-3</v>
      </c>
      <c r="AU136" s="22">
        <f>'Activity data'!AU48*ttokg*FracGASM*MSVolatEF*NtoN2O*kgtoGg</f>
        <v>8.6964339699548802E-3</v>
      </c>
      <c r="AV136" s="22">
        <f>'Activity data'!AV48*ttokg*FracGASM*MSVolatEF*NtoN2O*kgtoGg</f>
        <v>8.6933066086401032E-3</v>
      </c>
      <c r="AW136" s="22">
        <f>'Activity data'!AW48*ttokg*FracGASM*MSVolatEF*NtoN2O*kgtoGg</f>
        <v>8.6898305348520055E-3</v>
      </c>
      <c r="AX136" s="22">
        <f>'Activity data'!AX48*ttokg*FracGASM*MSVolatEF*NtoN2O*kgtoGg</f>
        <v>8.6865009851854087E-3</v>
      </c>
      <c r="AY136" s="22">
        <f>'Activity data'!AY48*ttokg*FracGASM*MSVolatEF*NtoN2O*kgtoGg</f>
        <v>8.6831159219126538E-3</v>
      </c>
      <c r="AZ136" s="22">
        <f>'Activity data'!AZ48*ttokg*FracGASM*MSVolatEF*NtoN2O*kgtoGg</f>
        <v>8.6797405493408489E-3</v>
      </c>
      <c r="BA136" s="22">
        <f>'Activity data'!BA48*ttokg*FracGASM*MSVolatEF*NtoN2O*kgtoGg</f>
        <v>8.6761241701491087E-3</v>
      </c>
      <c r="BB136" s="22">
        <f>'Activity data'!BB48*ttokg*FracGASM*MSVolatEF*NtoN2O*kgtoGg</f>
        <v>8.672931424930929E-3</v>
      </c>
      <c r="BC136" s="22">
        <f>'Activity data'!BC48*ttokg*FracGASM*MSVolatEF*NtoN2O*kgtoGg</f>
        <v>8.6696501268907124E-3</v>
      </c>
      <c r="BD136" s="22">
        <f>'Activity data'!BD48*ttokg*FracGASM*MSVolatEF*NtoN2O*kgtoGg</f>
        <v>8.6663864715511834E-3</v>
      </c>
      <c r="BE136" s="22">
        <f>'Activity data'!BE48*ttokg*FracGASM*MSVolatEF*NtoN2O*kgtoGg</f>
        <v>8.6633023570455974E-3</v>
      </c>
      <c r="BF136" s="22">
        <f>'Activity data'!BF48*ttokg*FracGASM*MSVolatEF*NtoN2O*kgtoGg</f>
        <v>8.6602802640642716E-3</v>
      </c>
      <c r="BG136" s="22">
        <f>'Activity data'!BG48*ttokg*FracGASM*MSVolatEF*NtoN2O*kgtoGg</f>
        <v>8.6572230703940104E-3</v>
      </c>
      <c r="BH136" s="22">
        <f>'Activity data'!BH48*ttokg*FracGASM*MSVolatEF*NtoN2O*kgtoGg</f>
        <v>8.6541026675321618E-3</v>
      </c>
      <c r="BI136" s="22">
        <f>'Activity data'!BI48*ttokg*FracGASM*MSVolatEF*NtoN2O*kgtoGg</f>
        <v>8.651189877007099E-3</v>
      </c>
      <c r="BJ136" s="22">
        <f>'Activity data'!BJ48*ttokg*FracGASM*MSVolatEF*NtoN2O*kgtoGg</f>
        <v>8.6482959409836767E-3</v>
      </c>
      <c r="BK136" s="22">
        <f>'Activity data'!BK48*ttokg*FracGASM*MSVolatEF*NtoN2O*kgtoGg</f>
        <v>8.6454165096277492E-3</v>
      </c>
      <c r="BL136" s="22">
        <f>'Activity data'!BL48*ttokg*FracGASM*MSVolatEF*NtoN2O*kgtoGg</f>
        <v>8.642431137654066E-3</v>
      </c>
      <c r="BM136" s="22">
        <f>'Activity data'!BM48*ttokg*FracGASM*MSVolatEF*NtoN2O*kgtoGg</f>
        <v>8.6394452455363525E-3</v>
      </c>
      <c r="BN136" s="22">
        <f>'Activity data'!BN48*ttokg*FracGASM*MSVolatEF*NtoN2O*kgtoGg</f>
        <v>8.6375927497315073E-3</v>
      </c>
      <c r="BO136" s="22">
        <f>'Activity data'!BO48*ttokg*FracGASM*MSVolatEF*NtoN2O*kgtoGg</f>
        <v>8.635831741120089E-3</v>
      </c>
      <c r="BP136" s="22">
        <f>'Activity data'!BP48*ttokg*FracGASM*MSVolatEF*NtoN2O*kgtoGg</f>
        <v>8.6339413814981846E-3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1.2055794850635659</v>
      </c>
      <c r="AE137" s="22">
        <f>SUM('Activity data'!AE50:AE65)*FracGASM*MSVolatEF*NtoN2O*kgtoGg</f>
        <v>1.2104278424184185</v>
      </c>
      <c r="AF137" s="22">
        <f>SUM('Activity data'!AF50:AF65)*FracGASM*MSVolatEF*NtoN2O*kgtoGg</f>
        <v>1.2110410080270337</v>
      </c>
      <c r="AG137" s="22">
        <f>SUM('Activity data'!AG50:AG65)*FracGASM*MSVolatEF*NtoN2O*kgtoGg</f>
        <v>1.1943250378730979</v>
      </c>
      <c r="AH137" s="22">
        <f>SUM('Activity data'!AH50:AH65)*FracGASM*MSVolatEF*NtoN2O*kgtoGg</f>
        <v>1.1785336367211481</v>
      </c>
      <c r="AI137" s="22">
        <f>SUM('Activity data'!AI50:AI65)*FracGASM*MSVolatEF*NtoN2O*kgtoGg</f>
        <v>1.1807984846872717</v>
      </c>
      <c r="AJ137" s="22">
        <f>SUM('Activity data'!AJ50:AJ65)*FracGASM*MSVolatEF*NtoN2O*kgtoGg</f>
        <v>1.1777806975328995</v>
      </c>
      <c r="AK137" s="22">
        <f>SUM('Activity data'!AK50:AK65)*FracGASM*MSVolatEF*NtoN2O*kgtoGg</f>
        <v>1.1565987272959932</v>
      </c>
      <c r="AL137" s="22">
        <f>SUM('Activity data'!AL50:AL65)*FracGASM*MSVolatEF*NtoN2O*kgtoGg</f>
        <v>1.0565661190304907</v>
      </c>
      <c r="AM137" s="22">
        <f>SUM('Activity data'!AM50:AM65)*FracGASM*MSVolatEF*NtoN2O*kgtoGg</f>
        <v>1.0843981444045876</v>
      </c>
      <c r="AN137" s="22">
        <f>SUM('Activity data'!AN50:AN65)*FracGASM*MSVolatEF*NtoN2O*kgtoGg</f>
        <v>1.1022978887172767</v>
      </c>
      <c r="AO137" s="22">
        <f>SUM('Activity data'!AO50:AO65)*FracGASM*MSVolatEF*NtoN2O*kgtoGg</f>
        <v>1.1179525333401792</v>
      </c>
      <c r="AP137" s="22">
        <f>SUM('Activity data'!AP50:AP65)*FracGASM*MSVolatEF*NtoN2O*kgtoGg</f>
        <v>1.1371937582920058</v>
      </c>
      <c r="AQ137" s="22">
        <f>SUM('Activity data'!AQ50:AQ65)*FracGASM*MSVolatEF*NtoN2O*kgtoGg</f>
        <v>1.1688596383194103</v>
      </c>
      <c r="AR137" s="22">
        <f>SUM('Activity data'!AR50:AR65)*FracGASM*MSVolatEF*NtoN2O*kgtoGg</f>
        <v>1.2033526446166931</v>
      </c>
      <c r="AS137" s="22">
        <f>SUM('Activity data'!AS50:AS65)*FracGASM*MSVolatEF*NtoN2O*kgtoGg</f>
        <v>1.2408507133252609</v>
      </c>
      <c r="AT137" s="22">
        <f>SUM('Activity data'!AT50:AT65)*FracGASM*MSVolatEF*NtoN2O*kgtoGg</f>
        <v>1.2731843133951926</v>
      </c>
      <c r="AU137" s="22">
        <f>SUM('Activity data'!AU50:AU65)*FracGASM*MSVolatEF*NtoN2O*kgtoGg</f>
        <v>1.3110551040849183</v>
      </c>
      <c r="AV137" s="22">
        <f>SUM('Activity data'!AV50:AV65)*FracGASM*MSVolatEF*NtoN2O*kgtoGg</f>
        <v>1.355728169291323</v>
      </c>
      <c r="AW137" s="22">
        <f>SUM('Activity data'!AW50:AW65)*FracGASM*MSVolatEF*NtoN2O*kgtoGg</f>
        <v>1.3939596257860098</v>
      </c>
      <c r="AX137" s="22">
        <f>SUM('Activity data'!AX50:AX65)*FracGASM*MSVolatEF*NtoN2O*kgtoGg</f>
        <v>1.4337807294637712</v>
      </c>
      <c r="AY137" s="22">
        <f>SUM('Activity data'!AY50:AY65)*FracGASM*MSVolatEF*NtoN2O*kgtoGg</f>
        <v>1.47406827607512</v>
      </c>
      <c r="AZ137" s="22">
        <f>SUM('Activity data'!AZ50:AZ65)*FracGASM*MSVolatEF*NtoN2O*kgtoGg</f>
        <v>1.5194978047800693</v>
      </c>
      <c r="BA137" s="22">
        <f>SUM('Activity data'!BA50:BA65)*FracGASM*MSVolatEF*NtoN2O*kgtoGg</f>
        <v>1.5577289711925291</v>
      </c>
      <c r="BB137" s="22">
        <f>SUM('Activity data'!BB50:BB65)*FracGASM*MSVolatEF*NtoN2O*kgtoGg</f>
        <v>1.5982604880799263</v>
      </c>
      <c r="BC137" s="22">
        <f>SUM('Activity data'!BC50:BC65)*FracGASM*MSVolatEF*NtoN2O*kgtoGg</f>
        <v>1.6390864176929789</v>
      </c>
      <c r="BD137" s="22">
        <f>SUM('Activity data'!BD50:BD65)*FracGASM*MSVolatEF*NtoN2O*kgtoGg</f>
        <v>1.6769805965077378</v>
      </c>
      <c r="BE137" s="22">
        <f>SUM('Activity data'!BE50:BE65)*FracGASM*MSVolatEF*NtoN2O*kgtoGg</f>
        <v>1.7141634850883904</v>
      </c>
      <c r="BF137" s="22">
        <f>SUM('Activity data'!BF50:BF65)*FracGASM*MSVolatEF*NtoN2O*kgtoGg</f>
        <v>1.7525800299502974</v>
      </c>
      <c r="BG137" s="22">
        <f>SUM('Activity data'!BG50:BG65)*FracGASM*MSVolatEF*NtoN2O*kgtoGg</f>
        <v>1.7962799809461818</v>
      </c>
      <c r="BH137" s="22">
        <f>SUM('Activity data'!BH50:BH65)*FracGASM*MSVolatEF*NtoN2O*kgtoGg</f>
        <v>1.8363745934977889</v>
      </c>
      <c r="BI137" s="22">
        <f>SUM('Activity data'!BI50:BI65)*FracGASM*MSVolatEF*NtoN2O*kgtoGg</f>
        <v>1.8767319429652667</v>
      </c>
      <c r="BJ137" s="22">
        <f>SUM('Activity data'!BJ50:BJ65)*FracGASM*MSVolatEF*NtoN2O*kgtoGg</f>
        <v>1.9174419078072971</v>
      </c>
      <c r="BK137" s="22">
        <f>SUM('Activity data'!BK50:BK65)*FracGASM*MSVolatEF*NtoN2O*kgtoGg</f>
        <v>1.9611841098019933</v>
      </c>
      <c r="BL137" s="22">
        <f>SUM('Activity data'!BL50:BL65)*FracGASM*MSVolatEF*NtoN2O*kgtoGg</f>
        <v>2.0057175014121866</v>
      </c>
      <c r="BM137" s="22">
        <f>SUM('Activity data'!BM50:BM65)*FracGASM*MSVolatEF*NtoN2O*kgtoGg</f>
        <v>2.0250554676371522</v>
      </c>
      <c r="BN137" s="22">
        <f>SUM('Activity data'!BN50:BN65)*FracGASM*MSVolatEF*NtoN2O*kgtoGg</f>
        <v>2.0424822718000586</v>
      </c>
      <c r="BO137" s="22">
        <f>SUM('Activity data'!BO50:BO65)*FracGASM*MSVolatEF*NtoN2O*kgtoGg</f>
        <v>2.0630523613917346</v>
      </c>
      <c r="BP137" s="22">
        <f>SUM('Activity data'!BP50:BP65)*FracGASM*MSVolatEF*NtoN2O*kgtoGg</f>
        <v>2.082006990762475</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4.4098974147867755</v>
      </c>
      <c r="AE138" s="22">
        <f>SUM('Activity data'!AE66:AE81)*FracGASM*MSVolatEF*NtoN2O*kgtoGg</f>
        <v>4.4002705988392581</v>
      </c>
      <c r="AF138" s="22">
        <f>SUM('Activity data'!AF66:AF81)*FracGASM*MSVolatEF*NtoN2O*kgtoGg</f>
        <v>4.3810790490560496</v>
      </c>
      <c r="AG138" s="22">
        <f>SUM('Activity data'!AG66:AG81)*FracGASM*MSVolatEF*NtoN2O*kgtoGg</f>
        <v>4.3210884872533324</v>
      </c>
      <c r="AH138" s="22">
        <f>SUM('Activity data'!AH66:AH81)*FracGASM*MSVolatEF*NtoN2O*kgtoGg</f>
        <v>4.2648964492483783</v>
      </c>
      <c r="AI138" s="22">
        <f>SUM('Activity data'!AI66:AI81)*FracGASM*MSVolatEF*NtoN2O*kgtoGg</f>
        <v>4.2527084614653266</v>
      </c>
      <c r="AJ138" s="22">
        <f>SUM('Activity data'!AJ66:AJ81)*FracGASM*MSVolatEF*NtoN2O*kgtoGg</f>
        <v>4.2283311412429541</v>
      </c>
      <c r="AK138" s="22">
        <f>SUM('Activity data'!AK66:AK81)*FracGASM*MSVolatEF*NtoN2O*kgtoGg</f>
        <v>4.1624951000433894</v>
      </c>
      <c r="AL138" s="22">
        <f>SUM('Activity data'!AL66:AL81)*FracGASM*MSVolatEF*NtoN2O*kgtoGg</f>
        <v>3.918294133105289</v>
      </c>
      <c r="AM138" s="22">
        <f>SUM('Activity data'!AM66:AM81)*FracGASM*MSVolatEF*NtoN2O*kgtoGg</f>
        <v>3.9728149933985741</v>
      </c>
      <c r="AN138" s="22">
        <f>SUM('Activity data'!AN66:AN81)*FracGASM*MSVolatEF*NtoN2O*kgtoGg</f>
        <v>4.0046383553460947</v>
      </c>
      <c r="AO138" s="22">
        <f>SUM('Activity data'!AO66:AO81)*FracGASM*MSVolatEF*NtoN2O*kgtoGg</f>
        <v>4.0313393560711299</v>
      </c>
      <c r="AP138" s="22">
        <f>SUM('Activity data'!AP66:AP81)*FracGASM*MSVolatEF*NtoN2O*kgtoGg</f>
        <v>4.0659554364901567</v>
      </c>
      <c r="AQ138" s="22">
        <f>SUM('Activity data'!AQ66:AQ81)*FracGASM*MSVolatEF*NtoN2O*kgtoGg</f>
        <v>4.127860980146191</v>
      </c>
      <c r="AR138" s="22">
        <f>SUM('Activity data'!AR66:AR81)*FracGASM*MSVolatEF*NtoN2O*kgtoGg</f>
        <v>4.1932975047825973</v>
      </c>
      <c r="AS138" s="22">
        <f>SUM('Activity data'!AS66:AS81)*FracGASM*MSVolatEF*NtoN2O*kgtoGg</f>
        <v>4.2646556600059613</v>
      </c>
      <c r="AT138" s="22">
        <f>SUM('Activity data'!AT66:AT81)*FracGASM*MSVolatEF*NtoN2O*kgtoGg</f>
        <v>4.3240622404895737</v>
      </c>
      <c r="AU138" s="22">
        <f>SUM('Activity data'!AU66:AU81)*FracGASM*MSVolatEF*NtoN2O*kgtoGg</f>
        <v>4.3947968135079751</v>
      </c>
      <c r="AV138" s="22">
        <f>SUM('Activity data'!AV66:AV81)*FracGASM*MSVolatEF*NtoN2O*kgtoGg</f>
        <v>4.4793345574908621</v>
      </c>
      <c r="AW138" s="22">
        <f>SUM('Activity data'!AW66:AW81)*FracGASM*MSVolatEF*NtoN2O*kgtoGg</f>
        <v>4.5365384381843912</v>
      </c>
      <c r="AX138" s="22">
        <f>SUM('Activity data'!AX66:AX81)*FracGASM*MSVolatEF*NtoN2O*kgtoGg</f>
        <v>4.5953040720129232</v>
      </c>
      <c r="AY138" s="22">
        <f>SUM('Activity data'!AY66:AY81)*FracGASM*MSVolatEF*NtoN2O*kgtoGg</f>
        <v>4.6531478649857521</v>
      </c>
      <c r="AZ138" s="22">
        <f>SUM('Activity data'!AZ66:AZ81)*FracGASM*MSVolatEF*NtoN2O*kgtoGg</f>
        <v>4.7195989933520908</v>
      </c>
      <c r="BA138" s="22">
        <f>SUM('Activity data'!BA66:BA81)*FracGASM*MSVolatEF*NtoN2O*kgtoGg</f>
        <v>4.7691902048211627</v>
      </c>
      <c r="BB138" s="22">
        <f>SUM('Activity data'!BB66:BB81)*FracGASM*MSVolatEF*NtoN2O*kgtoGg</f>
        <v>4.8198409519315524</v>
      </c>
      <c r="BC138" s="22">
        <f>SUM('Activity data'!BC66:BC81)*FracGASM*MSVolatEF*NtoN2O*kgtoGg</f>
        <v>4.8689648702732589</v>
      </c>
      <c r="BD138" s="22">
        <f>SUM('Activity data'!BD66:BD81)*FracGASM*MSVolatEF*NtoN2O*kgtoGg</f>
        <v>4.9101688608077527</v>
      </c>
      <c r="BE138" s="22">
        <f>SUM('Activity data'!BE66:BE81)*FracGASM*MSVolatEF*NtoN2O*kgtoGg</f>
        <v>4.9479174362838023</v>
      </c>
      <c r="BF138" s="22">
        <f>SUM('Activity data'!BF66:BF81)*FracGASM*MSVolatEF*NtoN2O*kgtoGg</f>
        <v>4.9859362473479623</v>
      </c>
      <c r="BG138" s="22">
        <f>SUM('Activity data'!BG66:BG81)*FracGASM*MSVolatEF*NtoN2O*kgtoGg</f>
        <v>5.0387466715290952</v>
      </c>
      <c r="BH138" s="22">
        <f>SUM('Activity data'!BH66:BH81)*FracGASM*MSVolatEF*NtoN2O*kgtoGg</f>
        <v>5.0829929376217953</v>
      </c>
      <c r="BI138" s="22">
        <f>SUM('Activity data'!BI66:BI81)*FracGASM*MSVolatEF*NtoN2O*kgtoGg</f>
        <v>5.1260297941923829</v>
      </c>
      <c r="BJ138" s="22">
        <f>SUM('Activity data'!BJ66:BJ81)*FracGASM*MSVolatEF*NtoN2O*kgtoGg</f>
        <v>5.1679798732444908</v>
      </c>
      <c r="BK138" s="22">
        <f>SUM('Activity data'!BK66:BK81)*FracGASM*MSVolatEF*NtoN2O*kgtoGg</f>
        <v>5.2136546695362291</v>
      </c>
      <c r="BL138" s="22">
        <f>SUM('Activity data'!BL66:BL81)*FracGASM*MSVolatEF*NtoN2O*kgtoGg</f>
        <v>5.2573345909610909</v>
      </c>
      <c r="BM138" s="22">
        <f>SUM('Activity data'!BM66:BM81)*FracGASM*MSVolatEF*NtoN2O*kgtoGg</f>
        <v>5.2543577680109008</v>
      </c>
      <c r="BN138" s="22">
        <f>SUM('Activity data'!BN66:BN81)*FracGASM*MSVolatEF*NtoN2O*kgtoGg</f>
        <v>5.2470482911537353</v>
      </c>
      <c r="BO138" s="22">
        <f>SUM('Activity data'!BO66:BO81)*FracGASM*MSVolatEF*NtoN2O*kgtoGg</f>
        <v>5.2442604689487187</v>
      </c>
      <c r="BP138" s="22">
        <f>SUM('Activity data'!BP66:BP81)*FracGASM*MSVolatEF*NtoN2O*kgtoGg</f>
        <v>5.2376395842644694</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2.278954782162738E-4</v>
      </c>
      <c r="AF139" s="22">
        <f>'Activity data'!AF47*FracLEACH*MSLeachEF*NtoN2O*kgtoGg</f>
        <v>2.2784833455264354E-4</v>
      </c>
      <c r="AG139" s="22">
        <f>'Activity data'!AG47*FracLEACH*MSLeachEF*NtoN2O*kgtoGg</f>
        <v>2.2780821234926642E-4</v>
      </c>
      <c r="AH139" s="22">
        <f>'Activity data'!AH47*FracLEACH*MSLeachEF*NtoN2O*kgtoGg</f>
        <v>2.2779508396212562E-4</v>
      </c>
      <c r="AI139" s="22">
        <f>'Activity data'!AI47*FracLEACH*MSLeachEF*NtoN2O*kgtoGg</f>
        <v>2.2778179595055463E-4</v>
      </c>
      <c r="AJ139" s="22">
        <f>'Activity data'!AJ47*FracLEACH*MSLeachEF*NtoN2O*kgtoGg</f>
        <v>2.2774128612235473E-4</v>
      </c>
      <c r="AK139" s="22">
        <f>'Activity data'!AK47*FracLEACH*MSLeachEF*NtoN2O*kgtoGg</f>
        <v>2.2770953982641034E-4</v>
      </c>
      <c r="AL139" s="22">
        <f>'Activity data'!AL47*FracLEACH*MSLeachEF*NtoN2O*kgtoGg</f>
        <v>2.2770740248580869E-4</v>
      </c>
      <c r="AM139" s="22">
        <f>'Activity data'!AM47*FracLEACH*MSLeachEF*NtoN2O*kgtoGg</f>
        <v>2.2783945148459591E-4</v>
      </c>
      <c r="AN139" s="22">
        <f>'Activity data'!AN47*FracLEACH*MSLeachEF*NtoN2O*kgtoGg</f>
        <v>2.2776722565809031E-4</v>
      </c>
      <c r="AO139" s="22">
        <f>'Activity data'!AO47*FracLEACH*MSLeachEF*NtoN2O*kgtoGg</f>
        <v>2.2771260047953912E-4</v>
      </c>
      <c r="AP139" s="22">
        <f>'Activity data'!AP47*FracLEACH*MSLeachEF*NtoN2O*kgtoGg</f>
        <v>2.2766223862224547E-4</v>
      </c>
      <c r="AQ139" s="22">
        <f>'Activity data'!AQ47*FracLEACH*MSLeachEF*NtoN2O*kgtoGg</f>
        <v>2.276062837836578E-4</v>
      </c>
      <c r="AR139" s="22">
        <f>'Activity data'!AR47*FracLEACH*MSLeachEF*NtoN2O*kgtoGg</f>
        <v>2.2753024157466073E-4</v>
      </c>
      <c r="AS139" s="22">
        <f>'Activity data'!AS47*FracLEACH*MSLeachEF*NtoN2O*kgtoGg</f>
        <v>2.2745061636443892E-4</v>
      </c>
      <c r="AT139" s="22">
        <f>'Activity data'!AT47*FracLEACH*MSLeachEF*NtoN2O*kgtoGg</f>
        <v>2.2736725195788982E-4</v>
      </c>
      <c r="AU139" s="22">
        <f>'Activity data'!AU47*FracLEACH*MSLeachEF*NtoN2O*kgtoGg</f>
        <v>2.2729316057836611E-4</v>
      </c>
      <c r="AV139" s="22">
        <f>'Activity data'!AV47*FracLEACH*MSLeachEF*NtoN2O*kgtoGg</f>
        <v>2.2721142272582082E-4</v>
      </c>
      <c r="AW139" s="22">
        <f>'Activity data'!AW47*FracLEACH*MSLeachEF*NtoN2O*kgtoGg</f>
        <v>2.2712057079726826E-4</v>
      </c>
      <c r="AX139" s="22">
        <f>'Activity data'!AX47*FracLEACH*MSLeachEF*NtoN2O*kgtoGg</f>
        <v>2.2703354847643673E-4</v>
      </c>
      <c r="AY139" s="22">
        <f>'Activity data'!AY47*FracLEACH*MSLeachEF*NtoN2O*kgtoGg</f>
        <v>2.26945075231808E-4</v>
      </c>
      <c r="AZ139" s="22">
        <f>'Activity data'!AZ47*FracLEACH*MSLeachEF*NtoN2O*kgtoGg</f>
        <v>2.2685685526686305E-4</v>
      </c>
      <c r="BA139" s="22">
        <f>'Activity data'!BA47*FracLEACH*MSLeachEF*NtoN2O*kgtoGg</f>
        <v>2.2676233626526071E-4</v>
      </c>
      <c r="BB139" s="22">
        <f>'Activity data'!BB47*FracLEACH*MSLeachEF*NtoN2O*kgtoGg</f>
        <v>2.2667888951524015E-4</v>
      </c>
      <c r="BC139" s="22">
        <f>'Activity data'!BC47*FracLEACH*MSLeachEF*NtoN2O*kgtoGg</f>
        <v>2.2659312831646165E-4</v>
      </c>
      <c r="BD139" s="22">
        <f>'Activity data'!BD47*FracLEACH*MSLeachEF*NtoN2O*kgtoGg</f>
        <v>2.2650782823372401E-4</v>
      </c>
      <c r="BE139" s="22">
        <f>'Activity data'!BE47*FracLEACH*MSLeachEF*NtoN2O*kgtoGg</f>
        <v>2.2642722069550987E-4</v>
      </c>
      <c r="BF139" s="22">
        <f>'Activity data'!BF47*FracLEACH*MSLeachEF*NtoN2O*kgtoGg</f>
        <v>2.2634823417440697E-4</v>
      </c>
      <c r="BG139" s="22">
        <f>'Activity data'!BG47*FracLEACH*MSLeachEF*NtoN2O*kgtoGg</f>
        <v>2.2626833024893425E-4</v>
      </c>
      <c r="BH139" s="22">
        <f>'Activity data'!BH47*FracLEACH*MSLeachEF*NtoN2O*kgtoGg</f>
        <v>2.2618677426504506E-4</v>
      </c>
      <c r="BI139" s="22">
        <f>'Activity data'!BI47*FracLEACH*MSLeachEF*NtoN2O*kgtoGg</f>
        <v>2.2611064451268553E-4</v>
      </c>
      <c r="BJ139" s="22">
        <f>'Activity data'!BJ47*FracLEACH*MSLeachEF*NtoN2O*kgtoGg</f>
        <v>2.2603500754843689E-4</v>
      </c>
      <c r="BK139" s="22">
        <f>'Activity data'!BK47*FracLEACH*MSLeachEF*NtoN2O*kgtoGg</f>
        <v>2.2595974968345244E-4</v>
      </c>
      <c r="BL139" s="22">
        <f>'Activity data'!BL47*FracLEACH*MSLeachEF*NtoN2O*kgtoGg</f>
        <v>2.2588172291595847E-4</v>
      </c>
      <c r="BM139" s="22">
        <f>'Activity data'!BM47*FracLEACH*MSLeachEF*NtoN2O*kgtoGg</f>
        <v>2.25803682553791E-4</v>
      </c>
      <c r="BN139" s="22">
        <f>'Activity data'!BN47*FracLEACH*MSLeachEF*NtoN2O*kgtoGg</f>
        <v>2.2575526504980067E-4</v>
      </c>
      <c r="BO139" s="22">
        <f>'Activity data'!BO47*FracLEACH*MSLeachEF*NtoN2O*kgtoGg</f>
        <v>2.2570923868836588E-4</v>
      </c>
      <c r="BP139" s="22">
        <f>'Activity data'!BP47*FracLEACH*MSLeachEF*NtoN2O*kgtoGg</f>
        <v>2.2565983156188431E-4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1.5041101562274073E-6</v>
      </c>
      <c r="AF140" s="22">
        <f>'Activity data'!AF48*FracLEACH*MSLeachEF*NtoN2O*kgtoGg</f>
        <v>1.5037990080474479E-6</v>
      </c>
      <c r="AG140" s="22">
        <f>'Activity data'!AG48*FracLEACH*MSLeachEF*NtoN2O*kgtoGg</f>
        <v>1.5035342015051588E-6</v>
      </c>
      <c r="AH140" s="22">
        <f>'Activity data'!AH48*FracLEACH*MSLeachEF*NtoN2O*kgtoGg</f>
        <v>1.5034475541500297E-6</v>
      </c>
      <c r="AI140" s="22">
        <f>'Activity data'!AI48*FracLEACH*MSLeachEF*NtoN2O*kgtoGg</f>
        <v>1.5033598532736611E-6</v>
      </c>
      <c r="AJ140" s="22">
        <f>'Activity data'!AJ48*FracLEACH*MSLeachEF*NtoN2O*kgtoGg</f>
        <v>1.5030924884075416E-6</v>
      </c>
      <c r="AK140" s="22">
        <f>'Activity data'!AK48*FracLEACH*MSLeachEF*NtoN2O*kgtoGg</f>
        <v>1.5028829628543084E-6</v>
      </c>
      <c r="AL140" s="22">
        <f>'Activity data'!AL48*FracLEACH*MSLeachEF*NtoN2O*kgtoGg</f>
        <v>1.5028688564063377E-6</v>
      </c>
      <c r="AM140" s="22">
        <f>'Activity data'!AM48*FracLEACH*MSLeachEF*NtoN2O*kgtoGg</f>
        <v>1.5037403797983331E-6</v>
      </c>
      <c r="AN140" s="22">
        <f>'Activity data'!AN48*FracLEACH*MSLeachEF*NtoN2O*kgtoGg</f>
        <v>1.5032636893433962E-6</v>
      </c>
      <c r="AO140" s="22">
        <f>'Activity data'!AO48*FracLEACH*MSLeachEF*NtoN2O*kgtoGg</f>
        <v>1.5029031631649579E-6</v>
      </c>
      <c r="AP140" s="22">
        <f>'Activity data'!AP48*FracLEACH*MSLeachEF*NtoN2O*kgtoGg</f>
        <v>1.5025707749068207E-6</v>
      </c>
      <c r="AQ140" s="22">
        <f>'Activity data'!AQ48*FracLEACH*MSLeachEF*NtoN2O*kgtoGg</f>
        <v>1.5022014729721417E-6</v>
      </c>
      <c r="AR140" s="22">
        <f>'Activity data'!AR48*FracLEACH*MSLeachEF*NtoN2O*kgtoGg</f>
        <v>1.5016995943927613E-6</v>
      </c>
      <c r="AS140" s="22">
        <f>'Activity data'!AS48*FracLEACH*MSLeachEF*NtoN2O*kgtoGg</f>
        <v>1.5011740680052976E-6</v>
      </c>
      <c r="AT140" s="22">
        <f>'Activity data'!AT48*FracLEACH*MSLeachEF*NtoN2O*kgtoGg</f>
        <v>1.5006238629220729E-6</v>
      </c>
      <c r="AU140" s="22">
        <f>'Activity data'!AU48*FracLEACH*MSLeachEF*NtoN2O*kgtoGg</f>
        <v>1.5001348598172167E-6</v>
      </c>
      <c r="AV140" s="22">
        <f>'Activity data'!AV48*FracLEACH*MSLeachEF*NtoN2O*kgtoGg</f>
        <v>1.4995953899904175E-6</v>
      </c>
      <c r="AW140" s="22">
        <f>'Activity data'!AW48*FracLEACH*MSLeachEF*NtoN2O*kgtoGg</f>
        <v>1.4989957672619707E-6</v>
      </c>
      <c r="AX140" s="22">
        <f>'Activity data'!AX48*FracLEACH*MSLeachEF*NtoN2O*kgtoGg</f>
        <v>1.4984214199444828E-6</v>
      </c>
      <c r="AY140" s="22">
        <f>'Activity data'!AY48*FracLEACH*MSLeachEF*NtoN2O*kgtoGg</f>
        <v>1.497837496529933E-6</v>
      </c>
      <c r="AZ140" s="22">
        <f>'Activity data'!AZ48*FracLEACH*MSLeachEF*NtoN2O*kgtoGg</f>
        <v>1.497255244761296E-6</v>
      </c>
      <c r="BA140" s="22">
        <f>'Activity data'!BA48*FracLEACH*MSLeachEF*NtoN2O*kgtoGg</f>
        <v>1.4966314193507213E-6</v>
      </c>
      <c r="BB140" s="22">
        <f>'Activity data'!BB48*FracLEACH*MSLeachEF*NtoN2O*kgtoGg</f>
        <v>1.4960806708005854E-6</v>
      </c>
      <c r="BC140" s="22">
        <f>'Activity data'!BC48*FracLEACH*MSLeachEF*NtoN2O*kgtoGg</f>
        <v>1.4955146468886474E-6</v>
      </c>
      <c r="BD140" s="22">
        <f>'Activity data'!BD48*FracLEACH*MSLeachEF*NtoN2O*kgtoGg</f>
        <v>1.494951666342579E-6</v>
      </c>
      <c r="BE140" s="22">
        <f>'Activity data'!BE48*FracLEACH*MSLeachEF*NtoN2O*kgtoGg</f>
        <v>1.494419656590365E-6</v>
      </c>
      <c r="BF140" s="22">
        <f>'Activity data'!BF48*FracLEACH*MSLeachEF*NtoN2O*kgtoGg</f>
        <v>1.493898345551086E-6</v>
      </c>
      <c r="BG140" s="22">
        <f>'Activity data'!BG48*FracLEACH*MSLeachEF*NtoN2O*kgtoGg</f>
        <v>1.4933709796429669E-6</v>
      </c>
      <c r="BH140" s="22">
        <f>'Activity data'!BH48*FracLEACH*MSLeachEF*NtoN2O*kgtoGg</f>
        <v>1.4928327101492978E-6</v>
      </c>
      <c r="BI140" s="22">
        <f>'Activity data'!BI48*FracLEACH*MSLeachEF*NtoN2O*kgtoGg</f>
        <v>1.4923302537837247E-6</v>
      </c>
      <c r="BJ140" s="22">
        <f>'Activity data'!BJ48*FracLEACH*MSLeachEF*NtoN2O*kgtoGg</f>
        <v>1.4918310498196839E-6</v>
      </c>
      <c r="BK140" s="22">
        <f>'Activity data'!BK48*FracLEACH*MSLeachEF*NtoN2O*kgtoGg</f>
        <v>1.4913343479107866E-6</v>
      </c>
      <c r="BL140" s="22">
        <f>'Activity data'!BL48*FracLEACH*MSLeachEF*NtoN2O*kgtoGg</f>
        <v>1.490819371245326E-6</v>
      </c>
      <c r="BM140" s="22">
        <f>'Activity data'!BM48*FracLEACH*MSLeachEF*NtoN2O*kgtoGg</f>
        <v>1.490304304855021E-6</v>
      </c>
      <c r="BN140" s="22">
        <f>'Activity data'!BN48*FracLEACH*MSLeachEF*NtoN2O*kgtoGg</f>
        <v>1.4899847493286845E-6</v>
      </c>
      <c r="BO140" s="22">
        <f>'Activity data'!BO48*FracLEACH*MSLeachEF*NtoN2O*kgtoGg</f>
        <v>1.4896809753432154E-6</v>
      </c>
      <c r="BP140" s="22">
        <f>'Activity data'!BP48*FracLEACH*MSLeachEF*NtoN2O*kgtoGg</f>
        <v>1.489354888308437E-6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0.20796246117346509</v>
      </c>
      <c r="AE141" s="22">
        <f>SUM('Activity data'!AE50:AE65)*FracLEACH*MSLeachEF*NtoN2O*kgtoGg</f>
        <v>0.20879880281717714</v>
      </c>
      <c r="AF141" s="22">
        <f>SUM('Activity data'!AF50:AF65)*FracLEACH*MSLeachEF*NtoN2O*kgtoGg</f>
        <v>0.20890457388466332</v>
      </c>
      <c r="AG141" s="22">
        <f>SUM('Activity data'!AG50:AG65)*FracLEACH*MSLeachEF*NtoN2O*kgtoGg</f>
        <v>0.20602106903310935</v>
      </c>
      <c r="AH141" s="22">
        <f>SUM('Activity data'!AH50:AH65)*FracLEACH*MSLeachEF*NtoN2O*kgtoGg</f>
        <v>0.20329705233439804</v>
      </c>
      <c r="AI141" s="22">
        <f>SUM('Activity data'!AI50:AI65)*FracLEACH*MSLeachEF*NtoN2O*kgtoGg</f>
        <v>0.2036877386085543</v>
      </c>
      <c r="AJ141" s="22">
        <f>SUM('Activity data'!AJ50:AJ65)*FracLEACH*MSLeachEF*NtoN2O*kgtoGg</f>
        <v>0.20316717032442511</v>
      </c>
      <c r="AK141" s="22">
        <f>SUM('Activity data'!AK50:AK65)*FracLEACH*MSLeachEF*NtoN2O*kgtoGg</f>
        <v>0.19951328045855884</v>
      </c>
      <c r="AL141" s="22">
        <f>SUM('Activity data'!AL50:AL65)*FracLEACH*MSLeachEF*NtoN2O*kgtoGg</f>
        <v>0.18225765553275963</v>
      </c>
      <c r="AM141" s="22">
        <f>SUM('Activity data'!AM50:AM65)*FracLEACH*MSLeachEF*NtoN2O*kgtoGg</f>
        <v>0.18705867990979133</v>
      </c>
      <c r="AN141" s="22">
        <f>SUM('Activity data'!AN50:AN65)*FracLEACH*MSLeachEF*NtoN2O*kgtoGg</f>
        <v>0.19014638580373017</v>
      </c>
      <c r="AO141" s="22">
        <f>SUM('Activity data'!AO50:AO65)*FracLEACH*MSLeachEF*NtoN2O*kgtoGg</f>
        <v>0.19284681200118092</v>
      </c>
      <c r="AP141" s="22">
        <f>SUM('Activity data'!AP50:AP65)*FracLEACH*MSLeachEF*NtoN2O*kgtoGg</f>
        <v>0.19616592330537094</v>
      </c>
      <c r="AQ141" s="22">
        <f>SUM('Activity data'!AQ50:AQ65)*FracLEACH*MSLeachEF*NtoN2O*kgtoGg</f>
        <v>0.20162828761009829</v>
      </c>
      <c r="AR141" s="22">
        <f>SUM('Activity data'!AR50:AR65)*FracLEACH*MSLeachEF*NtoN2O*kgtoGg</f>
        <v>0.20757833119637956</v>
      </c>
      <c r="AS141" s="22">
        <f>SUM('Activity data'!AS50:AS65)*FracLEACH*MSLeachEF*NtoN2O*kgtoGg</f>
        <v>0.21404674804860749</v>
      </c>
      <c r="AT141" s="22">
        <f>SUM('Activity data'!AT50:AT65)*FracLEACH*MSLeachEF*NtoN2O*kgtoGg</f>
        <v>0.21962429406067066</v>
      </c>
      <c r="AU141" s="22">
        <f>SUM('Activity data'!AU50:AU65)*FracLEACH*MSLeachEF*NtoN2O*kgtoGg</f>
        <v>0.22615700545464837</v>
      </c>
      <c r="AV141" s="22">
        <f>SUM('Activity data'!AV50:AV65)*FracLEACH*MSLeachEF*NtoN2O*kgtoGg</f>
        <v>0.23386310920275319</v>
      </c>
      <c r="AW141" s="22">
        <f>SUM('Activity data'!AW50:AW65)*FracLEACH*MSLeachEF*NtoN2O*kgtoGg</f>
        <v>0.24045803544808661</v>
      </c>
      <c r="AX141" s="22">
        <f>SUM('Activity data'!AX50:AX65)*FracLEACH*MSLeachEF*NtoN2O*kgtoGg</f>
        <v>0.2473271758325005</v>
      </c>
      <c r="AY141" s="22">
        <f>SUM('Activity data'!AY50:AY65)*FracLEACH*MSLeachEF*NtoN2O*kgtoGg</f>
        <v>0.25427677762295814</v>
      </c>
      <c r="AZ141" s="22">
        <f>SUM('Activity data'!AZ50:AZ65)*FracLEACH*MSLeachEF*NtoN2O*kgtoGg</f>
        <v>0.26211337132456192</v>
      </c>
      <c r="BA141" s="22">
        <f>SUM('Activity data'!BA50:BA65)*FracLEACH*MSLeachEF*NtoN2O*kgtoGg</f>
        <v>0.26870824753071121</v>
      </c>
      <c r="BB141" s="22">
        <f>SUM('Activity data'!BB50:BB65)*FracLEACH*MSLeachEF*NtoN2O*kgtoGg</f>
        <v>0.27569993419378713</v>
      </c>
      <c r="BC141" s="22">
        <f>SUM('Activity data'!BC50:BC65)*FracLEACH*MSLeachEF*NtoN2O*kgtoGg</f>
        <v>0.28274240705203879</v>
      </c>
      <c r="BD141" s="22">
        <f>SUM('Activity data'!BD50:BD65)*FracLEACH*MSLeachEF*NtoN2O*kgtoGg</f>
        <v>0.28927915289758471</v>
      </c>
      <c r="BE141" s="22">
        <f>SUM('Activity data'!BE50:BE65)*FracLEACH*MSLeachEF*NtoN2O*kgtoGg</f>
        <v>0.29569320117774733</v>
      </c>
      <c r="BF141" s="22">
        <f>SUM('Activity data'!BF50:BF65)*FracLEACH*MSLeachEF*NtoN2O*kgtoGg</f>
        <v>0.30232005516642629</v>
      </c>
      <c r="BG141" s="22">
        <f>SUM('Activity data'!BG50:BG65)*FracLEACH*MSLeachEF*NtoN2O*kgtoGg</f>
        <v>0.30985829671321635</v>
      </c>
      <c r="BH141" s="22">
        <f>SUM('Activity data'!BH50:BH65)*FracLEACH*MSLeachEF*NtoN2O*kgtoGg</f>
        <v>0.31677461737836854</v>
      </c>
      <c r="BI141" s="22">
        <f>SUM('Activity data'!BI50:BI65)*FracLEACH*MSLeachEF*NtoN2O*kgtoGg</f>
        <v>0.32373626016150842</v>
      </c>
      <c r="BJ141" s="22">
        <f>SUM('Activity data'!BJ50:BJ65)*FracLEACH*MSLeachEF*NtoN2O*kgtoGg</f>
        <v>0.33075872909675869</v>
      </c>
      <c r="BK141" s="22">
        <f>SUM('Activity data'!BK50:BK65)*FracLEACH*MSLeachEF*NtoN2O*kgtoGg</f>
        <v>0.33830425894084387</v>
      </c>
      <c r="BL141" s="22">
        <f>SUM('Activity data'!BL50:BL65)*FracLEACH*MSLeachEF*NtoN2O*kgtoGg</f>
        <v>0.34598626899360208</v>
      </c>
      <c r="BM141" s="22">
        <f>SUM('Activity data'!BM50:BM65)*FracLEACH*MSLeachEF*NtoN2O*kgtoGg</f>
        <v>0.34932206816740874</v>
      </c>
      <c r="BN141" s="22">
        <f>SUM('Activity data'!BN50:BN65)*FracLEACH*MSLeachEF*NtoN2O*kgtoGg</f>
        <v>0.35232819188551001</v>
      </c>
      <c r="BO141" s="22">
        <f>SUM('Activity data'!BO50:BO65)*FracLEACH*MSLeachEF*NtoN2O*kgtoGg</f>
        <v>0.35587653234007416</v>
      </c>
      <c r="BP141" s="22">
        <f>SUM('Activity data'!BP50:BP65)*FracLEACH*MSLeachEF*NtoN2O*kgtoGg</f>
        <v>0.35914620590652685</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0.10196112149474701</v>
      </c>
      <c r="AF143" s="22">
        <f>'Activity data'!AF85*FracLEACH*MSLeachEF*NtoN2O*kgtoGg</f>
        <v>0.10231307662851437</v>
      </c>
      <c r="AG143" s="22">
        <f>'Activity data'!AG85*FracLEACH*MSLeachEF*NtoN2O*kgtoGg</f>
        <v>0.10261261243819185</v>
      </c>
      <c r="AH143" s="22">
        <f>'Activity data'!AH85*FracLEACH*MSLeachEF*NtoN2O*kgtoGg</f>
        <v>0.10271062355774604</v>
      </c>
      <c r="AI143" s="22">
        <f>'Activity data'!AI85*FracLEACH*MSLeachEF*NtoN2O*kgtoGg</f>
        <v>0.10280982636740998</v>
      </c>
      <c r="AJ143" s="22">
        <f>'Activity data'!AJ85*FracLEACH*MSLeachEF*NtoN2O*kgtoGg</f>
        <v>0.10311225602401949</v>
      </c>
      <c r="AK143" s="22">
        <f>'Activity data'!AK85*FracLEACH*MSLeachEF*NtoN2O*kgtoGg</f>
        <v>0.10334926076602191</v>
      </c>
      <c r="AL143" s="22">
        <f>'Activity data'!AL85*FracLEACH*MSLeachEF*NtoN2O*kgtoGg</f>
        <v>0.1033652172687505</v>
      </c>
      <c r="AM143" s="22">
        <f>'Activity data'!AM85*FracLEACH*MSLeachEF*NtoN2O*kgtoGg</f>
        <v>0.10237939394800614</v>
      </c>
      <c r="AN143" s="22">
        <f>'Activity data'!AN85*FracLEACH*MSLeachEF*NtoN2O*kgtoGg</f>
        <v>0.10291860215695282</v>
      </c>
      <c r="AO143" s="22">
        <f>'Activity data'!AO85*FracLEACH*MSLeachEF*NtoN2O*kgtoGg</f>
        <v>0.10332641119306983</v>
      </c>
      <c r="AP143" s="22">
        <f>'Activity data'!AP85*FracLEACH*MSLeachEF*NtoN2O*kgtoGg</f>
        <v>0.10370239203239459</v>
      </c>
      <c r="AQ143" s="22">
        <f>'Activity data'!AQ85*FracLEACH*MSLeachEF*NtoN2O*kgtoGg</f>
        <v>0.1041201277615169</v>
      </c>
      <c r="AR143" s="22">
        <f>'Activity data'!AR85*FracLEACH*MSLeachEF*NtoN2O*kgtoGg</f>
        <v>0.1046878275069046</v>
      </c>
      <c r="AS143" s="22">
        <f>'Activity data'!AS85*FracLEACH*MSLeachEF*NtoN2O*kgtoGg</f>
        <v>0.10528227646052629</v>
      </c>
      <c r="AT143" s="22">
        <f>'Activity data'!AT85*FracLEACH*MSLeachEF*NtoN2O*kgtoGg</f>
        <v>0.1059046407105468</v>
      </c>
      <c r="AU143" s="22">
        <f>'Activity data'!AU85*FracLEACH*MSLeachEF*NtoN2O*kgtoGg</f>
        <v>0.10645777636830578</v>
      </c>
      <c r="AV143" s="22">
        <f>'Activity data'!AV85*FracLEACH*MSLeachEF*NtoN2O*kgtoGg</f>
        <v>0.10706799743750575</v>
      </c>
      <c r="AW143" s="22">
        <f>'Activity data'!AW85*FracLEACH*MSLeachEF*NtoN2O*kgtoGg</f>
        <v>0.10774626043627387</v>
      </c>
      <c r="AX143" s="22">
        <f>'Activity data'!AX85*FracLEACH*MSLeachEF*NtoN2O*kgtoGg</f>
        <v>0.10839593316449521</v>
      </c>
      <c r="AY143" s="22">
        <f>'Activity data'!AY85*FracLEACH*MSLeachEF*NtoN2O*kgtoGg</f>
        <v>0.10905643789090745</v>
      </c>
      <c r="AZ143" s="22">
        <f>'Activity data'!AZ85*FracLEACH*MSLeachEF*NtoN2O*kgtoGg</f>
        <v>0.10971505173574356</v>
      </c>
      <c r="BA143" s="22">
        <f>'Activity data'!BA85*FracLEACH*MSLeachEF*NtoN2O*kgtoGg</f>
        <v>0.11042069158828928</v>
      </c>
      <c r="BB143" s="22">
        <f>'Activity data'!BB85*FracLEACH*MSLeachEF*NtoN2O*kgtoGg</f>
        <v>0.11104367058067952</v>
      </c>
      <c r="BC143" s="22">
        <f>'Activity data'!BC85*FracLEACH*MSLeachEF*NtoN2O*kgtoGg</f>
        <v>0.11168392829219058</v>
      </c>
      <c r="BD143" s="22">
        <f>'Activity data'!BD85*FracLEACH*MSLeachEF*NtoN2O*kgtoGg</f>
        <v>0.11232074350166987</v>
      </c>
      <c r="BE143" s="22">
        <f>'Activity data'!BE85*FracLEACH*MSLeachEF*NtoN2O*kgtoGg</f>
        <v>0.11292252611061948</v>
      </c>
      <c r="BF143" s="22">
        <f>'Activity data'!BF85*FracLEACH*MSLeachEF*NtoN2O*kgtoGg</f>
        <v>0.11351220687490285</v>
      </c>
      <c r="BG143" s="22">
        <f>'Activity data'!BG85*FracLEACH*MSLeachEF*NtoN2O*kgtoGg</f>
        <v>0.11410873660154547</v>
      </c>
      <c r="BH143" s="22">
        <f>'Activity data'!BH85*FracLEACH*MSLeachEF*NtoN2O*kgtoGg</f>
        <v>0.11471759991442693</v>
      </c>
      <c r="BI143" s="22">
        <f>'Activity data'!BI85*FracLEACH*MSLeachEF*NtoN2O*kgtoGg</f>
        <v>0.11528595322242488</v>
      </c>
      <c r="BJ143" s="22">
        <f>'Activity data'!BJ85*FracLEACH*MSLeachEF*NtoN2O*kgtoGg</f>
        <v>0.1158506275777887</v>
      </c>
      <c r="BK143" s="22">
        <f>'Activity data'!BK85*FracLEACH*MSLeachEF*NtoN2O*kgtoGg</f>
        <v>0.1164124717345221</v>
      </c>
      <c r="BL143" s="22">
        <f>'Activity data'!BL85*FracLEACH*MSLeachEF*NtoN2O*kgtoGg</f>
        <v>0.11699498737450693</v>
      </c>
      <c r="BM143" s="22">
        <f>'Activity data'!BM85*FracLEACH*MSLeachEF*NtoN2O*kgtoGg</f>
        <v>0.11757760450671237</v>
      </c>
      <c r="BN143" s="22">
        <f>'Activity data'!BN85*FracLEACH*MSLeachEF*NtoN2O*kgtoGg</f>
        <v>0.11793906960682159</v>
      </c>
      <c r="BO143" s="22">
        <f>'Activity data'!BO85*FracLEACH*MSLeachEF*NtoN2O*kgtoGg</f>
        <v>0.11828268342357233</v>
      </c>
      <c r="BP143" s="22">
        <f>'Activity data'!BP85*FracLEACH*MSLeachEF*NtoN2O*kgtoGg</f>
        <v>0.11865153663672662</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0.39650006889927725</v>
      </c>
      <c r="AE156" s="22">
        <f>Constants!$H63*'Activity data'!AE5*Constants!$H81*EF!$H206*MMVolatEF*NtoN2O*kgtoGg</f>
        <v>0.39917725962597483</v>
      </c>
      <c r="AF156" s="22">
        <f>Constants!$H63*'Activity data'!AF5*Constants!$H81*EF!$H206*MMVolatEF*NtoN2O*kgtoGg</f>
        <v>0.40151912336157097</v>
      </c>
      <c r="AG156" s="22">
        <f>Constants!$H63*'Activity data'!AG5*Constants!$H81*EF!$H206*MMVolatEF*NtoN2O*kgtoGg</f>
        <v>0.40182204834461305</v>
      </c>
      <c r="AH156" s="22">
        <f>Constants!$H63*'Activity data'!AH5*Constants!$H81*EF!$H206*MMVolatEF*NtoN2O*kgtoGg</f>
        <v>0.40234380692675509</v>
      </c>
      <c r="AI156" s="22">
        <f>Constants!$H63*'Activity data'!AI5*Constants!$H81*EF!$H206*MMVolatEF*NtoN2O*kgtoGg</f>
        <v>0.40533756143141658</v>
      </c>
      <c r="AJ156" s="22">
        <f>Constants!$H63*'Activity data'!AJ5*Constants!$H81*EF!$H206*MMVolatEF*NtoN2O*kgtoGg</f>
        <v>0.40773146882804268</v>
      </c>
      <c r="AK156" s="22">
        <f>Constants!$H63*'Activity data'!AK5*Constants!$H81*EF!$H206*MMVolatEF*NtoN2O*kgtoGg</f>
        <v>0.4077524587520438</v>
      </c>
      <c r="AL156" s="22">
        <f>Constants!$H63*'Activity data'!AL5*Constants!$H81*EF!$H206*MMVolatEF*NtoN2O*kgtoGg</f>
        <v>0.39694956601748077</v>
      </c>
      <c r="AM156" s="22">
        <f>Constants!$H63*'Activity data'!AM5*Constants!$H81*EF!$H206*MMVolatEF*NtoN2O*kgtoGg</f>
        <v>0.40216838368989699</v>
      </c>
      <c r="AN156" s="22">
        <f>Constants!$H63*'Activity data'!AN5*Constants!$H81*EF!$H206*MMVolatEF*NtoN2O*kgtoGg</f>
        <v>0.40611893900122115</v>
      </c>
      <c r="AO156" s="22">
        <f>Constants!$H63*'Activity data'!AO5*Constants!$H81*EF!$H206*MMVolatEF*NtoN2O*kgtoGg</f>
        <v>0.40984619445157972</v>
      </c>
      <c r="AP156" s="22">
        <f>Constants!$H63*'Activity data'!AP5*Constants!$H81*EF!$H206*MMVolatEF*NtoN2O*kgtoGg</f>
        <v>0.41416805701435672</v>
      </c>
      <c r="AQ156" s="22">
        <f>Constants!$H63*'Activity data'!AQ5*Constants!$H81*EF!$H206*MMVolatEF*NtoN2O*kgtoGg</f>
        <v>0.42036063160455023</v>
      </c>
      <c r="AR156" s="22">
        <f>Constants!$H63*'Activity data'!AR5*Constants!$H81*EF!$H206*MMVolatEF*NtoN2O*kgtoGg</f>
        <v>0.42680782230429931</v>
      </c>
      <c r="AS156" s="22">
        <f>Constants!$H63*'Activity data'!AS5*Constants!$H81*EF!$H206*MMVolatEF*NtoN2O*kgtoGg</f>
        <v>0.43381092675754646</v>
      </c>
      <c r="AT156" s="22">
        <f>Constants!$H63*'Activity data'!AT5*Constants!$H81*EF!$H206*MMVolatEF*NtoN2O*kgtoGg</f>
        <v>0.4401795345291673</v>
      </c>
      <c r="AU156" s="22">
        <f>Constants!$H63*'Activity data'!AU5*Constants!$H81*EF!$H206*MMVolatEF*NtoN2O*kgtoGg</f>
        <v>0.44747640522914289</v>
      </c>
      <c r="AV156" s="22">
        <f>Constants!$H63*'Activity data'!AV5*Constants!$H81*EF!$H206*MMVolatEF*NtoN2O*kgtoGg</f>
        <v>0.45590733118781618</v>
      </c>
      <c r="AW156" s="22">
        <f>Constants!$H63*'Activity data'!AW5*Constants!$H81*EF!$H206*MMVolatEF*NtoN2O*kgtoGg</f>
        <v>0.46402422732384918</v>
      </c>
      <c r="AX156" s="22">
        <f>Constants!$H63*'Activity data'!AX5*Constants!$H81*EF!$H206*MMVolatEF*NtoN2O*kgtoGg</f>
        <v>0.47256428946703954</v>
      </c>
      <c r="AY156" s="22">
        <f>Constants!$H63*'Activity data'!AY5*Constants!$H81*EF!$H206*MMVolatEF*NtoN2O*kgtoGg</f>
        <v>0.48136337732272266</v>
      </c>
      <c r="AZ156" s="22">
        <f>Constants!$H63*'Activity data'!AZ5*Constants!$H81*EF!$H206*MMVolatEF*NtoN2O*kgtoGg</f>
        <v>0.49115427006051043</v>
      </c>
      <c r="BA156" s="22">
        <f>Constants!$H63*'Activity data'!BA5*Constants!$H81*EF!$H206*MMVolatEF*NtoN2O*kgtoGg</f>
        <v>0.50001868003063199</v>
      </c>
      <c r="BB156" s="22">
        <f>Constants!$H63*'Activity data'!BB5*Constants!$H81*EF!$H206*MMVolatEF*NtoN2O*kgtoGg</f>
        <v>0.50922978725811852</v>
      </c>
      <c r="BC156" s="22">
        <f>Constants!$H63*'Activity data'!BC5*Constants!$H81*EF!$H206*MMVolatEF*NtoN2O*kgtoGg</f>
        <v>0.51868165497998486</v>
      </c>
      <c r="BD156" s="22">
        <f>Constants!$H63*'Activity data'!BD5*Constants!$H81*EF!$H206*MMVolatEF*NtoN2O*kgtoGg</f>
        <v>0.52785098151313881</v>
      </c>
      <c r="BE156" s="22">
        <f>Constants!$H63*'Activity data'!BE5*Constants!$H81*EF!$H206*MMVolatEF*NtoN2O*kgtoGg</f>
        <v>0.53708980329541955</v>
      </c>
      <c r="BF156" s="22">
        <f>Constants!$H63*'Activity data'!BF5*Constants!$H81*EF!$H206*MMVolatEF*NtoN2O*kgtoGg</f>
        <v>0.54672053409535659</v>
      </c>
      <c r="BG156" s="22">
        <f>Constants!$H63*'Activity data'!BG5*Constants!$H81*EF!$H206*MMVolatEF*NtoN2O*kgtoGg</f>
        <v>0.55667014923331293</v>
      </c>
      <c r="BH156" s="22">
        <f>Constants!$H63*'Activity data'!BH5*Constants!$H81*EF!$H206*MMVolatEF*NtoN2O*kgtoGg</f>
        <v>0.5661730507090722</v>
      </c>
      <c r="BI156" s="22">
        <f>Constants!$H63*'Activity data'!BI5*Constants!$H81*EF!$H206*MMVolatEF*NtoN2O*kgtoGg</f>
        <v>0.57587669150956888</v>
      </c>
      <c r="BJ156" s="22">
        <f>Constants!$H63*'Activity data'!BJ5*Constants!$H81*EF!$H206*MMVolatEF*NtoN2O*kgtoGg</f>
        <v>0.5857985598453167</v>
      </c>
      <c r="BK156" s="22">
        <f>Constants!$H63*'Activity data'!BK5*Constants!$H81*EF!$H206*MMVolatEF*NtoN2O*kgtoGg</f>
        <v>0.59640903003350576</v>
      </c>
      <c r="BL156" s="22">
        <f>Constants!$H63*'Activity data'!BL5*Constants!$H81*EF!$H206*MMVolatEF*NtoN2O*kgtoGg</f>
        <v>0.60713627699395989</v>
      </c>
      <c r="BM156" s="22">
        <f>Constants!$H63*'Activity data'!BM5*Constants!$H81*EF!$H206*MMVolatEF*NtoN2O*kgtoGg</f>
        <v>0.61355666329177083</v>
      </c>
      <c r="BN156" s="22">
        <f>Constants!$H63*'Activity data'!BN5*Constants!$H81*EF!$H206*MMVolatEF*NtoN2O*kgtoGg</f>
        <v>0.6197276036819036</v>
      </c>
      <c r="BO156" s="22">
        <f>Constants!$H63*'Activity data'!BO5*Constants!$H81*EF!$H206*MMVolatEF*NtoN2O*kgtoGg</f>
        <v>0.62655501037549211</v>
      </c>
      <c r="BP156" s="22">
        <f>Constants!$H63*'Activity data'!BP5*Constants!$H81*EF!$H206*MMVolatEF*NtoN2O*kgtoGg</f>
        <v>0.63318564946997902</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3.1281584559645491E-2</v>
      </c>
      <c r="AE157" s="22">
        <f>Constants!$H64*'Activity data'!AE6*Constants!$H82*EF!$H207*MMVolatEF*NtoN2O*kgtoGg</f>
        <v>3.1492799574896264E-2</v>
      </c>
      <c r="AF157" s="22">
        <f>Constants!$H64*'Activity data'!AF6*Constants!$H82*EF!$H207*MMVolatEF*NtoN2O*kgtoGg</f>
        <v>3.1677559211068809E-2</v>
      </c>
      <c r="AG157" s="22">
        <f>Constants!$H64*'Activity data'!AG6*Constants!$H82*EF!$H207*MMVolatEF*NtoN2O*kgtoGg</f>
        <v>3.1701458257287304E-2</v>
      </c>
      <c r="AH157" s="22">
        <f>Constants!$H64*'Activity data'!AH6*Constants!$H82*EF!$H207*MMVolatEF*NtoN2O*kgtoGg</f>
        <v>3.1742622021148185E-2</v>
      </c>
      <c r="AI157" s="22">
        <f>Constants!$H64*'Activity data'!AI6*Constants!$H82*EF!$H207*MMVolatEF*NtoN2O*kgtoGg</f>
        <v>3.1978812105423256E-2</v>
      </c>
      <c r="AJ157" s="22">
        <f>Constants!$H64*'Activity data'!AJ6*Constants!$H82*EF!$H207*MMVolatEF*NtoN2O*kgtoGg</f>
        <v>3.2167677688381177E-2</v>
      </c>
      <c r="AK157" s="22">
        <f>Constants!$H64*'Activity data'!AK6*Constants!$H82*EF!$H207*MMVolatEF*NtoN2O*kgtoGg</f>
        <v>3.2169333673169188E-2</v>
      </c>
      <c r="AL157" s="22">
        <f>Constants!$H64*'Activity data'!AL6*Constants!$H82*EF!$H207*MMVolatEF*NtoN2O*kgtoGg</f>
        <v>3.1317047307865033E-2</v>
      </c>
      <c r="AM157" s="22">
        <f>Constants!$H64*'Activity data'!AM6*Constants!$H82*EF!$H207*MMVolatEF*NtoN2O*kgtoGg</f>
        <v>3.1728782132462323E-2</v>
      </c>
      <c r="AN157" s="22">
        <f>Constants!$H64*'Activity data'!AN6*Constants!$H82*EF!$H207*MMVolatEF*NtoN2O*kgtoGg</f>
        <v>3.2040458320493799E-2</v>
      </c>
      <c r="AO157" s="22">
        <f>Constants!$H64*'Activity data'!AO6*Constants!$H82*EF!$H207*MMVolatEF*NtoN2O*kgtoGg</f>
        <v>3.2334517428401308E-2</v>
      </c>
      <c r="AP157" s="22">
        <f>Constants!$H64*'Activity data'!AP6*Constants!$H82*EF!$H207*MMVolatEF*NtoN2O*kgtoGg</f>
        <v>3.2675487631982837E-2</v>
      </c>
      <c r="AQ157" s="22">
        <f>Constants!$H64*'Activity data'!AQ6*Constants!$H82*EF!$H207*MMVolatEF*NtoN2O*kgtoGg</f>
        <v>3.316404630039068E-2</v>
      </c>
      <c r="AR157" s="22">
        <f>Constants!$H64*'Activity data'!AR6*Constants!$H82*EF!$H207*MMVolatEF*NtoN2O*kgtoGg</f>
        <v>3.3672692721578558E-2</v>
      </c>
      <c r="AS157" s="22">
        <f>Constants!$H64*'Activity data'!AS6*Constants!$H82*EF!$H207*MMVolatEF*NtoN2O*kgtoGg</f>
        <v>3.4225197554030251E-2</v>
      </c>
      <c r="AT157" s="22">
        <f>Constants!$H64*'Activity data'!AT6*Constants!$H82*EF!$H207*MMVolatEF*NtoN2O*kgtoGg</f>
        <v>3.4727644232257139E-2</v>
      </c>
      <c r="AU157" s="22">
        <f>Constants!$H64*'Activity data'!AU6*Constants!$H82*EF!$H207*MMVolatEF*NtoN2O*kgtoGg</f>
        <v>3.5303325539087042E-2</v>
      </c>
      <c r="AV157" s="22">
        <f>Constants!$H64*'Activity data'!AV6*Constants!$H82*EF!$H207*MMVolatEF*NtoN2O*kgtoGg</f>
        <v>3.5968477310748759E-2</v>
      </c>
      <c r="AW157" s="22">
        <f>Constants!$H64*'Activity data'!AW6*Constants!$H82*EF!$H207*MMVolatEF*NtoN2O*kgtoGg</f>
        <v>3.6608853927948493E-2</v>
      </c>
      <c r="AX157" s="22">
        <f>Constants!$H64*'Activity data'!AX6*Constants!$H82*EF!$H207*MMVolatEF*NtoN2O*kgtoGg</f>
        <v>3.7282615919512485E-2</v>
      </c>
      <c r="AY157" s="22">
        <f>Constants!$H64*'Activity data'!AY6*Constants!$H82*EF!$H207*MMVolatEF*NtoN2O*kgtoGg</f>
        <v>3.7976813556273109E-2</v>
      </c>
      <c r="AZ157" s="22">
        <f>Constants!$H64*'Activity data'!AZ6*Constants!$H82*EF!$H207*MMVolatEF*NtoN2O*kgtoGg</f>
        <v>3.8749258917863509E-2</v>
      </c>
      <c r="BA157" s="22">
        <f>Constants!$H64*'Activity data'!BA6*Constants!$H82*EF!$H207*MMVolatEF*NtoN2O*kgtoGg</f>
        <v>3.9448610095333729E-2</v>
      </c>
      <c r="BB157" s="22">
        <f>Constants!$H64*'Activity data'!BB6*Constants!$H82*EF!$H207*MMVolatEF*NtoN2O*kgtoGg</f>
        <v>4.0175313700769343E-2</v>
      </c>
      <c r="BC157" s="22">
        <f>Constants!$H64*'Activity data'!BC6*Constants!$H82*EF!$H207*MMVolatEF*NtoN2O*kgtoGg</f>
        <v>4.0921011930302946E-2</v>
      </c>
      <c r="BD157" s="22">
        <f>Constants!$H64*'Activity data'!BD6*Constants!$H82*EF!$H207*MMVolatEF*NtoN2O*kgtoGg</f>
        <v>4.164441927824649E-2</v>
      </c>
      <c r="BE157" s="22">
        <f>Constants!$H64*'Activity data'!BE6*Constants!$H82*EF!$H207*MMVolatEF*NtoN2O*kgtoGg</f>
        <v>4.2373309403325697E-2</v>
      </c>
      <c r="BF157" s="22">
        <f>Constants!$H64*'Activity data'!BF6*Constants!$H82*EF!$H207*MMVolatEF*NtoN2O*kgtoGg</f>
        <v>4.313311890531582E-2</v>
      </c>
      <c r="BG157" s="22">
        <f>Constants!$H64*'Activity data'!BG6*Constants!$H82*EF!$H207*MMVolatEF*NtoN2O*kgtoGg</f>
        <v>4.3918086555228081E-2</v>
      </c>
      <c r="BH157" s="22">
        <f>Constants!$H64*'Activity data'!BH6*Constants!$H82*EF!$H207*MMVolatEF*NtoN2O*kgtoGg</f>
        <v>4.4667811055658022E-2</v>
      </c>
      <c r="BI157" s="22">
        <f>Constants!$H64*'Activity data'!BI6*Constants!$H82*EF!$H207*MMVolatEF*NtoN2O*kgtoGg</f>
        <v>4.5433372739114561E-2</v>
      </c>
      <c r="BJ157" s="22">
        <f>Constants!$H64*'Activity data'!BJ6*Constants!$H82*EF!$H207*MMVolatEF*NtoN2O*kgtoGg</f>
        <v>4.6216151325246931E-2</v>
      </c>
      <c r="BK157" s="22">
        <f>Constants!$H64*'Activity data'!BK6*Constants!$H82*EF!$H207*MMVolatEF*NtoN2O*kgtoGg</f>
        <v>4.705325665370462E-2</v>
      </c>
      <c r="BL157" s="22">
        <f>Constants!$H64*'Activity data'!BL6*Constants!$H82*EF!$H207*MMVolatEF*NtoN2O*kgtoGg</f>
        <v>4.7899575000677964E-2</v>
      </c>
      <c r="BM157" s="22">
        <f>Constants!$H64*'Activity data'!BM6*Constants!$H82*EF!$H207*MMVolatEF*NtoN2O*kgtoGg</f>
        <v>4.8406106708069871E-2</v>
      </c>
      <c r="BN157" s="22">
        <f>Constants!$H64*'Activity data'!BN6*Constants!$H82*EF!$H207*MMVolatEF*NtoN2O*kgtoGg</f>
        <v>4.8892958561998573E-2</v>
      </c>
      <c r="BO157" s="22">
        <f>Constants!$H64*'Activity data'!BO6*Constants!$H82*EF!$H207*MMVolatEF*NtoN2O*kgtoGg</f>
        <v>4.9431601847487718E-2</v>
      </c>
      <c r="BP157" s="22">
        <f>Constants!$H64*'Activity data'!BP6*Constants!$H82*EF!$H207*MMVolatEF*NtoN2O*kgtoGg</f>
        <v>4.9954721296355649E-2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2.8996787363609876E-4</v>
      </c>
      <c r="AE158" s="22">
        <f>Constants!$H65*'Activity data'!AE7*Constants!$H83*EF!$H208*MMVolatEF*NtoN2O*kgtoGg</f>
        <v>2.9192575299913116E-4</v>
      </c>
      <c r="AF158" s="22">
        <f>Constants!$H65*'Activity data'!AF7*Constants!$H83*EF!$H208*MMVolatEF*NtoN2O*kgtoGg</f>
        <v>2.9363840149788538E-4</v>
      </c>
      <c r="AG158" s="22">
        <f>Constants!$H65*'Activity data'!AG7*Constants!$H83*EF!$H208*MMVolatEF*NtoN2O*kgtoGg</f>
        <v>2.9385993617112721E-4</v>
      </c>
      <c r="AH158" s="22">
        <f>Constants!$H65*'Activity data'!AH7*Constants!$H83*EF!$H208*MMVolatEF*NtoN2O*kgtoGg</f>
        <v>2.9424150792478436E-4</v>
      </c>
      <c r="AI158" s="22">
        <f>Constants!$H65*'Activity data'!AI7*Constants!$H83*EF!$H208*MMVolatEF*NtoN2O*kgtoGg</f>
        <v>2.964308962654098E-4</v>
      </c>
      <c r="AJ158" s="22">
        <f>Constants!$H65*'Activity data'!AJ7*Constants!$H83*EF!$H208*MMVolatEF*NtoN2O*kgtoGg</f>
        <v>2.9818160526127053E-4</v>
      </c>
      <c r="AK158" s="22">
        <f>Constants!$H65*'Activity data'!AK7*Constants!$H83*EF!$H208*MMVolatEF*NtoN2O*kgtoGg</f>
        <v>2.9819695558301769E-4</v>
      </c>
      <c r="AL158" s="22">
        <f>Constants!$H65*'Activity data'!AL7*Constants!$H83*EF!$H208*MMVolatEF*NtoN2O*kgtoGg</f>
        <v>2.9029659923741555E-4</v>
      </c>
      <c r="AM158" s="22">
        <f>Constants!$H65*'Activity data'!AM7*Constants!$H83*EF!$H208*MMVolatEF*NtoN2O*kgtoGg</f>
        <v>2.9411321764952843E-4</v>
      </c>
      <c r="AN158" s="22">
        <f>Constants!$H65*'Activity data'!AN7*Constants!$H83*EF!$H208*MMVolatEF*NtoN2O*kgtoGg</f>
        <v>2.970023322125765E-4</v>
      </c>
      <c r="AO158" s="22">
        <f>Constants!$H65*'Activity data'!AO7*Constants!$H83*EF!$H208*MMVolatEF*NtoN2O*kgtoGg</f>
        <v>2.99728143434853E-4</v>
      </c>
      <c r="AP158" s="22">
        <f>Constants!$H65*'Activity data'!AP7*Constants!$H83*EF!$H208*MMVolatEF*NtoN2O*kgtoGg</f>
        <v>3.0288880189565705E-4</v>
      </c>
      <c r="AQ158" s="22">
        <f>Constants!$H65*'Activity data'!AQ7*Constants!$H83*EF!$H208*MMVolatEF*NtoN2O*kgtoGg</f>
        <v>3.0741754684956394E-4</v>
      </c>
      <c r="AR158" s="22">
        <f>Constants!$H65*'Activity data'!AR7*Constants!$H83*EF!$H208*MMVolatEF*NtoN2O*kgtoGg</f>
        <v>3.1213249729918828E-4</v>
      </c>
      <c r="AS158" s="22">
        <f>Constants!$H65*'Activity data'!AS7*Constants!$H83*EF!$H208*MMVolatEF*NtoN2O*kgtoGg</f>
        <v>3.1725399781442622E-4</v>
      </c>
      <c r="AT158" s="22">
        <f>Constants!$H65*'Activity data'!AT7*Constants!$H83*EF!$H208*MMVolatEF*NtoN2O*kgtoGg</f>
        <v>3.2191147910739512E-4</v>
      </c>
      <c r="AU158" s="22">
        <f>Constants!$H65*'Activity data'!AU7*Constants!$H83*EF!$H208*MMVolatEF*NtoN2O*kgtoGg</f>
        <v>3.2724781634169446E-4</v>
      </c>
      <c r="AV158" s="22">
        <f>Constants!$H65*'Activity data'!AV7*Constants!$H83*EF!$H208*MMVolatEF*NtoN2O*kgtoGg</f>
        <v>3.3341350927538441E-4</v>
      </c>
      <c r="AW158" s="22">
        <f>Constants!$H65*'Activity data'!AW7*Constants!$H83*EF!$H208*MMVolatEF*NtoN2O*kgtoGg</f>
        <v>3.3934954636013071E-4</v>
      </c>
      <c r="AX158" s="22">
        <f>Constants!$H65*'Activity data'!AX7*Constants!$H83*EF!$H208*MMVolatEF*NtoN2O*kgtoGg</f>
        <v>3.4559505261503654E-4</v>
      </c>
      <c r="AY158" s="22">
        <f>Constants!$H65*'Activity data'!AY7*Constants!$H83*EF!$H208*MMVolatEF*NtoN2O*kgtoGg</f>
        <v>3.5202998919028807E-4</v>
      </c>
      <c r="AZ158" s="22">
        <f>Constants!$H65*'Activity data'!AZ7*Constants!$H83*EF!$H208*MMVolatEF*NtoN2O*kgtoGg</f>
        <v>3.5919025111926287E-4</v>
      </c>
      <c r="BA158" s="22">
        <f>Constants!$H65*'Activity data'!BA7*Constants!$H83*EF!$H208*MMVolatEF*NtoN2O*kgtoGg</f>
        <v>3.6567295897152252E-4</v>
      </c>
      <c r="BB158" s="22">
        <f>Constants!$H65*'Activity data'!BB7*Constants!$H83*EF!$H208*MMVolatEF*NtoN2O*kgtoGg</f>
        <v>3.7240921297521811E-4</v>
      </c>
      <c r="BC158" s="22">
        <f>Constants!$H65*'Activity data'!BC7*Constants!$H83*EF!$H208*MMVolatEF*NtoN2O*kgtoGg</f>
        <v>3.7932153960559638E-4</v>
      </c>
      <c r="BD158" s="22">
        <f>Constants!$H65*'Activity data'!BD7*Constants!$H83*EF!$H208*MMVolatEF*NtoN2O*kgtoGg</f>
        <v>3.8602723861057959E-4</v>
      </c>
      <c r="BE158" s="22">
        <f>Constants!$H65*'Activity data'!BE7*Constants!$H83*EF!$H208*MMVolatEF*NtoN2O*kgtoGg</f>
        <v>3.9278376078357157E-4</v>
      </c>
      <c r="BF158" s="22">
        <f>Constants!$H65*'Activity data'!BF7*Constants!$H83*EF!$H208*MMVolatEF*NtoN2O*kgtoGg</f>
        <v>3.9982689330905129E-4</v>
      </c>
      <c r="BG158" s="22">
        <f>Constants!$H65*'Activity data'!BG7*Constants!$H83*EF!$H208*MMVolatEF*NtoN2O*kgtoGg</f>
        <v>4.0710323188084528E-4</v>
      </c>
      <c r="BH158" s="22">
        <f>Constants!$H65*'Activity data'!BH7*Constants!$H83*EF!$H208*MMVolatEF*NtoN2O*kgtoGg</f>
        <v>4.1405288044446054E-4</v>
      </c>
      <c r="BI158" s="22">
        <f>Constants!$H65*'Activity data'!BI7*Constants!$H83*EF!$H208*MMVolatEF*NtoN2O*kgtoGg</f>
        <v>4.2114933340917202E-4</v>
      </c>
      <c r="BJ158" s="22">
        <f>Constants!$H65*'Activity data'!BJ7*Constants!$H83*EF!$H208*MMVolatEF*NtoN2O*kgtoGg</f>
        <v>4.284053802285357E-4</v>
      </c>
      <c r="BK158" s="22">
        <f>Constants!$H65*'Activity data'!BK7*Constants!$H83*EF!$H208*MMVolatEF*NtoN2O*kgtoGg</f>
        <v>4.3616501438771657E-4</v>
      </c>
      <c r="BL158" s="22">
        <f>Constants!$H65*'Activity data'!BL7*Constants!$H83*EF!$H208*MMVolatEF*NtoN2O*kgtoGg</f>
        <v>4.4401004957201647E-4</v>
      </c>
      <c r="BM158" s="22">
        <f>Constants!$H65*'Activity data'!BM7*Constants!$H83*EF!$H208*MMVolatEF*NtoN2O*kgtoGg</f>
        <v>4.4870539746405302E-4</v>
      </c>
      <c r="BN158" s="22">
        <f>Constants!$H65*'Activity data'!BN7*Constants!$H83*EF!$H208*MMVolatEF*NtoN2O*kgtoGg</f>
        <v>4.5321832092514971E-4</v>
      </c>
      <c r="BO158" s="22">
        <f>Constants!$H65*'Activity data'!BO7*Constants!$H83*EF!$H208*MMVolatEF*NtoN2O*kgtoGg</f>
        <v>4.5821133040150263E-4</v>
      </c>
      <c r="BP158" s="22">
        <f>Constants!$H65*'Activity data'!BP7*Constants!$H83*EF!$H208*MMVolatEF*NtoN2O*kgtoGg</f>
        <v>4.630604400735748E-4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3.2482696422712933E-3</v>
      </c>
      <c r="AE159" s="22">
        <f>Constants!$H66*'Activity data'!AE8*Constants!$H84*EF!$H209*MMVolatEF*NtoN2O*kgtoGg</f>
        <v>3.2317319962183351E-3</v>
      </c>
      <c r="AF159" s="22">
        <f>Constants!$H66*'Activity data'!AF8*Constants!$H84*EF!$H209*MMVolatEF*NtoN2O*kgtoGg</f>
        <v>3.2015477632972725E-3</v>
      </c>
      <c r="AG159" s="22">
        <f>Constants!$H66*'Activity data'!AG8*Constants!$H84*EF!$H209*MMVolatEF*NtoN2O*kgtoGg</f>
        <v>3.1189249893783613E-3</v>
      </c>
      <c r="AH159" s="22">
        <f>Constants!$H66*'Activity data'!AH8*Constants!$H84*EF!$H209*MMVolatEF*NtoN2O*kgtoGg</f>
        <v>3.0395993626659438E-3</v>
      </c>
      <c r="AI159" s="22">
        <f>Constants!$H66*'Activity data'!AI8*Constants!$H84*EF!$H209*MMVolatEF*NtoN2O*kgtoGg</f>
        <v>3.013633441305081E-3</v>
      </c>
      <c r="AJ159" s="22">
        <f>Constants!$H66*'Activity data'!AJ8*Constants!$H84*EF!$H209*MMVolatEF*NtoN2O*kgtoGg</f>
        <v>2.9716957157217678E-3</v>
      </c>
      <c r="AK159" s="22">
        <f>Constants!$H66*'Activity data'!AK8*Constants!$H84*EF!$H209*MMVolatEF*NtoN2O*kgtoGg</f>
        <v>2.8774698147158886E-3</v>
      </c>
      <c r="AL159" s="22">
        <f>Constants!$H66*'Activity data'!AL8*Constants!$H84*EF!$H209*MMVolatEF*NtoN2O*kgtoGg</f>
        <v>2.5613322402579155E-3</v>
      </c>
      <c r="AM159" s="22">
        <f>Constants!$H66*'Activity data'!AM8*Constants!$H84*EF!$H209*MMVolatEF*NtoN2O*kgtoGg</f>
        <v>2.623917982066072E-3</v>
      </c>
      <c r="AN159" s="22">
        <f>Constants!$H66*'Activity data'!AN8*Constants!$H84*EF!$H209*MMVolatEF*NtoN2O*kgtoGg</f>
        <v>2.6577221861843617E-3</v>
      </c>
      <c r="AO159" s="22">
        <f>Constants!$H66*'Activity data'!AO8*Constants!$H84*EF!$H209*MMVolatEF*NtoN2O*kgtoGg</f>
        <v>2.6845906828351748E-3</v>
      </c>
      <c r="AP159" s="22">
        <f>Constants!$H66*'Activity data'!AP8*Constants!$H84*EF!$H209*MMVolatEF*NtoN2O*kgtoGg</f>
        <v>2.7207002140253378E-3</v>
      </c>
      <c r="AQ159" s="22">
        <f>Constants!$H66*'Activity data'!AQ8*Constants!$H84*EF!$H209*MMVolatEF*NtoN2O*kgtoGg</f>
        <v>2.7900255688374769E-3</v>
      </c>
      <c r="AR159" s="22">
        <f>Constants!$H66*'Activity data'!AR8*Constants!$H84*EF!$H209*MMVolatEF*NtoN2O*kgtoGg</f>
        <v>2.8659005664794695E-3</v>
      </c>
      <c r="AS159" s="22">
        <f>Constants!$H66*'Activity data'!AS8*Constants!$H84*EF!$H209*MMVolatEF*NtoN2O*kgtoGg</f>
        <v>2.9485743375895451E-3</v>
      </c>
      <c r="AT159" s="22">
        <f>Constants!$H66*'Activity data'!AT8*Constants!$H84*EF!$H209*MMVolatEF*NtoN2O*kgtoGg</f>
        <v>3.0159847657098681E-3</v>
      </c>
      <c r="AU159" s="22">
        <f>Constants!$H66*'Activity data'!AU8*Constants!$H84*EF!$H209*MMVolatEF*NtoN2O*kgtoGg</f>
        <v>3.0969021916471581E-3</v>
      </c>
      <c r="AV159" s="22">
        <f>Constants!$H66*'Activity data'!AV8*Constants!$H84*EF!$H209*MMVolatEF*NtoN2O*kgtoGg</f>
        <v>3.1943690749044406E-3</v>
      </c>
      <c r="AW159" s="22">
        <f>Constants!$H66*'Activity data'!AW8*Constants!$H84*EF!$H209*MMVolatEF*NtoN2O*kgtoGg</f>
        <v>3.2585733035448653E-3</v>
      </c>
      <c r="AX159" s="22">
        <f>Constants!$H66*'Activity data'!AX8*Constants!$H84*EF!$H209*MMVolatEF*NtoN2O*kgtoGg</f>
        <v>3.3241557037935383E-3</v>
      </c>
      <c r="AY159" s="22">
        <f>Constants!$H66*'Activity data'!AY8*Constants!$H84*EF!$H209*MMVolatEF*NtoN2O*kgtoGg</f>
        <v>3.3880596297124936E-3</v>
      </c>
      <c r="AZ159" s="22">
        <f>Constants!$H66*'Activity data'!AZ8*Constants!$H84*EF!$H209*MMVolatEF*NtoN2O*kgtoGg</f>
        <v>3.4619913814758307E-3</v>
      </c>
      <c r="BA159" s="22">
        <f>Constants!$H66*'Activity data'!BA8*Constants!$H84*EF!$H209*MMVolatEF*NtoN2O*kgtoGg</f>
        <v>3.5146755709245725E-3</v>
      </c>
      <c r="BB159" s="22">
        <f>Constants!$H66*'Activity data'!BB8*Constants!$H84*EF!$H209*MMVolatEF*NtoN2O*kgtoGg</f>
        <v>3.5701775452979248E-3</v>
      </c>
      <c r="BC159" s="22">
        <f>Constants!$H66*'Activity data'!BC8*Constants!$H84*EF!$H209*MMVolatEF*NtoN2O*kgtoGg</f>
        <v>3.6232879454531405E-3</v>
      </c>
      <c r="BD159" s="22">
        <f>Constants!$H66*'Activity data'!BD8*Constants!$H84*EF!$H209*MMVolatEF*NtoN2O*kgtoGg</f>
        <v>3.6661960797731564E-3</v>
      </c>
      <c r="BE159" s="22">
        <f>Constants!$H66*'Activity data'!BE8*Constants!$H84*EF!$H209*MMVolatEF*NtoN2O*kgtoGg</f>
        <v>3.7043821557080172E-3</v>
      </c>
      <c r="BF159" s="22">
        <f>Constants!$H66*'Activity data'!BF8*Constants!$H84*EF!$H209*MMVolatEF*NtoN2O*kgtoGg</f>
        <v>3.7423967810390727E-3</v>
      </c>
      <c r="BG159" s="22">
        <f>Constants!$H66*'Activity data'!BG8*Constants!$H84*EF!$H209*MMVolatEF*NtoN2O*kgtoGg</f>
        <v>3.8009071788089443E-3</v>
      </c>
      <c r="BH159" s="22">
        <f>Constants!$H66*'Activity data'!BH8*Constants!$H84*EF!$H209*MMVolatEF*NtoN2O*kgtoGg</f>
        <v>3.8485572102327672E-3</v>
      </c>
      <c r="BI159" s="22">
        <f>Constants!$H66*'Activity data'!BI8*Constants!$H84*EF!$H209*MMVolatEF*NtoN2O*kgtoGg</f>
        <v>3.8943125167611257E-3</v>
      </c>
      <c r="BJ159" s="22">
        <f>Constants!$H66*'Activity data'!BJ8*Constants!$H84*EF!$H209*MMVolatEF*NtoN2O*kgtoGg</f>
        <v>3.9383232574175748E-3</v>
      </c>
      <c r="BK159" s="22">
        <f>Constants!$H66*'Activity data'!BK8*Constants!$H84*EF!$H209*MMVolatEF*NtoN2O*kgtoGg</f>
        <v>3.9864180340335002E-3</v>
      </c>
      <c r="BL159" s="22">
        <f>Constants!$H66*'Activity data'!BL8*Constants!$H84*EF!$H209*MMVolatEF*NtoN2O*kgtoGg</f>
        <v>4.0335263443460959E-3</v>
      </c>
      <c r="BM159" s="22">
        <f>Constants!$H66*'Activity data'!BM8*Constants!$H84*EF!$H209*MMVolatEF*NtoN2O*kgtoGg</f>
        <v>4.0238206460385395E-3</v>
      </c>
      <c r="BN159" s="22">
        <f>Constants!$H66*'Activity data'!BN8*Constants!$H84*EF!$H209*MMVolatEF*NtoN2O*kgtoGg</f>
        <v>4.0085912060413426E-3</v>
      </c>
      <c r="BO159" s="22">
        <f>Constants!$H66*'Activity data'!BO8*Constants!$H84*EF!$H209*MMVolatEF*NtoN2O*kgtoGg</f>
        <v>3.9985247622409742E-3</v>
      </c>
      <c r="BP159" s="22">
        <f>Constants!$H66*'Activity data'!BP8*Constants!$H84*EF!$H209*MMVolatEF*NtoN2O*kgtoGg</f>
        <v>3.9835451710550415E-3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1.6169907052996448E-2</v>
      </c>
      <c r="AE160" s="22">
        <f>Constants!$H67*'Activity data'!AE9*Constants!$H85*EF!$H210*MMVolatEF*NtoN2O*kgtoGg</f>
        <v>1.6087582545181053E-2</v>
      </c>
      <c r="AF160" s="22">
        <f>Constants!$H67*'Activity data'!AF9*Constants!$H85*EF!$H210*MMVolatEF*NtoN2O*kgtoGg</f>
        <v>1.5937325240661746E-2</v>
      </c>
      <c r="AG160" s="22">
        <f>Constants!$H67*'Activity data'!AG9*Constants!$H85*EF!$H210*MMVolatEF*NtoN2O*kgtoGg</f>
        <v>1.5526028543693155E-2</v>
      </c>
      <c r="AH160" s="22">
        <f>Constants!$H67*'Activity data'!AH9*Constants!$H85*EF!$H210*MMVolatEF*NtoN2O*kgtoGg</f>
        <v>1.5131145066604845E-2</v>
      </c>
      <c r="AI160" s="22">
        <f>Constants!$H67*'Activity data'!AI9*Constants!$H85*EF!$H210*MMVolatEF*NtoN2O*kgtoGg</f>
        <v>1.5001886544009729E-2</v>
      </c>
      <c r="AJ160" s="22">
        <f>Constants!$H67*'Activity data'!AJ9*Constants!$H85*EF!$H210*MMVolatEF*NtoN2O*kgtoGg</f>
        <v>1.4793120277850224E-2</v>
      </c>
      <c r="AK160" s="22">
        <f>Constants!$H67*'Activity data'!AK9*Constants!$H85*EF!$H210*MMVolatEF*NtoN2O*kgtoGg</f>
        <v>1.4324063140036831E-2</v>
      </c>
      <c r="AL160" s="22">
        <f>Constants!$H67*'Activity data'!AL9*Constants!$H85*EF!$H210*MMVolatEF*NtoN2O*kgtoGg</f>
        <v>1.2750328272579596E-2</v>
      </c>
      <c r="AM160" s="22">
        <f>Constants!$H67*'Activity data'!AM9*Constants!$H85*EF!$H210*MMVolatEF*NtoN2O*kgtoGg</f>
        <v>1.3061880495557336E-2</v>
      </c>
      <c r="AN160" s="22">
        <f>Constants!$H67*'Activity data'!AN9*Constants!$H85*EF!$H210*MMVolatEF*NtoN2O*kgtoGg</f>
        <v>1.3230158039847359E-2</v>
      </c>
      <c r="AO160" s="22">
        <f>Constants!$H67*'Activity data'!AO9*Constants!$H85*EF!$H210*MMVolatEF*NtoN2O*kgtoGg</f>
        <v>1.3363909588008125E-2</v>
      </c>
      <c r="AP160" s="22">
        <f>Constants!$H67*'Activity data'!AP9*Constants!$H85*EF!$H210*MMVolatEF*NtoN2O*kgtoGg</f>
        <v>1.3543663065205281E-2</v>
      </c>
      <c r="AQ160" s="22">
        <f>Constants!$H67*'Activity data'!AQ9*Constants!$H85*EF!$H210*MMVolatEF*NtoN2O*kgtoGg</f>
        <v>1.3888765124818915E-2</v>
      </c>
      <c r="AR160" s="22">
        <f>Constants!$H67*'Activity data'!AR9*Constants!$H85*EF!$H210*MMVolatEF*NtoN2O*kgtoGg</f>
        <v>1.4266471348326726E-2</v>
      </c>
      <c r="AS160" s="22">
        <f>Constants!$H67*'Activity data'!AS9*Constants!$H85*EF!$H210*MMVolatEF*NtoN2O*kgtoGg</f>
        <v>1.4678021909639079E-2</v>
      </c>
      <c r="AT160" s="22">
        <f>Constants!$H67*'Activity data'!AT9*Constants!$H85*EF!$H210*MMVolatEF*NtoN2O*kgtoGg</f>
        <v>1.5013591451934262E-2</v>
      </c>
      <c r="AU160" s="22">
        <f>Constants!$H67*'Activity data'!AU9*Constants!$H85*EF!$H210*MMVolatEF*NtoN2O*kgtoGg</f>
        <v>1.5416398915744074E-2</v>
      </c>
      <c r="AV160" s="22">
        <f>Constants!$H67*'Activity data'!AV9*Constants!$H85*EF!$H210*MMVolatEF*NtoN2O*kgtoGg</f>
        <v>1.5901589683932116E-2</v>
      </c>
      <c r="AW160" s="22">
        <f>Constants!$H67*'Activity data'!AW9*Constants!$H85*EF!$H210*MMVolatEF*NtoN2O*kgtoGg</f>
        <v>1.6221198744711653E-2</v>
      </c>
      <c r="AX160" s="22">
        <f>Constants!$H67*'Activity data'!AX9*Constants!$H85*EF!$H210*MMVolatEF*NtoN2O*kgtoGg</f>
        <v>1.6547668352570915E-2</v>
      </c>
      <c r="AY160" s="22">
        <f>Constants!$H67*'Activity data'!AY9*Constants!$H85*EF!$H210*MMVolatEF*NtoN2O*kgtoGg</f>
        <v>1.6865782504482438E-2</v>
      </c>
      <c r="AZ160" s="22">
        <f>Constants!$H67*'Activity data'!AZ9*Constants!$H85*EF!$H210*MMVolatEF*NtoN2O*kgtoGg</f>
        <v>1.7233815237578592E-2</v>
      </c>
      <c r="BA160" s="22">
        <f>Constants!$H67*'Activity data'!BA9*Constants!$H85*EF!$H210*MMVolatEF*NtoN2O*kgtoGg</f>
        <v>1.7496077469587427E-2</v>
      </c>
      <c r="BB160" s="22">
        <f>Constants!$H67*'Activity data'!BB9*Constants!$H85*EF!$H210*MMVolatEF*NtoN2O*kgtoGg</f>
        <v>1.7772366652971647E-2</v>
      </c>
      <c r="BC160" s="22">
        <f>Constants!$H67*'Activity data'!BC9*Constants!$H85*EF!$H210*MMVolatEF*NtoN2O*kgtoGg</f>
        <v>1.8036750564603077E-2</v>
      </c>
      <c r="BD160" s="22">
        <f>Constants!$H67*'Activity data'!BD9*Constants!$H85*EF!$H210*MMVolatEF*NtoN2O*kgtoGg</f>
        <v>1.825034753165997E-2</v>
      </c>
      <c r="BE160" s="22">
        <f>Constants!$H67*'Activity data'!BE9*Constants!$H85*EF!$H210*MMVolatEF*NtoN2O*kgtoGg</f>
        <v>1.8440438061876424E-2</v>
      </c>
      <c r="BF160" s="22">
        <f>Constants!$H67*'Activity data'!BF9*Constants!$H85*EF!$H210*MMVolatEF*NtoN2O*kgtoGg</f>
        <v>1.862967510989065E-2</v>
      </c>
      <c r="BG160" s="22">
        <f>Constants!$H67*'Activity data'!BG9*Constants!$H85*EF!$H210*MMVolatEF*NtoN2O*kgtoGg</f>
        <v>1.8920940244182623E-2</v>
      </c>
      <c r="BH160" s="22">
        <f>Constants!$H67*'Activity data'!BH9*Constants!$H85*EF!$H210*MMVolatEF*NtoN2O*kgtoGg</f>
        <v>1.9158142405348286E-2</v>
      </c>
      <c r="BI160" s="22">
        <f>Constants!$H67*'Activity data'!BI9*Constants!$H85*EF!$H210*MMVolatEF*NtoN2O*kgtoGg</f>
        <v>1.9385912613866938E-2</v>
      </c>
      <c r="BJ160" s="22">
        <f>Constants!$H67*'Activity data'!BJ9*Constants!$H85*EF!$H210*MMVolatEF*NtoN2O*kgtoGg</f>
        <v>1.9604998362318136E-2</v>
      </c>
      <c r="BK160" s="22">
        <f>Constants!$H67*'Activity data'!BK9*Constants!$H85*EF!$H210*MMVolatEF*NtoN2O*kgtoGg</f>
        <v>1.9844414467894381E-2</v>
      </c>
      <c r="BL160" s="22">
        <f>Constants!$H67*'Activity data'!BL9*Constants!$H85*EF!$H210*MMVolatEF*NtoN2O*kgtoGg</f>
        <v>2.0078919937903877E-2</v>
      </c>
      <c r="BM160" s="22">
        <f>Constants!$H67*'Activity data'!BM9*Constants!$H85*EF!$H210*MMVolatEF*NtoN2O*kgtoGg</f>
        <v>2.0030604909657669E-2</v>
      </c>
      <c r="BN160" s="22">
        <f>Constants!$H67*'Activity data'!BN9*Constants!$H85*EF!$H210*MMVolatEF*NtoN2O*kgtoGg</f>
        <v>1.9954792659954267E-2</v>
      </c>
      <c r="BO160" s="22">
        <f>Constants!$H67*'Activity data'!BO9*Constants!$H85*EF!$H210*MMVolatEF*NtoN2O*kgtoGg</f>
        <v>1.9904681838337764E-2</v>
      </c>
      <c r="BP160" s="22">
        <f>Constants!$H67*'Activity data'!BP9*Constants!$H85*EF!$H210*MMVolatEF*NtoN2O*kgtoGg</f>
        <v>1.9830113337614693E-2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0.15881310952891459</v>
      </c>
      <c r="AE161" s="22">
        <f>Constants!$H68*'Activity data'!AE10*Constants!$H86*EF!$H211*MMVolatEF*NtoN2O*kgtoGg</f>
        <v>0.16473779708525871</v>
      </c>
      <c r="AF161" s="22">
        <f>Constants!$H68*'Activity data'!AF10*Constants!$H86*EF!$H211*MMVolatEF*NtoN2O*kgtoGg</f>
        <v>0.17006036536738212</v>
      </c>
      <c r="AG161" s="22">
        <f>Constants!$H68*'Activity data'!AG10*Constants!$H86*EF!$H211*MMVolatEF*NtoN2O*kgtoGg</f>
        <v>0.1725581026820969</v>
      </c>
      <c r="AH161" s="22">
        <f>Constants!$H68*'Activity data'!AH10*Constants!$H86*EF!$H211*MMVolatEF*NtoN2O*kgtoGg</f>
        <v>0.17509405758016705</v>
      </c>
      <c r="AI161" s="22">
        <f>Constants!$H68*'Activity data'!AI10*Constants!$H86*EF!$H211*MMVolatEF*NtoN2O*kgtoGg</f>
        <v>0.18069182253517682</v>
      </c>
      <c r="AJ161" s="22">
        <f>Constants!$H68*'Activity data'!AJ10*Constants!$H86*EF!$H211*MMVolatEF*NtoN2O*kgtoGg</f>
        <v>0.18541356320951116</v>
      </c>
      <c r="AK161" s="22">
        <f>Constants!$H68*'Activity data'!AK10*Constants!$H86*EF!$H211*MMVolatEF*NtoN2O*kgtoGg</f>
        <v>0.18679194415388084</v>
      </c>
      <c r="AL161" s="22">
        <f>Constants!$H68*'Activity data'!AL10*Constants!$H86*EF!$H211*MMVolatEF*NtoN2O*kgtoGg</f>
        <v>0.17296868678120739</v>
      </c>
      <c r="AM161" s="22">
        <f>Constants!$H68*'Activity data'!AM10*Constants!$H86*EF!$H211*MMVolatEF*NtoN2O*kgtoGg</f>
        <v>0.18144262132443914</v>
      </c>
      <c r="AN161" s="22">
        <f>Constants!$H68*'Activity data'!AN10*Constants!$H86*EF!$H211*MMVolatEF*NtoN2O*kgtoGg</f>
        <v>0.18812503294384797</v>
      </c>
      <c r="AO161" s="22">
        <f>Constants!$H68*'Activity data'!AO10*Constants!$H86*EF!$H211*MMVolatEF*NtoN2O*kgtoGg</f>
        <v>0.19446239722796549</v>
      </c>
      <c r="AP161" s="22">
        <f>Constants!$H68*'Activity data'!AP10*Constants!$H86*EF!$H211*MMVolatEF*NtoN2O*kgtoGg</f>
        <v>0.2016240264907645</v>
      </c>
      <c r="AQ161" s="22">
        <f>Constants!$H68*'Activity data'!AQ10*Constants!$H86*EF!$H211*MMVolatEF*NtoN2O*kgtoGg</f>
        <v>0.21147893804143503</v>
      </c>
      <c r="AR161" s="22">
        <f>Constants!$H68*'Activity data'!AR10*Constants!$H86*EF!$H211*MMVolatEF*NtoN2O*kgtoGg</f>
        <v>0.2221363393242273</v>
      </c>
      <c r="AS161" s="22">
        <f>Constants!$H68*'Activity data'!AS10*Constants!$H86*EF!$H211*MMVolatEF*NtoN2O*kgtoGg</f>
        <v>0.23365788448441194</v>
      </c>
      <c r="AT161" s="22">
        <f>Constants!$H68*'Activity data'!AT10*Constants!$H86*EF!$H211*MMVolatEF*NtoN2O*kgtoGg</f>
        <v>0.24430091045471902</v>
      </c>
      <c r="AU161" s="22">
        <f>Constants!$H68*'Activity data'!AU10*Constants!$H86*EF!$H211*MMVolatEF*NtoN2O*kgtoGg</f>
        <v>0.25637491269914275</v>
      </c>
      <c r="AV161" s="22">
        <f>Constants!$H68*'Activity data'!AV10*Constants!$H86*EF!$H211*MMVolatEF*NtoN2O*kgtoGg</f>
        <v>0.27021906806746643</v>
      </c>
      <c r="AW161" s="22">
        <f>Constants!$H68*'Activity data'!AW10*Constants!$H86*EF!$H211*MMVolatEF*NtoN2O*kgtoGg</f>
        <v>0.28476142142999822</v>
      </c>
      <c r="AX161" s="22">
        <f>Constants!$H68*'Activity data'!AX10*Constants!$H86*EF!$H211*MMVolatEF*NtoN2O*kgtoGg</f>
        <v>0.30011305574638969</v>
      </c>
      <c r="AY161" s="22">
        <f>Constants!$H68*'Activity data'!AY10*Constants!$H86*EF!$H211*MMVolatEF*NtoN2O*kgtoGg</f>
        <v>0.31603885980078922</v>
      </c>
      <c r="AZ161" s="22">
        <f>Constants!$H68*'Activity data'!AZ10*Constants!$H86*EF!$H211*MMVolatEF*NtoN2O*kgtoGg</f>
        <v>0.33369229141350232</v>
      </c>
      <c r="BA161" s="22">
        <f>Constants!$H68*'Activity data'!BA10*Constants!$H86*EF!$H211*MMVolatEF*NtoN2O*kgtoGg</f>
        <v>0.35009811029288379</v>
      </c>
      <c r="BB161" s="22">
        <f>Constants!$H68*'Activity data'!BB10*Constants!$H86*EF!$H211*MMVolatEF*NtoN2O*kgtoGg</f>
        <v>0.3675707773071587</v>
      </c>
      <c r="BC161" s="22">
        <f>Constants!$H68*'Activity data'!BC10*Constants!$H86*EF!$H211*MMVolatEF*NtoN2O*kgtoGg</f>
        <v>0.38563080115839554</v>
      </c>
      <c r="BD161" s="22">
        <f>Constants!$H68*'Activity data'!BD10*Constants!$H86*EF!$H211*MMVolatEF*NtoN2O*kgtoGg</f>
        <v>0.4034429737992129</v>
      </c>
      <c r="BE161" s="22">
        <f>Constants!$H68*'Activity data'!BE10*Constants!$H86*EF!$H211*MMVolatEF*NtoN2O*kgtoGg</f>
        <v>0.42156904095031289</v>
      </c>
      <c r="BF161" s="22">
        <f>Constants!$H68*'Activity data'!BF10*Constants!$H86*EF!$H211*MMVolatEF*NtoN2O*kgtoGg</f>
        <v>0.44054187589856841</v>
      </c>
      <c r="BG161" s="22">
        <f>Constants!$H68*'Activity data'!BG10*Constants!$H86*EF!$H211*MMVolatEF*NtoN2O*kgtoGg</f>
        <v>0.4600083648860695</v>
      </c>
      <c r="BH161" s="22">
        <f>Constants!$H68*'Activity data'!BH10*Constants!$H86*EF!$H211*MMVolatEF*NtoN2O*kgtoGg</f>
        <v>0.4789155318145385</v>
      </c>
      <c r="BI161" s="22">
        <f>Constants!$H68*'Activity data'!BI10*Constants!$H86*EF!$H211*MMVolatEF*NtoN2O*kgtoGg</f>
        <v>0.4983346210539078</v>
      </c>
      <c r="BJ161" s="22">
        <f>Constants!$H68*'Activity data'!BJ10*Constants!$H86*EF!$H211*MMVolatEF*NtoN2O*kgtoGg</f>
        <v>0.51830220925788251</v>
      </c>
      <c r="BK161" s="22">
        <f>Constants!$H68*'Activity data'!BK10*Constants!$H86*EF!$H211*MMVolatEF*NtoN2O*kgtoGg</f>
        <v>0.53962685269510091</v>
      </c>
      <c r="BL161" s="22">
        <f>Constants!$H68*'Activity data'!BL10*Constants!$H86*EF!$H211*MMVolatEF*NtoN2O*kgtoGg</f>
        <v>0.56169127095769178</v>
      </c>
      <c r="BM161" s="22">
        <f>Constants!$H68*'Activity data'!BM10*Constants!$H86*EF!$H211*MMVolatEF*NtoN2O*kgtoGg</f>
        <v>0.57653019243567449</v>
      </c>
      <c r="BN161" s="22">
        <f>Constants!$H68*'Activity data'!BN10*Constants!$H86*EF!$H211*MMVolatEF*NtoN2O*kgtoGg</f>
        <v>0.59104442540925484</v>
      </c>
      <c r="BO161" s="22">
        <f>Constants!$H68*'Activity data'!BO10*Constants!$H86*EF!$H211*MMVolatEF*NtoN2O*kgtoGg</f>
        <v>0.60681048738089205</v>
      </c>
      <c r="BP161" s="22">
        <f>Constants!$H68*'Activity data'!BP10*Constants!$H86*EF!$H211*MMVolatEF*NtoN2O*kgtoGg</f>
        <v>0.62234884521273104</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1.1717139101759614E-4</v>
      </c>
      <c r="AE162" s="22">
        <f>Constants!$H69*'Activity data'!AE11*Constants!$H87*EF!$H212*MMVolatEF*NtoN2O*kgtoGg</f>
        <v>1.1723462618367247E-4</v>
      </c>
      <c r="AF162" s="22">
        <f>Constants!$H69*'Activity data'!AF11*Constants!$H87*EF!$H212*MMVolatEF*NtoN2O*kgtoGg</f>
        <v>1.1737999843906114E-4</v>
      </c>
      <c r="AG162" s="22">
        <f>Constants!$H69*'Activity data'!AG11*Constants!$H87*EF!$H212*MMVolatEF*NtoN2O*kgtoGg</f>
        <v>1.1759581709566441E-4</v>
      </c>
      <c r="AH162" s="22">
        <f>Constants!$H69*'Activity data'!AH11*Constants!$H87*EF!$H212*MMVolatEF*NtoN2O*kgtoGg</f>
        <v>1.178871134646596E-4</v>
      </c>
      <c r="AI162" s="22">
        <f>Constants!$H69*'Activity data'!AI11*Constants!$H87*EF!$H212*MMVolatEF*NtoN2O*kgtoGg</f>
        <v>1.182597418054167E-4</v>
      </c>
      <c r="AJ162" s="22">
        <f>Constants!$H69*'Activity data'!AJ11*Constants!$H87*EF!$H212*MMVolatEF*NtoN2O*kgtoGg</f>
        <v>1.1867033947255795E-4</v>
      </c>
      <c r="AK162" s="22">
        <f>Constants!$H69*'Activity data'!AK11*Constants!$H87*EF!$H212*MMVolatEF*NtoN2O*kgtoGg</f>
        <v>1.1911252923744314E-4</v>
      </c>
      <c r="AL162" s="22">
        <f>Constants!$H69*'Activity data'!AL11*Constants!$H87*EF!$H212*MMVolatEF*NtoN2O*kgtoGg</f>
        <v>1.1955062486439893E-4</v>
      </c>
      <c r="AM162" s="22">
        <f>Constants!$H69*'Activity data'!AM11*Constants!$H87*EF!$H212*MMVolatEF*NtoN2O*kgtoGg</f>
        <v>1.1972991314052751E-4</v>
      </c>
      <c r="AN162" s="22">
        <f>Constants!$H69*'Activity data'!AN11*Constants!$H87*EF!$H212*MMVolatEF*NtoN2O*kgtoGg</f>
        <v>1.1993350054454542E-4</v>
      </c>
      <c r="AO162" s="22">
        <f>Constants!$H69*'Activity data'!AO11*Constants!$H87*EF!$H212*MMVolatEF*NtoN2O*kgtoGg</f>
        <v>1.2016374349275828E-4</v>
      </c>
      <c r="AP162" s="22">
        <f>Constants!$H69*'Activity data'!AP11*Constants!$H87*EF!$H212*MMVolatEF*NtoN2O*kgtoGg</f>
        <v>1.2042231214139446E-4</v>
      </c>
      <c r="AQ162" s="22">
        <f>Constants!$H69*'Activity data'!AQ11*Constants!$H87*EF!$H212*MMVolatEF*NtoN2O*kgtoGg</f>
        <v>1.207128620599027E-4</v>
      </c>
      <c r="AR162" s="22">
        <f>Constants!$H69*'Activity data'!AR11*Constants!$H87*EF!$H212*MMVolatEF*NtoN2O*kgtoGg</f>
        <v>1.2089554719264044E-4</v>
      </c>
      <c r="AS162" s="22">
        <f>Constants!$H69*'Activity data'!AS11*Constants!$H87*EF!$H212*MMVolatEF*NtoN2O*kgtoGg</f>
        <v>1.2110125995232866E-4</v>
      </c>
      <c r="AT162" s="22">
        <f>Constants!$H69*'Activity data'!AT11*Constants!$H87*EF!$H212*MMVolatEF*NtoN2O*kgtoGg</f>
        <v>1.2132427506998271E-4</v>
      </c>
      <c r="AU162" s="22">
        <f>Constants!$H69*'Activity data'!AU11*Constants!$H87*EF!$H212*MMVolatEF*NtoN2O*kgtoGg</f>
        <v>1.2156982110770359E-4</v>
      </c>
      <c r="AV162" s="22">
        <f>Constants!$H69*'Activity data'!AV11*Constants!$H87*EF!$H212*MMVolatEF*NtoN2O*kgtoGg</f>
        <v>1.2183786994920164E-4</v>
      </c>
      <c r="AW162" s="22">
        <f>Constants!$H69*'Activity data'!AW11*Constants!$H87*EF!$H212*MMVolatEF*NtoN2O*kgtoGg</f>
        <v>1.2201528623614288E-4</v>
      </c>
      <c r="AX162" s="22">
        <f>Constants!$H69*'Activity data'!AX11*Constants!$H87*EF!$H212*MMVolatEF*NtoN2O*kgtoGg</f>
        <v>1.2220996410772502E-4</v>
      </c>
      <c r="AY162" s="22">
        <f>Constants!$H69*'Activity data'!AY11*Constants!$H87*EF!$H212*MMVolatEF*NtoN2O*kgtoGg</f>
        <v>1.2242059577670001E-4</v>
      </c>
      <c r="AZ162" s="22">
        <f>Constants!$H69*'Activity data'!AZ11*Constants!$H87*EF!$H212*MMVolatEF*NtoN2O*kgtoGg</f>
        <v>1.2264946134615736E-4</v>
      </c>
      <c r="BA162" s="22">
        <f>Constants!$H69*'Activity data'!BA11*Constants!$H87*EF!$H212*MMVolatEF*NtoN2O*kgtoGg</f>
        <v>1.2288846185835745E-4</v>
      </c>
      <c r="BB162" s="22">
        <f>Constants!$H69*'Activity data'!BB11*Constants!$H87*EF!$H212*MMVolatEF*NtoN2O*kgtoGg</f>
        <v>1.2304136792276417E-4</v>
      </c>
      <c r="BC162" s="22">
        <f>Constants!$H69*'Activity data'!BC11*Constants!$H87*EF!$H212*MMVolatEF*NtoN2O*kgtoGg</f>
        <v>1.2320724493915228E-4</v>
      </c>
      <c r="BD162" s="22">
        <f>Constants!$H69*'Activity data'!BD11*Constants!$H87*EF!$H212*MMVolatEF*NtoN2O*kgtoGg</f>
        <v>1.2338358070705196E-4</v>
      </c>
      <c r="BE162" s="22">
        <f>Constants!$H69*'Activity data'!BE11*Constants!$H87*EF!$H212*MMVolatEF*NtoN2O*kgtoGg</f>
        <v>1.2357134049580156E-4</v>
      </c>
      <c r="BF162" s="22">
        <f>Constants!$H69*'Activity data'!BF11*Constants!$H87*EF!$H212*MMVolatEF*NtoN2O*kgtoGg</f>
        <v>1.2377140391233165E-4</v>
      </c>
      <c r="BG162" s="22">
        <f>Constants!$H69*'Activity data'!BG11*Constants!$H87*EF!$H212*MMVolatEF*NtoN2O*kgtoGg</f>
        <v>1.2388931849227042E-4</v>
      </c>
      <c r="BH162" s="22">
        <f>Constants!$H69*'Activity data'!BH11*Constants!$H87*EF!$H212*MMVolatEF*NtoN2O*kgtoGg</f>
        <v>1.2401495917055069E-4</v>
      </c>
      <c r="BI162" s="22">
        <f>Constants!$H69*'Activity data'!BI11*Constants!$H87*EF!$H212*MMVolatEF*NtoN2O*kgtoGg</f>
        <v>1.2415054004629534E-4</v>
      </c>
      <c r="BJ162" s="22">
        <f>Constants!$H69*'Activity data'!BJ11*Constants!$H87*EF!$H212*MMVolatEF*NtoN2O*kgtoGg</f>
        <v>1.2429582194532134E-4</v>
      </c>
      <c r="BK162" s="22">
        <f>Constants!$H69*'Activity data'!BK11*Constants!$H87*EF!$H212*MMVolatEF*NtoN2O*kgtoGg</f>
        <v>1.2445236467960286E-4</v>
      </c>
      <c r="BL162" s="22">
        <f>Constants!$H69*'Activity data'!BL11*Constants!$H87*EF!$H212*MMVolatEF*NtoN2O*kgtoGg</f>
        <v>1.2452291839205781E-4</v>
      </c>
      <c r="BM162" s="22">
        <f>Constants!$H69*'Activity data'!BM11*Constants!$H87*EF!$H212*MMVolatEF*NtoN2O*kgtoGg</f>
        <v>1.2458415812408247E-4</v>
      </c>
      <c r="BN162" s="22">
        <f>Constants!$H69*'Activity data'!BN11*Constants!$H87*EF!$H212*MMVolatEF*NtoN2O*kgtoGg</f>
        <v>1.2465176490232825E-4</v>
      </c>
      <c r="BO162" s="22">
        <f>Constants!$H69*'Activity data'!BO11*Constants!$H87*EF!$H212*MMVolatEF*NtoN2O*kgtoGg</f>
        <v>1.2472905780449089E-4</v>
      </c>
      <c r="BP162" s="22">
        <f>Constants!$H69*'Activity data'!BP11*Constants!$H87*EF!$H212*MMVolatEF*NtoN2O*kgtoGg</f>
        <v>1.248124658088483E-4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8.0409045079441203E-4</v>
      </c>
      <c r="AE163" s="22">
        <f>Constants!$H70*'Activity data'!AE12*Constants!$H88*EF!$H213*MMVolatEF*NtoN2O*kgtoGg</f>
        <v>8.0452440308220838E-4</v>
      </c>
      <c r="AF163" s="22">
        <f>Constants!$H70*'Activity data'!AF12*Constants!$H88*EF!$H213*MMVolatEF*NtoN2O*kgtoGg</f>
        <v>8.055220223931452E-4</v>
      </c>
      <c r="AG163" s="22">
        <f>Constants!$H70*'Activity data'!AG12*Constants!$H88*EF!$H213*MMVolatEF*NtoN2O*kgtoGg</f>
        <v>8.0700308120255969E-4</v>
      </c>
      <c r="AH163" s="22">
        <f>Constants!$H70*'Activity data'!AH12*Constants!$H88*EF!$H213*MMVolatEF*NtoN2O*kgtoGg</f>
        <v>8.0900210695983646E-4</v>
      </c>
      <c r="AI163" s="22">
        <f>Constants!$H70*'Activity data'!AI12*Constants!$H88*EF!$H213*MMVolatEF*NtoN2O*kgtoGg</f>
        <v>8.1155927460883318E-4</v>
      </c>
      <c r="AJ163" s="22">
        <f>Constants!$H70*'Activity data'!AJ12*Constants!$H88*EF!$H213*MMVolatEF*NtoN2O*kgtoGg</f>
        <v>8.1437700733692851E-4</v>
      </c>
      <c r="AK163" s="22">
        <f>Constants!$H70*'Activity data'!AK12*Constants!$H88*EF!$H213*MMVolatEF*NtoN2O*kgtoGg</f>
        <v>8.1741154131570351E-4</v>
      </c>
      <c r="AL163" s="22">
        <f>Constants!$H70*'Activity data'!AL12*Constants!$H88*EF!$H213*MMVolatEF*NtoN2O*kgtoGg</f>
        <v>8.2041797921074454E-4</v>
      </c>
      <c r="AM163" s="22">
        <f>Constants!$H70*'Activity data'!AM12*Constants!$H88*EF!$H213*MMVolatEF*NtoN2O*kgtoGg</f>
        <v>8.2164834772922271E-4</v>
      </c>
      <c r="AN163" s="22">
        <f>Constants!$H70*'Activity data'!AN12*Constants!$H88*EF!$H213*MMVolatEF*NtoN2O*kgtoGg</f>
        <v>8.2304546938196678E-4</v>
      </c>
      <c r="AO163" s="22">
        <f>Constants!$H70*'Activity data'!AO12*Constants!$H88*EF!$H213*MMVolatEF*NtoN2O*kgtoGg</f>
        <v>8.2462551511166995E-4</v>
      </c>
      <c r="AP163" s="22">
        <f>Constants!$H70*'Activity data'!AP12*Constants!$H88*EF!$H213*MMVolatEF*NtoN2O*kgtoGg</f>
        <v>8.2639994639082011E-4</v>
      </c>
      <c r="AQ163" s="22">
        <f>Constants!$H70*'Activity data'!AQ12*Constants!$H88*EF!$H213*MMVolatEF*NtoN2O*kgtoGg</f>
        <v>8.2839384962029086E-4</v>
      </c>
      <c r="AR163" s="22">
        <f>Constants!$H70*'Activity data'!AR12*Constants!$H88*EF!$H213*MMVolatEF*NtoN2O*kgtoGg</f>
        <v>8.2964752911885125E-4</v>
      </c>
      <c r="AS163" s="22">
        <f>Constants!$H70*'Activity data'!AS12*Constants!$H88*EF!$H213*MMVolatEF*NtoN2O*kgtoGg</f>
        <v>8.3105923605716848E-4</v>
      </c>
      <c r="AT163" s="22">
        <f>Constants!$H70*'Activity data'!AT12*Constants!$H88*EF!$H213*MMVolatEF*NtoN2O*kgtoGg</f>
        <v>8.3258968068986462E-4</v>
      </c>
      <c r="AU163" s="22">
        <f>Constants!$H70*'Activity data'!AU12*Constants!$H88*EF!$H213*MMVolatEF*NtoN2O*kgtoGg</f>
        <v>8.3427474410378356E-4</v>
      </c>
      <c r="AV163" s="22">
        <f>Constants!$H70*'Activity data'!AV12*Constants!$H88*EF!$H213*MMVolatEF*NtoN2O*kgtoGg</f>
        <v>8.3611423335046113E-4</v>
      </c>
      <c r="AW163" s="22">
        <f>Constants!$H70*'Activity data'!AW12*Constants!$H88*EF!$H213*MMVolatEF*NtoN2O*kgtoGg</f>
        <v>8.373317553147042E-4</v>
      </c>
      <c r="AX163" s="22">
        <f>Constants!$H70*'Activity data'!AX12*Constants!$H88*EF!$H213*MMVolatEF*NtoN2O*kgtoGg</f>
        <v>8.3866773516576396E-4</v>
      </c>
      <c r="AY163" s="22">
        <f>Constants!$H70*'Activity data'!AY12*Constants!$H88*EF!$H213*MMVolatEF*NtoN2O*kgtoGg</f>
        <v>8.4011319819378471E-4</v>
      </c>
      <c r="AZ163" s="22">
        <f>Constants!$H70*'Activity data'!AZ12*Constants!$H88*EF!$H213*MMVolatEF*NtoN2O*kgtoGg</f>
        <v>8.416837916408544E-4</v>
      </c>
      <c r="BA163" s="22">
        <f>Constants!$H70*'Activity data'!BA12*Constants!$H88*EF!$H213*MMVolatEF*NtoN2O*kgtoGg</f>
        <v>8.4332393628645482E-4</v>
      </c>
      <c r="BB163" s="22">
        <f>Constants!$H70*'Activity data'!BB12*Constants!$H88*EF!$H213*MMVolatEF*NtoN2O*kgtoGg</f>
        <v>8.4437325647622322E-4</v>
      </c>
      <c r="BC163" s="22">
        <f>Constants!$H70*'Activity data'!BC12*Constants!$H88*EF!$H213*MMVolatEF*NtoN2O*kgtoGg</f>
        <v>8.4551159002100391E-4</v>
      </c>
      <c r="BD163" s="22">
        <f>Constants!$H70*'Activity data'!BD12*Constants!$H88*EF!$H213*MMVolatEF*NtoN2O*kgtoGg</f>
        <v>8.4672169690691037E-4</v>
      </c>
      <c r="BE163" s="22">
        <f>Constants!$H70*'Activity data'!BE12*Constants!$H88*EF!$H213*MMVolatEF*NtoN2O*kgtoGg</f>
        <v>8.4801020130944032E-4</v>
      </c>
      <c r="BF163" s="22">
        <f>Constants!$H70*'Activity data'!BF12*Constants!$H88*EF!$H213*MMVolatEF*NtoN2O*kgtoGg</f>
        <v>8.4938313954451667E-4</v>
      </c>
      <c r="BG163" s="22">
        <f>Constants!$H70*'Activity data'!BG12*Constants!$H88*EF!$H213*MMVolatEF*NtoN2O*kgtoGg</f>
        <v>8.5019233014057226E-4</v>
      </c>
      <c r="BH163" s="22">
        <f>Constants!$H70*'Activity data'!BH12*Constants!$H88*EF!$H213*MMVolatEF*NtoN2O*kgtoGg</f>
        <v>8.5105454120386272E-4</v>
      </c>
      <c r="BI163" s="22">
        <f>Constants!$H70*'Activity data'!BI12*Constants!$H88*EF!$H213*MMVolatEF*NtoN2O*kgtoGg</f>
        <v>8.5198496702325278E-4</v>
      </c>
      <c r="BJ163" s="22">
        <f>Constants!$H70*'Activity data'!BJ12*Constants!$H88*EF!$H213*MMVolatEF*NtoN2O*kgtoGg</f>
        <v>8.5298196626227814E-4</v>
      </c>
      <c r="BK163" s="22">
        <f>Constants!$H70*'Activity data'!BK12*Constants!$H88*EF!$H213*MMVolatEF*NtoN2O*kgtoGg</f>
        <v>8.5405624315430654E-4</v>
      </c>
      <c r="BL163" s="22">
        <f>Constants!$H70*'Activity data'!BL12*Constants!$H88*EF!$H213*MMVolatEF*NtoN2O*kgtoGg</f>
        <v>8.545404190778012E-4</v>
      </c>
      <c r="BM163" s="22">
        <f>Constants!$H70*'Activity data'!BM12*Constants!$H88*EF!$H213*MMVolatEF*NtoN2O*kgtoGg</f>
        <v>8.5496067766910582E-4</v>
      </c>
      <c r="BN163" s="22">
        <f>Constants!$H70*'Activity data'!BN12*Constants!$H88*EF!$H213*MMVolatEF*NtoN2O*kgtoGg</f>
        <v>8.5542463021182405E-4</v>
      </c>
      <c r="BO163" s="22">
        <f>Constants!$H70*'Activity data'!BO12*Constants!$H88*EF!$H213*MMVolatEF*NtoN2O*kgtoGg</f>
        <v>8.5595505392706218E-4</v>
      </c>
      <c r="BP163" s="22">
        <f>Constants!$H70*'Activity data'!BP12*Constants!$H88*EF!$H213*MMVolatEF*NtoN2O*kgtoGg</f>
        <v>8.5652744262400531E-4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1.4482807028187922E-5</v>
      </c>
      <c r="AE164" s="22">
        <f>Constants!$H71*'Activity data'!AE13*Constants!$H89*EF!$H214*MMVolatEF*NtoN2O*kgtoGg</f>
        <v>1.4520450251739282E-5</v>
      </c>
      <c r="AF164" s="22">
        <f>Constants!$H71*'Activity data'!AF13*Constants!$H89*EF!$H214*MMVolatEF*NtoN2O*kgtoGg</f>
        <v>1.4571212872745464E-5</v>
      </c>
      <c r="AG164" s="22">
        <f>Constants!$H71*'Activity data'!AG13*Constants!$H89*EF!$H214*MMVolatEF*NtoN2O*kgtoGg</f>
        <v>1.4633040456364911E-5</v>
      </c>
      <c r="AH164" s="22">
        <f>Constants!$H71*'Activity data'!AH13*Constants!$H89*EF!$H214*MMVolatEF*NtoN2O*kgtoGg</f>
        <v>1.4707094987006923E-5</v>
      </c>
      <c r="AI164" s="22">
        <f>Constants!$H71*'Activity data'!AI13*Constants!$H89*EF!$H214*MMVolatEF*NtoN2O*kgtoGg</f>
        <v>1.4794644538423194E-5</v>
      </c>
      <c r="AJ164" s="22">
        <f>Constants!$H71*'Activity data'!AJ13*Constants!$H89*EF!$H214*MMVolatEF*NtoN2O*kgtoGg</f>
        <v>1.4887429784482061E-5</v>
      </c>
      <c r="AK164" s="22">
        <f>Constants!$H71*'Activity data'!AK13*Constants!$H89*EF!$H214*MMVolatEF*NtoN2O*kgtoGg</f>
        <v>1.4984365063470914E-5</v>
      </c>
      <c r="AL164" s="22">
        <f>Constants!$H71*'Activity data'!AL13*Constants!$H89*EF!$H214*MMVolatEF*NtoN2O*kgtoGg</f>
        <v>1.5078737379247896E-5</v>
      </c>
      <c r="AM164" s="22">
        <f>Constants!$H71*'Activity data'!AM13*Constants!$H89*EF!$H214*MMVolatEF*NtoN2O*kgtoGg</f>
        <v>1.5122022085784052E-5</v>
      </c>
      <c r="AN164" s="22">
        <f>Constants!$H71*'Activity data'!AN13*Constants!$H89*EF!$H214*MMVolatEF*NtoN2O*kgtoGg</f>
        <v>1.5168700186651053E-5</v>
      </c>
      <c r="AO164" s="22">
        <f>Constants!$H71*'Activity data'!AO13*Constants!$H89*EF!$H214*MMVolatEF*NtoN2O*kgtoGg</f>
        <v>1.5219291662698976E-5</v>
      </c>
      <c r="AP164" s="22">
        <f>Constants!$H71*'Activity data'!AP13*Constants!$H89*EF!$H214*MMVolatEF*NtoN2O*kgtoGg</f>
        <v>1.5274171031448217E-5</v>
      </c>
      <c r="AQ164" s="22">
        <f>Constants!$H71*'Activity data'!AQ13*Constants!$H89*EF!$H214*MMVolatEF*NtoN2O*kgtoGg</f>
        <v>1.5334076575093776E-5</v>
      </c>
      <c r="AR164" s="22">
        <f>Constants!$H71*'Activity data'!AR13*Constants!$H89*EF!$H214*MMVolatEF*NtoN2O*kgtoGg</f>
        <v>1.5372633836154438E-5</v>
      </c>
      <c r="AS164" s="22">
        <f>Constants!$H71*'Activity data'!AS13*Constants!$H89*EF!$H214*MMVolatEF*NtoN2O*kgtoGg</f>
        <v>1.5414710813994563E-5</v>
      </c>
      <c r="AT164" s="22">
        <f>Constants!$H71*'Activity data'!AT13*Constants!$H89*EF!$H214*MMVolatEF*NtoN2O*kgtoGg</f>
        <v>1.5459260848218299E-5</v>
      </c>
      <c r="AU164" s="22">
        <f>Constants!$H71*'Activity data'!AU13*Constants!$H89*EF!$H214*MMVolatEF*NtoN2O*kgtoGg</f>
        <v>1.550729679110253E-5</v>
      </c>
      <c r="AV164" s="22">
        <f>Constants!$H71*'Activity data'!AV13*Constants!$H89*EF!$H214*MMVolatEF*NtoN2O*kgtoGg</f>
        <v>1.5558834836357002E-5</v>
      </c>
      <c r="AW164" s="22">
        <f>Constants!$H71*'Activity data'!AW13*Constants!$H89*EF!$H214*MMVolatEF*NtoN2O*kgtoGg</f>
        <v>1.5592757830860554E-5</v>
      </c>
      <c r="AX164" s="22">
        <f>Constants!$H71*'Activity data'!AX13*Constants!$H89*EF!$H214*MMVolatEF*NtoN2O*kgtoGg</f>
        <v>1.5629324786279091E-5</v>
      </c>
      <c r="AY164" s="22">
        <f>Constants!$H71*'Activity data'!AY13*Constants!$H89*EF!$H214*MMVolatEF*NtoN2O*kgtoGg</f>
        <v>1.5668308058264363E-5</v>
      </c>
      <c r="AZ164" s="22">
        <f>Constants!$H71*'Activity data'!AZ13*Constants!$H89*EF!$H214*MMVolatEF*NtoN2O*kgtoGg</f>
        <v>1.5710145809478675E-5</v>
      </c>
      <c r="BA164" s="22">
        <f>Constants!$H71*'Activity data'!BA13*Constants!$H89*EF!$H214*MMVolatEF*NtoN2O*kgtoGg</f>
        <v>1.5753347197297649E-5</v>
      </c>
      <c r="BB164" s="22">
        <f>Constants!$H71*'Activity data'!BB13*Constants!$H89*EF!$H214*MMVolatEF*NtoN2O*kgtoGg</f>
        <v>1.5780128357590142E-5</v>
      </c>
      <c r="BC164" s="22">
        <f>Constants!$H71*'Activity data'!BC13*Constants!$H89*EF!$H214*MMVolatEF*NtoN2O*kgtoGg</f>
        <v>1.5808895494916665E-5</v>
      </c>
      <c r="BD164" s="22">
        <f>Constants!$H71*'Activity data'!BD13*Constants!$H89*EF!$H214*MMVolatEF*NtoN2O*kgtoGg</f>
        <v>1.5839194459493418E-5</v>
      </c>
      <c r="BE164" s="22">
        <f>Constants!$H71*'Activity data'!BE13*Constants!$H89*EF!$H214*MMVolatEF*NtoN2O*kgtoGg</f>
        <v>1.5871212894447166E-5</v>
      </c>
      <c r="BF164" s="22">
        <f>Constants!$H71*'Activity data'!BF13*Constants!$H89*EF!$H214*MMVolatEF*NtoN2O*kgtoGg</f>
        <v>1.5905120208325659E-5</v>
      </c>
      <c r="BG164" s="22">
        <f>Constants!$H71*'Activity data'!BG13*Constants!$H89*EF!$H214*MMVolatEF*NtoN2O*kgtoGg</f>
        <v>1.5923608440521578E-5</v>
      </c>
      <c r="BH164" s="22">
        <f>Constants!$H71*'Activity data'!BH13*Constants!$H89*EF!$H214*MMVolatEF*NtoN2O*kgtoGg</f>
        <v>1.5943219194385969E-5</v>
      </c>
      <c r="BI164" s="22">
        <f>Constants!$H71*'Activity data'!BI13*Constants!$H89*EF!$H214*MMVolatEF*NtoN2O*kgtoGg</f>
        <v>1.5964364076511548E-5</v>
      </c>
      <c r="BJ164" s="22">
        <f>Constants!$H71*'Activity data'!BJ13*Constants!$H89*EF!$H214*MMVolatEF*NtoN2O*kgtoGg</f>
        <v>1.5987003748719161E-5</v>
      </c>
      <c r="BK164" s="22">
        <f>Constants!$H71*'Activity data'!BK13*Constants!$H89*EF!$H214*MMVolatEF*NtoN2O*kgtoGg</f>
        <v>1.6011426014492075E-5</v>
      </c>
      <c r="BL164" s="22">
        <f>Constants!$H71*'Activity data'!BL13*Constants!$H89*EF!$H214*MMVolatEF*NtoN2O*kgtoGg</f>
        <v>1.6019956720470997E-5</v>
      </c>
      <c r="BM164" s="22">
        <f>Constants!$H71*'Activity data'!BM13*Constants!$H89*EF!$H214*MMVolatEF*NtoN2O*kgtoGg</f>
        <v>1.6026597354274649E-5</v>
      </c>
      <c r="BN164" s="22">
        <f>Constants!$H71*'Activity data'!BN13*Constants!$H89*EF!$H214*MMVolatEF*NtoN2O*kgtoGg</f>
        <v>1.6034206571030276E-5</v>
      </c>
      <c r="BO164" s="22">
        <f>Constants!$H71*'Activity data'!BO13*Constants!$H89*EF!$H214*MMVolatEF*NtoN2O*kgtoGg</f>
        <v>1.6043388029308272E-5</v>
      </c>
      <c r="BP164" s="22">
        <f>Constants!$H71*'Activity data'!BP13*Constants!$H89*EF!$H214*MMVolatEF*NtoN2O*kgtoGg</f>
        <v>1.6053496862987396E-5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1.4734983248944019E-3</v>
      </c>
      <c r="AE165" s="22">
        <f>Constants!$H72*'Activity data'!AE14*Constants!$H90*EF!$H215*MMVolatEF*NtoN2O*kgtoGg</f>
        <v>1.4773281920422968E-3</v>
      </c>
      <c r="AF165" s="22">
        <f>Constants!$H72*'Activity data'!AF14*Constants!$H90*EF!$H215*MMVolatEF*NtoN2O*kgtoGg</f>
        <v>1.4824928425740808E-3</v>
      </c>
      <c r="AG165" s="22">
        <f>Constants!$H72*'Activity data'!AG14*Constants!$H90*EF!$H215*MMVolatEF*NtoN2O*kgtoGg</f>
        <v>1.4887832558011719E-3</v>
      </c>
      <c r="AH165" s="22">
        <f>Constants!$H72*'Activity data'!AH14*Constants!$H90*EF!$H215*MMVolatEF*NtoN2O*kgtoGg</f>
        <v>1.4963176534244689E-3</v>
      </c>
      <c r="AI165" s="22">
        <f>Constants!$H72*'Activity data'!AI14*Constants!$H90*EF!$H215*MMVolatEF*NtoN2O*kgtoGg</f>
        <v>1.5052250508030326E-3</v>
      </c>
      <c r="AJ165" s="22">
        <f>Constants!$H72*'Activity data'!AJ14*Constants!$H90*EF!$H215*MMVolatEF*NtoN2O*kgtoGg</f>
        <v>1.5146651340946602E-3</v>
      </c>
      <c r="AK165" s="22">
        <f>Constants!$H72*'Activity data'!AK14*Constants!$H90*EF!$H215*MMVolatEF*NtoN2O*kgtoGg</f>
        <v>1.5245274467620346E-3</v>
      </c>
      <c r="AL165" s="22">
        <f>Constants!$H72*'Activity data'!AL14*Constants!$H90*EF!$H215*MMVolatEF*NtoN2O*kgtoGg</f>
        <v>1.5341290004486333E-3</v>
      </c>
      <c r="AM165" s="22">
        <f>Constants!$H72*'Activity data'!AM14*Constants!$H90*EF!$H215*MMVolatEF*NtoN2O*kgtoGg</f>
        <v>1.5385328389069129E-3</v>
      </c>
      <c r="AN165" s="22">
        <f>Constants!$H72*'Activity data'!AN14*Constants!$H90*EF!$H215*MMVolatEF*NtoN2O*kgtoGg</f>
        <v>1.5432819254136169E-3</v>
      </c>
      <c r="AO165" s="22">
        <f>Constants!$H72*'Activity data'!AO14*Constants!$H90*EF!$H215*MMVolatEF*NtoN2O*kgtoGg</f>
        <v>1.5484291634501014E-3</v>
      </c>
      <c r="AP165" s="22">
        <f>Constants!$H72*'Activity data'!AP14*Constants!$H90*EF!$H215*MMVolatEF*NtoN2O*kgtoGg</f>
        <v>1.5540126568824096E-3</v>
      </c>
      <c r="AQ165" s="22">
        <f>Constants!$H72*'Activity data'!AQ14*Constants!$H90*EF!$H215*MMVolatEF*NtoN2O*kgtoGg</f>
        <v>1.5601075194350781E-3</v>
      </c>
      <c r="AR165" s="22">
        <f>Constants!$H72*'Activity data'!AR14*Constants!$H90*EF!$H215*MMVolatEF*NtoN2O*kgtoGg</f>
        <v>1.5640303818660153E-3</v>
      </c>
      <c r="AS165" s="22">
        <f>Constants!$H72*'Activity data'!AS14*Constants!$H90*EF!$H215*MMVolatEF*NtoN2O*kgtoGg</f>
        <v>1.5683113445442707E-3</v>
      </c>
      <c r="AT165" s="22">
        <f>Constants!$H72*'Activity data'!AT14*Constants!$H90*EF!$H215*MMVolatEF*NtoN2O*kgtoGg</f>
        <v>1.5728439189737231E-3</v>
      </c>
      <c r="AU165" s="22">
        <f>Constants!$H72*'Activity data'!AU14*Constants!$H90*EF!$H215*MMVolatEF*NtoN2O*kgtoGg</f>
        <v>1.5777311539715299E-3</v>
      </c>
      <c r="AV165" s="22">
        <f>Constants!$H72*'Activity data'!AV14*Constants!$H90*EF!$H215*MMVolatEF*NtoN2O*kgtoGg</f>
        <v>1.5829746971053286E-3</v>
      </c>
      <c r="AW165" s="22">
        <f>Constants!$H72*'Activity data'!AW14*Constants!$H90*EF!$H215*MMVolatEF*NtoN2O*kgtoGg</f>
        <v>1.5864260636449165E-3</v>
      </c>
      <c r="AX165" s="22">
        <f>Constants!$H72*'Activity data'!AX14*Constants!$H90*EF!$H215*MMVolatEF*NtoN2O*kgtoGg</f>
        <v>1.5901464299696787E-3</v>
      </c>
      <c r="AY165" s="22">
        <f>Constants!$H72*'Activity data'!AY14*Constants!$H90*EF!$H215*MMVolatEF*NtoN2O*kgtoGg</f>
        <v>1.5941126352679608E-3</v>
      </c>
      <c r="AZ165" s="22">
        <f>Constants!$H72*'Activity data'!AZ14*Constants!$H90*EF!$H215*MMVolatEF*NtoN2O*kgtoGg</f>
        <v>1.5983692587396162E-3</v>
      </c>
      <c r="BA165" s="22">
        <f>Constants!$H72*'Activity data'!BA14*Constants!$H90*EF!$H215*MMVolatEF*NtoN2O*kgtoGg</f>
        <v>1.6027646202507156E-3</v>
      </c>
      <c r="BB165" s="22">
        <f>Constants!$H72*'Activity data'!BB14*Constants!$H90*EF!$H215*MMVolatEF*NtoN2O*kgtoGg</f>
        <v>1.6054893679293186E-3</v>
      </c>
      <c r="BC165" s="22">
        <f>Constants!$H72*'Activity data'!BC14*Constants!$H90*EF!$H215*MMVolatEF*NtoN2O*kgtoGg</f>
        <v>1.6084161713162683E-3</v>
      </c>
      <c r="BD165" s="22">
        <f>Constants!$H72*'Activity data'!BD14*Constants!$H90*EF!$H215*MMVolatEF*NtoN2O*kgtoGg</f>
        <v>1.6114988246626113E-3</v>
      </c>
      <c r="BE165" s="22">
        <f>Constants!$H72*'Activity data'!BE14*Constants!$H90*EF!$H215*MMVolatEF*NtoN2O*kgtoGg</f>
        <v>1.6147564190072887E-3</v>
      </c>
      <c r="BF165" s="22">
        <f>Constants!$H72*'Activity data'!BF14*Constants!$H90*EF!$H215*MMVolatEF*NtoN2O*kgtoGg</f>
        <v>1.6182061901810947E-3</v>
      </c>
      <c r="BG165" s="22">
        <f>Constants!$H72*'Activity data'!BG14*Constants!$H90*EF!$H215*MMVolatEF*NtoN2O*kgtoGg</f>
        <v>1.6200872053128935E-3</v>
      </c>
      <c r="BH165" s="22">
        <f>Constants!$H72*'Activity data'!BH14*Constants!$H90*EF!$H215*MMVolatEF*NtoN2O*kgtoGg</f>
        <v>1.6220824271585524E-3</v>
      </c>
      <c r="BI165" s="22">
        <f>Constants!$H72*'Activity data'!BI14*Constants!$H90*EF!$H215*MMVolatEF*NtoN2O*kgtoGg</f>
        <v>1.6242337330712453E-3</v>
      </c>
      <c r="BJ165" s="22">
        <f>Constants!$H72*'Activity data'!BJ14*Constants!$H90*EF!$H215*MMVolatEF*NtoN2O*kgtoGg</f>
        <v>1.6265371207369889E-3</v>
      </c>
      <c r="BK165" s="22">
        <f>Constants!$H72*'Activity data'!BK14*Constants!$H90*EF!$H215*MMVolatEF*NtoN2O*kgtoGg</f>
        <v>1.6290218716306845E-3</v>
      </c>
      <c r="BL165" s="22">
        <f>Constants!$H72*'Activity data'!BL14*Constants!$H90*EF!$H215*MMVolatEF*NtoN2O*kgtoGg</f>
        <v>1.6298897959871744E-3</v>
      </c>
      <c r="BM165" s="22">
        <f>Constants!$H72*'Activity data'!BM14*Constants!$H90*EF!$H215*MMVolatEF*NtoN2O*kgtoGg</f>
        <v>1.6305654221117833E-3</v>
      </c>
      <c r="BN165" s="22">
        <f>Constants!$H72*'Activity data'!BN14*Constants!$H90*EF!$H215*MMVolatEF*NtoN2O*kgtoGg</f>
        <v>1.6313395930388258E-3</v>
      </c>
      <c r="BO165" s="22">
        <f>Constants!$H72*'Activity data'!BO14*Constants!$H90*EF!$H215*MMVolatEF*NtoN2O*kgtoGg</f>
        <v>1.6322737257222465E-3</v>
      </c>
      <c r="BP165" s="22">
        <f>Constants!$H72*'Activity data'!BP14*Constants!$H90*EF!$H215*MMVolatEF*NtoN2O*kgtoGg</f>
        <v>1.6333022107019772E-3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0.13127680408912967</v>
      </c>
      <c r="AE168" s="22">
        <f>Constants!$H75*'Activity data'!AE17*Constants!$H93*EF!$H218*MMVolatEF*NtoN2O*kgtoGg</f>
        <v>0.13104478756679175</v>
      </c>
      <c r="AF168" s="22">
        <f>Constants!$H75*'Activity data'!AF17*Constants!$H93*EF!$H218*MMVolatEF*NtoN2O*kgtoGg</f>
        <v>0.13030955774266942</v>
      </c>
      <c r="AG168" s="22">
        <f>Constants!$H75*'Activity data'!AG17*Constants!$H93*EF!$H218*MMVolatEF*NtoN2O*kgtoGg</f>
        <v>0.12743411073001928</v>
      </c>
      <c r="AH168" s="22">
        <f>Constants!$H75*'Activity data'!AH17*Constants!$H93*EF!$H218*MMVolatEF*NtoN2O*kgtoGg</f>
        <v>0.1247149107669546</v>
      </c>
      <c r="AI168" s="22">
        <f>Constants!$H75*'Activity data'!AI17*Constants!$H93*EF!$H218*MMVolatEF*NtoN2O*kgtoGg</f>
        <v>0.1242760261027246</v>
      </c>
      <c r="AJ168" s="22">
        <f>Constants!$H75*'Activity data'!AJ17*Constants!$H93*EF!$H218*MMVolatEF*NtoN2O*kgtoGg</f>
        <v>0.1232106270346093</v>
      </c>
      <c r="AK168" s="22">
        <f>Constants!$H75*'Activity data'!AK17*Constants!$H93*EF!$H218*MMVolatEF*NtoN2O*kgtoGg</f>
        <v>0.11992927074804736</v>
      </c>
      <c r="AL168" s="22">
        <f>Constants!$H75*'Activity data'!AL17*Constants!$H93*EF!$H218*MMVolatEF*NtoN2O*kgtoGg</f>
        <v>0.10697136059413564</v>
      </c>
      <c r="AM168" s="22">
        <f>Constants!$H75*'Activity data'!AM17*Constants!$H93*EF!$H218*MMVolatEF*NtoN2O*kgtoGg</f>
        <v>0.10927238007305687</v>
      </c>
      <c r="AN168" s="22">
        <f>Constants!$H75*'Activity data'!AN17*Constants!$H93*EF!$H218*MMVolatEF*NtoN2O*kgtoGg</f>
        <v>0.11033195793154126</v>
      </c>
      <c r="AO168" s="22">
        <f>Constants!$H75*'Activity data'!AO17*Constants!$H93*EF!$H218*MMVolatEF*NtoN2O*kgtoGg</f>
        <v>0.11110365742908961</v>
      </c>
      <c r="AP168" s="22">
        <f>Constants!$H75*'Activity data'!AP17*Constants!$H93*EF!$H218*MMVolatEF*NtoN2O*kgtoGg</f>
        <v>0.1122884240961687</v>
      </c>
      <c r="AQ168" s="22">
        <f>Constants!$H75*'Activity data'!AQ17*Constants!$H93*EF!$H218*MMVolatEF*NtoN2O*kgtoGg</f>
        <v>0.11491943317032226</v>
      </c>
      <c r="AR168" s="22">
        <f>Constants!$H75*'Activity data'!AR17*Constants!$H93*EF!$H218*MMVolatEF*NtoN2O*kgtoGg</f>
        <v>0.117880487302873</v>
      </c>
      <c r="AS168" s="22">
        <f>Constants!$H75*'Activity data'!AS17*Constants!$H93*EF!$H218*MMVolatEF*NtoN2O*kgtoGg</f>
        <v>0.12113886796014842</v>
      </c>
      <c r="AT168" s="22">
        <f>Constants!$H75*'Activity data'!AT17*Constants!$H93*EF!$H218*MMVolatEF*NtoN2O*kgtoGg</f>
        <v>0.12374440018879811</v>
      </c>
      <c r="AU168" s="22">
        <f>Constants!$H75*'Activity data'!AU17*Constants!$H93*EF!$H218*MMVolatEF*NtoN2O*kgtoGg</f>
        <v>0.12693570858518674</v>
      </c>
      <c r="AV168" s="22">
        <f>Constants!$H75*'Activity data'!AV17*Constants!$H93*EF!$H218*MMVolatEF*NtoN2O*kgtoGg</f>
        <v>0.13084113615278595</v>
      </c>
      <c r="AW168" s="22">
        <f>Constants!$H75*'Activity data'!AW17*Constants!$H93*EF!$H218*MMVolatEF*NtoN2O*kgtoGg</f>
        <v>0.13453780909031221</v>
      </c>
      <c r="AX168" s="22">
        <f>Constants!$H75*'Activity data'!AX17*Constants!$H93*EF!$H218*MMVolatEF*NtoN2O*kgtoGg</f>
        <v>0.13838522984786125</v>
      </c>
      <c r="AY168" s="22">
        <f>Constants!$H75*'Activity data'!AY17*Constants!$H93*EF!$H218*MMVolatEF*NtoN2O*kgtoGg</f>
        <v>0.1422552100509078</v>
      </c>
      <c r="AZ168" s="22">
        <f>Constants!$H75*'Activity data'!AZ17*Constants!$H93*EF!$H218*MMVolatEF*NtoN2O*kgtoGg</f>
        <v>0.14666883461308858</v>
      </c>
      <c r="BA168" s="22">
        <f>Constants!$H75*'Activity data'!BA17*Constants!$H93*EF!$H218*MMVolatEF*NtoN2O*kgtoGg</f>
        <v>0.15024709495665656</v>
      </c>
      <c r="BB168" s="22">
        <f>Constants!$H75*'Activity data'!BB17*Constants!$H93*EF!$H218*MMVolatEF*NtoN2O*kgtoGg</f>
        <v>0.15408132184002271</v>
      </c>
      <c r="BC168" s="22">
        <f>Constants!$H75*'Activity data'!BC17*Constants!$H93*EF!$H218*MMVolatEF*NtoN2O*kgtoGg</f>
        <v>0.15791627313476184</v>
      </c>
      <c r="BD168" s="22">
        <f>Constants!$H75*'Activity data'!BD17*Constants!$H93*EF!$H218*MMVolatEF*NtoN2O*kgtoGg</f>
        <v>0.16139685457136538</v>
      </c>
      <c r="BE168" s="22">
        <f>Constants!$H75*'Activity data'!BE17*Constants!$H93*EF!$H218*MMVolatEF*NtoN2O*kgtoGg</f>
        <v>0.16476948346525533</v>
      </c>
      <c r="BF168" s="22">
        <f>Constants!$H75*'Activity data'!BF17*Constants!$H93*EF!$H218*MMVolatEF*NtoN2O*kgtoGg</f>
        <v>0.1682466106779141</v>
      </c>
      <c r="BG168" s="22">
        <f>Constants!$H75*'Activity data'!BG17*Constants!$H93*EF!$H218*MMVolatEF*NtoN2O*kgtoGg</f>
        <v>0.17192264568830376</v>
      </c>
      <c r="BH168" s="22">
        <f>Constants!$H75*'Activity data'!BH17*Constants!$H93*EF!$H218*MMVolatEF*NtoN2O*kgtoGg</f>
        <v>0.17515461564548812</v>
      </c>
      <c r="BI168" s="22">
        <f>Constants!$H75*'Activity data'!BI17*Constants!$H93*EF!$H218*MMVolatEF*NtoN2O*kgtoGg</f>
        <v>0.17836303688392388</v>
      </c>
      <c r="BJ168" s="22">
        <f>Constants!$H75*'Activity data'!BJ17*Constants!$H93*EF!$H218*MMVolatEF*NtoN2O*kgtoGg</f>
        <v>0.18155644014490915</v>
      </c>
      <c r="BK168" s="22">
        <f>Constants!$H75*'Activity data'!BK17*Constants!$H93*EF!$H218*MMVolatEF*NtoN2O*kgtoGg</f>
        <v>0.18501677268932123</v>
      </c>
      <c r="BL168" s="22">
        <f>Constants!$H75*'Activity data'!BL17*Constants!$H93*EF!$H218*MMVolatEF*NtoN2O*kgtoGg</f>
        <v>0.1885273047927761</v>
      </c>
      <c r="BM168" s="22">
        <f>Constants!$H75*'Activity data'!BM17*Constants!$H93*EF!$H218*MMVolatEF*NtoN2O*kgtoGg</f>
        <v>0.1893481182412324</v>
      </c>
      <c r="BN168" s="22">
        <f>Constants!$H75*'Activity data'!BN17*Constants!$H93*EF!$H218*MMVolatEF*NtoN2O*kgtoGg</f>
        <v>0.18994311944670875</v>
      </c>
      <c r="BO168" s="22">
        <f>Constants!$H75*'Activity data'!BO17*Constants!$H93*EF!$H218*MMVolatEF*NtoN2O*kgtoGg</f>
        <v>0.19083634950059308</v>
      </c>
      <c r="BP168" s="22">
        <f>Constants!$H75*'Activity data'!BP17*Constants!$H93*EF!$H218*MMVolatEF*NtoN2O*kgtoGg</f>
        <v>0.19153378485504027</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1.2775290998949166E-2</v>
      </c>
      <c r="AE169" s="22">
        <f>Constants!$H76*'Activity data'!AE18*Constants!$H94*EF!$H219*MMVolatEF*NtoN2O*kgtoGg</f>
        <v>1.2752712154118219E-2</v>
      </c>
      <c r="AF169" s="22">
        <f>Constants!$H76*'Activity data'!AF18*Constants!$H94*EF!$H219*MMVolatEF*NtoN2O*kgtoGg</f>
        <v>1.2681162766399339E-2</v>
      </c>
      <c r="AG169" s="22">
        <f>Constants!$H76*'Activity data'!AG18*Constants!$H94*EF!$H219*MMVolatEF*NtoN2O*kgtoGg</f>
        <v>1.2401336695117745E-2</v>
      </c>
      <c r="AH169" s="22">
        <f>Constants!$H76*'Activity data'!AH18*Constants!$H94*EF!$H219*MMVolatEF*NtoN2O*kgtoGg</f>
        <v>1.2136715911167996E-2</v>
      </c>
      <c r="AI169" s="22">
        <f>Constants!$H76*'Activity data'!AI18*Constants!$H94*EF!$H219*MMVolatEF*NtoN2O*kgtoGg</f>
        <v>1.2094005553162118E-2</v>
      </c>
      <c r="AJ169" s="22">
        <f>Constants!$H76*'Activity data'!AJ18*Constants!$H94*EF!$H219*MMVolatEF*NtoN2O*kgtoGg</f>
        <v>1.1990325522103915E-2</v>
      </c>
      <c r="AK169" s="22">
        <f>Constants!$H76*'Activity data'!AK18*Constants!$H94*EF!$H219*MMVolatEF*NtoN2O*kgtoGg</f>
        <v>1.1670998115233177E-2</v>
      </c>
      <c r="AL169" s="22">
        <f>Constants!$H76*'Activity data'!AL18*Constants!$H94*EF!$H219*MMVolatEF*NtoN2O*kgtoGg</f>
        <v>1.0409990322553617E-2</v>
      </c>
      <c r="AM169" s="22">
        <f>Constants!$H76*'Activity data'!AM18*Constants!$H94*EF!$H219*MMVolatEF*NtoN2O*kgtoGg</f>
        <v>1.0633915589789026E-2</v>
      </c>
      <c r="AN169" s="22">
        <f>Constants!$H76*'Activity data'!AN18*Constants!$H94*EF!$H219*MMVolatEF*NtoN2O*kgtoGg</f>
        <v>1.0737029125893931E-2</v>
      </c>
      <c r="AO169" s="22">
        <f>Constants!$H76*'Activity data'!AO18*Constants!$H94*EF!$H219*MMVolatEF*NtoN2O*kgtoGg</f>
        <v>1.0812127584554078E-2</v>
      </c>
      <c r="AP169" s="22">
        <f>Constants!$H76*'Activity data'!AP18*Constants!$H94*EF!$H219*MMVolatEF*NtoN2O*kgtoGg</f>
        <v>1.092742395425785E-2</v>
      </c>
      <c r="AQ169" s="22">
        <f>Constants!$H76*'Activity data'!AQ18*Constants!$H94*EF!$H219*MMVolatEF*NtoN2O*kgtoGg</f>
        <v>1.1183462382191907E-2</v>
      </c>
      <c r="AR169" s="22">
        <f>Constants!$H76*'Activity data'!AR18*Constants!$H94*EF!$H219*MMVolatEF*NtoN2O*kgtoGg</f>
        <v>1.1471619368260015E-2</v>
      </c>
      <c r="AS169" s="22">
        <f>Constants!$H76*'Activity data'!AS18*Constants!$H94*EF!$H219*MMVolatEF*NtoN2O*kgtoGg</f>
        <v>1.1788710886223677E-2</v>
      </c>
      <c r="AT169" s="22">
        <f>Constants!$H76*'Activity data'!AT18*Constants!$H94*EF!$H219*MMVolatEF*NtoN2O*kgtoGg</f>
        <v>1.2042270017702387E-2</v>
      </c>
      <c r="AU169" s="22">
        <f>Constants!$H76*'Activity data'!AU18*Constants!$H94*EF!$H219*MMVolatEF*NtoN2O*kgtoGg</f>
        <v>1.2352834353223334E-2</v>
      </c>
      <c r="AV169" s="22">
        <f>Constants!$H76*'Activity data'!AV18*Constants!$H94*EF!$H219*MMVolatEF*NtoN2O*kgtoGg</f>
        <v>1.2732893678993665E-2</v>
      </c>
      <c r="AW169" s="22">
        <f>Constants!$H76*'Activity data'!AW18*Constants!$H94*EF!$H219*MMVolatEF*NtoN2O*kgtoGg</f>
        <v>1.3092637906715528E-2</v>
      </c>
      <c r="AX169" s="22">
        <f>Constants!$H76*'Activity data'!AX18*Constants!$H94*EF!$H219*MMVolatEF*NtoN2O*kgtoGg</f>
        <v>1.3467052260524101E-2</v>
      </c>
      <c r="AY169" s="22">
        <f>Constants!$H76*'Activity data'!AY18*Constants!$H94*EF!$H219*MMVolatEF*NtoN2O*kgtoGg</f>
        <v>1.384366200203278E-2</v>
      </c>
      <c r="AZ169" s="22">
        <f>Constants!$H76*'Activity data'!AZ18*Constants!$H94*EF!$H219*MMVolatEF*NtoN2O*kgtoGg</f>
        <v>1.4273176862127078E-2</v>
      </c>
      <c r="BA169" s="22">
        <f>Constants!$H76*'Activity data'!BA18*Constants!$H94*EF!$H219*MMVolatEF*NtoN2O*kgtoGg</f>
        <v>1.4621397688161536E-2</v>
      </c>
      <c r="BB169" s="22">
        <f>Constants!$H76*'Activity data'!BB18*Constants!$H94*EF!$H219*MMVolatEF*NtoN2O*kgtoGg</f>
        <v>1.4994528071178318E-2</v>
      </c>
      <c r="BC169" s="22">
        <f>Constants!$H76*'Activity data'!BC18*Constants!$H94*EF!$H219*MMVolatEF*NtoN2O*kgtoGg</f>
        <v>1.5367728950777933E-2</v>
      </c>
      <c r="BD169" s="22">
        <f>Constants!$H76*'Activity data'!BD18*Constants!$H94*EF!$H219*MMVolatEF*NtoN2O*kgtoGg</f>
        <v>1.5706444087901172E-2</v>
      </c>
      <c r="BE169" s="22">
        <f>Constants!$H76*'Activity data'!BE18*Constants!$H94*EF!$H219*MMVolatEF*NtoN2O*kgtoGg</f>
        <v>1.6034653750300141E-2</v>
      </c>
      <c r="BF169" s="22">
        <f>Constants!$H76*'Activity data'!BF18*Constants!$H94*EF!$H219*MMVolatEF*NtoN2O*kgtoGg</f>
        <v>1.6373032737283407E-2</v>
      </c>
      <c r="BG169" s="22">
        <f>Constants!$H76*'Activity data'!BG18*Constants!$H94*EF!$H219*MMVolatEF*NtoN2O*kgtoGg</f>
        <v>1.673076857116438E-2</v>
      </c>
      <c r="BH169" s="22">
        <f>Constants!$H76*'Activity data'!BH18*Constants!$H94*EF!$H219*MMVolatEF*NtoN2O*kgtoGg</f>
        <v>1.7045289913981791E-2</v>
      </c>
      <c r="BI169" s="22">
        <f>Constants!$H76*'Activity data'!BI18*Constants!$H94*EF!$H219*MMVolatEF*NtoN2O*kgtoGg</f>
        <v>1.7357519597303427E-2</v>
      </c>
      <c r="BJ169" s="22">
        <f>Constants!$H76*'Activity data'!BJ18*Constants!$H94*EF!$H219*MMVolatEF*NtoN2O*kgtoGg</f>
        <v>1.7668287795989782E-2</v>
      </c>
      <c r="BK169" s="22">
        <f>Constants!$H76*'Activity data'!BK18*Constants!$H94*EF!$H219*MMVolatEF*NtoN2O*kgtoGg</f>
        <v>1.8005032398471E-2</v>
      </c>
      <c r="BL169" s="22">
        <f>Constants!$H76*'Activity data'!BL18*Constants!$H94*EF!$H219*MMVolatEF*NtoN2O*kgtoGg</f>
        <v>1.8346662205000568E-2</v>
      </c>
      <c r="BM169" s="22">
        <f>Constants!$H76*'Activity data'!BM18*Constants!$H94*EF!$H219*MMVolatEF*NtoN2O*kgtoGg</f>
        <v>1.8426540221018993E-2</v>
      </c>
      <c r="BN169" s="22">
        <f>Constants!$H76*'Activity data'!BN18*Constants!$H94*EF!$H219*MMVolatEF*NtoN2O*kgtoGg</f>
        <v>1.8484443165849414E-2</v>
      </c>
      <c r="BO169" s="22">
        <f>Constants!$H76*'Activity data'!BO18*Constants!$H94*EF!$H219*MMVolatEF*NtoN2O*kgtoGg</f>
        <v>1.8571368452815044E-2</v>
      </c>
      <c r="BP169" s="22">
        <f>Constants!$H76*'Activity data'!BP18*Constants!$H94*EF!$H219*MMVolatEF*NtoN2O*kgtoGg</f>
        <v>1.8639239846149461E-2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6.4639922525530427E-2</v>
      </c>
      <c r="AE170" s="22">
        <f>Constants!$H77*'Activity data'!AE19*Constants!$H95*EF!$H220*MMVolatEF*NtoN2O*kgtoGg</f>
        <v>6.6092820241884495E-2</v>
      </c>
      <c r="AF170" s="22">
        <f>Constants!$H77*'Activity data'!AF19*Constants!$H95*EF!$H220*MMVolatEF*NtoN2O*kgtoGg</f>
        <v>6.7406950311631311E-2</v>
      </c>
      <c r="AG170" s="22">
        <f>Constants!$H77*'Activity data'!AG19*Constants!$H95*EF!$H220*MMVolatEF*NtoN2O*kgtoGg</f>
        <v>6.8085378535523336E-2</v>
      </c>
      <c r="AH170" s="22">
        <f>Constants!$H77*'Activity data'!AH19*Constants!$H95*EF!$H220*MMVolatEF*NtoN2O*kgtoGg</f>
        <v>6.8782509933711544E-2</v>
      </c>
      <c r="AI170" s="22">
        <f>Constants!$H77*'Activity data'!AI19*Constants!$H95*EF!$H220*MMVolatEF*NtoN2O*kgtoGg</f>
        <v>7.0170496606956442E-2</v>
      </c>
      <c r="AJ170" s="22">
        <f>Constants!$H77*'Activity data'!AJ19*Constants!$H95*EF!$H220*MMVolatEF*NtoN2O*kgtoGg</f>
        <v>7.1357352719614867E-2</v>
      </c>
      <c r="AK170" s="22">
        <f>Constants!$H77*'Activity data'!AK19*Constants!$H95*EF!$H220*MMVolatEF*NtoN2O*kgtoGg</f>
        <v>7.1807853842609945E-2</v>
      </c>
      <c r="AL170" s="22">
        <f>Constants!$H77*'Activity data'!AL19*Constants!$H95*EF!$H220*MMVolatEF*NtoN2O*kgtoGg</f>
        <v>6.89560372793145E-2</v>
      </c>
      <c r="AM170" s="22">
        <f>Constants!$H77*'Activity data'!AM19*Constants!$H95*EF!$H220*MMVolatEF*NtoN2O*kgtoGg</f>
        <v>7.1008173280929857E-2</v>
      </c>
      <c r="AN170" s="22">
        <f>Constants!$H77*'Activity data'!AN19*Constants!$H95*EF!$H220*MMVolatEF*NtoN2O*kgtoGg</f>
        <v>7.2666722437194436E-2</v>
      </c>
      <c r="AO170" s="22">
        <f>Constants!$H77*'Activity data'!AO19*Constants!$H95*EF!$H220*MMVolatEF*NtoN2O*kgtoGg</f>
        <v>7.4247222856444403E-2</v>
      </c>
      <c r="AP170" s="22">
        <f>Constants!$H77*'Activity data'!AP19*Constants!$H95*EF!$H220*MMVolatEF*NtoN2O*kgtoGg</f>
        <v>7.600218438166105E-2</v>
      </c>
      <c r="AQ170" s="22">
        <f>Constants!$H77*'Activity data'!AQ19*Constants!$H95*EF!$H220*MMVolatEF*NtoN2O*kgtoGg</f>
        <v>7.8331736592242102E-2</v>
      </c>
      <c r="AR170" s="22">
        <f>Constants!$H77*'Activity data'!AR19*Constants!$H95*EF!$H220*MMVolatEF*NtoN2O*kgtoGg</f>
        <v>8.0778487004079483E-2</v>
      </c>
      <c r="AS170" s="22">
        <f>Constants!$H77*'Activity data'!AS19*Constants!$H95*EF!$H220*MMVolatEF*NtoN2O*kgtoGg</f>
        <v>8.3401229369706939E-2</v>
      </c>
      <c r="AT170" s="22">
        <f>Constants!$H77*'Activity data'!AT19*Constants!$H95*EF!$H220*MMVolatEF*NtoN2O*kgtoGg</f>
        <v>8.5827271656106763E-2</v>
      </c>
      <c r="AU170" s="22">
        <f>Constants!$H77*'Activity data'!AU19*Constants!$H95*EF!$H220*MMVolatEF*NtoN2O*kgtoGg</f>
        <v>8.8549064394725929E-2</v>
      </c>
      <c r="AV170" s="22">
        <f>Constants!$H77*'Activity data'!AV19*Constants!$H95*EF!$H220*MMVolatEF*NtoN2O*kgtoGg</f>
        <v>9.1636240743728642E-2</v>
      </c>
      <c r="AW170" s="22">
        <f>Constants!$H77*'Activity data'!AW19*Constants!$H95*EF!$H220*MMVolatEF*NtoN2O*kgtoGg</f>
        <v>9.4662173779080358E-2</v>
      </c>
      <c r="AX170" s="22">
        <f>Constants!$H77*'Activity data'!AX19*Constants!$H95*EF!$H220*MMVolatEF*NtoN2O*kgtoGg</f>
        <v>9.7831321391472395E-2</v>
      </c>
      <c r="AY170" s="22">
        <f>Constants!$H77*'Activity data'!AY19*Constants!$H95*EF!$H220*MMVolatEF*NtoN2O*kgtoGg</f>
        <v>0.1010924495137356</v>
      </c>
      <c r="AZ170" s="22">
        <f>Constants!$H77*'Activity data'!AZ19*Constants!$H95*EF!$H220*MMVolatEF*NtoN2O*kgtoGg</f>
        <v>0.10468368456707709</v>
      </c>
      <c r="BA170" s="22">
        <f>Constants!$H77*'Activity data'!BA19*Constants!$H95*EF!$H220*MMVolatEF*NtoN2O*kgtoGg</f>
        <v>0.10798542807128246</v>
      </c>
      <c r="BB170" s="22">
        <f>Constants!$H77*'Activity data'!BB19*Constants!$H95*EF!$H220*MMVolatEF*NtoN2O*kgtoGg</f>
        <v>0.11143964262193619</v>
      </c>
      <c r="BC170" s="22">
        <f>Constants!$H77*'Activity data'!BC19*Constants!$H95*EF!$H220*MMVolatEF*NtoN2O*kgtoGg</f>
        <v>0.11498300476041527</v>
      </c>
      <c r="BD170" s="22">
        <f>Constants!$H77*'Activity data'!BD19*Constants!$H95*EF!$H220*MMVolatEF*NtoN2O*kgtoGg</f>
        <v>0.11844428302751359</v>
      </c>
      <c r="BE170" s="22">
        <f>Constants!$H77*'Activity data'!BE19*Constants!$H95*EF!$H220*MMVolatEF*NtoN2O*kgtoGg</f>
        <v>0.12193846206930534</v>
      </c>
      <c r="BF170" s="22">
        <f>Constants!$H77*'Activity data'!BF19*Constants!$H95*EF!$H220*MMVolatEF*NtoN2O*kgtoGg</f>
        <v>0.12557241914152842</v>
      </c>
      <c r="BG170" s="22">
        <f>Constants!$H77*'Activity data'!BG19*Constants!$H95*EF!$H220*MMVolatEF*NtoN2O*kgtoGg</f>
        <v>0.12935192234708767</v>
      </c>
      <c r="BH170" s="22">
        <f>Constants!$H77*'Activity data'!BH19*Constants!$H95*EF!$H220*MMVolatEF*NtoN2O*kgtoGg</f>
        <v>0.13299431940651141</v>
      </c>
      <c r="BI170" s="22">
        <f>Constants!$H77*'Activity data'!BI19*Constants!$H95*EF!$H220*MMVolatEF*NtoN2O*kgtoGg</f>
        <v>0.13671453058130023</v>
      </c>
      <c r="BJ170" s="22">
        <f>Constants!$H77*'Activity data'!BJ19*Constants!$H95*EF!$H220*MMVolatEF*NtoN2O*kgtoGg</f>
        <v>0.14051897664424154</v>
      </c>
      <c r="BK170" s="22">
        <f>Constants!$H77*'Activity data'!BK19*Constants!$H95*EF!$H220*MMVolatEF*NtoN2O*kgtoGg</f>
        <v>0.14456662668799888</v>
      </c>
      <c r="BL170" s="22">
        <f>Constants!$H77*'Activity data'!BL19*Constants!$H95*EF!$H220*MMVolatEF*NtoN2O*kgtoGg</f>
        <v>0.14869599338087189</v>
      </c>
      <c r="BM170" s="22">
        <f>Constants!$H77*'Activity data'!BM19*Constants!$H95*EF!$H220*MMVolatEF*NtoN2O*kgtoGg</f>
        <v>0.15137911693275455</v>
      </c>
      <c r="BN170" s="22">
        <f>Constants!$H77*'Activity data'!BN19*Constants!$H95*EF!$H220*MMVolatEF*NtoN2O*kgtoGg</f>
        <v>0.1539813872955596</v>
      </c>
      <c r="BO170" s="22">
        <f>Constants!$H77*'Activity data'!BO19*Constants!$H95*EF!$H220*MMVolatEF*NtoN2O*kgtoGg</f>
        <v>0.15681091101615385</v>
      </c>
      <c r="BP170" s="22">
        <f>Constants!$H77*'Activity data'!BP19*Constants!$H95*EF!$H220*MMVolatEF*NtoN2O*kgtoGg</f>
        <v>0.15957796848952543</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0.3124157271084777</v>
      </c>
      <c r="AE171" s="22">
        <f>Constants!$H78*'Activity data'!AE20*Constants!$H96*EF!$H221*MMVolatEF*NtoN2O*kgtoGg</f>
        <v>0.31821414255231495</v>
      </c>
      <c r="AF171" s="22">
        <f>Constants!$H78*'Activity data'!AF20*Constants!$H96*EF!$H221*MMVolatEF*NtoN2O*kgtoGg</f>
        <v>0.32201191440693633</v>
      </c>
      <c r="AG171" s="22">
        <f>Constants!$H78*'Activity data'!AG20*Constants!$H96*EF!$H221*MMVolatEF*NtoN2O*kgtoGg</f>
        <v>0.3178348082585094</v>
      </c>
      <c r="AH171" s="22">
        <f>Constants!$H78*'Activity data'!AH20*Constants!$H96*EF!$H221*MMVolatEF*NtoN2O*kgtoGg</f>
        <v>0.31378386599173785</v>
      </c>
      <c r="AI171" s="22">
        <f>Constants!$H78*'Activity data'!AI20*Constants!$H96*EF!$H221*MMVolatEF*NtoN2O*kgtoGg</f>
        <v>0.31779798966820449</v>
      </c>
      <c r="AJ171" s="22">
        <f>Constants!$H78*'Activity data'!AJ20*Constants!$H96*EF!$H221*MMVolatEF*NtoN2O*kgtoGg</f>
        <v>0.31934474546532327</v>
      </c>
      <c r="AK171" s="22">
        <f>Constants!$H78*'Activity data'!AK20*Constants!$H96*EF!$H221*MMVolatEF*NtoN2O*kgtoGg</f>
        <v>0.3122534460886785</v>
      </c>
      <c r="AL171" s="22">
        <f>Constants!$H78*'Activity data'!AL20*Constants!$H96*EF!$H221*MMVolatEF*NtoN2O*kgtoGg</f>
        <v>0.26726842990845273</v>
      </c>
      <c r="AM171" s="22">
        <f>Constants!$H78*'Activity data'!AM20*Constants!$H96*EF!$H221*MMVolatEF*NtoN2O*kgtoGg</f>
        <v>0.28155383456320437</v>
      </c>
      <c r="AN171" s="22">
        <f>Constants!$H78*'Activity data'!AN20*Constants!$H96*EF!$H221*MMVolatEF*NtoN2O*kgtoGg</f>
        <v>0.29111754321840305</v>
      </c>
      <c r="AO171" s="22">
        <f>Constants!$H78*'Activity data'!AO20*Constants!$H96*EF!$H221*MMVolatEF*NtoN2O*kgtoGg</f>
        <v>0.2996184601617527</v>
      </c>
      <c r="AP171" s="22">
        <f>Constants!$H78*'Activity data'!AP20*Constants!$H96*EF!$H221*MMVolatEF*NtoN2O*kgtoGg</f>
        <v>0.30988409927740257</v>
      </c>
      <c r="AQ171" s="22">
        <f>Constants!$H78*'Activity data'!AQ20*Constants!$H96*EF!$H221*MMVolatEF*NtoN2O*kgtoGg</f>
        <v>0.32626779257260974</v>
      </c>
      <c r="AR171" s="22">
        <f>Constants!$H78*'Activity data'!AR20*Constants!$H96*EF!$H221*MMVolatEF*NtoN2O*kgtoGg</f>
        <v>0.34459114138127506</v>
      </c>
      <c r="AS171" s="22">
        <f>Constants!$H78*'Activity data'!AS20*Constants!$H96*EF!$H221*MMVolatEF*NtoN2O*kgtoGg</f>
        <v>0.36451721195122694</v>
      </c>
      <c r="AT171" s="22">
        <f>Constants!$H78*'Activity data'!AT20*Constants!$H96*EF!$H221*MMVolatEF*NtoN2O*kgtoGg</f>
        <v>0.38201404405887901</v>
      </c>
      <c r="AU171" s="22">
        <f>Constants!$H78*'Activity data'!AU20*Constants!$H96*EF!$H221*MMVolatEF*NtoN2O*kgtoGg</f>
        <v>0.40238508942677492</v>
      </c>
      <c r="AV171" s="22">
        <f>Constants!$H78*'Activity data'!AV20*Constants!$H96*EF!$H221*MMVolatEF*NtoN2O*kgtoGg</f>
        <v>0.4263053965641187</v>
      </c>
      <c r="AW171" s="22">
        <f>Constants!$H78*'Activity data'!AW20*Constants!$H96*EF!$H221*MMVolatEF*NtoN2O*kgtoGg</f>
        <v>0.44998725989455773</v>
      </c>
      <c r="AX171" s="22">
        <f>Constants!$H78*'Activity data'!AX20*Constants!$H96*EF!$H221*MMVolatEF*NtoN2O*kgtoGg</f>
        <v>0.47482812670868052</v>
      </c>
      <c r="AY171" s="22">
        <f>Constants!$H78*'Activity data'!AY20*Constants!$H96*EF!$H221*MMVolatEF*NtoN2O*kgtoGg</f>
        <v>0.50027841318334143</v>
      </c>
      <c r="AZ171" s="22">
        <f>Constants!$H78*'Activity data'!AZ20*Constants!$H96*EF!$H221*MMVolatEF*NtoN2O*kgtoGg</f>
        <v>0.52877672683612675</v>
      </c>
      <c r="BA171" s="22">
        <f>Constants!$H78*'Activity data'!BA20*Constants!$H96*EF!$H221*MMVolatEF*NtoN2O*kgtoGg</f>
        <v>0.55394333487777203</v>
      </c>
      <c r="BB171" s="22">
        <f>Constants!$H78*'Activity data'!BB20*Constants!$H96*EF!$H221*MMVolatEF*NtoN2O*kgtoGg</f>
        <v>0.58103945126716949</v>
      </c>
      <c r="BC171" s="22">
        <f>Constants!$H78*'Activity data'!BC20*Constants!$H96*EF!$H221*MMVolatEF*NtoN2O*kgtoGg</f>
        <v>0.60869953568846558</v>
      </c>
      <c r="BD171" s="22">
        <f>Constants!$H78*'Activity data'!BD20*Constants!$H96*EF!$H221*MMVolatEF*NtoN2O*kgtoGg</f>
        <v>0.6352030919632573</v>
      </c>
      <c r="BE171" s="22">
        <f>Constants!$H78*'Activity data'!BE20*Constants!$H96*EF!$H221*MMVolatEF*NtoN2O*kgtoGg</f>
        <v>0.66171943775292319</v>
      </c>
      <c r="BF171" s="22">
        <f>Constants!$H78*'Activity data'!BF20*Constants!$H96*EF!$H221*MMVolatEF*NtoN2O*kgtoGg</f>
        <v>0.68930855279653469</v>
      </c>
      <c r="BG171" s="22">
        <f>Constants!$H78*'Activity data'!BG20*Constants!$H96*EF!$H221*MMVolatEF*NtoN2O*kgtoGg</f>
        <v>0.71866455371182625</v>
      </c>
      <c r="BH171" s="22">
        <f>Constants!$H78*'Activity data'!BH20*Constants!$H96*EF!$H221*MMVolatEF*NtoN2O*kgtoGg</f>
        <v>0.74635733605458598</v>
      </c>
      <c r="BI171" s="22">
        <f>Constants!$H78*'Activity data'!BI20*Constants!$H96*EF!$H221*MMVolatEF*NtoN2O*kgtoGg</f>
        <v>0.7745069527648214</v>
      </c>
      <c r="BJ171" s="22">
        <f>Constants!$H78*'Activity data'!BJ20*Constants!$H96*EF!$H221*MMVolatEF*NtoN2O*kgtoGg</f>
        <v>0.80317067030208755</v>
      </c>
      <c r="BK171" s="22">
        <f>Constants!$H78*'Activity data'!BK20*Constants!$H96*EF!$H221*MMVolatEF*NtoN2O*kgtoGg</f>
        <v>0.83386954359351506</v>
      </c>
      <c r="BL171" s="22">
        <f>Constants!$H78*'Activity data'!BL20*Constants!$H96*EF!$H221*MMVolatEF*NtoN2O*kgtoGg</f>
        <v>0.86568293208899882</v>
      </c>
      <c r="BM171" s="22">
        <f>Constants!$H78*'Activity data'!BM20*Constants!$H96*EF!$H221*MMVolatEF*NtoN2O*kgtoGg</f>
        <v>0.88344012524771687</v>
      </c>
      <c r="BN171" s="22">
        <f>Constants!$H78*'Activity data'!BN20*Constants!$H96*EF!$H221*MMVolatEF*NtoN2O*kgtoGg</f>
        <v>0.90027059680950883</v>
      </c>
      <c r="BO171" s="22">
        <f>Constants!$H78*'Activity data'!BO20*Constants!$H96*EF!$H221*MMVolatEF*NtoN2O*kgtoGg</f>
        <v>0.91908561041712944</v>
      </c>
      <c r="BP171" s="22">
        <f>Constants!$H78*'Activity data'!BP20*Constants!$H96*EF!$H221*MMVolatEF*NtoN2O*kgtoGg</f>
        <v>0.9371463380375723</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8.9301817319657029E-2</v>
      </c>
      <c r="AE172" s="22">
        <f>Constants!$H63*'Activity data'!AE5*Constants!$H81*FracLEACHMM*MMLeachEF*NtoN2O*kgtoGg</f>
        <v>8.9904788204048389E-2</v>
      </c>
      <c r="AF172" s="22">
        <f>Constants!$H63*'Activity data'!AF5*Constants!$H81*FracLEACHMM*MMLeachEF*NtoN2O*kgtoGg</f>
        <v>9.0432234991344826E-2</v>
      </c>
      <c r="AG172" s="22">
        <f>Constants!$H63*'Activity data'!AG5*Constants!$H81*FracLEACHMM*MMLeachEF*NtoN2O*kgtoGg</f>
        <v>9.0500461338876806E-2</v>
      </c>
      <c r="AH172" s="22">
        <f>Constants!$H63*'Activity data'!AH5*Constants!$H81*FracLEACHMM*MMLeachEF*NtoN2O*kgtoGg</f>
        <v>9.0617974533052939E-2</v>
      </c>
      <c r="AI172" s="22">
        <f>Constants!$H63*'Activity data'!AI5*Constants!$H81*FracLEACHMM*MMLeachEF*NtoN2O*kgtoGg</f>
        <v>9.1292243565634368E-2</v>
      </c>
      <c r="AJ172" s="22">
        <f>Constants!$H63*'Activity data'!AJ5*Constants!$H81*FracLEACHMM*MMLeachEF*NtoN2O*kgtoGg</f>
        <v>9.1831411898207801E-2</v>
      </c>
      <c r="AK172" s="22">
        <f>Constants!$H63*'Activity data'!AK5*Constants!$H81*FracLEACHMM*MMLeachEF*NtoN2O*kgtoGg</f>
        <v>9.1836139358568436E-2</v>
      </c>
      <c r="AL172" s="22">
        <f>Constants!$H63*'Activity data'!AL5*Constants!$H81*FracLEACHMM*MMLeachEF*NtoN2O*kgtoGg</f>
        <v>8.9403055409342513E-2</v>
      </c>
      <c r="AM172" s="22">
        <f>Constants!$H63*'Activity data'!AM5*Constants!$H81*FracLEACHMM*MMLeachEF*NtoN2O*kgtoGg</f>
        <v>9.0578464795021837E-2</v>
      </c>
      <c r="AN172" s="22">
        <f>Constants!$H63*'Activity data'!AN5*Constants!$H81*FracLEACHMM*MMLeachEF*NtoN2O*kgtoGg</f>
        <v>9.1468229504779536E-2</v>
      </c>
      <c r="AO172" s="22">
        <f>Constants!$H63*'Activity data'!AO5*Constants!$H81*FracLEACHMM*MMLeachEF*NtoN2O*kgtoGg</f>
        <v>9.2307701453058486E-2</v>
      </c>
      <c r="AP172" s="22">
        <f>Constants!$H63*'Activity data'!AP5*Constants!$H81*FracLEACHMM*MMLeachEF*NtoN2O*kgtoGg</f>
        <v>9.3281093922152392E-2</v>
      </c>
      <c r="AQ172" s="22">
        <f>Constants!$H63*'Activity data'!AQ5*Constants!$H81*FracLEACHMM*MMLeachEF*NtoN2O*kgtoGg</f>
        <v>9.4675817928952744E-2</v>
      </c>
      <c r="AR172" s="22">
        <f>Constants!$H63*'Activity data'!AR5*Constants!$H81*FracLEACHMM*MMLeachEF*NtoN2O*kgtoGg</f>
        <v>9.6127887906373721E-2</v>
      </c>
      <c r="AS172" s="22">
        <f>Constants!$H63*'Activity data'!AS5*Constants!$H81*FracLEACHMM*MMLeachEF*NtoN2O*kgtoGg</f>
        <v>9.7705163684132096E-2</v>
      </c>
      <c r="AT172" s="22">
        <f>Constants!$H63*'Activity data'!AT5*Constants!$H81*FracLEACHMM*MMLeachEF*NtoN2O*kgtoGg</f>
        <v>9.9139534803866503E-2</v>
      </c>
      <c r="AU172" s="22">
        <f>Constants!$H63*'Activity data'!AU5*Constants!$H81*FracLEACHMM*MMLeachEF*NtoN2O*kgtoGg</f>
        <v>0.10078297415070787</v>
      </c>
      <c r="AV172" s="22">
        <f>Constants!$H63*'Activity data'!AV5*Constants!$H81*FracLEACHMM*MMLeachEF*NtoN2O*kgtoGg</f>
        <v>0.10268183134860724</v>
      </c>
      <c r="AW172" s="22">
        <f>Constants!$H63*'Activity data'!AW5*Constants!$H81*FracLEACHMM*MMLeachEF*NtoN2O*kgtoGg</f>
        <v>0.10450996110897502</v>
      </c>
      <c r="AX172" s="22">
        <f>Constants!$H63*'Activity data'!AX5*Constants!$H81*FracLEACHMM*MMLeachEF*NtoN2O*kgtoGg</f>
        <v>0.1064333985286125</v>
      </c>
      <c r="AY172" s="22">
        <f>Constants!$H63*'Activity data'!AY5*Constants!$H81*FracLEACHMM*MMLeachEF*NtoN2O*kgtoGg</f>
        <v>0.10841517507268528</v>
      </c>
      <c r="AZ172" s="22">
        <f>Constants!$H63*'Activity data'!AZ5*Constants!$H81*FracLEACHMM*MMLeachEF*NtoN2O*kgtoGg</f>
        <v>0.11062033109470952</v>
      </c>
      <c r="BA172" s="22">
        <f>Constants!$H63*'Activity data'!BA5*Constants!$H81*FracLEACHMM*MMLeachEF*NtoN2O*kgtoGg</f>
        <v>0.11261681982671894</v>
      </c>
      <c r="BB172" s="22">
        <f>Constants!$H63*'Activity data'!BB5*Constants!$H81*FracLEACHMM*MMLeachEF*NtoN2O*kgtoGg</f>
        <v>0.11469139352660324</v>
      </c>
      <c r="BC172" s="22">
        <f>Constants!$H63*'Activity data'!BC5*Constants!$H81*FracLEACHMM*MMLeachEF*NtoN2O*kgtoGg</f>
        <v>0.11682019256305964</v>
      </c>
      <c r="BD172" s="22">
        <f>Constants!$H63*'Activity data'!BD5*Constants!$H81*FracLEACHMM*MMLeachEF*NtoN2O*kgtoGg</f>
        <v>0.11888535619665287</v>
      </c>
      <c r="BE172" s="22">
        <f>Constants!$H63*'Activity data'!BE5*Constants!$H81*FracLEACHMM*MMLeachEF*NtoN2O*kgtoGg</f>
        <v>0.12096617191338277</v>
      </c>
      <c r="BF172" s="22">
        <f>Constants!$H63*'Activity data'!BF5*Constants!$H81*FracLEACHMM*MMLeachEF*NtoN2O*kgtoGg</f>
        <v>0.12313525542688207</v>
      </c>
      <c r="BG172" s="22">
        <f>Constants!$H63*'Activity data'!BG5*Constants!$H81*FracLEACHMM*MMLeachEF*NtoN2O*kgtoGg</f>
        <v>0.12537615973723265</v>
      </c>
      <c r="BH172" s="22">
        <f>Constants!$H63*'Activity data'!BH5*Constants!$H81*FracLEACHMM*MMLeachEF*NtoN2O*kgtoGg</f>
        <v>0.12751645286240365</v>
      </c>
      <c r="BI172" s="22">
        <f>Constants!$H63*'Activity data'!BI5*Constants!$H81*FracLEACHMM*MMLeachEF*NtoN2O*kgtoGg</f>
        <v>0.12970195754720021</v>
      </c>
      <c r="BJ172" s="22">
        <f>Constants!$H63*'Activity data'!BJ5*Constants!$H81*FracLEACHMM*MMLeachEF*NtoN2O*kgtoGg</f>
        <v>0.131936612577774</v>
      </c>
      <c r="BK172" s="22">
        <f>Constants!$H63*'Activity data'!BK5*Constants!$H81*FracLEACHMM*MMLeachEF*NtoN2O*kgtoGg</f>
        <v>0.13432635811565444</v>
      </c>
      <c r="BL172" s="22">
        <f>Constants!$H63*'Activity data'!BL5*Constants!$H81*FracLEACHMM*MMLeachEF*NtoN2O*kgtoGg</f>
        <v>0.13674240472836932</v>
      </c>
      <c r="BM172" s="22">
        <f>Constants!$H63*'Activity data'!BM5*Constants!$H81*FracLEACHMM*MMLeachEF*NtoN2O*kgtoGg</f>
        <v>0.13818843767832675</v>
      </c>
      <c r="BN172" s="22">
        <f>Constants!$H63*'Activity data'!BN5*Constants!$H81*FracLEACHMM*MMLeachEF*NtoN2O*kgtoGg</f>
        <v>0.13957828911754586</v>
      </c>
      <c r="BO172" s="22">
        <f>Constants!$H63*'Activity data'!BO5*Constants!$H81*FracLEACHMM*MMLeachEF*NtoN2O*kgtoGg</f>
        <v>0.14111599332781352</v>
      </c>
      <c r="BP172" s="22">
        <f>Constants!$H63*'Activity data'!BP5*Constants!$H81*FracLEACHMM*MMLeachEF*NtoN2O*kgtoGg</f>
        <v>0.14260938051125654</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2.69668832410737E-2</v>
      </c>
      <c r="AE173" s="22">
        <f>Constants!$H64*'Activity data'!AE6*Constants!$H82*FracLEACHMM*MMLeachEF*NtoN2O*kgtoGg</f>
        <v>2.7148965150772641E-2</v>
      </c>
      <c r="AF173" s="22">
        <f>Constants!$H64*'Activity data'!AF6*Constants!$H82*FracLEACHMM*MMLeachEF*NtoN2O*kgtoGg</f>
        <v>2.730824069919725E-2</v>
      </c>
      <c r="AG173" s="22">
        <f>Constants!$H64*'Activity data'!AG6*Constants!$H82*FracLEACHMM*MMLeachEF*NtoN2O*kgtoGg</f>
        <v>2.7328843325247671E-2</v>
      </c>
      <c r="AH173" s="22">
        <f>Constants!$H64*'Activity data'!AH6*Constants!$H82*FracLEACHMM*MMLeachEF*NtoN2O*kgtoGg</f>
        <v>2.7364329328576024E-2</v>
      </c>
      <c r="AI173" s="22">
        <f>Constants!$H64*'Activity data'!AI6*Constants!$H82*FracLEACHMM*MMLeachEF*NtoN2O*kgtoGg</f>
        <v>2.756794147019246E-2</v>
      </c>
      <c r="AJ173" s="22">
        <f>Constants!$H64*'Activity data'!AJ6*Constants!$H82*FracLEACHMM*MMLeachEF*NtoN2O*kgtoGg</f>
        <v>2.7730756627914813E-2</v>
      </c>
      <c r="AK173" s="22">
        <f>Constants!$H64*'Activity data'!AK6*Constants!$H82*FracLEACHMM*MMLeachEF*NtoN2O*kgtoGg</f>
        <v>2.7732184201007922E-2</v>
      </c>
      <c r="AL173" s="22">
        <f>Constants!$H64*'Activity data'!AL6*Constants!$H82*FracLEACHMM*MMLeachEF*NtoN2O*kgtoGg</f>
        <v>2.6997454575745719E-2</v>
      </c>
      <c r="AM173" s="22">
        <f>Constants!$H64*'Activity data'!AM6*Constants!$H82*FracLEACHMM*MMLeachEF*NtoN2O*kgtoGg</f>
        <v>2.7352398390053725E-2</v>
      </c>
      <c r="AN173" s="22">
        <f>Constants!$H64*'Activity data'!AN6*Constants!$H82*FracLEACHMM*MMLeachEF*NtoN2O*kgtoGg</f>
        <v>2.7621084759046378E-2</v>
      </c>
      <c r="AO173" s="22">
        <f>Constants!$H64*'Activity data'!AO6*Constants!$H82*FracLEACHMM*MMLeachEF*NtoN2O*kgtoGg</f>
        <v>2.7874583990001138E-2</v>
      </c>
      <c r="AP173" s="22">
        <f>Constants!$H64*'Activity data'!AP6*Constants!$H82*FracLEACHMM*MMLeachEF*NtoN2O*kgtoGg</f>
        <v>2.8168523820674866E-2</v>
      </c>
      <c r="AQ173" s="22">
        <f>Constants!$H64*'Activity data'!AQ6*Constants!$H82*FracLEACHMM*MMLeachEF*NtoN2O*kgtoGg</f>
        <v>2.8589695086543694E-2</v>
      </c>
      <c r="AR173" s="22">
        <f>Constants!$H64*'Activity data'!AR6*Constants!$H82*FracLEACHMM*MMLeachEF*NtoN2O*kgtoGg</f>
        <v>2.9028183380671174E-2</v>
      </c>
      <c r="AS173" s="22">
        <f>Constants!$H64*'Activity data'!AS6*Constants!$H82*FracLEACHMM*MMLeachEF*NtoN2O*kgtoGg</f>
        <v>2.9504480650026085E-2</v>
      </c>
      <c r="AT173" s="22">
        <f>Constants!$H64*'Activity data'!AT6*Constants!$H82*FracLEACHMM*MMLeachEF*NtoN2O*kgtoGg</f>
        <v>2.9937624338152707E-2</v>
      </c>
      <c r="AU173" s="22">
        <f>Constants!$H64*'Activity data'!AU6*Constants!$H82*FracLEACHMM*MMLeachEF*NtoN2O*kgtoGg</f>
        <v>3.0433901326799174E-2</v>
      </c>
      <c r="AV173" s="22">
        <f>Constants!$H64*'Activity data'!AV6*Constants!$H82*FracLEACHMM*MMLeachEF*NtoN2O*kgtoGg</f>
        <v>3.1007308026507561E-2</v>
      </c>
      <c r="AW173" s="22">
        <f>Constants!$H64*'Activity data'!AW6*Constants!$H82*FracLEACHMM*MMLeachEF*NtoN2O*kgtoGg</f>
        <v>3.1559356834438362E-2</v>
      </c>
      <c r="AX173" s="22">
        <f>Constants!$H64*'Activity data'!AX6*Constants!$H82*FracLEACHMM*MMLeachEF*NtoN2O*kgtoGg</f>
        <v>3.2140186137510761E-2</v>
      </c>
      <c r="AY173" s="22">
        <f>Constants!$H64*'Activity data'!AY6*Constants!$H82*FracLEACHMM*MMLeachEF*NtoN2O*kgtoGg</f>
        <v>3.2738632376097511E-2</v>
      </c>
      <c r="AZ173" s="22">
        <f>Constants!$H64*'Activity data'!AZ6*Constants!$H82*FracLEACHMM*MMLeachEF*NtoN2O*kgtoGg</f>
        <v>3.3404533549882341E-2</v>
      </c>
      <c r="BA173" s="22">
        <f>Constants!$H64*'Activity data'!BA6*Constants!$H82*FracLEACHMM*MMLeachEF*NtoN2O*kgtoGg</f>
        <v>3.4007422495977352E-2</v>
      </c>
      <c r="BB173" s="22">
        <f>Constants!$H64*'Activity data'!BB6*Constants!$H82*FracLEACHMM*MMLeachEF*NtoN2O*kgtoGg</f>
        <v>3.4633891121352886E-2</v>
      </c>
      <c r="BC173" s="22">
        <f>Constants!$H64*'Activity data'!BC6*Constants!$H82*FracLEACHMM*MMLeachEF*NtoN2O*kgtoGg</f>
        <v>3.5276734422674962E-2</v>
      </c>
      <c r="BD173" s="22">
        <f>Constants!$H64*'Activity data'!BD6*Constants!$H82*FracLEACHMM*MMLeachEF*NtoN2O*kgtoGg</f>
        <v>3.5900361446764215E-2</v>
      </c>
      <c r="BE173" s="22">
        <f>Constants!$H64*'Activity data'!BE6*Constants!$H82*FracLEACHMM*MMLeachEF*NtoN2O*kgtoGg</f>
        <v>3.6528715002866974E-2</v>
      </c>
      <c r="BF173" s="22">
        <f>Constants!$H64*'Activity data'!BF6*Constants!$H82*FracLEACHMM*MMLeachEF*NtoN2O*kgtoGg</f>
        <v>3.718372319423778E-2</v>
      </c>
      <c r="BG173" s="22">
        <f>Constants!$H64*'Activity data'!BG6*Constants!$H82*FracLEACHMM*MMLeachEF*NtoN2O*kgtoGg</f>
        <v>3.7860419444162144E-2</v>
      </c>
      <c r="BH173" s="22">
        <f>Constants!$H64*'Activity data'!BH6*Constants!$H82*FracLEACHMM*MMLeachEF*NtoN2O*kgtoGg</f>
        <v>3.8506733668670703E-2</v>
      </c>
      <c r="BI173" s="22">
        <f>Constants!$H64*'Activity data'!BI6*Constants!$H82*FracLEACHMM*MMLeachEF*NtoN2O*kgtoGg</f>
        <v>3.9166700637167727E-2</v>
      </c>
      <c r="BJ173" s="22">
        <f>Constants!$H64*'Activity data'!BJ6*Constants!$H82*FracLEACHMM*MMLeachEF*NtoN2O*kgtoGg</f>
        <v>3.9841509763143906E-2</v>
      </c>
      <c r="BK173" s="22">
        <f>Constants!$H64*'Activity data'!BK6*Constants!$H82*FracLEACHMM*MMLeachEF*NtoN2O*kgtoGg</f>
        <v>4.0563152287676402E-2</v>
      </c>
      <c r="BL173" s="22">
        <f>Constants!$H64*'Activity data'!BL6*Constants!$H82*FracLEACHMM*MMLeachEF*NtoN2O*kgtoGg</f>
        <v>4.1292737069549959E-2</v>
      </c>
      <c r="BM173" s="22">
        <f>Constants!$H64*'Activity data'!BM6*Constants!$H82*FracLEACHMM*MMLeachEF*NtoN2O*kgtoGg</f>
        <v>4.1729402334542996E-2</v>
      </c>
      <c r="BN173" s="22">
        <f>Constants!$H64*'Activity data'!BN6*Constants!$H82*FracLEACHMM*MMLeachEF*NtoN2O*kgtoGg</f>
        <v>4.2149102208619463E-2</v>
      </c>
      <c r="BO173" s="22">
        <f>Constants!$H64*'Activity data'!BO6*Constants!$H82*FracLEACHMM*MMLeachEF*NtoN2O*kgtoGg</f>
        <v>4.2613449868523889E-2</v>
      </c>
      <c r="BP173" s="22">
        <f>Constants!$H64*'Activity data'!BP6*Constants!$H82*FracLEACHMM*MMLeachEF*NtoN2O*kgtoGg</f>
        <v>4.3064414910651432E-2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1.4498393681804938E-3</v>
      </c>
      <c r="AE174" s="22">
        <f>Constants!$H65*'Activity data'!AE7*Constants!$H83*FracLEACHMM*MMLeachEF*NtoN2O*kgtoGg</f>
        <v>1.4596287649956559E-3</v>
      </c>
      <c r="AF174" s="22">
        <f>Constants!$H65*'Activity data'!AF7*Constants!$H83*FracLEACHMM*MMLeachEF*NtoN2O*kgtoGg</f>
        <v>1.4681920074894272E-3</v>
      </c>
      <c r="AG174" s="22">
        <f>Constants!$H65*'Activity data'!AG7*Constants!$H83*FracLEACHMM*MMLeachEF*NtoN2O*kgtoGg</f>
        <v>1.4692996808556361E-3</v>
      </c>
      <c r="AH174" s="22">
        <f>Constants!$H65*'Activity data'!AH7*Constants!$H83*FracLEACHMM*MMLeachEF*NtoN2O*kgtoGg</f>
        <v>1.4712075396239221E-3</v>
      </c>
      <c r="AI174" s="22">
        <f>Constants!$H65*'Activity data'!AI7*Constants!$H83*FracLEACHMM*MMLeachEF*NtoN2O*kgtoGg</f>
        <v>1.4821544813270488E-3</v>
      </c>
      <c r="AJ174" s="22">
        <f>Constants!$H65*'Activity data'!AJ7*Constants!$H83*FracLEACHMM*MMLeachEF*NtoN2O*kgtoGg</f>
        <v>1.4909080263063527E-3</v>
      </c>
      <c r="AK174" s="22">
        <f>Constants!$H65*'Activity data'!AK7*Constants!$H83*FracLEACHMM*MMLeachEF*NtoN2O*kgtoGg</f>
        <v>1.4909847779150886E-3</v>
      </c>
      <c r="AL174" s="22">
        <f>Constants!$H65*'Activity data'!AL7*Constants!$H83*FracLEACHMM*MMLeachEF*NtoN2O*kgtoGg</f>
        <v>1.451482996187078E-3</v>
      </c>
      <c r="AM174" s="22">
        <f>Constants!$H65*'Activity data'!AM7*Constants!$H83*FracLEACHMM*MMLeachEF*NtoN2O*kgtoGg</f>
        <v>1.4705660882476425E-3</v>
      </c>
      <c r="AN174" s="22">
        <f>Constants!$H65*'Activity data'!AN7*Constants!$H83*FracLEACHMM*MMLeachEF*NtoN2O*kgtoGg</f>
        <v>1.4850116610628827E-3</v>
      </c>
      <c r="AO174" s="22">
        <f>Constants!$H65*'Activity data'!AO7*Constants!$H83*FracLEACHMM*MMLeachEF*NtoN2O*kgtoGg</f>
        <v>1.4986407171742647E-3</v>
      </c>
      <c r="AP174" s="22">
        <f>Constants!$H65*'Activity data'!AP7*Constants!$H83*FracLEACHMM*MMLeachEF*NtoN2O*kgtoGg</f>
        <v>1.5144440094782853E-3</v>
      </c>
      <c r="AQ174" s="22">
        <f>Constants!$H65*'Activity data'!AQ7*Constants!$H83*FracLEACHMM*MMLeachEF*NtoN2O*kgtoGg</f>
        <v>1.5370877342478196E-3</v>
      </c>
      <c r="AR174" s="22">
        <f>Constants!$H65*'Activity data'!AR7*Constants!$H83*FracLEACHMM*MMLeachEF*NtoN2O*kgtoGg</f>
        <v>1.5606624864959412E-3</v>
      </c>
      <c r="AS174" s="22">
        <f>Constants!$H65*'Activity data'!AS7*Constants!$H83*FracLEACHMM*MMLeachEF*NtoN2O*kgtoGg</f>
        <v>1.5862699890721308E-3</v>
      </c>
      <c r="AT174" s="22">
        <f>Constants!$H65*'Activity data'!AT7*Constants!$H83*FracLEACHMM*MMLeachEF*NtoN2O*kgtoGg</f>
        <v>1.6095573955369755E-3</v>
      </c>
      <c r="AU174" s="22">
        <f>Constants!$H65*'Activity data'!AU7*Constants!$H83*FracLEACHMM*MMLeachEF*NtoN2O*kgtoGg</f>
        <v>1.6362390817084723E-3</v>
      </c>
      <c r="AV174" s="22">
        <f>Constants!$H65*'Activity data'!AV7*Constants!$H83*FracLEACHMM*MMLeachEF*NtoN2O*kgtoGg</f>
        <v>1.6670675463769219E-3</v>
      </c>
      <c r="AW174" s="22">
        <f>Constants!$H65*'Activity data'!AW7*Constants!$H83*FracLEACHMM*MMLeachEF*NtoN2O*kgtoGg</f>
        <v>1.6967477318006537E-3</v>
      </c>
      <c r="AX174" s="22">
        <f>Constants!$H65*'Activity data'!AX7*Constants!$H83*FracLEACHMM*MMLeachEF*NtoN2O*kgtoGg</f>
        <v>1.7279752630751828E-3</v>
      </c>
      <c r="AY174" s="22">
        <f>Constants!$H65*'Activity data'!AY7*Constants!$H83*FracLEACHMM*MMLeachEF*NtoN2O*kgtoGg</f>
        <v>1.7601499459514404E-3</v>
      </c>
      <c r="AZ174" s="22">
        <f>Constants!$H65*'Activity data'!AZ7*Constants!$H83*FracLEACHMM*MMLeachEF*NtoN2O*kgtoGg</f>
        <v>1.7959512555963141E-3</v>
      </c>
      <c r="BA174" s="22">
        <f>Constants!$H65*'Activity data'!BA7*Constants!$H83*FracLEACHMM*MMLeachEF*NtoN2O*kgtoGg</f>
        <v>1.8283647948576127E-3</v>
      </c>
      <c r="BB174" s="22">
        <f>Constants!$H65*'Activity data'!BB7*Constants!$H83*FracLEACHMM*MMLeachEF*NtoN2O*kgtoGg</f>
        <v>1.8620460648760904E-3</v>
      </c>
      <c r="BC174" s="22">
        <f>Constants!$H65*'Activity data'!BC7*Constants!$H83*FracLEACHMM*MMLeachEF*NtoN2O*kgtoGg</f>
        <v>1.8966076980279822E-3</v>
      </c>
      <c r="BD174" s="22">
        <f>Constants!$H65*'Activity data'!BD7*Constants!$H83*FracLEACHMM*MMLeachEF*NtoN2O*kgtoGg</f>
        <v>1.9301361930528979E-3</v>
      </c>
      <c r="BE174" s="22">
        <f>Constants!$H65*'Activity data'!BE7*Constants!$H83*FracLEACHMM*MMLeachEF*NtoN2O*kgtoGg</f>
        <v>1.9639188039178583E-3</v>
      </c>
      <c r="BF174" s="22">
        <f>Constants!$H65*'Activity data'!BF7*Constants!$H83*FracLEACHMM*MMLeachEF*NtoN2O*kgtoGg</f>
        <v>1.9991344665452565E-3</v>
      </c>
      <c r="BG174" s="22">
        <f>Constants!$H65*'Activity data'!BG7*Constants!$H83*FracLEACHMM*MMLeachEF*NtoN2O*kgtoGg</f>
        <v>2.0355161594042262E-3</v>
      </c>
      <c r="BH174" s="22">
        <f>Constants!$H65*'Activity data'!BH7*Constants!$H83*FracLEACHMM*MMLeachEF*NtoN2O*kgtoGg</f>
        <v>2.0702644022223028E-3</v>
      </c>
      <c r="BI174" s="22">
        <f>Constants!$H65*'Activity data'!BI7*Constants!$H83*FracLEACHMM*MMLeachEF*NtoN2O*kgtoGg</f>
        <v>2.1057466670458603E-3</v>
      </c>
      <c r="BJ174" s="22">
        <f>Constants!$H65*'Activity data'!BJ7*Constants!$H83*FracLEACHMM*MMLeachEF*NtoN2O*kgtoGg</f>
        <v>2.1420269011426783E-3</v>
      </c>
      <c r="BK174" s="22">
        <f>Constants!$H65*'Activity data'!BK7*Constants!$H83*FracLEACHMM*MMLeachEF*NtoN2O*kgtoGg</f>
        <v>2.1808250719385831E-3</v>
      </c>
      <c r="BL174" s="22">
        <f>Constants!$H65*'Activity data'!BL7*Constants!$H83*FracLEACHMM*MMLeachEF*NtoN2O*kgtoGg</f>
        <v>2.2200502478600822E-3</v>
      </c>
      <c r="BM174" s="22">
        <f>Constants!$H65*'Activity data'!BM7*Constants!$H83*FracLEACHMM*MMLeachEF*NtoN2O*kgtoGg</f>
        <v>2.2435269873202655E-3</v>
      </c>
      <c r="BN174" s="22">
        <f>Constants!$H65*'Activity data'!BN7*Constants!$H83*FracLEACHMM*MMLeachEF*NtoN2O*kgtoGg</f>
        <v>2.2660916046257488E-3</v>
      </c>
      <c r="BO174" s="22">
        <f>Constants!$H65*'Activity data'!BO7*Constants!$H83*FracLEACHMM*MMLeachEF*NtoN2O*kgtoGg</f>
        <v>2.2910566520075136E-3</v>
      </c>
      <c r="BP174" s="22">
        <f>Constants!$H65*'Activity data'!BP7*Constants!$H83*FracLEACHMM*MMLeachEF*NtoN2O*kgtoGg</f>
        <v>2.3153022003678742E-3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3.0452527896293373E-2</v>
      </c>
      <c r="AE175" s="22">
        <f>Constants!$H66*'Activity data'!AE8*Constants!$H84*FracLEACHMM*MMLeachEF*NtoN2O*kgtoGg</f>
        <v>3.0297487464546878E-2</v>
      </c>
      <c r="AF175" s="22">
        <f>Constants!$H66*'Activity data'!AF8*Constants!$H84*FracLEACHMM*MMLeachEF*NtoN2O*kgtoGg</f>
        <v>3.0014510280911927E-2</v>
      </c>
      <c r="AG175" s="22">
        <f>Constants!$H66*'Activity data'!AG8*Constants!$H84*FracLEACHMM*MMLeachEF*NtoN2O*kgtoGg</f>
        <v>2.9239921775422131E-2</v>
      </c>
      <c r="AH175" s="22">
        <f>Constants!$H66*'Activity data'!AH8*Constants!$H84*FracLEACHMM*MMLeachEF*NtoN2O*kgtoGg</f>
        <v>2.8496244024993216E-2</v>
      </c>
      <c r="AI175" s="22">
        <f>Constants!$H66*'Activity data'!AI8*Constants!$H84*FracLEACHMM*MMLeachEF*NtoN2O*kgtoGg</f>
        <v>2.8252813512235145E-2</v>
      </c>
      <c r="AJ175" s="22">
        <f>Constants!$H66*'Activity data'!AJ8*Constants!$H84*FracLEACHMM*MMLeachEF*NtoN2O*kgtoGg</f>
        <v>2.7859647334891578E-2</v>
      </c>
      <c r="AK175" s="22">
        <f>Constants!$H66*'Activity data'!AK8*Constants!$H84*FracLEACHMM*MMLeachEF*NtoN2O*kgtoGg</f>
        <v>2.6976279512961457E-2</v>
      </c>
      <c r="AL175" s="22">
        <f>Constants!$H66*'Activity data'!AL8*Constants!$H84*FracLEACHMM*MMLeachEF*NtoN2O*kgtoGg</f>
        <v>2.4012489752417959E-2</v>
      </c>
      <c r="AM175" s="22">
        <f>Constants!$H66*'Activity data'!AM8*Constants!$H84*FracLEACHMM*MMLeachEF*NtoN2O*kgtoGg</f>
        <v>2.4599231081869424E-2</v>
      </c>
      <c r="AN175" s="22">
        <f>Constants!$H66*'Activity data'!AN8*Constants!$H84*FracLEACHMM*MMLeachEF*NtoN2O*kgtoGg</f>
        <v>2.4916145495478388E-2</v>
      </c>
      <c r="AO175" s="22">
        <f>Constants!$H66*'Activity data'!AO8*Constants!$H84*FracLEACHMM*MMLeachEF*NtoN2O*kgtoGg</f>
        <v>2.5168037651579767E-2</v>
      </c>
      <c r="AP175" s="22">
        <f>Constants!$H66*'Activity data'!AP8*Constants!$H84*FracLEACHMM*MMLeachEF*NtoN2O*kgtoGg</f>
        <v>2.5506564506487542E-2</v>
      </c>
      <c r="AQ175" s="22">
        <f>Constants!$H66*'Activity data'!AQ8*Constants!$H84*FracLEACHMM*MMLeachEF*NtoN2O*kgtoGg</f>
        <v>2.6156489707851342E-2</v>
      </c>
      <c r="AR175" s="22">
        <f>Constants!$H66*'Activity data'!AR8*Constants!$H84*FracLEACHMM*MMLeachEF*NtoN2O*kgtoGg</f>
        <v>2.6867817810745018E-2</v>
      </c>
      <c r="AS175" s="22">
        <f>Constants!$H66*'Activity data'!AS8*Constants!$H84*FracLEACHMM*MMLeachEF*NtoN2O*kgtoGg</f>
        <v>2.7642884414901984E-2</v>
      </c>
      <c r="AT175" s="22">
        <f>Constants!$H66*'Activity data'!AT8*Constants!$H84*FracLEACHMM*MMLeachEF*NtoN2O*kgtoGg</f>
        <v>2.8274857178530011E-2</v>
      </c>
      <c r="AU175" s="22">
        <f>Constants!$H66*'Activity data'!AU8*Constants!$H84*FracLEACHMM*MMLeachEF*NtoN2O*kgtoGg</f>
        <v>2.903345804669211E-2</v>
      </c>
      <c r="AV175" s="22">
        <f>Constants!$H66*'Activity data'!AV8*Constants!$H84*FracLEACHMM*MMLeachEF*NtoN2O*kgtoGg</f>
        <v>2.9947210077229128E-2</v>
      </c>
      <c r="AW175" s="22">
        <f>Constants!$H66*'Activity data'!AW8*Constants!$H84*FracLEACHMM*MMLeachEF*NtoN2O*kgtoGg</f>
        <v>3.0549124720733112E-2</v>
      </c>
      <c r="AX175" s="22">
        <f>Constants!$H66*'Activity data'!AX8*Constants!$H84*FracLEACHMM*MMLeachEF*NtoN2O*kgtoGg</f>
        <v>3.1163959723064422E-2</v>
      </c>
      <c r="AY175" s="22">
        <f>Constants!$H66*'Activity data'!AY8*Constants!$H84*FracLEACHMM*MMLeachEF*NtoN2O*kgtoGg</f>
        <v>3.1763059028554627E-2</v>
      </c>
      <c r="AZ175" s="22">
        <f>Constants!$H66*'Activity data'!AZ8*Constants!$H84*FracLEACHMM*MMLeachEF*NtoN2O*kgtoGg</f>
        <v>3.2456169201335913E-2</v>
      </c>
      <c r="BA175" s="22">
        <f>Constants!$H66*'Activity data'!BA8*Constants!$H84*FracLEACHMM*MMLeachEF*NtoN2O*kgtoGg</f>
        <v>3.2950083477417874E-2</v>
      </c>
      <c r="BB175" s="22">
        <f>Constants!$H66*'Activity data'!BB8*Constants!$H84*FracLEACHMM*MMLeachEF*NtoN2O*kgtoGg</f>
        <v>3.3470414487168046E-2</v>
      </c>
      <c r="BC175" s="22">
        <f>Constants!$H66*'Activity data'!BC8*Constants!$H84*FracLEACHMM*MMLeachEF*NtoN2O*kgtoGg</f>
        <v>3.3968324488623199E-2</v>
      </c>
      <c r="BD175" s="22">
        <f>Constants!$H66*'Activity data'!BD8*Constants!$H84*FracLEACHMM*MMLeachEF*NtoN2O*kgtoGg</f>
        <v>3.4370588247873347E-2</v>
      </c>
      <c r="BE175" s="22">
        <f>Constants!$H66*'Activity data'!BE8*Constants!$H84*FracLEACHMM*MMLeachEF*NtoN2O*kgtoGg</f>
        <v>3.4728582709762659E-2</v>
      </c>
      <c r="BF175" s="22">
        <f>Constants!$H66*'Activity data'!BF8*Constants!$H84*FracLEACHMM*MMLeachEF*NtoN2O*kgtoGg</f>
        <v>3.5084969822241303E-2</v>
      </c>
      <c r="BG175" s="22">
        <f>Constants!$H66*'Activity data'!BG8*Constants!$H84*FracLEACHMM*MMLeachEF*NtoN2O*kgtoGg</f>
        <v>3.563350480133385E-2</v>
      </c>
      <c r="BH175" s="22">
        <f>Constants!$H66*'Activity data'!BH8*Constants!$H84*FracLEACHMM*MMLeachEF*NtoN2O*kgtoGg</f>
        <v>3.6080223845932187E-2</v>
      </c>
      <c r="BI175" s="22">
        <f>Constants!$H66*'Activity data'!BI8*Constants!$H84*FracLEACHMM*MMLeachEF*NtoN2O*kgtoGg</f>
        <v>3.6509179844635559E-2</v>
      </c>
      <c r="BJ175" s="22">
        <f>Constants!$H66*'Activity data'!BJ8*Constants!$H84*FracLEACHMM*MMLeachEF*NtoN2O*kgtoGg</f>
        <v>3.6921780538289761E-2</v>
      </c>
      <c r="BK175" s="22">
        <f>Constants!$H66*'Activity data'!BK8*Constants!$H84*FracLEACHMM*MMLeachEF*NtoN2O*kgtoGg</f>
        <v>3.7372669069064057E-2</v>
      </c>
      <c r="BL175" s="22">
        <f>Constants!$H66*'Activity data'!BL8*Constants!$H84*FracLEACHMM*MMLeachEF*NtoN2O*kgtoGg</f>
        <v>3.781430947824465E-2</v>
      </c>
      <c r="BM175" s="22">
        <f>Constants!$H66*'Activity data'!BM8*Constants!$H84*FracLEACHMM*MMLeachEF*NtoN2O*kgtoGg</f>
        <v>3.7723318556611311E-2</v>
      </c>
      <c r="BN175" s="22">
        <f>Constants!$H66*'Activity data'!BN8*Constants!$H84*FracLEACHMM*MMLeachEF*NtoN2O*kgtoGg</f>
        <v>3.7580542556637592E-2</v>
      </c>
      <c r="BO175" s="22">
        <f>Constants!$H66*'Activity data'!BO8*Constants!$H84*FracLEACHMM*MMLeachEF*NtoN2O*kgtoGg</f>
        <v>3.7486169646009135E-2</v>
      </c>
      <c r="BP175" s="22">
        <f>Constants!$H66*'Activity data'!BP8*Constants!$H84*FracLEACHMM*MMLeachEF*NtoN2O*kgtoGg</f>
        <v>3.7345735978641013E-2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4.0424767632491129E-2</v>
      </c>
      <c r="AE176" s="22">
        <f>Constants!$H67*'Activity data'!AE9*Constants!$H85*FracLEACHMM*MMLeachEF*NtoN2O*kgtoGg</f>
        <v>4.0218956362952633E-2</v>
      </c>
      <c r="AF176" s="22">
        <f>Constants!$H67*'Activity data'!AF9*Constants!$H85*FracLEACHMM*MMLeachEF*NtoN2O*kgtoGg</f>
        <v>3.9843313101654371E-2</v>
      </c>
      <c r="AG176" s="22">
        <f>Constants!$H67*'Activity data'!AG9*Constants!$H85*FracLEACHMM*MMLeachEF*NtoN2O*kgtoGg</f>
        <v>3.8815071359232893E-2</v>
      </c>
      <c r="AH176" s="22">
        <f>Constants!$H67*'Activity data'!AH9*Constants!$H85*FracLEACHMM*MMLeachEF*NtoN2O*kgtoGg</f>
        <v>3.7827862666512127E-2</v>
      </c>
      <c r="AI176" s="22">
        <f>Constants!$H67*'Activity data'!AI9*Constants!$H85*FracLEACHMM*MMLeachEF*NtoN2O*kgtoGg</f>
        <v>3.7504716360024323E-2</v>
      </c>
      <c r="AJ176" s="22">
        <f>Constants!$H67*'Activity data'!AJ9*Constants!$H85*FracLEACHMM*MMLeachEF*NtoN2O*kgtoGg</f>
        <v>3.6982800694625562E-2</v>
      </c>
      <c r="AK176" s="22">
        <f>Constants!$H67*'Activity data'!AK9*Constants!$H85*FracLEACHMM*MMLeachEF*NtoN2O*kgtoGg</f>
        <v>3.5810157850092082E-2</v>
      </c>
      <c r="AL176" s="22">
        <f>Constants!$H67*'Activity data'!AL9*Constants!$H85*FracLEACHMM*MMLeachEF*NtoN2O*kgtoGg</f>
        <v>3.1875820681448994E-2</v>
      </c>
      <c r="AM176" s="22">
        <f>Constants!$H67*'Activity data'!AM9*Constants!$H85*FracLEACHMM*MMLeachEF*NtoN2O*kgtoGg</f>
        <v>3.2654701238893337E-2</v>
      </c>
      <c r="AN176" s="22">
        <f>Constants!$H67*'Activity data'!AN9*Constants!$H85*FracLEACHMM*MMLeachEF*NtoN2O*kgtoGg</f>
        <v>3.307539509961839E-2</v>
      </c>
      <c r="AO176" s="22">
        <f>Constants!$H67*'Activity data'!AO9*Constants!$H85*FracLEACHMM*MMLeachEF*NtoN2O*kgtoGg</f>
        <v>3.3409773970020318E-2</v>
      </c>
      <c r="AP176" s="22">
        <f>Constants!$H67*'Activity data'!AP9*Constants!$H85*FracLEACHMM*MMLeachEF*NtoN2O*kgtoGg</f>
        <v>3.3859157663013208E-2</v>
      </c>
      <c r="AQ176" s="22">
        <f>Constants!$H67*'Activity data'!AQ9*Constants!$H85*FracLEACHMM*MMLeachEF*NtoN2O*kgtoGg</f>
        <v>3.4721912812047291E-2</v>
      </c>
      <c r="AR176" s="22">
        <f>Constants!$H67*'Activity data'!AR9*Constants!$H85*FracLEACHMM*MMLeachEF*NtoN2O*kgtoGg</f>
        <v>3.5666178370816821E-2</v>
      </c>
      <c r="AS176" s="22">
        <f>Constants!$H67*'Activity data'!AS9*Constants!$H85*FracLEACHMM*MMLeachEF*NtoN2O*kgtoGg</f>
        <v>3.6695054774097693E-2</v>
      </c>
      <c r="AT176" s="22">
        <f>Constants!$H67*'Activity data'!AT9*Constants!$H85*FracLEACHMM*MMLeachEF*NtoN2O*kgtoGg</f>
        <v>3.7533978629835658E-2</v>
      </c>
      <c r="AU176" s="22">
        <f>Constants!$H67*'Activity data'!AU9*Constants!$H85*FracLEACHMM*MMLeachEF*NtoN2O*kgtoGg</f>
        <v>3.8540997289360182E-2</v>
      </c>
      <c r="AV176" s="22">
        <f>Constants!$H67*'Activity data'!AV9*Constants!$H85*FracLEACHMM*MMLeachEF*NtoN2O*kgtoGg</f>
        <v>3.9753974209830296E-2</v>
      </c>
      <c r="AW176" s="22">
        <f>Constants!$H67*'Activity data'!AW9*Constants!$H85*FracLEACHMM*MMLeachEF*NtoN2O*kgtoGg</f>
        <v>4.0552996861779135E-2</v>
      </c>
      <c r="AX176" s="22">
        <f>Constants!$H67*'Activity data'!AX9*Constants!$H85*FracLEACHMM*MMLeachEF*NtoN2O*kgtoGg</f>
        <v>4.1369170881427282E-2</v>
      </c>
      <c r="AY176" s="22">
        <f>Constants!$H67*'Activity data'!AY9*Constants!$H85*FracLEACHMM*MMLeachEF*NtoN2O*kgtoGg</f>
        <v>4.2164456261206094E-2</v>
      </c>
      <c r="AZ176" s="22">
        <f>Constants!$H67*'Activity data'!AZ9*Constants!$H85*FracLEACHMM*MMLeachEF*NtoN2O*kgtoGg</f>
        <v>4.3084538093946481E-2</v>
      </c>
      <c r="BA176" s="22">
        <f>Constants!$H67*'Activity data'!BA9*Constants!$H85*FracLEACHMM*MMLeachEF*NtoN2O*kgtoGg</f>
        <v>4.3740193673968565E-2</v>
      </c>
      <c r="BB176" s="22">
        <f>Constants!$H67*'Activity data'!BB9*Constants!$H85*FracLEACHMM*MMLeachEF*NtoN2O*kgtoGg</f>
        <v>4.4430916632429117E-2</v>
      </c>
      <c r="BC176" s="22">
        <f>Constants!$H67*'Activity data'!BC9*Constants!$H85*FracLEACHMM*MMLeachEF*NtoN2O*kgtoGg</f>
        <v>4.5091876411507692E-2</v>
      </c>
      <c r="BD176" s="22">
        <f>Constants!$H67*'Activity data'!BD9*Constants!$H85*FracLEACHMM*MMLeachEF*NtoN2O*kgtoGg</f>
        <v>4.5625868829149929E-2</v>
      </c>
      <c r="BE176" s="22">
        <f>Constants!$H67*'Activity data'!BE9*Constants!$H85*FracLEACHMM*MMLeachEF*NtoN2O*kgtoGg</f>
        <v>4.610109515469106E-2</v>
      </c>
      <c r="BF176" s="22">
        <f>Constants!$H67*'Activity data'!BF9*Constants!$H85*FracLEACHMM*MMLeachEF*NtoN2O*kgtoGg</f>
        <v>4.6574187774726626E-2</v>
      </c>
      <c r="BG176" s="22">
        <f>Constants!$H67*'Activity data'!BG9*Constants!$H85*FracLEACHMM*MMLeachEF*NtoN2O*kgtoGg</f>
        <v>4.730235061045656E-2</v>
      </c>
      <c r="BH176" s="22">
        <f>Constants!$H67*'Activity data'!BH9*Constants!$H85*FracLEACHMM*MMLeachEF*NtoN2O*kgtoGg</f>
        <v>4.7895356013370721E-2</v>
      </c>
      <c r="BI176" s="22">
        <f>Constants!$H67*'Activity data'!BI9*Constants!$H85*FracLEACHMM*MMLeachEF*NtoN2O*kgtoGg</f>
        <v>4.8464781534667351E-2</v>
      </c>
      <c r="BJ176" s="22">
        <f>Constants!$H67*'Activity data'!BJ9*Constants!$H85*FracLEACHMM*MMLeachEF*NtoN2O*kgtoGg</f>
        <v>4.9012495905795345E-2</v>
      </c>
      <c r="BK176" s="22">
        <f>Constants!$H67*'Activity data'!BK9*Constants!$H85*FracLEACHMM*MMLeachEF*NtoN2O*kgtoGg</f>
        <v>4.9611036169735952E-2</v>
      </c>
      <c r="BL176" s="22">
        <f>Constants!$H67*'Activity data'!BL9*Constants!$H85*FracLEACHMM*MMLeachEF*NtoN2O*kgtoGg</f>
        <v>5.019729984475968E-2</v>
      </c>
      <c r="BM176" s="22">
        <f>Constants!$H67*'Activity data'!BM9*Constants!$H85*FracLEACHMM*MMLeachEF*NtoN2O*kgtoGg</f>
        <v>5.0076512274144176E-2</v>
      </c>
      <c r="BN176" s="22">
        <f>Constants!$H67*'Activity data'!BN9*Constants!$H85*FracLEACHMM*MMLeachEF*NtoN2O*kgtoGg</f>
        <v>4.9886981649885677E-2</v>
      </c>
      <c r="BO176" s="22">
        <f>Constants!$H67*'Activity data'!BO9*Constants!$H85*FracLEACHMM*MMLeachEF*NtoN2O*kgtoGg</f>
        <v>4.9761704595844405E-2</v>
      </c>
      <c r="BP176" s="22">
        <f>Constants!$H67*'Activity data'!BP9*Constants!$H85*FracLEACHMM*MMLeachEF*NtoN2O*kgtoGg</f>
        <v>4.9575283344036727E-2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4.2088279910489731E-2</v>
      </c>
      <c r="AE177" s="22">
        <f>Constants!$H68*'Activity data'!AE10*Constants!$H86*FracLEACHMM*MMLeachEF*NtoN2O*kgtoGg</f>
        <v>4.3658426789379527E-2</v>
      </c>
      <c r="AF177" s="22">
        <f>Constants!$H68*'Activity data'!AF10*Constants!$H86*FracLEACHMM*MMLeachEF*NtoN2O*kgtoGg</f>
        <v>4.5069001422451092E-2</v>
      </c>
      <c r="AG177" s="22">
        <f>Constants!$H68*'Activity data'!AG10*Constants!$H86*FracLEACHMM*MMLeachEF*NtoN2O*kgtoGg</f>
        <v>4.5730945940485053E-2</v>
      </c>
      <c r="AH177" s="22">
        <f>Constants!$H68*'Activity data'!AH10*Constants!$H86*FracLEACHMM*MMLeachEF*NtoN2O*kgtoGg</f>
        <v>4.6403018793330496E-2</v>
      </c>
      <c r="AI177" s="22">
        <f>Constants!$H68*'Activity data'!AI10*Constants!$H86*FracLEACHMM*MMLeachEF*NtoN2O*kgtoGg</f>
        <v>4.788652540684897E-2</v>
      </c>
      <c r="AJ177" s="22">
        <f>Constants!$H68*'Activity data'!AJ10*Constants!$H86*FracLEACHMM*MMLeachEF*NtoN2O*kgtoGg</f>
        <v>4.9137870108527694E-2</v>
      </c>
      <c r="AK177" s="22">
        <f>Constants!$H68*'Activity data'!AK10*Constants!$H86*FracLEACHMM*MMLeachEF*NtoN2O*kgtoGg</f>
        <v>4.9503165411805869E-2</v>
      </c>
      <c r="AL177" s="22">
        <f>Constants!$H68*'Activity data'!AL10*Constants!$H86*FracLEACHMM*MMLeachEF*NtoN2O*kgtoGg</f>
        <v>4.5839757980885354E-2</v>
      </c>
      <c r="AM177" s="22">
        <f>Constants!$H68*'Activity data'!AM10*Constants!$H86*FracLEACHMM*MMLeachEF*NtoN2O*kgtoGg</f>
        <v>4.8085500350999781E-2</v>
      </c>
      <c r="AN177" s="22">
        <f>Constants!$H68*'Activity data'!AN10*Constants!$H86*FracLEACHMM*MMLeachEF*NtoN2O*kgtoGg</f>
        <v>4.9856457493952649E-2</v>
      </c>
      <c r="AO177" s="22">
        <f>Constants!$H68*'Activity data'!AO10*Constants!$H86*FracLEACHMM*MMLeachEF*NtoN2O*kgtoGg</f>
        <v>5.1535970996810648E-2</v>
      </c>
      <c r="AP177" s="22">
        <f>Constants!$H68*'Activity data'!AP10*Constants!$H86*FracLEACHMM*MMLeachEF*NtoN2O*kgtoGg</f>
        <v>5.3433929282004737E-2</v>
      </c>
      <c r="AQ177" s="22">
        <f>Constants!$H68*'Activity data'!AQ10*Constants!$H86*FracLEACHMM*MMLeachEF*NtoN2O*kgtoGg</f>
        <v>5.6045654957977475E-2</v>
      </c>
      <c r="AR177" s="22">
        <f>Constants!$H68*'Activity data'!AR10*Constants!$H86*FracLEACHMM*MMLeachEF*NtoN2O*kgtoGg</f>
        <v>5.8870054591226323E-2</v>
      </c>
      <c r="AS177" s="22">
        <f>Constants!$H68*'Activity data'!AS10*Constants!$H86*FracLEACHMM*MMLeachEF*NtoN2O*kgtoGg</f>
        <v>6.1923467619543808E-2</v>
      </c>
      <c r="AT177" s="22">
        <f>Constants!$H68*'Activity data'!AT10*Constants!$H86*FracLEACHMM*MMLeachEF*NtoN2O*kgtoGg</f>
        <v>6.4744057541003291E-2</v>
      </c>
      <c r="AU177" s="22">
        <f>Constants!$H68*'Activity data'!AU10*Constants!$H86*FracLEACHMM*MMLeachEF*NtoN2O*kgtoGg</f>
        <v>6.7943881457369987E-2</v>
      </c>
      <c r="AV177" s="22">
        <f>Constants!$H68*'Activity data'!AV10*Constants!$H86*FracLEACHMM*MMLeachEF*NtoN2O*kgtoGg</f>
        <v>7.1612827226360365E-2</v>
      </c>
      <c r="AW177" s="22">
        <f>Constants!$H68*'Activity data'!AW10*Constants!$H86*FracLEACHMM*MMLeachEF*NtoN2O*kgtoGg</f>
        <v>7.5466807799469487E-2</v>
      </c>
      <c r="AX177" s="22">
        <f>Constants!$H68*'Activity data'!AX10*Constants!$H86*FracLEACHMM*MMLeachEF*NtoN2O*kgtoGg</f>
        <v>7.9535262123601499E-2</v>
      </c>
      <c r="AY177" s="22">
        <f>Constants!$H68*'Activity data'!AY10*Constants!$H86*FracLEACHMM*MMLeachEF*NtoN2O*kgtoGg</f>
        <v>8.3755881572647323E-2</v>
      </c>
      <c r="AZ177" s="22">
        <f>Constants!$H68*'Activity data'!AZ10*Constants!$H86*FracLEACHMM*MMLeachEF*NtoN2O*kgtoGg</f>
        <v>8.8434352848101333E-2</v>
      </c>
      <c r="BA177" s="22">
        <f>Constants!$H68*'Activity data'!BA10*Constants!$H86*FracLEACHMM*MMLeachEF*NtoN2O*kgtoGg</f>
        <v>9.2782184706594648E-2</v>
      </c>
      <c r="BB177" s="22">
        <f>Constants!$H68*'Activity data'!BB10*Constants!$H86*FracLEACHMM*MMLeachEF*NtoN2O*kgtoGg</f>
        <v>9.7412750169741713E-2</v>
      </c>
      <c r="BC177" s="22">
        <f>Constants!$H68*'Activity data'!BC10*Constants!$H86*FracLEACHMM*MMLeachEF*NtoN2O*kgtoGg</f>
        <v>0.10219897557201296</v>
      </c>
      <c r="BD177" s="22">
        <f>Constants!$H68*'Activity data'!BD10*Constants!$H86*FracLEACHMM*MMLeachEF*NtoN2O*kgtoGg</f>
        <v>0.10691951602452639</v>
      </c>
      <c r="BE177" s="22">
        <f>Constants!$H68*'Activity data'!BE10*Constants!$H86*FracLEACHMM*MMLeachEF*NtoN2O*kgtoGg</f>
        <v>0.11172324406810413</v>
      </c>
      <c r="BF177" s="22">
        <f>Constants!$H68*'Activity data'!BF10*Constants!$H86*FracLEACHMM*MMLeachEF*NtoN2O*kgtoGg</f>
        <v>0.11675138053848984</v>
      </c>
      <c r="BG177" s="22">
        <f>Constants!$H68*'Activity data'!BG10*Constants!$H86*FracLEACHMM*MMLeachEF*NtoN2O*kgtoGg</f>
        <v>0.12191034405107851</v>
      </c>
      <c r="BH177" s="22">
        <f>Constants!$H68*'Activity data'!BH10*Constants!$H86*FracLEACHMM*MMLeachEF*NtoN2O*kgtoGg</f>
        <v>0.12692107733600846</v>
      </c>
      <c r="BI177" s="22">
        <f>Constants!$H68*'Activity data'!BI10*Constants!$H86*FracLEACHMM*MMLeachEF*NtoN2O*kgtoGg</f>
        <v>0.13206747907789079</v>
      </c>
      <c r="BJ177" s="22">
        <f>Constants!$H68*'Activity data'!BJ10*Constants!$H86*FracLEACHMM*MMLeachEF*NtoN2O*kgtoGg</f>
        <v>0.13735924273618794</v>
      </c>
      <c r="BK177" s="22">
        <f>Constants!$H68*'Activity data'!BK10*Constants!$H86*FracLEACHMM*MMLeachEF*NtoN2O*kgtoGg</f>
        <v>0.14301065000753557</v>
      </c>
      <c r="BL177" s="22">
        <f>Constants!$H68*'Activity data'!BL10*Constants!$H86*FracLEACHMM*MMLeachEF*NtoN2O*kgtoGg</f>
        <v>0.14885811067783355</v>
      </c>
      <c r="BM177" s="22">
        <f>Constants!$H68*'Activity data'!BM10*Constants!$H86*FracLEACHMM*MMLeachEF*NtoN2O*kgtoGg</f>
        <v>0.15279068704125651</v>
      </c>
      <c r="BN177" s="22">
        <f>Constants!$H68*'Activity data'!BN10*Constants!$H86*FracLEACHMM*MMLeachEF*NtoN2O*kgtoGg</f>
        <v>0.15663721521446686</v>
      </c>
      <c r="BO177" s="22">
        <f>Constants!$H68*'Activity data'!BO10*Constants!$H86*FracLEACHMM*MMLeachEF*NtoN2O*kgtoGg</f>
        <v>0.16081550018928234</v>
      </c>
      <c r="BP177" s="22">
        <f>Constants!$H68*'Activity data'!BP10*Constants!$H86*FracLEACHMM*MMLeachEF*NtoN2O*kgtoGg</f>
        <v>0.16493343954400999</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4.3939271631598543E-3</v>
      </c>
      <c r="AE178" s="22">
        <f>Constants!$H69*'Activity data'!AE11*Constants!$H87*FracLEACHMM*MMLeachEF*NtoN2O*kgtoGg</f>
        <v>4.3962984818877171E-3</v>
      </c>
      <c r="AF178" s="22">
        <f>Constants!$H69*'Activity data'!AF11*Constants!$H87*FracLEACHMM*MMLeachEF*NtoN2O*kgtoGg</f>
        <v>4.4017499414647923E-3</v>
      </c>
      <c r="AG178" s="22">
        <f>Constants!$H69*'Activity data'!AG11*Constants!$H87*FracLEACHMM*MMLeachEF*NtoN2O*kgtoGg</f>
        <v>4.4098431410874153E-3</v>
      </c>
      <c r="AH178" s="22">
        <f>Constants!$H69*'Activity data'!AH11*Constants!$H87*FracLEACHMM*MMLeachEF*NtoN2O*kgtoGg</f>
        <v>4.4207667549247352E-3</v>
      </c>
      <c r="AI178" s="22">
        <f>Constants!$H69*'Activity data'!AI11*Constants!$H87*FracLEACHMM*MMLeachEF*NtoN2O*kgtoGg</f>
        <v>4.4347403177031263E-3</v>
      </c>
      <c r="AJ178" s="22">
        <f>Constants!$H69*'Activity data'!AJ11*Constants!$H87*FracLEACHMM*MMLeachEF*NtoN2O*kgtoGg</f>
        <v>4.4501377302209226E-3</v>
      </c>
      <c r="AK178" s="22">
        <f>Constants!$H69*'Activity data'!AK11*Constants!$H87*FracLEACHMM*MMLeachEF*NtoN2O*kgtoGg</f>
        <v>4.4667198464041179E-3</v>
      </c>
      <c r="AL178" s="22">
        <f>Constants!$H69*'Activity data'!AL11*Constants!$H87*FracLEACHMM*MMLeachEF*NtoN2O*kgtoGg</f>
        <v>4.4831484324149608E-3</v>
      </c>
      <c r="AM178" s="22">
        <f>Constants!$H69*'Activity data'!AM11*Constants!$H87*FracLEACHMM*MMLeachEF*NtoN2O*kgtoGg</f>
        <v>4.4898717427697809E-3</v>
      </c>
      <c r="AN178" s="22">
        <f>Constants!$H69*'Activity data'!AN11*Constants!$H87*FracLEACHMM*MMLeachEF*NtoN2O*kgtoGg</f>
        <v>4.4975062704204526E-3</v>
      </c>
      <c r="AO178" s="22">
        <f>Constants!$H69*'Activity data'!AO11*Constants!$H87*FracLEACHMM*MMLeachEF*NtoN2O*kgtoGg</f>
        <v>4.5061403809784359E-3</v>
      </c>
      <c r="AP178" s="22">
        <f>Constants!$H69*'Activity data'!AP11*Constants!$H87*FracLEACHMM*MMLeachEF*NtoN2O*kgtoGg</f>
        <v>4.5158367053022919E-3</v>
      </c>
      <c r="AQ178" s="22">
        <f>Constants!$H69*'Activity data'!AQ11*Constants!$H87*FracLEACHMM*MMLeachEF*NtoN2O*kgtoGg</f>
        <v>4.526732327246351E-3</v>
      </c>
      <c r="AR178" s="22">
        <f>Constants!$H69*'Activity data'!AR11*Constants!$H87*FracLEACHMM*MMLeachEF*NtoN2O*kgtoGg</f>
        <v>4.5335830197240166E-3</v>
      </c>
      <c r="AS178" s="22">
        <f>Constants!$H69*'Activity data'!AS11*Constants!$H87*FracLEACHMM*MMLeachEF*NtoN2O*kgtoGg</f>
        <v>4.5412972482123245E-3</v>
      </c>
      <c r="AT178" s="22">
        <f>Constants!$H69*'Activity data'!AT11*Constants!$H87*FracLEACHMM*MMLeachEF*NtoN2O*kgtoGg</f>
        <v>4.5496603151243516E-3</v>
      </c>
      <c r="AU178" s="22">
        <f>Constants!$H69*'Activity data'!AU11*Constants!$H87*FracLEACHMM*MMLeachEF*NtoN2O*kgtoGg</f>
        <v>4.558868291538884E-3</v>
      </c>
      <c r="AV178" s="22">
        <f>Constants!$H69*'Activity data'!AV11*Constants!$H87*FracLEACHMM*MMLeachEF*NtoN2O*kgtoGg</f>
        <v>4.5689201230950608E-3</v>
      </c>
      <c r="AW178" s="22">
        <f>Constants!$H69*'Activity data'!AW11*Constants!$H87*FracLEACHMM*MMLeachEF*NtoN2O*kgtoGg</f>
        <v>4.5755732338553573E-3</v>
      </c>
      <c r="AX178" s="22">
        <f>Constants!$H69*'Activity data'!AX11*Constants!$H87*FracLEACHMM*MMLeachEF*NtoN2O*kgtoGg</f>
        <v>4.5828736540396882E-3</v>
      </c>
      <c r="AY178" s="22">
        <f>Constants!$H69*'Activity data'!AY11*Constants!$H87*FracLEACHMM*MMLeachEF*NtoN2O*kgtoGg</f>
        <v>4.5907723416262498E-3</v>
      </c>
      <c r="AZ178" s="22">
        <f>Constants!$H69*'Activity data'!AZ11*Constants!$H87*FracLEACHMM*MMLeachEF*NtoN2O*kgtoGg</f>
        <v>4.5993548004809003E-3</v>
      </c>
      <c r="BA178" s="22">
        <f>Constants!$H69*'Activity data'!BA11*Constants!$H87*FracLEACHMM*MMLeachEF*NtoN2O*kgtoGg</f>
        <v>4.608317319688404E-3</v>
      </c>
      <c r="BB178" s="22">
        <f>Constants!$H69*'Activity data'!BB11*Constants!$H87*FracLEACHMM*MMLeachEF*NtoN2O*kgtoGg</f>
        <v>4.614051297103656E-3</v>
      </c>
      <c r="BC178" s="22">
        <f>Constants!$H69*'Activity data'!BC11*Constants!$H87*FracLEACHMM*MMLeachEF*NtoN2O*kgtoGg</f>
        <v>4.6202716852182099E-3</v>
      </c>
      <c r="BD178" s="22">
        <f>Constants!$H69*'Activity data'!BD11*Constants!$H87*FracLEACHMM*MMLeachEF*NtoN2O*kgtoGg</f>
        <v>4.6268842765144489E-3</v>
      </c>
      <c r="BE178" s="22">
        <f>Constants!$H69*'Activity data'!BE11*Constants!$H87*FracLEACHMM*MMLeachEF*NtoN2O*kgtoGg</f>
        <v>4.6339252685925585E-3</v>
      </c>
      <c r="BF178" s="22">
        <f>Constants!$H69*'Activity data'!BF11*Constants!$H87*FracLEACHMM*MMLeachEF*NtoN2O*kgtoGg</f>
        <v>4.6414276467124371E-3</v>
      </c>
      <c r="BG178" s="22">
        <f>Constants!$H69*'Activity data'!BG11*Constants!$H87*FracLEACHMM*MMLeachEF*NtoN2O*kgtoGg</f>
        <v>4.6458494434601398E-3</v>
      </c>
      <c r="BH178" s="22">
        <f>Constants!$H69*'Activity data'!BH11*Constants!$H87*FracLEACHMM*MMLeachEF*NtoN2O*kgtoGg</f>
        <v>4.650560968895651E-3</v>
      </c>
      <c r="BI178" s="22">
        <f>Constants!$H69*'Activity data'!BI11*Constants!$H87*FracLEACHMM*MMLeachEF*NtoN2O*kgtoGg</f>
        <v>4.6556452517360746E-3</v>
      </c>
      <c r="BJ178" s="22">
        <f>Constants!$H69*'Activity data'!BJ11*Constants!$H87*FracLEACHMM*MMLeachEF*NtoN2O*kgtoGg</f>
        <v>4.6610933229495489E-3</v>
      </c>
      <c r="BK178" s="22">
        <f>Constants!$H69*'Activity data'!BK11*Constants!$H87*FracLEACHMM*MMLeachEF*NtoN2O*kgtoGg</f>
        <v>4.6669636754851076E-3</v>
      </c>
      <c r="BL178" s="22">
        <f>Constants!$H69*'Activity data'!BL11*Constants!$H87*FracLEACHMM*MMLeachEF*NtoN2O*kgtoGg</f>
        <v>4.6696094397021678E-3</v>
      </c>
      <c r="BM178" s="22">
        <f>Constants!$H69*'Activity data'!BM11*Constants!$H87*FracLEACHMM*MMLeachEF*NtoN2O*kgtoGg</f>
        <v>4.671905929653092E-3</v>
      </c>
      <c r="BN178" s="22">
        <f>Constants!$H69*'Activity data'!BN11*Constants!$H87*FracLEACHMM*MMLeachEF*NtoN2O*kgtoGg</f>
        <v>4.6744411838373096E-3</v>
      </c>
      <c r="BO178" s="22">
        <f>Constants!$H69*'Activity data'!BO11*Constants!$H87*FracLEACHMM*MMLeachEF*NtoN2O*kgtoGg</f>
        <v>4.6773396676684084E-3</v>
      </c>
      <c r="BP178" s="22">
        <f>Constants!$H69*'Activity data'!BP11*Constants!$H87*FracLEACHMM*MMLeachEF*NtoN2O*kgtoGg</f>
        <v>4.6804674678318113E-3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3.6549565945200539E-3</v>
      </c>
      <c r="AE179" s="22">
        <f>Constants!$H70*'Activity data'!AE12*Constants!$H88*FracLEACHMM*MMLeachEF*NtoN2O*kgtoGg</f>
        <v>3.6569291049191287E-3</v>
      </c>
      <c r="AF179" s="22">
        <f>Constants!$H70*'Activity data'!AF12*Constants!$H88*FracLEACHMM*MMLeachEF*NtoN2O*kgtoGg</f>
        <v>3.6614637381506597E-3</v>
      </c>
      <c r="AG179" s="22">
        <f>Constants!$H70*'Activity data'!AG12*Constants!$H88*FracLEACHMM*MMLeachEF*NtoN2O*kgtoGg</f>
        <v>3.6681958236479987E-3</v>
      </c>
      <c r="AH179" s="22">
        <f>Constants!$H70*'Activity data'!AH12*Constants!$H88*FracLEACHMM*MMLeachEF*NtoN2O*kgtoGg</f>
        <v>3.677282304362893E-3</v>
      </c>
      <c r="AI179" s="22">
        <f>Constants!$H70*'Activity data'!AI12*Constants!$H88*FracLEACHMM*MMLeachEF*NtoN2O*kgtoGg</f>
        <v>3.6889057936765148E-3</v>
      </c>
      <c r="AJ179" s="22">
        <f>Constants!$H70*'Activity data'!AJ12*Constants!$H88*FracLEACHMM*MMLeachEF*NtoN2O*kgtoGg</f>
        <v>3.7017136697133114E-3</v>
      </c>
      <c r="AK179" s="22">
        <f>Constants!$H70*'Activity data'!AK12*Constants!$H88*FracLEACHMM*MMLeachEF*NtoN2O*kgtoGg</f>
        <v>3.7155070059804707E-3</v>
      </c>
      <c r="AL179" s="22">
        <f>Constants!$H70*'Activity data'!AL12*Constants!$H88*FracLEACHMM*MMLeachEF*NtoN2O*kgtoGg</f>
        <v>3.7291726327761108E-3</v>
      </c>
      <c r="AM179" s="22">
        <f>Constants!$H70*'Activity data'!AM12*Constants!$H88*FracLEACHMM*MMLeachEF*NtoN2O*kgtoGg</f>
        <v>3.734765216951012E-3</v>
      </c>
      <c r="AN179" s="22">
        <f>Constants!$H70*'Activity data'!AN12*Constants!$H88*FracLEACHMM*MMLeachEF*NtoN2O*kgtoGg</f>
        <v>3.7411157699180305E-3</v>
      </c>
      <c r="AO179" s="22">
        <f>Constants!$H70*'Activity data'!AO12*Constants!$H88*FracLEACHMM*MMLeachEF*NtoN2O*kgtoGg</f>
        <v>3.7482977959621354E-3</v>
      </c>
      <c r="AP179" s="22">
        <f>Constants!$H70*'Activity data'!AP12*Constants!$H88*FracLEACHMM*MMLeachEF*NtoN2O*kgtoGg</f>
        <v>3.7563633926855455E-3</v>
      </c>
      <c r="AQ179" s="22">
        <f>Constants!$H70*'Activity data'!AQ12*Constants!$H88*FracLEACHMM*MMLeachEF*NtoN2O*kgtoGg</f>
        <v>3.7654265891831403E-3</v>
      </c>
      <c r="AR179" s="22">
        <f>Constants!$H70*'Activity data'!AR12*Constants!$H88*FracLEACHMM*MMLeachEF*NtoN2O*kgtoGg</f>
        <v>3.7711251323584139E-3</v>
      </c>
      <c r="AS179" s="22">
        <f>Constants!$H70*'Activity data'!AS12*Constants!$H88*FracLEACHMM*MMLeachEF*NtoN2O*kgtoGg</f>
        <v>3.7775419820780388E-3</v>
      </c>
      <c r="AT179" s="22">
        <f>Constants!$H70*'Activity data'!AT12*Constants!$H88*FracLEACHMM*MMLeachEF*NtoN2O*kgtoGg</f>
        <v>3.7844985485902928E-3</v>
      </c>
      <c r="AU179" s="22">
        <f>Constants!$H70*'Activity data'!AU12*Constants!$H88*FracLEACHMM*MMLeachEF*NtoN2O*kgtoGg</f>
        <v>3.7921579277444711E-3</v>
      </c>
      <c r="AV179" s="22">
        <f>Constants!$H70*'Activity data'!AV12*Constants!$H88*FracLEACHMM*MMLeachEF*NtoN2O*kgtoGg</f>
        <v>3.8005192425020961E-3</v>
      </c>
      <c r="AW179" s="22">
        <f>Constants!$H70*'Activity data'!AW12*Constants!$H88*FracLEACHMM*MMLeachEF*NtoN2O*kgtoGg</f>
        <v>3.8060534332486559E-3</v>
      </c>
      <c r="AX179" s="22">
        <f>Constants!$H70*'Activity data'!AX12*Constants!$H88*FracLEACHMM*MMLeachEF*NtoN2O*kgtoGg</f>
        <v>3.812126068935291E-3</v>
      </c>
      <c r="AY179" s="22">
        <f>Constants!$H70*'Activity data'!AY12*Constants!$H88*FracLEACHMM*MMLeachEF*NtoN2O*kgtoGg</f>
        <v>3.8186963554262946E-3</v>
      </c>
      <c r="AZ179" s="22">
        <f>Constants!$H70*'Activity data'!AZ12*Constants!$H88*FracLEACHMM*MMLeachEF*NtoN2O*kgtoGg</f>
        <v>3.8258354165493381E-3</v>
      </c>
      <c r="BA179" s="22">
        <f>Constants!$H70*'Activity data'!BA12*Constants!$H88*FracLEACHMM*MMLeachEF*NtoN2O*kgtoGg</f>
        <v>3.8332906194838865E-3</v>
      </c>
      <c r="BB179" s="22">
        <f>Constants!$H70*'Activity data'!BB12*Constants!$H88*FracLEACHMM*MMLeachEF*NtoN2O*kgtoGg</f>
        <v>3.8380602567101062E-3</v>
      </c>
      <c r="BC179" s="22">
        <f>Constants!$H70*'Activity data'!BC12*Constants!$H88*FracLEACHMM*MMLeachEF*NtoN2O*kgtoGg</f>
        <v>3.8432345000954712E-3</v>
      </c>
      <c r="BD179" s="22">
        <f>Constants!$H70*'Activity data'!BD12*Constants!$H88*FracLEACHMM*MMLeachEF*NtoN2O*kgtoGg</f>
        <v>3.8487349859405015E-3</v>
      </c>
      <c r="BE179" s="22">
        <f>Constants!$H70*'Activity data'!BE12*Constants!$H88*FracLEACHMM*MMLeachEF*NtoN2O*kgtoGg</f>
        <v>3.854591824133819E-3</v>
      </c>
      <c r="BF179" s="22">
        <f>Constants!$H70*'Activity data'!BF12*Constants!$H88*FracLEACHMM*MMLeachEF*NtoN2O*kgtoGg</f>
        <v>3.860832452475075E-3</v>
      </c>
      <c r="BG179" s="22">
        <f>Constants!$H70*'Activity data'!BG12*Constants!$H88*FracLEACHMM*MMLeachEF*NtoN2O*kgtoGg</f>
        <v>3.8645105915480556E-3</v>
      </c>
      <c r="BH179" s="22">
        <f>Constants!$H70*'Activity data'!BH12*Constants!$H88*FracLEACHMM*MMLeachEF*NtoN2O*kgtoGg</f>
        <v>3.868429732744831E-3</v>
      </c>
      <c r="BI179" s="22">
        <f>Constants!$H70*'Activity data'!BI12*Constants!$H88*FracLEACHMM*MMLeachEF*NtoN2O*kgtoGg</f>
        <v>3.8726589410147858E-3</v>
      </c>
      <c r="BJ179" s="22">
        <f>Constants!$H70*'Activity data'!BJ12*Constants!$H88*FracLEACHMM*MMLeachEF*NtoN2O*kgtoGg</f>
        <v>3.8771907557376274E-3</v>
      </c>
      <c r="BK179" s="22">
        <f>Constants!$H70*'Activity data'!BK12*Constants!$H88*FracLEACHMM*MMLeachEF*NtoN2O*kgtoGg</f>
        <v>3.8820738325195756E-3</v>
      </c>
      <c r="BL179" s="22">
        <f>Constants!$H70*'Activity data'!BL12*Constants!$H88*FracLEACHMM*MMLeachEF*NtoN2O*kgtoGg</f>
        <v>3.8842746321718241E-3</v>
      </c>
      <c r="BM179" s="22">
        <f>Constants!$H70*'Activity data'!BM12*Constants!$H88*FracLEACHMM*MMLeachEF*NtoN2O*kgtoGg</f>
        <v>3.8861848984959361E-3</v>
      </c>
      <c r="BN179" s="22">
        <f>Constants!$H70*'Activity data'!BN12*Constants!$H88*FracLEACHMM*MMLeachEF*NtoN2O*kgtoGg</f>
        <v>3.8882937736901091E-3</v>
      </c>
      <c r="BO179" s="22">
        <f>Constants!$H70*'Activity data'!BO12*Constants!$H88*FracLEACHMM*MMLeachEF*NtoN2O*kgtoGg</f>
        <v>3.8907047905775548E-3</v>
      </c>
      <c r="BP179" s="22">
        <f>Constants!$H70*'Activity data'!BP12*Constants!$H88*FracLEACHMM*MMLeachEF*NtoN2O*kgtoGg</f>
        <v>3.893306557381843E-3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5.4310526355704706E-4</v>
      </c>
      <c r="AE180" s="22">
        <f>Constants!$H71*'Activity data'!AE13*Constants!$H89*FracLEACHMM*MMLeachEF*NtoN2O*kgtoGg</f>
        <v>5.4451688444022309E-4</v>
      </c>
      <c r="AF180" s="22">
        <f>Constants!$H71*'Activity data'!AF13*Constants!$H89*FracLEACHMM*MMLeachEF*NtoN2O*kgtoGg</f>
        <v>5.4642048272795488E-4</v>
      </c>
      <c r="AG180" s="22">
        <f>Constants!$H71*'Activity data'!AG13*Constants!$H89*FracLEACHMM*MMLeachEF*NtoN2O*kgtoGg</f>
        <v>5.4873901711368408E-4</v>
      </c>
      <c r="AH180" s="22">
        <f>Constants!$H71*'Activity data'!AH13*Constants!$H89*FracLEACHMM*MMLeachEF*NtoN2O*kgtoGg</f>
        <v>5.5151606201275956E-4</v>
      </c>
      <c r="AI180" s="22">
        <f>Constants!$H71*'Activity data'!AI13*Constants!$H89*FracLEACHMM*MMLeachEF*NtoN2O*kgtoGg</f>
        <v>5.5479917019086967E-4</v>
      </c>
      <c r="AJ180" s="22">
        <f>Constants!$H71*'Activity data'!AJ13*Constants!$H89*FracLEACHMM*MMLeachEF*NtoN2O*kgtoGg</f>
        <v>5.5827861691807733E-4</v>
      </c>
      <c r="AK180" s="22">
        <f>Constants!$H71*'Activity data'!AK13*Constants!$H89*FracLEACHMM*MMLeachEF*NtoN2O*kgtoGg</f>
        <v>5.6191368988015911E-4</v>
      </c>
      <c r="AL180" s="22">
        <f>Constants!$H71*'Activity data'!AL13*Constants!$H89*FracLEACHMM*MMLeachEF*NtoN2O*kgtoGg</f>
        <v>5.6545265172179603E-4</v>
      </c>
      <c r="AM180" s="22">
        <f>Constants!$H71*'Activity data'!AM13*Constants!$H89*FracLEACHMM*MMLeachEF*NtoN2O*kgtoGg</f>
        <v>5.6707582821690196E-4</v>
      </c>
      <c r="AN180" s="22">
        <f>Constants!$H71*'Activity data'!AN13*Constants!$H89*FracLEACHMM*MMLeachEF*NtoN2O*kgtoGg</f>
        <v>5.688262569994144E-4</v>
      </c>
      <c r="AO180" s="22">
        <f>Constants!$H71*'Activity data'!AO13*Constants!$H89*FracLEACHMM*MMLeachEF*NtoN2O*kgtoGg</f>
        <v>5.7072343735121143E-4</v>
      </c>
      <c r="AP180" s="22">
        <f>Constants!$H71*'Activity data'!AP13*Constants!$H89*FracLEACHMM*MMLeachEF*NtoN2O*kgtoGg</f>
        <v>5.7278141367930822E-4</v>
      </c>
      <c r="AQ180" s="22">
        <f>Constants!$H71*'Activity data'!AQ13*Constants!$H89*FracLEACHMM*MMLeachEF*NtoN2O*kgtoGg</f>
        <v>5.7502787156601661E-4</v>
      </c>
      <c r="AR180" s="22">
        <f>Constants!$H71*'Activity data'!AR13*Constants!$H89*FracLEACHMM*MMLeachEF*NtoN2O*kgtoGg</f>
        <v>5.7647376885579151E-4</v>
      </c>
      <c r="AS180" s="22">
        <f>Constants!$H71*'Activity data'!AS13*Constants!$H89*FracLEACHMM*MMLeachEF*NtoN2O*kgtoGg</f>
        <v>5.7805165552479612E-4</v>
      </c>
      <c r="AT180" s="22">
        <f>Constants!$H71*'Activity data'!AT13*Constants!$H89*FracLEACHMM*MMLeachEF*NtoN2O*kgtoGg</f>
        <v>5.7972228180818623E-4</v>
      </c>
      <c r="AU180" s="22">
        <f>Constants!$H71*'Activity data'!AU13*Constants!$H89*FracLEACHMM*MMLeachEF*NtoN2O*kgtoGg</f>
        <v>5.8152362966634491E-4</v>
      </c>
      <c r="AV180" s="22">
        <f>Constants!$H71*'Activity data'!AV13*Constants!$H89*FracLEACHMM*MMLeachEF*NtoN2O*kgtoGg</f>
        <v>5.8345630636338756E-4</v>
      </c>
      <c r="AW180" s="22">
        <f>Constants!$H71*'Activity data'!AW13*Constants!$H89*FracLEACHMM*MMLeachEF*NtoN2O*kgtoGg</f>
        <v>5.8472841865727081E-4</v>
      </c>
      <c r="AX180" s="22">
        <f>Constants!$H71*'Activity data'!AX13*Constants!$H89*FracLEACHMM*MMLeachEF*NtoN2O*kgtoGg</f>
        <v>5.8609967948546591E-4</v>
      </c>
      <c r="AY180" s="22">
        <f>Constants!$H71*'Activity data'!AY13*Constants!$H89*FracLEACHMM*MMLeachEF*NtoN2O*kgtoGg</f>
        <v>5.8756155218491358E-4</v>
      </c>
      <c r="AZ180" s="22">
        <f>Constants!$H71*'Activity data'!AZ13*Constants!$H89*FracLEACHMM*MMLeachEF*NtoN2O*kgtoGg</f>
        <v>5.8913046785545045E-4</v>
      </c>
      <c r="BA180" s="22">
        <f>Constants!$H71*'Activity data'!BA13*Constants!$H89*FracLEACHMM*MMLeachEF*NtoN2O*kgtoGg</f>
        <v>5.907505198986619E-4</v>
      </c>
      <c r="BB180" s="22">
        <f>Constants!$H71*'Activity data'!BB13*Constants!$H89*FracLEACHMM*MMLeachEF*NtoN2O*kgtoGg</f>
        <v>5.9175481340963034E-4</v>
      </c>
      <c r="BC180" s="22">
        <f>Constants!$H71*'Activity data'!BC13*Constants!$H89*FracLEACHMM*MMLeachEF*NtoN2O*kgtoGg</f>
        <v>5.9283358105937484E-4</v>
      </c>
      <c r="BD180" s="22">
        <f>Constants!$H71*'Activity data'!BD13*Constants!$H89*FracLEACHMM*MMLeachEF*NtoN2O*kgtoGg</f>
        <v>5.9396979223100309E-4</v>
      </c>
      <c r="BE180" s="22">
        <f>Constants!$H71*'Activity data'!BE13*Constants!$H89*FracLEACHMM*MMLeachEF*NtoN2O*kgtoGg</f>
        <v>5.951704835417687E-4</v>
      </c>
      <c r="BF180" s="22">
        <f>Constants!$H71*'Activity data'!BF13*Constants!$H89*FracLEACHMM*MMLeachEF*NtoN2O*kgtoGg</f>
        <v>5.9644200781221212E-4</v>
      </c>
      <c r="BG180" s="22">
        <f>Constants!$H71*'Activity data'!BG13*Constants!$H89*FracLEACHMM*MMLeachEF*NtoN2O*kgtoGg</f>
        <v>5.9713531651955909E-4</v>
      </c>
      <c r="BH180" s="22">
        <f>Constants!$H71*'Activity data'!BH13*Constants!$H89*FracLEACHMM*MMLeachEF*NtoN2O*kgtoGg</f>
        <v>5.9787071978947392E-4</v>
      </c>
      <c r="BI180" s="22">
        <f>Constants!$H71*'Activity data'!BI13*Constants!$H89*FracLEACHMM*MMLeachEF*NtoN2O*kgtoGg</f>
        <v>5.9866365286918302E-4</v>
      </c>
      <c r="BJ180" s="22">
        <f>Constants!$H71*'Activity data'!BJ13*Constants!$H89*FracLEACHMM*MMLeachEF*NtoN2O*kgtoGg</f>
        <v>5.995126405769686E-4</v>
      </c>
      <c r="BK180" s="22">
        <f>Constants!$H71*'Activity data'!BK13*Constants!$H89*FracLEACHMM*MMLeachEF*NtoN2O*kgtoGg</f>
        <v>6.0042847554345289E-4</v>
      </c>
      <c r="BL180" s="22">
        <f>Constants!$H71*'Activity data'!BL13*Constants!$H89*FracLEACHMM*MMLeachEF*NtoN2O*kgtoGg</f>
        <v>6.0074837701766222E-4</v>
      </c>
      <c r="BM180" s="22">
        <f>Constants!$H71*'Activity data'!BM13*Constants!$H89*FracLEACHMM*MMLeachEF*NtoN2O*kgtoGg</f>
        <v>6.009974007852993E-4</v>
      </c>
      <c r="BN180" s="22">
        <f>Constants!$H71*'Activity data'!BN13*Constants!$H89*FracLEACHMM*MMLeachEF*NtoN2O*kgtoGg</f>
        <v>6.0128274641363551E-4</v>
      </c>
      <c r="BO180" s="22">
        <f>Constants!$H71*'Activity data'!BO13*Constants!$H89*FracLEACHMM*MMLeachEF*NtoN2O*kgtoGg</f>
        <v>6.0162705109906029E-4</v>
      </c>
      <c r="BP180" s="22">
        <f>Constants!$H71*'Activity data'!BP13*Constants!$H89*FracLEACHMM*MMLeachEF*NtoN2O*kgtoGg</f>
        <v>6.0200613236202735E-4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6.697719658610918E-3</v>
      </c>
      <c r="AE181" s="22">
        <f>Constants!$H72*'Activity data'!AE14*Constants!$H90*FracLEACHMM*MMLeachEF*NtoN2O*kgtoGg</f>
        <v>6.7151281456468035E-3</v>
      </c>
      <c r="AF181" s="22">
        <f>Constants!$H72*'Activity data'!AF14*Constants!$H90*FracLEACHMM*MMLeachEF*NtoN2O*kgtoGg</f>
        <v>6.7386038298821848E-3</v>
      </c>
      <c r="AG181" s="22">
        <f>Constants!$H72*'Activity data'!AG14*Constants!$H90*FracLEACHMM*MMLeachEF*NtoN2O*kgtoGg</f>
        <v>6.7671966172780547E-3</v>
      </c>
      <c r="AH181" s="22">
        <f>Constants!$H72*'Activity data'!AH14*Constants!$H90*FracLEACHMM*MMLeachEF*NtoN2O*kgtoGg</f>
        <v>6.801443879202132E-3</v>
      </c>
      <c r="AI181" s="22">
        <f>Constants!$H72*'Activity data'!AI14*Constants!$H90*FracLEACHMM*MMLeachEF*NtoN2O*kgtoGg</f>
        <v>6.8419320491046936E-3</v>
      </c>
      <c r="AJ181" s="22">
        <f>Constants!$H72*'Activity data'!AJ14*Constants!$H90*FracLEACHMM*MMLeachEF*NtoN2O*kgtoGg</f>
        <v>6.8848415186120908E-3</v>
      </c>
      <c r="AK181" s="22">
        <f>Constants!$H72*'Activity data'!AK14*Constants!$H90*FracLEACHMM*MMLeachEF*NtoN2O*kgtoGg</f>
        <v>6.9296702125547019E-3</v>
      </c>
      <c r="AL181" s="22">
        <f>Constants!$H72*'Activity data'!AL14*Constants!$H90*FracLEACHMM*MMLeachEF*NtoN2O*kgtoGg</f>
        <v>6.9733136384028775E-3</v>
      </c>
      <c r="AM181" s="22">
        <f>Constants!$H72*'Activity data'!AM14*Constants!$H90*FracLEACHMM*MMLeachEF*NtoN2O*kgtoGg</f>
        <v>6.9933310859405127E-3</v>
      </c>
      <c r="AN181" s="22">
        <f>Constants!$H72*'Activity data'!AN14*Constants!$H90*FracLEACHMM*MMLeachEF*NtoN2O*kgtoGg</f>
        <v>7.0149178427891682E-3</v>
      </c>
      <c r="AO181" s="22">
        <f>Constants!$H72*'Activity data'!AO14*Constants!$H90*FracLEACHMM*MMLeachEF*NtoN2O*kgtoGg</f>
        <v>7.0383143793186411E-3</v>
      </c>
      <c r="AP181" s="22">
        <f>Constants!$H72*'Activity data'!AP14*Constants!$H90*FracLEACHMM*MMLeachEF*NtoN2O*kgtoGg</f>
        <v>7.0636938949200419E-3</v>
      </c>
      <c r="AQ181" s="22">
        <f>Constants!$H72*'Activity data'!AQ14*Constants!$H90*FracLEACHMM*MMLeachEF*NtoN2O*kgtoGg</f>
        <v>7.0913978156139906E-3</v>
      </c>
      <c r="AR181" s="22">
        <f>Constants!$H72*'Activity data'!AR14*Constants!$H90*FracLEACHMM*MMLeachEF*NtoN2O*kgtoGg</f>
        <v>7.1092290084818878E-3</v>
      </c>
      <c r="AS181" s="22">
        <f>Constants!$H72*'Activity data'!AS14*Constants!$H90*FracLEACHMM*MMLeachEF*NtoN2O*kgtoGg</f>
        <v>7.1286879297466866E-3</v>
      </c>
      <c r="AT181" s="22">
        <f>Constants!$H72*'Activity data'!AT14*Constants!$H90*FracLEACHMM*MMLeachEF*NtoN2O*kgtoGg</f>
        <v>7.1492905407896492E-3</v>
      </c>
      <c r="AU181" s="22">
        <f>Constants!$H72*'Activity data'!AU14*Constants!$H90*FracLEACHMM*MMLeachEF*NtoN2O*kgtoGg</f>
        <v>7.1715052453251351E-3</v>
      </c>
      <c r="AV181" s="22">
        <f>Constants!$H72*'Activity data'!AV14*Constants!$H90*FracLEACHMM*MMLeachEF*NtoN2O*kgtoGg</f>
        <v>7.1953395322969481E-3</v>
      </c>
      <c r="AW181" s="22">
        <f>Constants!$H72*'Activity data'!AW14*Constants!$H90*FracLEACHMM*MMLeachEF*NtoN2O*kgtoGg</f>
        <v>7.2110275620223471E-3</v>
      </c>
      <c r="AX181" s="22">
        <f>Constants!$H72*'Activity data'!AX14*Constants!$H90*FracLEACHMM*MMLeachEF*NtoN2O*kgtoGg</f>
        <v>7.2279383180439954E-3</v>
      </c>
      <c r="AY181" s="22">
        <f>Constants!$H72*'Activity data'!AY14*Constants!$H90*FracLEACHMM*MMLeachEF*NtoN2O*kgtoGg</f>
        <v>7.2459665239452764E-3</v>
      </c>
      <c r="AZ181" s="22">
        <f>Constants!$H72*'Activity data'!AZ14*Constants!$H90*FracLEACHMM*MMLeachEF*NtoN2O*kgtoGg</f>
        <v>7.2653148124528005E-3</v>
      </c>
      <c r="BA181" s="22">
        <f>Constants!$H72*'Activity data'!BA14*Constants!$H90*FracLEACHMM*MMLeachEF*NtoN2O*kgtoGg</f>
        <v>7.2852937284123434E-3</v>
      </c>
      <c r="BB181" s="22">
        <f>Constants!$H72*'Activity data'!BB14*Constants!$H90*FracLEACHMM*MMLeachEF*NtoN2O*kgtoGg</f>
        <v>7.2976789451332669E-3</v>
      </c>
      <c r="BC181" s="22">
        <f>Constants!$H72*'Activity data'!BC14*Constants!$H90*FracLEACHMM*MMLeachEF*NtoN2O*kgtoGg</f>
        <v>7.3109825968921283E-3</v>
      </c>
      <c r="BD181" s="22">
        <f>Constants!$H72*'Activity data'!BD14*Constants!$H90*FracLEACHMM*MMLeachEF*NtoN2O*kgtoGg</f>
        <v>7.3249946575573233E-3</v>
      </c>
      <c r="BE181" s="22">
        <f>Constants!$H72*'Activity data'!BE14*Constants!$H90*FracLEACHMM*MMLeachEF*NtoN2O*kgtoGg</f>
        <v>7.3398019045785847E-3</v>
      </c>
      <c r="BF181" s="22">
        <f>Constants!$H72*'Activity data'!BF14*Constants!$H90*FracLEACHMM*MMLeachEF*NtoN2O*kgtoGg</f>
        <v>7.3554826826413384E-3</v>
      </c>
      <c r="BG181" s="22">
        <f>Constants!$H72*'Activity data'!BG14*Constants!$H90*FracLEACHMM*MMLeachEF*NtoN2O*kgtoGg</f>
        <v>7.3640327514222425E-3</v>
      </c>
      <c r="BH181" s="22">
        <f>Constants!$H72*'Activity data'!BH14*Constants!$H90*FracLEACHMM*MMLeachEF*NtoN2O*kgtoGg</f>
        <v>7.3731019416297819E-3</v>
      </c>
      <c r="BI181" s="22">
        <f>Constants!$H72*'Activity data'!BI14*Constants!$H90*FracLEACHMM*MMLeachEF*NtoN2O*kgtoGg</f>
        <v>7.3828806048692958E-3</v>
      </c>
      <c r="BJ181" s="22">
        <f>Constants!$H72*'Activity data'!BJ14*Constants!$H90*FracLEACHMM*MMLeachEF*NtoN2O*kgtoGg</f>
        <v>7.3933505488044948E-3</v>
      </c>
      <c r="BK181" s="22">
        <f>Constants!$H72*'Activity data'!BK14*Constants!$H90*FracLEACHMM*MMLeachEF*NtoN2O*kgtoGg</f>
        <v>7.4046448710485676E-3</v>
      </c>
      <c r="BL181" s="22">
        <f>Constants!$H72*'Activity data'!BL14*Constants!$H90*FracLEACHMM*MMLeachEF*NtoN2O*kgtoGg</f>
        <v>7.4085899817598836E-3</v>
      </c>
      <c r="BM181" s="22">
        <f>Constants!$H72*'Activity data'!BM14*Constants!$H90*FracLEACHMM*MMLeachEF*NtoN2O*kgtoGg</f>
        <v>7.411661009599016E-3</v>
      </c>
      <c r="BN181" s="22">
        <f>Constants!$H72*'Activity data'!BN14*Constants!$H90*FracLEACHMM*MMLeachEF*NtoN2O*kgtoGg</f>
        <v>7.4151799683582981E-3</v>
      </c>
      <c r="BO181" s="22">
        <f>Constants!$H72*'Activity data'!BO14*Constants!$H90*FracLEACHMM*MMLeachEF*NtoN2O*kgtoGg</f>
        <v>7.4194260260102111E-3</v>
      </c>
      <c r="BP181" s="22">
        <f>Constants!$H72*'Activity data'!BP14*Constants!$H90*FracLEACHMM*MMLeachEF*NtoN2O*kgtoGg</f>
        <v>7.4241009577362587E-3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2.6982078121909357E-2</v>
      </c>
      <c r="AE184" s="22">
        <f>Constants!$H75*'Activity data'!AE17*Constants!$H93*FracLEACHMM*MMLeachEF*NtoN2O*kgtoGg</f>
        <v>2.6934390428910333E-2</v>
      </c>
      <c r="AF184" s="22">
        <f>Constants!$H75*'Activity data'!AF17*Constants!$H93*FracLEACHMM*MMLeachEF*NtoN2O*kgtoGg</f>
        <v>2.6783274405865188E-2</v>
      </c>
      <c r="AG184" s="22">
        <f>Constants!$H75*'Activity data'!AG17*Constants!$H93*FracLEACHMM*MMLeachEF*NtoN2O*kgtoGg</f>
        <v>2.6192267209513419E-2</v>
      </c>
      <c r="AH184" s="22">
        <f>Constants!$H75*'Activity data'!AH17*Constants!$H93*FracLEACHMM*MMLeachEF*NtoN2O*kgtoGg</f>
        <v>2.5633374369749509E-2</v>
      </c>
      <c r="AI184" s="22">
        <f>Constants!$H75*'Activity data'!AI17*Constants!$H93*FracLEACHMM*MMLeachEF*NtoN2O*kgtoGg</f>
        <v>2.5543167875320214E-2</v>
      </c>
      <c r="AJ184" s="22">
        <f>Constants!$H75*'Activity data'!AJ17*Constants!$H93*FracLEACHMM*MMLeachEF*NtoN2O*kgtoGg</f>
        <v>2.5324190264718272E-2</v>
      </c>
      <c r="AK184" s="22">
        <f>Constants!$H75*'Activity data'!AK17*Constants!$H93*FracLEACHMM*MMLeachEF*NtoN2O*kgtoGg</f>
        <v>2.4649754195953832E-2</v>
      </c>
      <c r="AL184" s="22">
        <f>Constants!$H75*'Activity data'!AL17*Constants!$H93*FracLEACHMM*MMLeachEF*NtoN2O*kgtoGg</f>
        <v>2.1986440242697105E-2</v>
      </c>
      <c r="AM184" s="22">
        <f>Constants!$H75*'Activity data'!AM17*Constants!$H93*FracLEACHMM*MMLeachEF*NtoN2O*kgtoGg</f>
        <v>2.2459382037487714E-2</v>
      </c>
      <c r="AN184" s="22">
        <f>Constants!$H75*'Activity data'!AN17*Constants!$H93*FracLEACHMM*MMLeachEF*NtoN2O*kgtoGg</f>
        <v>2.2677163181325274E-2</v>
      </c>
      <c r="AO184" s="22">
        <f>Constants!$H75*'Activity data'!AO17*Constants!$H93*FracLEACHMM*MMLeachEF*NtoN2O*kgtoGg</f>
        <v>2.2835775026532532E-2</v>
      </c>
      <c r="AP184" s="22">
        <f>Constants!$H75*'Activity data'!AP17*Constants!$H93*FracLEACHMM*MMLeachEF*NtoN2O*kgtoGg</f>
        <v>2.3079286947691565E-2</v>
      </c>
      <c r="AQ184" s="22">
        <f>Constants!$H75*'Activity data'!AQ17*Constants!$H93*FracLEACHMM*MMLeachEF*NtoN2O*kgtoGg</f>
        <v>2.3620053405793831E-2</v>
      </c>
      <c r="AR184" s="22">
        <f>Constants!$H75*'Activity data'!AR17*Constants!$H93*FracLEACHMM*MMLeachEF*NtoN2O*kgtoGg</f>
        <v>2.4228655926871678E-2</v>
      </c>
      <c r="AS184" s="22">
        <f>Constants!$H75*'Activity data'!AS17*Constants!$H93*FracLEACHMM*MMLeachEF*NtoN2O*kgtoGg</f>
        <v>2.4898369682135196E-2</v>
      </c>
      <c r="AT184" s="22">
        <f>Constants!$H75*'Activity data'!AT17*Constants!$H93*FracLEACHMM*MMLeachEF*NtoN2O*kgtoGg</f>
        <v>2.5433899737352311E-2</v>
      </c>
      <c r="AU184" s="22">
        <f>Constants!$H75*'Activity data'!AU17*Constants!$H93*FracLEACHMM*MMLeachEF*NtoN2O*kgtoGg</f>
        <v>2.6089827744283384E-2</v>
      </c>
      <c r="AV184" s="22">
        <f>Constants!$H75*'Activity data'!AV17*Constants!$H93*FracLEACHMM*MMLeachEF*NtoN2O*kgtoGg</f>
        <v>2.6892532780101251E-2</v>
      </c>
      <c r="AW184" s="22">
        <f>Constants!$H75*'Activity data'!AW17*Constants!$H93*FracLEACHMM*MMLeachEF*NtoN2O*kgtoGg</f>
        <v>2.765233127370078E-2</v>
      </c>
      <c r="AX184" s="22">
        <f>Constants!$H75*'Activity data'!AX17*Constants!$H93*FracLEACHMM*MMLeachEF*NtoN2O*kgtoGg</f>
        <v>2.844311383554287E-2</v>
      </c>
      <c r="AY184" s="22">
        <f>Constants!$H75*'Activity data'!AY17*Constants!$H93*FracLEACHMM*MMLeachEF*NtoN2O*kgtoGg</f>
        <v>2.9238533170233168E-2</v>
      </c>
      <c r="AZ184" s="22">
        <f>Constants!$H75*'Activity data'!AZ17*Constants!$H93*FracLEACHMM*MMLeachEF*NtoN2O*kgtoGg</f>
        <v>3.0145690863199903E-2</v>
      </c>
      <c r="BA184" s="22">
        <f>Constants!$H75*'Activity data'!BA17*Constants!$H93*FracLEACHMM*MMLeachEF*NtoN2O*kgtoGg</f>
        <v>3.0881151333925026E-2</v>
      </c>
      <c r="BB184" s="22">
        <f>Constants!$H75*'Activity data'!BB17*Constants!$H93*FracLEACHMM*MMLeachEF*NtoN2O*kgtoGg</f>
        <v>3.1669222082767075E-2</v>
      </c>
      <c r="BC184" s="22">
        <f>Constants!$H75*'Activity data'!BC17*Constants!$H93*FracLEACHMM*MMLeachEF*NtoN2O*kgtoGg</f>
        <v>3.2457441724053543E-2</v>
      </c>
      <c r="BD184" s="22">
        <f>Constants!$H75*'Activity data'!BD17*Constants!$H93*FracLEACHMM*MMLeachEF*NtoN2O*kgtoGg</f>
        <v>3.3172825686084956E-2</v>
      </c>
      <c r="BE184" s="22">
        <f>Constants!$H75*'Activity data'!BE17*Constants!$H93*FracLEACHMM*MMLeachEF*NtoN2O*kgtoGg</f>
        <v>3.3866021539857898E-2</v>
      </c>
      <c r="BF184" s="22">
        <f>Constants!$H75*'Activity data'!BF17*Constants!$H93*FracLEACHMM*MMLeachEF*NtoN2O*kgtoGg</f>
        <v>3.4580695535334494E-2</v>
      </c>
      <c r="BG184" s="22">
        <f>Constants!$H75*'Activity data'!BG17*Constants!$H93*FracLEACHMM*MMLeachEF*NtoN2O*kgtoGg</f>
        <v>3.533625219682867E-2</v>
      </c>
      <c r="BH184" s="22">
        <f>Constants!$H75*'Activity data'!BH17*Constants!$H93*FracLEACHMM*MMLeachEF*NtoN2O*kgtoGg</f>
        <v>3.6000537608691721E-2</v>
      </c>
      <c r="BI184" s="22">
        <f>Constants!$H75*'Activity data'!BI17*Constants!$H93*FracLEACHMM*MMLeachEF*NtoN2O*kgtoGg</f>
        <v>3.6659982916673862E-2</v>
      </c>
      <c r="BJ184" s="22">
        <f>Constants!$H75*'Activity data'!BJ17*Constants!$H93*FracLEACHMM*MMLeachEF*NtoN2O*kgtoGg</f>
        <v>3.7316341493198645E-2</v>
      </c>
      <c r="BK184" s="22">
        <f>Constants!$H75*'Activity data'!BK17*Constants!$H93*FracLEACHMM*MMLeachEF*NtoN2O*kgtoGg</f>
        <v>3.8027563583719087E-2</v>
      </c>
      <c r="BL184" s="22">
        <f>Constants!$H75*'Activity data'!BL17*Constants!$H93*FracLEACHMM*MMLeachEF*NtoN2O*kgtoGg</f>
        <v>3.8749103478920827E-2</v>
      </c>
      <c r="BM184" s="22">
        <f>Constants!$H75*'Activity data'!BM17*Constants!$H93*FracLEACHMM*MMLeachEF*NtoN2O*kgtoGg</f>
        <v>3.891780999751282E-2</v>
      </c>
      <c r="BN184" s="22">
        <f>Constants!$H75*'Activity data'!BN17*Constants!$H93*FracLEACHMM*MMLeachEF*NtoN2O*kgtoGg</f>
        <v>3.9040104024398906E-2</v>
      </c>
      <c r="BO184" s="22">
        <f>Constants!$H75*'Activity data'!BO17*Constants!$H93*FracLEACHMM*MMLeachEF*NtoN2O*kgtoGg</f>
        <v>3.9223694745257554E-2</v>
      </c>
      <c r="BP184" s="22">
        <f>Constants!$H75*'Activity data'!BP17*Constants!$H93*FracLEACHMM*MMLeachEF*NtoN2O*kgtoGg</f>
        <v>3.9367042653132414E-2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4.0326044819915296E-3</v>
      </c>
      <c r="AE185" s="22">
        <f>Constants!$H76*'Activity data'!AE18*Constants!$H94*FracLEACHMM*MMLeachEF*NtoN2O*kgtoGg</f>
        <v>4.0254773213757008E-3</v>
      </c>
      <c r="AF185" s="22">
        <f>Constants!$H76*'Activity data'!AF18*Constants!$H94*FracLEACHMM*MMLeachEF*NtoN2O*kgtoGg</f>
        <v>4.0028922873735296E-3</v>
      </c>
      <c r="AG185" s="22">
        <f>Constants!$H76*'Activity data'!AG18*Constants!$H94*FracLEACHMM*MMLeachEF*NtoN2O*kgtoGg</f>
        <v>3.9145633507316107E-3</v>
      </c>
      <c r="AH185" s="22">
        <f>Constants!$H76*'Activity data'!AH18*Constants!$H94*FracLEACHMM*MMLeachEF*NtoN2O*kgtoGg</f>
        <v>3.8310340628686856E-3</v>
      </c>
      <c r="AI185" s="22">
        <f>Constants!$H76*'Activity data'!AI18*Constants!$H94*FracLEACHMM*MMLeachEF*NtoN2O*kgtoGg</f>
        <v>3.8175522579425875E-3</v>
      </c>
      <c r="AJ185" s="22">
        <f>Constants!$H76*'Activity data'!AJ18*Constants!$H94*FracLEACHMM*MMLeachEF*NtoN2O*kgtoGg</f>
        <v>3.7848249754115887E-3</v>
      </c>
      <c r="AK185" s="22">
        <f>Constants!$H76*'Activity data'!AK18*Constants!$H94*FracLEACHMM*MMLeachEF*NtoN2O*kgtoGg</f>
        <v>3.6840271828387553E-3</v>
      </c>
      <c r="AL185" s="22">
        <f>Constants!$H76*'Activity data'!AL18*Constants!$H94*FracLEACHMM*MMLeachEF*NtoN2O*kgtoGg</f>
        <v>3.2859817937353586E-3</v>
      </c>
      <c r="AM185" s="22">
        <f>Constants!$H76*'Activity data'!AM18*Constants!$H94*FracLEACHMM*MMLeachEF*NtoN2O*kgtoGg</f>
        <v>3.3566652745546173E-3</v>
      </c>
      <c r="AN185" s="22">
        <f>Constants!$H76*'Activity data'!AN18*Constants!$H94*FracLEACHMM*MMLeachEF*NtoN2O*kgtoGg</f>
        <v>3.3892137392341954E-3</v>
      </c>
      <c r="AO185" s="22">
        <f>Constants!$H76*'Activity data'!AO18*Constants!$H94*FracLEACHMM*MMLeachEF*NtoN2O*kgtoGg</f>
        <v>3.4129190607809592E-3</v>
      </c>
      <c r="AP185" s="22">
        <f>Constants!$H76*'Activity data'!AP18*Constants!$H94*FracLEACHMM*MMLeachEF*NtoN2O*kgtoGg</f>
        <v>3.4493131168743213E-3</v>
      </c>
      <c r="AQ185" s="22">
        <f>Constants!$H76*'Activity data'!AQ18*Constants!$H94*FracLEACHMM*MMLeachEF*NtoN2O*kgtoGg</f>
        <v>3.5301333277120909E-3</v>
      </c>
      <c r="AR185" s="22">
        <f>Constants!$H76*'Activity data'!AR18*Constants!$H94*FracLEACHMM*MMLeachEF*NtoN2O*kgtoGg</f>
        <v>3.6210919723042977E-3</v>
      </c>
      <c r="AS185" s="22">
        <f>Constants!$H76*'Activity data'!AS18*Constants!$H94*FracLEACHMM*MMLeachEF*NtoN2O*kgtoGg</f>
        <v>3.7211839918635339E-3</v>
      </c>
      <c r="AT185" s="22">
        <f>Constants!$H76*'Activity data'!AT18*Constants!$H94*FracLEACHMM*MMLeachEF*NtoN2O*kgtoGg</f>
        <v>3.801221596496966E-3</v>
      </c>
      <c r="AU185" s="22">
        <f>Constants!$H76*'Activity data'!AU18*Constants!$H94*FracLEACHMM*MMLeachEF*NtoN2O*kgtoGg</f>
        <v>3.8992532680629222E-3</v>
      </c>
      <c r="AV185" s="22">
        <f>Constants!$H76*'Activity data'!AV18*Constants!$H94*FracLEACHMM*MMLeachEF*NtoN2O*kgtoGg</f>
        <v>4.0192214895813328E-3</v>
      </c>
      <c r="AW185" s="22">
        <f>Constants!$H76*'Activity data'!AW18*Constants!$H94*FracLEACHMM*MMLeachEF*NtoN2O*kgtoGg</f>
        <v>4.1327771170187903E-3</v>
      </c>
      <c r="AX185" s="22">
        <f>Constants!$H76*'Activity data'!AX18*Constants!$H94*FracLEACHMM*MMLeachEF*NtoN2O*kgtoGg</f>
        <v>4.250963466074527E-3</v>
      </c>
      <c r="AY185" s="22">
        <f>Constants!$H76*'Activity data'!AY18*Constants!$H94*FracLEACHMM*MMLeachEF*NtoN2O*kgtoGg</f>
        <v>4.3698428036719628E-3</v>
      </c>
      <c r="AZ185" s="22">
        <f>Constants!$H76*'Activity data'!AZ18*Constants!$H94*FracLEACHMM*MMLeachEF*NtoN2O*kgtoGg</f>
        <v>4.5054219893077892E-3</v>
      </c>
      <c r="BA185" s="22">
        <f>Constants!$H76*'Activity data'!BA18*Constants!$H94*FracLEACHMM*MMLeachEF*NtoN2O*kgtoGg</f>
        <v>4.6153401793439189E-3</v>
      </c>
      <c r="BB185" s="22">
        <f>Constants!$H76*'Activity data'!BB18*Constants!$H94*FracLEACHMM*MMLeachEF*NtoN2O*kgtoGg</f>
        <v>4.7331212345891162E-3</v>
      </c>
      <c r="BC185" s="22">
        <f>Constants!$H76*'Activity data'!BC18*Constants!$H94*FracLEACHMM*MMLeachEF*NtoN2O*kgtoGg</f>
        <v>4.8509245425435391E-3</v>
      </c>
      <c r="BD185" s="22">
        <f>Constants!$H76*'Activity data'!BD18*Constants!$H94*FracLEACHMM*MMLeachEF*NtoN2O*kgtoGg</f>
        <v>4.9578421994637533E-3</v>
      </c>
      <c r="BE185" s="22">
        <f>Constants!$H76*'Activity data'!BE18*Constants!$H94*FracLEACHMM*MMLeachEF*NtoN2O*kgtoGg</f>
        <v>5.061443734311913E-3</v>
      </c>
      <c r="BF185" s="22">
        <f>Constants!$H76*'Activity data'!BF18*Constants!$H94*FracLEACHMM*MMLeachEF*NtoN2O*kgtoGg</f>
        <v>5.1682552832333995E-3</v>
      </c>
      <c r="BG185" s="22">
        <f>Constants!$H76*'Activity data'!BG18*Constants!$H94*FracLEACHMM*MMLeachEF*NtoN2O*kgtoGg</f>
        <v>5.2811769479685538E-3</v>
      </c>
      <c r="BH185" s="22">
        <f>Constants!$H76*'Activity data'!BH18*Constants!$H94*FracLEACHMM*MMLeachEF*NtoN2O*kgtoGg</f>
        <v>5.3804576748679887E-3</v>
      </c>
      <c r="BI185" s="22">
        <f>Constants!$H76*'Activity data'!BI18*Constants!$H94*FracLEACHMM*MMLeachEF*NtoN2O*kgtoGg</f>
        <v>5.4790150244013337E-3</v>
      </c>
      <c r="BJ185" s="22">
        <f>Constants!$H76*'Activity data'!BJ18*Constants!$H94*FracLEACHMM*MMLeachEF*NtoN2O*kgtoGg</f>
        <v>5.5771110467139461E-3</v>
      </c>
      <c r="BK185" s="22">
        <f>Constants!$H76*'Activity data'!BK18*Constants!$H94*FracLEACHMM*MMLeachEF*NtoN2O*kgtoGg</f>
        <v>5.6834066914365532E-3</v>
      </c>
      <c r="BL185" s="22">
        <f>Constants!$H76*'Activity data'!BL18*Constants!$H94*FracLEACHMM*MMLeachEF*NtoN2O*kgtoGg</f>
        <v>5.7912443828915926E-3</v>
      </c>
      <c r="BM185" s="22">
        <f>Constants!$H76*'Activity data'!BM18*Constants!$H94*FracLEACHMM*MMLeachEF*NtoN2O*kgtoGg</f>
        <v>5.8164584030994289E-3</v>
      </c>
      <c r="BN185" s="22">
        <f>Constants!$H76*'Activity data'!BN18*Constants!$H94*FracLEACHMM*MMLeachEF*NtoN2O*kgtoGg</f>
        <v>5.8347358478060014E-3</v>
      </c>
      <c r="BO185" s="22">
        <f>Constants!$H76*'Activity data'!BO18*Constants!$H94*FracLEACHMM*MMLeachEF*NtoN2O*kgtoGg</f>
        <v>5.8621743853582847E-3</v>
      </c>
      <c r="BP185" s="22">
        <f>Constants!$H76*'Activity data'!BP18*Constants!$H94*FracLEACHMM*MMLeachEF*NtoN2O*kgtoGg</f>
        <v>5.8835984362845513E-3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1.677506639935911E-2</v>
      </c>
      <c r="AE186" s="22">
        <f>Constants!$H77*'Activity data'!AE19*Constants!$H95*FracLEACHMM*MMLeachEF*NtoN2O*kgtoGg</f>
        <v>1.7152115979727815E-2</v>
      </c>
      <c r="AF186" s="22">
        <f>Constants!$H77*'Activity data'!AF19*Constants!$H95*FracLEACHMM*MMLeachEF*NtoN2O*kgtoGg</f>
        <v>1.7493153195060028E-2</v>
      </c>
      <c r="AG186" s="22">
        <f>Constants!$H77*'Activity data'!AG19*Constants!$H95*FracLEACHMM*MMLeachEF*NtoN2O*kgtoGg</f>
        <v>1.7669215882921287E-2</v>
      </c>
      <c r="AH186" s="22">
        <f>Constants!$H77*'Activity data'!AH19*Constants!$H95*FracLEACHMM*MMLeachEF*NtoN2O*kgtoGg</f>
        <v>1.7850132335738296E-2</v>
      </c>
      <c r="AI186" s="22">
        <f>Constants!$H77*'Activity data'!AI19*Constants!$H95*FracLEACHMM*MMLeachEF*NtoN2O*kgtoGg</f>
        <v>1.8210336489694584E-2</v>
      </c>
      <c r="AJ186" s="22">
        <f>Constants!$H77*'Activity data'!AJ19*Constants!$H95*FracLEACHMM*MMLeachEF*NtoN2O*kgtoGg</f>
        <v>1.8518344131387941E-2</v>
      </c>
      <c r="AK186" s="22">
        <f>Constants!$H77*'Activity data'!AK19*Constants!$H95*FracLEACHMM*MMLeachEF*NtoN2O*kgtoGg</f>
        <v>1.8635256187528534E-2</v>
      </c>
      <c r="AL186" s="22">
        <f>Constants!$H77*'Activity data'!AL19*Constants!$H95*FracLEACHMM*MMLeachEF*NtoN2O*kgtoGg</f>
        <v>1.7895165383905148E-2</v>
      </c>
      <c r="AM186" s="22">
        <f>Constants!$H77*'Activity data'!AM19*Constants!$H95*FracLEACHMM*MMLeachEF*NtoN2O*kgtoGg</f>
        <v>1.8427726629999096E-2</v>
      </c>
      <c r="AN186" s="22">
        <f>Constants!$H77*'Activity data'!AN19*Constants!$H95*FracLEACHMM*MMLeachEF*NtoN2O*kgtoGg</f>
        <v>1.8858145961209626E-2</v>
      </c>
      <c r="AO186" s="22">
        <f>Constants!$H77*'Activity data'!AO19*Constants!$H95*FracLEACHMM*MMLeachEF*NtoN2O*kgtoGg</f>
        <v>1.926831042987312E-2</v>
      </c>
      <c r="AP186" s="22">
        <f>Constants!$H77*'Activity data'!AP19*Constants!$H95*FracLEACHMM*MMLeachEF*NtoN2O*kgtoGg</f>
        <v>1.9723750272057364E-2</v>
      </c>
      <c r="AQ186" s="22">
        <f>Constants!$H77*'Activity data'!AQ19*Constants!$H95*FracLEACHMM*MMLeachEF*NtoN2O*kgtoGg</f>
        <v>2.0328305344007466E-2</v>
      </c>
      <c r="AR186" s="22">
        <f>Constants!$H77*'Activity data'!AR19*Constants!$H95*FracLEACHMM*MMLeachEF*NtoN2O*kgtoGg</f>
        <v>2.0963275174069075E-2</v>
      </c>
      <c r="AS186" s="22">
        <f>Constants!$H77*'Activity data'!AS19*Constants!$H95*FracLEACHMM*MMLeachEF*NtoN2O*kgtoGg</f>
        <v>2.1643917656498337E-2</v>
      </c>
      <c r="AT186" s="22">
        <f>Constants!$H77*'Activity data'!AT19*Constants!$H95*FracLEACHMM*MMLeachEF*NtoN2O*kgtoGg</f>
        <v>2.2273513405564039E-2</v>
      </c>
      <c r="AU186" s="22">
        <f>Constants!$H77*'Activity data'!AU19*Constants!$H95*FracLEACHMM*MMLeachEF*NtoN2O*kgtoGg</f>
        <v>2.2979861002091512E-2</v>
      </c>
      <c r="AV186" s="22">
        <f>Constants!$H77*'Activity data'!AV19*Constants!$H95*FracLEACHMM*MMLeachEF*NtoN2O*kgtoGg</f>
        <v>2.3781031334877679E-2</v>
      </c>
      <c r="AW186" s="22">
        <f>Constants!$H77*'Activity data'!AW19*Constants!$H95*FracLEACHMM*MMLeachEF*NtoN2O*kgtoGg</f>
        <v>2.4566308074155798E-2</v>
      </c>
      <c r="AX186" s="22">
        <f>Constants!$H77*'Activity data'!AX19*Constants!$H95*FracLEACHMM*MMLeachEF*NtoN2O*kgtoGg</f>
        <v>2.5388751226160661E-2</v>
      </c>
      <c r="AY186" s="22">
        <f>Constants!$H77*'Activity data'!AY19*Constants!$H95*FracLEACHMM*MMLeachEF*NtoN2O*kgtoGg</f>
        <v>2.6235064752699551E-2</v>
      </c>
      <c r="AZ186" s="22">
        <f>Constants!$H77*'Activity data'!AZ19*Constants!$H95*FracLEACHMM*MMLeachEF*NtoN2O*kgtoGg</f>
        <v>2.7167046167926586E-2</v>
      </c>
      <c r="BA186" s="22">
        <f>Constants!$H77*'Activity data'!BA19*Constants!$H95*FracLEACHMM*MMLeachEF*NtoN2O*kgtoGg</f>
        <v>2.8023900018498905E-2</v>
      </c>
      <c r="BB186" s="22">
        <f>Constants!$H77*'Activity data'!BB19*Constants!$H95*FracLEACHMM*MMLeachEF*NtoN2O*kgtoGg</f>
        <v>2.8920322479741228E-2</v>
      </c>
      <c r="BC186" s="22">
        <f>Constants!$H77*'Activity data'!BC19*Constants!$H95*FracLEACHMM*MMLeachEF*NtoN2O*kgtoGg</f>
        <v>2.9839880128135453E-2</v>
      </c>
      <c r="BD186" s="22">
        <f>Constants!$H77*'Activity data'!BD19*Constants!$H95*FracLEACHMM*MMLeachEF*NtoN2O*kgtoGg</f>
        <v>3.0738135733783801E-2</v>
      </c>
      <c r="BE186" s="22">
        <f>Constants!$H77*'Activity data'!BE19*Constants!$H95*FracLEACHMM*MMLeachEF*NtoN2O*kgtoGg</f>
        <v>3.1644929602760906E-2</v>
      </c>
      <c r="BF186" s="22">
        <f>Constants!$H77*'Activity data'!BF19*Constants!$H95*FracLEACHMM*MMLeachEF*NtoN2O*kgtoGg</f>
        <v>3.2587998047109448E-2</v>
      </c>
      <c r="BG186" s="22">
        <f>Constants!$H77*'Activity data'!BG19*Constants!$H95*FracLEACHMM*MMLeachEF*NtoN2O*kgtoGg</f>
        <v>3.3568837979348017E-2</v>
      </c>
      <c r="BH186" s="22">
        <f>Constants!$H77*'Activity data'!BH19*Constants!$H95*FracLEACHMM*MMLeachEF*NtoN2O*kgtoGg</f>
        <v>3.451409673179362E-2</v>
      </c>
      <c r="BI186" s="22">
        <f>Constants!$H77*'Activity data'!BI19*Constants!$H95*FracLEACHMM*MMLeachEF*NtoN2O*kgtoGg</f>
        <v>3.5479549458814943E-2</v>
      </c>
      <c r="BJ186" s="22">
        <f>Constants!$H77*'Activity data'!BJ19*Constants!$H95*FracLEACHMM*MMLeachEF*NtoN2O*kgtoGg</f>
        <v>3.6466862450927735E-2</v>
      </c>
      <c r="BK186" s="22">
        <f>Constants!$H77*'Activity data'!BK19*Constants!$H95*FracLEACHMM*MMLeachEF*NtoN2O*kgtoGg</f>
        <v>3.7517290662975496E-2</v>
      </c>
      <c r="BL186" s="22">
        <f>Constants!$H77*'Activity data'!BL19*Constants!$H95*FracLEACHMM*MMLeachEF*NtoN2O*kgtoGg</f>
        <v>3.8588925617873325E-2</v>
      </c>
      <c r="BM186" s="22">
        <f>Constants!$H77*'Activity data'!BM19*Constants!$H95*FracLEACHMM*MMLeachEF*NtoN2O*kgtoGg</f>
        <v>3.9285237958327314E-2</v>
      </c>
      <c r="BN186" s="22">
        <f>Constants!$H77*'Activity data'!BN19*Constants!$H95*FracLEACHMM*MMLeachEF*NtoN2O*kgtoGg</f>
        <v>3.9960567637255945E-2</v>
      </c>
      <c r="BO186" s="22">
        <f>Constants!$H77*'Activity data'!BO19*Constants!$H95*FracLEACHMM*MMLeachEF*NtoN2O*kgtoGg</f>
        <v>4.0694873101077993E-2</v>
      </c>
      <c r="BP186" s="22">
        <f>Constants!$H77*'Activity data'!BP19*Constants!$H95*FracLEACHMM*MMLeachEF*NtoN2O*kgtoGg</f>
        <v>4.1412967601087917E-2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7.810393177711944E-2</v>
      </c>
      <c r="AE187" s="22">
        <f>Constants!$H78*'Activity data'!AE20*Constants!$H96*FracLEACHMM*MMLeachEF*NtoN2O*kgtoGg</f>
        <v>7.9553535638078737E-2</v>
      </c>
      <c r="AF187" s="22">
        <f>Constants!$H78*'Activity data'!AF20*Constants!$H96*FracLEACHMM*MMLeachEF*NtoN2O*kgtoGg</f>
        <v>8.0502978601734096E-2</v>
      </c>
      <c r="AG187" s="22">
        <f>Constants!$H78*'Activity data'!AG20*Constants!$H96*FracLEACHMM*MMLeachEF*NtoN2O*kgtoGg</f>
        <v>7.9458702064627351E-2</v>
      </c>
      <c r="AH187" s="22">
        <f>Constants!$H78*'Activity data'!AH20*Constants!$H96*FracLEACHMM*MMLeachEF*NtoN2O*kgtoGg</f>
        <v>7.8445966497934463E-2</v>
      </c>
      <c r="AI187" s="22">
        <f>Constants!$H78*'Activity data'!AI20*Constants!$H96*FracLEACHMM*MMLeachEF*NtoN2O*kgtoGg</f>
        <v>7.944949741705111E-2</v>
      </c>
      <c r="AJ187" s="22">
        <f>Constants!$H78*'Activity data'!AJ20*Constants!$H96*FracLEACHMM*MMLeachEF*NtoN2O*kgtoGg</f>
        <v>7.9836186366330816E-2</v>
      </c>
      <c r="AK187" s="22">
        <f>Constants!$H78*'Activity data'!AK20*Constants!$H96*FracLEACHMM*MMLeachEF*NtoN2O*kgtoGg</f>
        <v>7.8063361522169639E-2</v>
      </c>
      <c r="AL187" s="22">
        <f>Constants!$H78*'Activity data'!AL20*Constants!$H96*FracLEACHMM*MMLeachEF*NtoN2O*kgtoGg</f>
        <v>6.6817107477113183E-2</v>
      </c>
      <c r="AM187" s="22">
        <f>Constants!$H78*'Activity data'!AM20*Constants!$H96*FracLEACHMM*MMLeachEF*NtoN2O*kgtoGg</f>
        <v>7.0388458640801108E-2</v>
      </c>
      <c r="AN187" s="22">
        <f>Constants!$H78*'Activity data'!AN20*Constants!$H96*FracLEACHMM*MMLeachEF*NtoN2O*kgtoGg</f>
        <v>7.2779385804600763E-2</v>
      </c>
      <c r="AO187" s="22">
        <f>Constants!$H78*'Activity data'!AO20*Constants!$H96*FracLEACHMM*MMLeachEF*NtoN2O*kgtoGg</f>
        <v>7.4904615040438174E-2</v>
      </c>
      <c r="AP187" s="22">
        <f>Constants!$H78*'Activity data'!AP20*Constants!$H96*FracLEACHMM*MMLeachEF*NtoN2O*kgtoGg</f>
        <v>7.7471024819350642E-2</v>
      </c>
      <c r="AQ187" s="22">
        <f>Constants!$H78*'Activity data'!AQ20*Constants!$H96*FracLEACHMM*MMLeachEF*NtoN2O*kgtoGg</f>
        <v>8.1566948143152435E-2</v>
      </c>
      <c r="AR187" s="22">
        <f>Constants!$H78*'Activity data'!AR20*Constants!$H96*FracLEACHMM*MMLeachEF*NtoN2O*kgtoGg</f>
        <v>8.614778534531875E-2</v>
      </c>
      <c r="AS187" s="22">
        <f>Constants!$H78*'Activity data'!AS20*Constants!$H96*FracLEACHMM*MMLeachEF*NtoN2O*kgtoGg</f>
        <v>9.1129302987806735E-2</v>
      </c>
      <c r="AT187" s="22">
        <f>Constants!$H78*'Activity data'!AT20*Constants!$H96*FracLEACHMM*MMLeachEF*NtoN2O*kgtoGg</f>
        <v>9.5503511014719752E-2</v>
      </c>
      <c r="AU187" s="22">
        <f>Constants!$H78*'Activity data'!AU20*Constants!$H96*FracLEACHMM*MMLeachEF*NtoN2O*kgtoGg</f>
        <v>0.10059627235669374</v>
      </c>
      <c r="AV187" s="22">
        <f>Constants!$H78*'Activity data'!AV20*Constants!$H96*FracLEACHMM*MMLeachEF*NtoN2O*kgtoGg</f>
        <v>0.10657634914102967</v>
      </c>
      <c r="AW187" s="22">
        <f>Constants!$H78*'Activity data'!AW20*Constants!$H96*FracLEACHMM*MMLeachEF*NtoN2O*kgtoGg</f>
        <v>0.11249681497363943</v>
      </c>
      <c r="AX187" s="22">
        <f>Constants!$H78*'Activity data'!AX20*Constants!$H96*FracLEACHMM*MMLeachEF*NtoN2O*kgtoGg</f>
        <v>0.11870703167717016</v>
      </c>
      <c r="AY187" s="22">
        <f>Constants!$H78*'Activity data'!AY20*Constants!$H96*FracLEACHMM*MMLeachEF*NtoN2O*kgtoGg</f>
        <v>0.12506960329583536</v>
      </c>
      <c r="AZ187" s="22">
        <f>Constants!$H78*'Activity data'!AZ20*Constants!$H96*FracLEACHMM*MMLeachEF*NtoN2O*kgtoGg</f>
        <v>0.13219418170903169</v>
      </c>
      <c r="BA187" s="22">
        <f>Constants!$H78*'Activity data'!BA20*Constants!$H96*FracLEACHMM*MMLeachEF*NtoN2O*kgtoGg</f>
        <v>0.13848583371944298</v>
      </c>
      <c r="BB187" s="22">
        <f>Constants!$H78*'Activity data'!BB20*Constants!$H96*FracLEACHMM*MMLeachEF*NtoN2O*kgtoGg</f>
        <v>0.1452598628167924</v>
      </c>
      <c r="BC187" s="22">
        <f>Constants!$H78*'Activity data'!BC20*Constants!$H96*FracLEACHMM*MMLeachEF*NtoN2O*kgtoGg</f>
        <v>0.15217488392211642</v>
      </c>
      <c r="BD187" s="22">
        <f>Constants!$H78*'Activity data'!BD20*Constants!$H96*FracLEACHMM*MMLeachEF*NtoN2O*kgtoGg</f>
        <v>0.15880077299081433</v>
      </c>
      <c r="BE187" s="22">
        <f>Constants!$H78*'Activity data'!BE20*Constants!$H96*FracLEACHMM*MMLeachEF*NtoN2O*kgtoGg</f>
        <v>0.16542985943823083</v>
      </c>
      <c r="BF187" s="22">
        <f>Constants!$H78*'Activity data'!BF20*Constants!$H96*FracLEACHMM*MMLeachEF*NtoN2O*kgtoGg</f>
        <v>0.17232713819913364</v>
      </c>
      <c r="BG187" s="22">
        <f>Constants!$H78*'Activity data'!BG20*Constants!$H96*FracLEACHMM*MMLeachEF*NtoN2O*kgtoGg</f>
        <v>0.17966613842795656</v>
      </c>
      <c r="BH187" s="22">
        <f>Constants!$H78*'Activity data'!BH20*Constants!$H96*FracLEACHMM*MMLeachEF*NtoN2O*kgtoGg</f>
        <v>0.1865893340136465</v>
      </c>
      <c r="BI187" s="22">
        <f>Constants!$H78*'Activity data'!BI20*Constants!$H96*FracLEACHMM*MMLeachEF*NtoN2O*kgtoGg</f>
        <v>0.19362673819120535</v>
      </c>
      <c r="BJ187" s="22">
        <f>Constants!$H78*'Activity data'!BJ20*Constants!$H96*FracLEACHMM*MMLeachEF*NtoN2O*kgtoGg</f>
        <v>0.20079266757552186</v>
      </c>
      <c r="BK187" s="22">
        <f>Constants!$H78*'Activity data'!BK20*Constants!$H96*FracLEACHMM*MMLeachEF*NtoN2O*kgtoGg</f>
        <v>0.20846738589837877</v>
      </c>
      <c r="BL187" s="22">
        <f>Constants!$H78*'Activity data'!BL20*Constants!$H96*FracLEACHMM*MMLeachEF*NtoN2O*kgtoGg</f>
        <v>0.21642073302224971</v>
      </c>
      <c r="BM187" s="22">
        <f>Constants!$H78*'Activity data'!BM20*Constants!$H96*FracLEACHMM*MMLeachEF*NtoN2O*kgtoGg</f>
        <v>0.22086003131192922</v>
      </c>
      <c r="BN187" s="22">
        <f>Constants!$H78*'Activity data'!BN20*Constants!$H96*FracLEACHMM*MMLeachEF*NtoN2O*kgtoGg</f>
        <v>0.22506764920237721</v>
      </c>
      <c r="BO187" s="22">
        <f>Constants!$H78*'Activity data'!BO20*Constants!$H96*FracLEACHMM*MMLeachEF*NtoN2O*kgtoGg</f>
        <v>0.22977140260428236</v>
      </c>
      <c r="BP187" s="22">
        <f>Constants!$H78*'Activity data'!BP20*Constants!$H96*FracLEACHMM*MMLeachEF*NtoN2O*kgtoGg</f>
        <v>0.23428658450939308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RowHeight="15" x14ac:dyDescent="0.25"/>
  <cols>
    <col min="1" max="1" width="34.42578125" customWidth="1"/>
    <col min="2" max="2" width="33.28515625" customWidth="1"/>
    <col min="3" max="3" width="27.5703125" customWidth="1"/>
    <col min="4" max="4" width="7.5703125" customWidth="1"/>
    <col min="5" max="5" width="26.140625" customWidth="1"/>
    <col min="6" max="33" width="9.7109375" customWidth="1"/>
    <col min="34" max="34" width="9.5703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6">
        <f t="shared" ref="F4:AK4" si="0">SUM(F5:F10)</f>
        <v>1260.0440510636847</v>
      </c>
      <c r="G4" s="46">
        <f t="shared" si="0"/>
        <v>1258.0226339156723</v>
      </c>
      <c r="H4" s="46">
        <f t="shared" si="0"/>
        <v>1239.3934970469879</v>
      </c>
      <c r="I4" s="46">
        <f t="shared" si="0"/>
        <v>1194.7273149041114</v>
      </c>
      <c r="J4" s="46">
        <f t="shared" si="0"/>
        <v>1162.4999055437097</v>
      </c>
      <c r="K4" s="46">
        <f t="shared" si="0"/>
        <v>1171.5173194915196</v>
      </c>
      <c r="L4" s="46">
        <f t="shared" si="0"/>
        <v>1202.0962242987941</v>
      </c>
      <c r="M4" s="46">
        <f t="shared" si="0"/>
        <v>1224.8603653192843</v>
      </c>
      <c r="N4" s="46">
        <f t="shared" si="0"/>
        <v>1244.3232626994372</v>
      </c>
      <c r="O4" s="46">
        <f t="shared" si="0"/>
        <v>1241.8612496504879</v>
      </c>
      <c r="P4" s="46">
        <f t="shared" si="0"/>
        <v>1227.4784890178826</v>
      </c>
      <c r="Q4" s="46">
        <f t="shared" si="0"/>
        <v>1218.6551420734072</v>
      </c>
      <c r="R4" s="46">
        <f t="shared" si="0"/>
        <v>1197.4820095010721</v>
      </c>
      <c r="S4" s="46">
        <f t="shared" si="0"/>
        <v>1202.3555525159982</v>
      </c>
      <c r="T4" s="46">
        <f t="shared" si="0"/>
        <v>1192.9382386371974</v>
      </c>
      <c r="U4" s="46">
        <f t="shared" si="0"/>
        <v>1195.5469772851111</v>
      </c>
      <c r="V4" s="46">
        <f t="shared" si="0"/>
        <v>1190.9388605207587</v>
      </c>
      <c r="W4" s="46">
        <f t="shared" si="0"/>
        <v>1216.9016959048554</v>
      </c>
      <c r="X4" s="46">
        <f t="shared" si="0"/>
        <v>1224.8132015696788</v>
      </c>
      <c r="Y4" s="46">
        <f t="shared" si="0"/>
        <v>1216.8111130588925</v>
      </c>
      <c r="Z4" s="46">
        <f t="shared" si="0"/>
        <v>1206.6102248317582</v>
      </c>
      <c r="AA4" s="46">
        <f t="shared" si="0"/>
        <v>1202.8837608805554</v>
      </c>
      <c r="AB4" s="46">
        <f t="shared" si="0"/>
        <v>1175.3984501266098</v>
      </c>
      <c r="AC4" s="46">
        <f t="shared" si="0"/>
        <v>1173.8185453543126</v>
      </c>
      <c r="AD4" s="46">
        <f t="shared" si="0"/>
        <v>1168.7663637903102</v>
      </c>
      <c r="AE4" s="46">
        <f t="shared" si="0"/>
        <v>1149.5645254408653</v>
      </c>
      <c r="AF4" s="46">
        <f t="shared" si="0"/>
        <v>1131.3900813972007</v>
      </c>
      <c r="AG4" s="46">
        <f t="shared" si="0"/>
        <v>1128.0617625611446</v>
      </c>
      <c r="AH4" s="46">
        <f t="shared" si="0"/>
        <v>1120.4544077326277</v>
      </c>
      <c r="AI4" s="46">
        <f t="shared" si="0"/>
        <v>1098.428162581298</v>
      </c>
      <c r="AJ4" s="46">
        <f t="shared" si="0"/>
        <v>1014.4746372378586</v>
      </c>
      <c r="AK4" s="46">
        <f t="shared" si="0"/>
        <v>1033.985120812853</v>
      </c>
      <c r="AL4" s="46">
        <f t="shared" ref="AL4:BN4" si="1">SUM(AL5:AL10)</f>
        <v>1045.5948934644177</v>
      </c>
      <c r="AM4" s="46">
        <f t="shared" si="1"/>
        <v>1055.3848594305871</v>
      </c>
      <c r="AN4" s="46">
        <f t="shared" si="1"/>
        <v>1067.8954551203801</v>
      </c>
      <c r="AO4" s="46">
        <f t="shared" si="1"/>
        <v>1089.9110575493125</v>
      </c>
      <c r="AP4" s="46">
        <f t="shared" si="1"/>
        <v>1113.6168642628527</v>
      </c>
      <c r="AQ4" s="46">
        <f t="shared" si="1"/>
        <v>1139.4279921917951</v>
      </c>
      <c r="AR4" s="46">
        <f t="shared" si="1"/>
        <v>1161.0862614509804</v>
      </c>
      <c r="AS4" s="46">
        <f t="shared" si="1"/>
        <v>1186.7606710257894</v>
      </c>
      <c r="AT4" s="46">
        <f t="shared" si="1"/>
        <v>1217.3497094961106</v>
      </c>
      <c r="AU4" s="46">
        <f t="shared" si="1"/>
        <v>1239.6698536474289</v>
      </c>
      <c r="AV4" s="46">
        <f t="shared" si="1"/>
        <v>1262.693468939694</v>
      </c>
      <c r="AW4" s="46">
        <f t="shared" si="1"/>
        <v>1285.5543069928865</v>
      </c>
      <c r="AX4" s="46">
        <f t="shared" si="1"/>
        <v>1311.6595163141048</v>
      </c>
      <c r="AY4" s="46">
        <f t="shared" si="1"/>
        <v>1331.9407529523155</v>
      </c>
      <c r="AZ4" s="46">
        <f t="shared" si="1"/>
        <v>1353.1298351905825</v>
      </c>
      <c r="BA4" s="46">
        <f t="shared" si="1"/>
        <v>1373.9721149522434</v>
      </c>
      <c r="BB4" s="46">
        <f t="shared" si="1"/>
        <v>1392.1651255180632</v>
      </c>
      <c r="BC4" s="46">
        <f t="shared" si="1"/>
        <v>1409.3118315017771</v>
      </c>
      <c r="BD4" s="46">
        <f t="shared" si="1"/>
        <v>1426.7692894457589</v>
      </c>
      <c r="BE4" s="46">
        <f t="shared" si="1"/>
        <v>1449.3320466309438</v>
      </c>
      <c r="BF4" s="46">
        <f t="shared" si="1"/>
        <v>1468.9486543569503</v>
      </c>
      <c r="BG4" s="46">
        <f t="shared" si="1"/>
        <v>1488.3029767450739</v>
      </c>
      <c r="BH4" s="46">
        <f t="shared" si="1"/>
        <v>1507.4459910632131</v>
      </c>
      <c r="BI4" s="46">
        <f t="shared" si="1"/>
        <v>1528.1657335280661</v>
      </c>
      <c r="BJ4" s="46">
        <f t="shared" si="1"/>
        <v>1548.7028436006915</v>
      </c>
      <c r="BK4" s="46">
        <f t="shared" si="1"/>
        <v>1552.0674861215318</v>
      </c>
      <c r="BL4" s="46">
        <f t="shared" si="1"/>
        <v>1553.9203290720875</v>
      </c>
      <c r="BM4" s="46">
        <f t="shared" si="1"/>
        <v>1557.5774979522923</v>
      </c>
      <c r="BN4" s="46">
        <f t="shared" si="1"/>
        <v>1559.9133592620817</v>
      </c>
    </row>
    <row r="5" spans="1:72" x14ac:dyDescent="0.25">
      <c r="A5" t="str">
        <f>'IPCC Categories'!A5</f>
        <v>3A Livestock</v>
      </c>
      <c r="B5" t="str">
        <f>'IPCC Categories'!B5</f>
        <v>3A1 Enteric fermentation (CH4)</v>
      </c>
      <c r="C5" t="str">
        <f>'IPCC Categories'!C5</f>
        <v>3A1a Cattle</v>
      </c>
      <c r="D5" t="s">
        <v>121</v>
      </c>
      <c r="E5" t="s">
        <v>286</v>
      </c>
      <c r="F5" s="28">
        <f>SUM(Emissions!H4:H9)</f>
        <v>970.75783010383884</v>
      </c>
      <c r="G5" s="28">
        <f>SUM(Emissions!I4:I9)</f>
        <v>984.79007914328508</v>
      </c>
      <c r="H5" s="28">
        <f>SUM(Emissions!J4:J9)</f>
        <v>978.33549013594484</v>
      </c>
      <c r="I5" s="28">
        <f>SUM(Emissions!K4:K9)</f>
        <v>949.53957888011155</v>
      </c>
      <c r="J5" s="28">
        <f>SUM(Emissions!L4:L9)</f>
        <v>912.67525621411551</v>
      </c>
      <c r="K5" s="28">
        <f>SUM(Emissions!M4:M9)</f>
        <v>923.83797265176531</v>
      </c>
      <c r="L5" s="28">
        <f>SUM(Emissions!N4:N9)</f>
        <v>952.84275320570532</v>
      </c>
      <c r="M5" s="28">
        <f>SUM(Emissions!O4:O9)</f>
        <v>980.01539424682801</v>
      </c>
      <c r="N5" s="28">
        <f>SUM(Emissions!P4:P9)</f>
        <v>999.43503615113787</v>
      </c>
      <c r="O5" s="28">
        <f>SUM(Emissions!Q4:Q9)</f>
        <v>1002.3241787350501</v>
      </c>
      <c r="P5" s="28">
        <f>SUM(Emissions!R4:R9)</f>
        <v>994.67599031563441</v>
      </c>
      <c r="Q5" s="28">
        <f>SUM(Emissions!S4:S9)</f>
        <v>989.00845450586121</v>
      </c>
      <c r="R5" s="28">
        <f>SUM(Emissions!T4:T9)</f>
        <v>974.60961385984729</v>
      </c>
      <c r="S5" s="28">
        <f>SUM(Emissions!U4:U9)</f>
        <v>979.96199314328828</v>
      </c>
      <c r="T5" s="28">
        <f>SUM(Emissions!V4:V9)</f>
        <v>973.57297774234985</v>
      </c>
      <c r="U5" s="28">
        <f>SUM(Emissions!W4:W9)</f>
        <v>977.1168038510275</v>
      </c>
      <c r="V5" s="28">
        <f>SUM(Emissions!X4:X9)</f>
        <v>973.77414524080291</v>
      </c>
      <c r="W5" s="28">
        <f>SUM(Emissions!Y4:Y9)</f>
        <v>1000.8673096110051</v>
      </c>
      <c r="X5" s="28">
        <f>SUM(Emissions!Z4:Z9)</f>
        <v>1008.1706907272458</v>
      </c>
      <c r="Y5" s="28">
        <f>SUM(Emissions!AA4:AA9)</f>
        <v>1001.4109568206607</v>
      </c>
      <c r="Z5" s="28">
        <f>SUM(Emissions!AB4:AB9)</f>
        <v>994.93224097621089</v>
      </c>
      <c r="AA5" s="28">
        <f>SUM(Emissions!AC4:AC9)</f>
        <v>992.75930538162731</v>
      </c>
      <c r="AB5" s="28">
        <f>SUM(Emissions!AD4:AD9)</f>
        <v>981.62818548821156</v>
      </c>
      <c r="AC5" s="28">
        <f>SUM(Emissions!AE4:AE9)</f>
        <v>979.83777729347503</v>
      </c>
      <c r="AD5" s="28">
        <f>SUM(Emissions!AF4:AF9)</f>
        <v>974.46098202974156</v>
      </c>
      <c r="AE5" s="28">
        <f>SUM(Emissions!AG4:AG9)</f>
        <v>954.90432082690393</v>
      </c>
      <c r="AF5" s="28">
        <f>SUM(Emissions!AH4:AH9)</f>
        <v>936.24689617777653</v>
      </c>
      <c r="AG5" s="28">
        <f>SUM(Emissions!AI4:AI9)</f>
        <v>932.21276662375578</v>
      </c>
      <c r="AH5" s="28">
        <f>SUM(Emissions!AJ4:AJ9)</f>
        <v>923.86491351141194</v>
      </c>
      <c r="AI5" s="28">
        <f>SUM(Emissions!AK4:AK9)</f>
        <v>901.13782630003345</v>
      </c>
      <c r="AJ5" s="28">
        <f>SUM(Emissions!AL4:AL9)</f>
        <v>816.88427258204479</v>
      </c>
      <c r="AK5" s="28">
        <f>SUM(Emissions!AM4:AM9)</f>
        <v>835.93369428100129</v>
      </c>
      <c r="AL5" s="28">
        <f>SUM(Emissions!AN4:AN9)</f>
        <v>847.09296507268164</v>
      </c>
      <c r="AM5" s="28">
        <f>SUM(Emissions!AO4:AO9)</f>
        <v>856.40079478019481</v>
      </c>
      <c r="AN5" s="28">
        <f>SUM(Emissions!AP4:AP9)</f>
        <v>868.36599117377</v>
      </c>
      <c r="AO5" s="28">
        <f>SUM(Emissions!AQ4:AQ9)</f>
        <v>889.72344305831052</v>
      </c>
      <c r="AP5" s="28">
        <f>SUM(Emissions!AR4:AR9)</f>
        <v>912.94251645589998</v>
      </c>
      <c r="AQ5" s="28">
        <f>SUM(Emissions!AS4:AS9)</f>
        <v>938.21525579434751</v>
      </c>
      <c r="AR5" s="28">
        <f>SUM(Emissions!AT4:AT9)</f>
        <v>959.33313771161136</v>
      </c>
      <c r="AS5" s="28">
        <f>SUM(Emissions!AU4:AU9)</f>
        <v>984.40399364614666</v>
      </c>
      <c r="AT5" s="28">
        <f>SUM(Emissions!AV4:AV9)</f>
        <v>1014.3203257510143</v>
      </c>
      <c r="AU5" s="28">
        <f>SUM(Emissions!AW4:AW9)</f>
        <v>1036.129670257458</v>
      </c>
      <c r="AV5" s="28">
        <f>SUM(Emissions!AX4:AX9)</f>
        <v>1058.6054151679602</v>
      </c>
      <c r="AW5" s="28">
        <f>SUM(Emissions!AY4:AY9)</f>
        <v>1080.8889719124791</v>
      </c>
      <c r="AX5" s="28">
        <f>SUM(Emissions!AZ4:AZ9)</f>
        <v>1106.3605712749984</v>
      </c>
      <c r="AY5" s="28">
        <f>SUM(Emissions!BA4:BA9)</f>
        <v>1126.0263344862112</v>
      </c>
      <c r="AZ5" s="28">
        <f>SUM(Emissions!BB4:BB9)</f>
        <v>1146.7318216576805</v>
      </c>
      <c r="BA5" s="28">
        <f>SUM(Emissions!BC4:BC9)</f>
        <v>1167.0664139860426</v>
      </c>
      <c r="BB5" s="28">
        <f>SUM(Emissions!BD4:BD9)</f>
        <v>1184.7479872350775</v>
      </c>
      <c r="BC5" s="28">
        <f>SUM(Emissions!BE4:BE9)</f>
        <v>1201.366896410666</v>
      </c>
      <c r="BD5" s="28">
        <f>SUM(Emissions!BF4:BF9)</f>
        <v>1218.26896590668</v>
      </c>
      <c r="BE5" s="28">
        <f>SUM(Emissions!BG4:BG9)</f>
        <v>1240.4018847898551</v>
      </c>
      <c r="BF5" s="28">
        <f>SUM(Emissions!BH4:BH9)</f>
        <v>1259.5936062181131</v>
      </c>
      <c r="BG5" s="28">
        <f>SUM(Emissions!BI4:BI9)</f>
        <v>1278.5048097229599</v>
      </c>
      <c r="BH5" s="28">
        <f>SUM(Emissions!BJ4:BJ9)</f>
        <v>1297.1864295004507</v>
      </c>
      <c r="BI5" s="28">
        <f>SUM(Emissions!BK4:BK9)</f>
        <v>1317.4102673837388</v>
      </c>
      <c r="BJ5" s="28">
        <f>SUM(Emissions!BL4:BL9)</f>
        <v>1337.5881987097041</v>
      </c>
      <c r="BK5" s="28">
        <f>SUM(Emissions!BM4:BM9)</f>
        <v>1340.7372959484844</v>
      </c>
      <c r="BL5" s="28">
        <f>SUM(Emissions!BN4:BN9)</f>
        <v>1342.3735912320467</v>
      </c>
      <c r="BM5" s="28">
        <f>SUM(Emissions!BO4:BO9)</f>
        <v>1345.7817605683451</v>
      </c>
      <c r="BN5" s="28">
        <f>SUM(Emissions!BP4:BP9)</f>
        <v>1347.8665536643282</v>
      </c>
    </row>
    <row r="6" spans="1:72" x14ac:dyDescent="0.25">
      <c r="A6" t="str">
        <f>A5</f>
        <v>3A Livestock</v>
      </c>
      <c r="B6" t="str">
        <f>B5</f>
        <v>3A1 Enteric fermentation (CH4)</v>
      </c>
      <c r="C6" t="str">
        <f>'IPCC Categories'!C7</f>
        <v>3A1c Sheep</v>
      </c>
      <c r="D6" t="str">
        <f>D5</f>
        <v>CH4</v>
      </c>
      <c r="E6" t="str">
        <f>E5</f>
        <v>Gg CH4</v>
      </c>
      <c r="F6" s="28">
        <f>SUM(Emissions!H10:H11)</f>
        <v>230.15541038431331</v>
      </c>
      <c r="G6" s="28">
        <f>SUM(Emissions!I10:I11)</f>
        <v>219.80651638524552</v>
      </c>
      <c r="H6" s="28">
        <f>SUM(Emissions!J10:J11)</f>
        <v>210.72436386232471</v>
      </c>
      <c r="I6" s="28">
        <f>SUM(Emissions!K10:K11)</f>
        <v>197.07426480420705</v>
      </c>
      <c r="J6" s="28">
        <f>SUM(Emissions!L10:L11)</f>
        <v>198.463841817435</v>
      </c>
      <c r="K6" s="28">
        <f>SUM(Emissions!M10:M11)</f>
        <v>195.62327002243862</v>
      </c>
      <c r="L6" s="28">
        <f>SUM(Emissions!N10:N11)</f>
        <v>196.27583381318104</v>
      </c>
      <c r="M6" s="28">
        <f>SUM(Emissions!O10:O11)</f>
        <v>192.00729889961895</v>
      </c>
      <c r="N6" s="28">
        <f>SUM(Emissions!P10:P11)</f>
        <v>192.53702715328046</v>
      </c>
      <c r="O6" s="28">
        <f>SUM(Emissions!Q10:Q11)</f>
        <v>187.80785897566491</v>
      </c>
      <c r="P6" s="28">
        <f>SUM(Emissions!R10:R11)</f>
        <v>181.07493609941679</v>
      </c>
      <c r="Q6" s="28">
        <f>SUM(Emissions!S10:S11)</f>
        <v>176.56073011169283</v>
      </c>
      <c r="R6" s="28">
        <f>SUM(Emissions!T10:T11)</f>
        <v>173.61267722175066</v>
      </c>
      <c r="S6" s="28">
        <f>SUM(Emissions!U10:U11)</f>
        <v>174.21917768608773</v>
      </c>
      <c r="T6" s="28">
        <f>SUM(Emissions!V10:V11)</f>
        <v>171.11758037479439</v>
      </c>
      <c r="U6" s="28">
        <f>SUM(Emissions!W10:W11)</f>
        <v>170.71068765821383</v>
      </c>
      <c r="V6" s="28">
        <f>SUM(Emissions!X10:X11)</f>
        <v>168.47661632755455</v>
      </c>
      <c r="W6" s="28">
        <f>SUM(Emissions!Y10:Y11)</f>
        <v>168.31539468513583</v>
      </c>
      <c r="X6" s="28">
        <f>SUM(Emissions!Z10:Z11)</f>
        <v>168.86047738093242</v>
      </c>
      <c r="Y6" s="28">
        <f>SUM(Emissions!AA10:AA11)</f>
        <v>168.26165413766293</v>
      </c>
      <c r="Z6" s="28">
        <f>SUM(Emissions!AB10:AB11)</f>
        <v>165.00651240501841</v>
      </c>
      <c r="AA6" s="28">
        <f>SUM(Emissions!AC10:AC11)</f>
        <v>163.71673926566876</v>
      </c>
      <c r="AB6" s="28">
        <f>SUM(Emissions!AD10:AD11)</f>
        <v>146.93843620249652</v>
      </c>
      <c r="AC6" s="28">
        <f>SUM(Emissions!AE10:AE11)</f>
        <v>147.01773607540545</v>
      </c>
      <c r="AD6" s="28">
        <f>SUM(Emissions!AF10:AF11)</f>
        <v>147.20003972212783</v>
      </c>
      <c r="AE6" s="28">
        <f>SUM(Emissions!AG10:AG11)</f>
        <v>147.47068646984667</v>
      </c>
      <c r="AF6" s="28">
        <f>SUM(Emissions!AH10:AH11)</f>
        <v>147.83598581945662</v>
      </c>
      <c r="AG6" s="28">
        <f>SUM(Emissions!AI10:AI11)</f>
        <v>148.30327928759814</v>
      </c>
      <c r="AH6" s="28">
        <f>SUM(Emissions!AJ10:AJ11)</f>
        <v>148.81818807714274</v>
      </c>
      <c r="AI6" s="28">
        <f>SUM(Emissions!AK10:AK11)</f>
        <v>149.37271484338407</v>
      </c>
      <c r="AJ6" s="28">
        <f>SUM(Emissions!AL10:AL11)</f>
        <v>149.92210736806928</v>
      </c>
      <c r="AK6" s="28">
        <f>SUM(Emissions!AM10:AM11)</f>
        <v>150.14694330024503</v>
      </c>
      <c r="AL6" s="28">
        <f>SUM(Emissions!AN10:AN11)</f>
        <v>150.40225148185075</v>
      </c>
      <c r="AM6" s="28">
        <f>SUM(Emissions!AO10:AO11)</f>
        <v>150.69098696978207</v>
      </c>
      <c r="AN6" s="28">
        <f>SUM(Emissions!AP10:AP11)</f>
        <v>151.01524421851511</v>
      </c>
      <c r="AO6" s="28">
        <f>SUM(Emissions!AQ10:AQ11)</f>
        <v>151.3796074841006</v>
      </c>
      <c r="AP6" s="28">
        <f>SUM(Emissions!AR10:AR11)</f>
        <v>151.60870323425604</v>
      </c>
      <c r="AQ6" s="28">
        <f>SUM(Emissions!AS10:AS11)</f>
        <v>151.86667671185131</v>
      </c>
      <c r="AR6" s="28">
        <f>SUM(Emissions!AT10:AT11)</f>
        <v>152.14634816025699</v>
      </c>
      <c r="AS6" s="28">
        <f>SUM(Emissions!AU10:AU11)</f>
        <v>152.45427444230486</v>
      </c>
      <c r="AT6" s="28">
        <f>SUM(Emissions!AV10:AV11)</f>
        <v>152.79042029884505</v>
      </c>
      <c r="AU6" s="28">
        <f>SUM(Emissions!AW10:AW11)</f>
        <v>153.01290866851951</v>
      </c>
      <c r="AV6" s="28">
        <f>SUM(Emissions!AX10:AX11)</f>
        <v>153.25704387733694</v>
      </c>
      <c r="AW6" s="28">
        <f>SUM(Emissions!AY10:AY11)</f>
        <v>153.5211858985686</v>
      </c>
      <c r="AX6" s="28">
        <f>SUM(Emissions!AZ10:AZ11)</f>
        <v>153.80819408874706</v>
      </c>
      <c r="AY6" s="28">
        <f>SUM(Emissions!BA10:BA11)</f>
        <v>154.10791197388343</v>
      </c>
      <c r="AZ6" s="28">
        <f>SUM(Emissions!BB10:BB11)</f>
        <v>154.29966337151279</v>
      </c>
      <c r="BA6" s="28">
        <f>SUM(Emissions!BC10:BC11)</f>
        <v>154.50768095309414</v>
      </c>
      <c r="BB6" s="28">
        <f>SUM(Emissions!BD10:BD11)</f>
        <v>154.72881430106179</v>
      </c>
      <c r="BC6" s="28">
        <f>SUM(Emissions!BE10:BE11)</f>
        <v>154.96427390857323</v>
      </c>
      <c r="BD6" s="28">
        <f>SUM(Emissions!BF10:BF11)</f>
        <v>155.21516284409714</v>
      </c>
      <c r="BE6" s="28">
        <f>SUM(Emissions!BG10:BG11)</f>
        <v>155.36303327416718</v>
      </c>
      <c r="BF6" s="28">
        <f>SUM(Emissions!BH10:BH11)</f>
        <v>155.52059259500138</v>
      </c>
      <c r="BG6" s="28">
        <f>SUM(Emissions!BI10:BI11)</f>
        <v>155.69061739105322</v>
      </c>
      <c r="BH6" s="28">
        <f>SUM(Emissions!BJ10:BJ11)</f>
        <v>155.87280772664633</v>
      </c>
      <c r="BI6" s="28">
        <f>SUM(Emissions!BK10:BK11)</f>
        <v>156.06911967937157</v>
      </c>
      <c r="BJ6" s="28">
        <f>SUM(Emissions!BL10:BL11)</f>
        <v>156.15759735371148</v>
      </c>
      <c r="BK6" s="28">
        <f>SUM(Emissions!BM10:BM11)</f>
        <v>156.2343948584523</v>
      </c>
      <c r="BL6" s="28">
        <f>SUM(Emissions!BN10:BN11)</f>
        <v>156.31917693866708</v>
      </c>
      <c r="BM6" s="28">
        <f>SUM(Emissions!BO10:BO11)</f>
        <v>156.41610587391904</v>
      </c>
      <c r="BN6" s="28">
        <f>SUM(Emissions!BP10:BP11)</f>
        <v>156.52070343498417</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8">
        <f>SUM(Emissions!H12:H13)</f>
        <v>50.832740984438615</v>
      </c>
      <c r="G7" s="28">
        <f>SUM(Emissions!I12:I13)</f>
        <v>44.950509601596238</v>
      </c>
      <c r="H7" s="28">
        <f>SUM(Emissions!J12:J13)</f>
        <v>41.871958597491798</v>
      </c>
      <c r="I7" s="28">
        <f>SUM(Emissions!K12:K13)</f>
        <v>39.563045344413474</v>
      </c>
      <c r="J7" s="28">
        <f>SUM(Emissions!L12:L13)</f>
        <v>42.824843432095548</v>
      </c>
      <c r="K7" s="28">
        <f>SUM(Emissions!M12:M13)</f>
        <v>43.411234099544018</v>
      </c>
      <c r="L7" s="28">
        <f>SUM(Emissions!N12:N13)</f>
        <v>44.089248308781293</v>
      </c>
      <c r="M7" s="28">
        <f>SUM(Emissions!O12:O13)</f>
        <v>43.869351808488119</v>
      </c>
      <c r="N7" s="28">
        <f>SUM(Emissions!P12:P13)</f>
        <v>43.24631172432413</v>
      </c>
      <c r="O7" s="28">
        <f>SUM(Emissions!Q12:Q13)</f>
        <v>42.604946931802381</v>
      </c>
      <c r="P7" s="28">
        <f>SUM(Emissions!R12:R13)</f>
        <v>43.15468818253531</v>
      </c>
      <c r="Q7" s="28">
        <f>SUM(Emissions!S12:S13)</f>
        <v>44.474067184294356</v>
      </c>
      <c r="R7" s="28">
        <f>SUM(Emissions!T12:T13)</f>
        <v>40.607553720806052</v>
      </c>
      <c r="S7" s="28">
        <f>SUM(Emissions!U12:U13)</f>
        <v>39.581370052771241</v>
      </c>
      <c r="T7" s="28">
        <f>SUM(Emissions!V12:V13)</f>
        <v>39.654668886202302</v>
      </c>
      <c r="U7" s="28">
        <f>SUM(Emissions!W12:W13)</f>
        <v>39.1415770521849</v>
      </c>
      <c r="V7" s="28">
        <f>SUM(Emissions!X12:X13)</f>
        <v>39.966188928284296</v>
      </c>
      <c r="W7" s="28">
        <f>SUM(Emissions!Y12:Y13)</f>
        <v>38.775082885029605</v>
      </c>
      <c r="X7" s="28">
        <f>SUM(Emissions!Z12:Z13)</f>
        <v>38.738433468314078</v>
      </c>
      <c r="Y7" s="28">
        <f>SUM(Emissions!AA12:AA13)</f>
        <v>38.060419259076795</v>
      </c>
      <c r="Z7" s="28">
        <f>SUM(Emissions!AB12:AB13)</f>
        <v>37.60230155013268</v>
      </c>
      <c r="AA7" s="28">
        <f>SUM(Emissions!AC12:AC13)</f>
        <v>37.254132091335151</v>
      </c>
      <c r="AB7" s="28">
        <f>SUM(Emissions!AD12:AD13)</f>
        <v>37.495912738890013</v>
      </c>
      <c r="AC7" s="28">
        <f>SUM(Emissions!AE12:AE13)</f>
        <v>37.5933708506183</v>
      </c>
      <c r="AD7" s="28">
        <f>SUM(Emissions!AF12:AF13)</f>
        <v>37.724795014728237</v>
      </c>
      <c r="AE7" s="28">
        <f>SUM(Emissions!AG12:AG13)</f>
        <v>37.884866310005393</v>
      </c>
      <c r="AF7" s="28">
        <f>SUM(Emissions!AH12:AH13)</f>
        <v>38.076593108095572</v>
      </c>
      <c r="AG7" s="28">
        <f>SUM(Emissions!AI12:AI13)</f>
        <v>38.30325844540512</v>
      </c>
      <c r="AH7" s="28">
        <f>SUM(Emissions!AJ12:AJ13)</f>
        <v>38.543478969155011</v>
      </c>
      <c r="AI7" s="28">
        <f>SUM(Emissions!AK12:AK13)</f>
        <v>38.794443906767704</v>
      </c>
      <c r="AJ7" s="28">
        <f>SUM(Emissions!AL12:AL13)</f>
        <v>39.038773345836645</v>
      </c>
      <c r="AK7" s="28">
        <f>SUM(Emissions!AM12:AM13)</f>
        <v>39.150837227931419</v>
      </c>
      <c r="AL7" s="28">
        <f>SUM(Emissions!AN12:AN13)</f>
        <v>39.271686590456198</v>
      </c>
      <c r="AM7" s="28">
        <f>SUM(Emissions!AO12:AO13)</f>
        <v>39.40266766115144</v>
      </c>
      <c r="AN7" s="28">
        <f>SUM(Emissions!AP12:AP13)</f>
        <v>39.544750063946836</v>
      </c>
      <c r="AO7" s="28">
        <f>SUM(Emissions!AQ12:AQ13)</f>
        <v>39.699845207639484</v>
      </c>
      <c r="AP7" s="28">
        <f>SUM(Emissions!AR12:AR13)</f>
        <v>39.799669757767603</v>
      </c>
      <c r="AQ7" s="28">
        <f>SUM(Emissions!AS12:AS13)</f>
        <v>39.908606836494045</v>
      </c>
      <c r="AR7" s="28">
        <f>SUM(Emissions!AT12:AT13)</f>
        <v>40.023946645449342</v>
      </c>
      <c r="AS7" s="28">
        <f>SUM(Emissions!AU12:AU13)</f>
        <v>40.148311453957248</v>
      </c>
      <c r="AT7" s="28">
        <f>SUM(Emissions!AV12:AV13)</f>
        <v>40.281743187448782</v>
      </c>
      <c r="AU7" s="28">
        <f>SUM(Emissions!AW12:AW13)</f>
        <v>40.369569645349628</v>
      </c>
      <c r="AV7" s="28">
        <f>SUM(Emissions!AX12:AX13)</f>
        <v>40.464241304430061</v>
      </c>
      <c r="AW7" s="28">
        <f>SUM(Emissions!AY12:AY13)</f>
        <v>40.565168794645956</v>
      </c>
      <c r="AX7" s="28">
        <f>SUM(Emissions!AZ12:AZ13)</f>
        <v>40.67348651687135</v>
      </c>
      <c r="AY7" s="28">
        <f>SUM(Emissions!BA12:BA13)</f>
        <v>40.785334687236841</v>
      </c>
      <c r="AZ7" s="28">
        <f>SUM(Emissions!BB12:BB13)</f>
        <v>40.854670973180504</v>
      </c>
      <c r="BA7" s="28">
        <f>SUM(Emissions!BC12:BC13)</f>
        <v>40.929148943427819</v>
      </c>
      <c r="BB7" s="28">
        <f>SUM(Emissions!BD12:BD13)</f>
        <v>41.007592806529601</v>
      </c>
      <c r="BC7" s="28">
        <f>SUM(Emissions!BE12:BE13)</f>
        <v>41.090488369573748</v>
      </c>
      <c r="BD7" s="28">
        <f>SUM(Emissions!BF12:BF13)</f>
        <v>41.178274230417159</v>
      </c>
      <c r="BE7" s="28">
        <f>SUM(Emissions!BG12:BG13)</f>
        <v>41.226140168267818</v>
      </c>
      <c r="BF7" s="28">
        <f>SUM(Emissions!BH12:BH13)</f>
        <v>41.276912308931713</v>
      </c>
      <c r="BG7" s="28">
        <f>SUM(Emissions!BI12:BI13)</f>
        <v>41.331656299755565</v>
      </c>
      <c r="BH7" s="28">
        <f>SUM(Emissions!BJ12:BJ13)</f>
        <v>41.390270294396352</v>
      </c>
      <c r="BI7" s="28">
        <f>SUM(Emissions!BK12:BK13)</f>
        <v>41.453499414588649</v>
      </c>
      <c r="BJ7" s="28">
        <f>SUM(Emissions!BL12:BL13)</f>
        <v>41.475585368393332</v>
      </c>
      <c r="BK7" s="28">
        <f>SUM(Emissions!BM12:BM13)</f>
        <v>41.492777935079332</v>
      </c>
      <c r="BL7" s="28">
        <f>SUM(Emissions!BN12:BN13)</f>
        <v>41.512478158035094</v>
      </c>
      <c r="BM7" s="28">
        <f>SUM(Emissions!BO12:BO13)</f>
        <v>41.536248906187524</v>
      </c>
      <c r="BN7" s="28">
        <f>SUM(Emissions!BP12:BP13)</f>
        <v>41.562420624472992</v>
      </c>
    </row>
    <row r="8" spans="1:72" x14ac:dyDescent="0.25">
      <c r="A8" t="str">
        <f t="shared" si="2"/>
        <v>3A Livestock</v>
      </c>
      <c r="B8" t="str">
        <f t="shared" si="3"/>
        <v>3A1 Enteric fermentation (CH4)</v>
      </c>
      <c r="C8" t="str">
        <f>'IPCC Categories'!C9</f>
        <v>3A1f Horses</v>
      </c>
      <c r="D8" t="str">
        <f t="shared" si="4"/>
        <v>CH4</v>
      </c>
      <c r="E8" t="str">
        <f t="shared" si="5"/>
        <v>Gg CH4</v>
      </c>
      <c r="F8" s="28">
        <f>Emissions!H14</f>
        <v>4.1399999999999997</v>
      </c>
      <c r="G8" s="28">
        <f>Emissions!I14</f>
        <v>4.1399999999999997</v>
      </c>
      <c r="H8" s="28">
        <f>Emissions!J14</f>
        <v>4.1399999999999997</v>
      </c>
      <c r="I8" s="28">
        <f>Emissions!K14</f>
        <v>4.2299999999999995</v>
      </c>
      <c r="J8" s="28">
        <f>Emissions!L14</f>
        <v>4.3199999999999994</v>
      </c>
      <c r="K8" s="28">
        <f>Emissions!M14</f>
        <v>4.41</v>
      </c>
      <c r="L8" s="28">
        <f>Emissions!N14</f>
        <v>4.5</v>
      </c>
      <c r="M8" s="28">
        <f>Emissions!O14</f>
        <v>4.59</v>
      </c>
      <c r="N8" s="28">
        <f>Emissions!P14</f>
        <v>4.68</v>
      </c>
      <c r="O8" s="28">
        <f>Emissions!Q14</f>
        <v>4.6440000000000001</v>
      </c>
      <c r="P8" s="28">
        <f>Emissions!R14</f>
        <v>4.8599999999999994</v>
      </c>
      <c r="Q8" s="28">
        <f>Emissions!S14</f>
        <v>4.8599999999999994</v>
      </c>
      <c r="R8" s="28">
        <f>Emissions!T14</f>
        <v>4.8599999999999994</v>
      </c>
      <c r="S8" s="28">
        <f>Emissions!U14</f>
        <v>4.8599999999999994</v>
      </c>
      <c r="T8" s="28">
        <f>Emissions!V14</f>
        <v>4.8599999999999994</v>
      </c>
      <c r="U8" s="28">
        <f>Emissions!W14</f>
        <v>4.8599999999999994</v>
      </c>
      <c r="V8" s="28">
        <f>Emissions!X14</f>
        <v>5.04</v>
      </c>
      <c r="W8" s="28">
        <f>Emissions!Y14</f>
        <v>5.22</v>
      </c>
      <c r="X8" s="28">
        <f>Emissions!Z14</f>
        <v>5.3639999999999999</v>
      </c>
      <c r="Y8" s="28">
        <f>Emissions!AA14</f>
        <v>5.3999999999999995</v>
      </c>
      <c r="Z8" s="28">
        <f>Emissions!AB14</f>
        <v>5.3999999999999995</v>
      </c>
      <c r="AA8" s="28">
        <f>Emissions!AC14</f>
        <v>5.4899999999999993</v>
      </c>
      <c r="AB8" s="28">
        <f>Emissions!AD14</f>
        <v>5.5625078668475236</v>
      </c>
      <c r="AC8" s="28">
        <f>Emissions!AE14</f>
        <v>5.5999708339814545</v>
      </c>
      <c r="AD8" s="28">
        <f>Emissions!AF14</f>
        <v>5.6226370840776179</v>
      </c>
      <c r="AE8" s="28">
        <f>Emissions!AG14</f>
        <v>5.5928142970106265</v>
      </c>
      <c r="AF8" s="28">
        <f>Emissions!AH14</f>
        <v>5.5623376589201499</v>
      </c>
      <c r="AG8" s="28">
        <f>Emissions!AI14</f>
        <v>5.5812216853376206</v>
      </c>
      <c r="AH8" s="28">
        <f>Emissions!AJ14</f>
        <v>5.5836612172513842</v>
      </c>
      <c r="AI8" s="28">
        <f>Emissions!AK14</f>
        <v>5.5315877353552168</v>
      </c>
      <c r="AJ8" s="28">
        <f>Emissions!AL14</f>
        <v>5.2455147526194601</v>
      </c>
      <c r="AK8" s="28">
        <f>Emissions!AM14</f>
        <v>5.332808287437901</v>
      </c>
      <c r="AL8" s="28">
        <f>Emissions!AN14</f>
        <v>5.3901753132609427</v>
      </c>
      <c r="AM8" s="28">
        <f>Emissions!AO14</f>
        <v>5.440230309739654</v>
      </c>
      <c r="AN8" s="28">
        <f>Emissions!AP14</f>
        <v>5.5003068027462358</v>
      </c>
      <c r="AO8" s="28">
        <f>Emissions!AQ14</f>
        <v>5.5968430891840955</v>
      </c>
      <c r="AP8" s="28">
        <f>Emissions!AR14</f>
        <v>5.7072120457799942</v>
      </c>
      <c r="AQ8" s="28">
        <f>Emissions!AS14</f>
        <v>5.8264820494807026</v>
      </c>
      <c r="AR8" s="28">
        <f>Emissions!AT14</f>
        <v>5.9301104930204529</v>
      </c>
      <c r="AS8" s="28">
        <f>Emissions!AU14</f>
        <v>6.0502396904604057</v>
      </c>
      <c r="AT8" s="28">
        <f>Emissions!AV14</f>
        <v>6.1907930019013007</v>
      </c>
      <c r="AU8" s="28">
        <f>Emissions!AW14</f>
        <v>6.3320471664105931</v>
      </c>
      <c r="AV8" s="28">
        <f>Emissions!AX14</f>
        <v>6.4794646415598249</v>
      </c>
      <c r="AW8" s="28">
        <f>Emissions!AY14</f>
        <v>6.6296689370175557</v>
      </c>
      <c r="AX8" s="28">
        <f>Emissions!AZ14</f>
        <v>6.7972348352901832</v>
      </c>
      <c r="AY8" s="28">
        <f>Emissions!BA14</f>
        <v>6.9438088425470355</v>
      </c>
      <c r="AZ8" s="28">
        <f>Emissions!BB14</f>
        <v>7.1048815884414847</v>
      </c>
      <c r="BA8" s="28">
        <f>Emissions!BC14</f>
        <v>7.268627225560472</v>
      </c>
      <c r="BB8" s="28">
        <f>Emissions!BD14</f>
        <v>7.42471904610154</v>
      </c>
      <c r="BC8" s="28">
        <f>Emissions!BE14</f>
        <v>7.5801220888649867</v>
      </c>
      <c r="BD8" s="28">
        <f>Emissions!BF14</f>
        <v>7.7411228012577773</v>
      </c>
      <c r="BE8" s="28">
        <f>Emissions!BG14</f>
        <v>7.9163247577118536</v>
      </c>
      <c r="BF8" s="28">
        <f>Emissions!BH14</f>
        <v>8.0810947340099517</v>
      </c>
      <c r="BG8" s="28">
        <f>Emissions!BI14</f>
        <v>8.2480372843312519</v>
      </c>
      <c r="BH8" s="28">
        <f>Emissions!BJ14</f>
        <v>8.4174605770969908</v>
      </c>
      <c r="BI8" s="28">
        <f>Emissions!BK14</f>
        <v>8.5983802423376101</v>
      </c>
      <c r="BJ8" s="28">
        <f>Emissions!BL14</f>
        <v>8.7907471853609671</v>
      </c>
      <c r="BK8" s="28">
        <f>Emissions!BM14</f>
        <v>8.8991507547228217</v>
      </c>
      <c r="BL8" s="28">
        <f>Emissions!BN14</f>
        <v>9.0016825973480952</v>
      </c>
      <c r="BM8" s="28">
        <f>Emissions!BO14</f>
        <v>9.1156705075973274</v>
      </c>
      <c r="BN8" s="28">
        <f>Emissions!BP14</f>
        <v>9.2247946500114306</v>
      </c>
    </row>
    <row r="9" spans="1:72" x14ac:dyDescent="0.25">
      <c r="A9" t="str">
        <f t="shared" si="2"/>
        <v>3A Livestock</v>
      </c>
      <c r="B9" t="str">
        <f t="shared" si="3"/>
        <v>3A1 Enteric fermentation (CH4)</v>
      </c>
      <c r="C9" t="str">
        <f>'IPCC Categories'!C10</f>
        <v>3A1g Mules &amp; asses</v>
      </c>
      <c r="D9" t="str">
        <f t="shared" si="4"/>
        <v>CH4</v>
      </c>
      <c r="E9" t="str">
        <f t="shared" si="5"/>
        <v>Gg CH4</v>
      </c>
      <c r="F9" s="28">
        <f>Emissions!H15</f>
        <v>2.2399999999999998</v>
      </c>
      <c r="G9" s="28">
        <f>Emissions!I15</f>
        <v>2.2399999999999998</v>
      </c>
      <c r="H9" s="28">
        <f>Emissions!J15</f>
        <v>2.2399999999999998</v>
      </c>
      <c r="I9" s="28">
        <f>Emissions!K15</f>
        <v>2.2399999999999998</v>
      </c>
      <c r="J9" s="28">
        <f>Emissions!L15</f>
        <v>2.2399999999999998</v>
      </c>
      <c r="K9" s="28">
        <f>Emissions!M15</f>
        <v>2.2399999999999998</v>
      </c>
      <c r="L9" s="28">
        <f>Emissions!N15</f>
        <v>2.2399999999999998</v>
      </c>
      <c r="M9" s="28">
        <f>Emissions!O15</f>
        <v>2.2399999999999998</v>
      </c>
      <c r="N9" s="28">
        <f>Emissions!P15</f>
        <v>2.2399999999999998</v>
      </c>
      <c r="O9" s="28">
        <f>Emissions!Q15</f>
        <v>2.2399999999999998</v>
      </c>
      <c r="P9" s="28">
        <f>Emissions!R15</f>
        <v>1.64</v>
      </c>
      <c r="Q9" s="28">
        <f>Emissions!S15</f>
        <v>1.64</v>
      </c>
      <c r="R9" s="28">
        <f>Emissions!T15</f>
        <v>1.64</v>
      </c>
      <c r="S9" s="28">
        <f>Emissions!U15</f>
        <v>1.64</v>
      </c>
      <c r="T9" s="28">
        <f>Emissions!V15</f>
        <v>1.64</v>
      </c>
      <c r="U9" s="28">
        <f>Emissions!W15</f>
        <v>1.64</v>
      </c>
      <c r="V9" s="28">
        <f>Emissions!X15</f>
        <v>1.6404999999999998</v>
      </c>
      <c r="W9" s="28">
        <f>Emissions!Y15</f>
        <v>1.6459999999999999</v>
      </c>
      <c r="X9" s="28">
        <f>Emissions!Z15</f>
        <v>1.647</v>
      </c>
      <c r="Y9" s="28">
        <f>Emissions!AA15</f>
        <v>1.6479999999999999</v>
      </c>
      <c r="Z9" s="28">
        <f>Emissions!AB15</f>
        <v>1.663</v>
      </c>
      <c r="AA9" s="28">
        <f>Emissions!AC15</f>
        <v>1.67</v>
      </c>
      <c r="AB9" s="28">
        <f>Emissions!AD15</f>
        <v>1.67</v>
      </c>
      <c r="AC9" s="28">
        <f>Emissions!AE15</f>
        <v>1.67</v>
      </c>
      <c r="AD9" s="28">
        <f>Emissions!AF15</f>
        <v>1.67</v>
      </c>
      <c r="AE9" s="28">
        <f>Emissions!AG15</f>
        <v>1.67</v>
      </c>
      <c r="AF9" s="28">
        <f>Emissions!AH15</f>
        <v>1.67</v>
      </c>
      <c r="AG9" s="28">
        <f>Emissions!AI15</f>
        <v>1.67</v>
      </c>
      <c r="AH9" s="28">
        <f>Emissions!AJ15</f>
        <v>1.67</v>
      </c>
      <c r="AI9" s="28">
        <f>Emissions!AK15</f>
        <v>1.67</v>
      </c>
      <c r="AJ9" s="28">
        <f>Emissions!AL15</f>
        <v>1.67</v>
      </c>
      <c r="AK9" s="28">
        <f>Emissions!AM15</f>
        <v>1.67</v>
      </c>
      <c r="AL9" s="28">
        <f>Emissions!AN15</f>
        <v>1.67</v>
      </c>
      <c r="AM9" s="28">
        <f>Emissions!AO15</f>
        <v>1.67</v>
      </c>
      <c r="AN9" s="28">
        <f>Emissions!AP15</f>
        <v>1.67</v>
      </c>
      <c r="AO9" s="28">
        <f>Emissions!AQ15</f>
        <v>1.67</v>
      </c>
      <c r="AP9" s="28">
        <f>Emissions!AR15</f>
        <v>1.67</v>
      </c>
      <c r="AQ9" s="28">
        <f>Emissions!AS15</f>
        <v>1.67</v>
      </c>
      <c r="AR9" s="28">
        <f>Emissions!AT15</f>
        <v>1.67</v>
      </c>
      <c r="AS9" s="28">
        <f>Emissions!AU15</f>
        <v>1.67</v>
      </c>
      <c r="AT9" s="28">
        <f>Emissions!AV15</f>
        <v>1.67</v>
      </c>
      <c r="AU9" s="28">
        <f>Emissions!AW15</f>
        <v>1.67</v>
      </c>
      <c r="AV9" s="28">
        <f>Emissions!AX15</f>
        <v>1.67</v>
      </c>
      <c r="AW9" s="28">
        <f>Emissions!AY15</f>
        <v>1.67</v>
      </c>
      <c r="AX9" s="28">
        <f>Emissions!AZ15</f>
        <v>1.67</v>
      </c>
      <c r="AY9" s="28">
        <f>Emissions!BA15</f>
        <v>1.67</v>
      </c>
      <c r="AZ9" s="28">
        <f>Emissions!BB15</f>
        <v>1.67</v>
      </c>
      <c r="BA9" s="28">
        <f>Emissions!BC15</f>
        <v>1.67</v>
      </c>
      <c r="BB9" s="28">
        <f>Emissions!BD15</f>
        <v>1.67</v>
      </c>
      <c r="BC9" s="28">
        <f>Emissions!BE15</f>
        <v>1.67</v>
      </c>
      <c r="BD9" s="28">
        <f>Emissions!BF15</f>
        <v>1.67</v>
      </c>
      <c r="BE9" s="28">
        <f>Emissions!BG15</f>
        <v>1.67</v>
      </c>
      <c r="BF9" s="28">
        <f>Emissions!BH15</f>
        <v>1.67</v>
      </c>
      <c r="BG9" s="28">
        <f>Emissions!BI15</f>
        <v>1.67</v>
      </c>
      <c r="BH9" s="28">
        <f>Emissions!BJ15</f>
        <v>1.67</v>
      </c>
      <c r="BI9" s="28">
        <f>Emissions!BK15</f>
        <v>1.67</v>
      </c>
      <c r="BJ9" s="28">
        <f>Emissions!BL15</f>
        <v>1.67</v>
      </c>
      <c r="BK9" s="28">
        <f>Emissions!BM15</f>
        <v>1.67</v>
      </c>
      <c r="BL9" s="28">
        <f>Emissions!BN15</f>
        <v>1.67</v>
      </c>
      <c r="BM9" s="28">
        <f>Emissions!BO15</f>
        <v>1.67</v>
      </c>
      <c r="BN9" s="28">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8">
        <f>SUM(Emissions!H16:H17)</f>
        <v>1.9180695910937571</v>
      </c>
      <c r="G10" s="28">
        <f>SUM(Emissions!I16:I17)</f>
        <v>2.0955287855453451</v>
      </c>
      <c r="H10" s="28">
        <f>SUM(Emissions!J16:J17)</f>
        <v>2.0816844512264265</v>
      </c>
      <c r="I10" s="28">
        <f>SUM(Emissions!K16:K17)</f>
        <v>2.0804258753792526</v>
      </c>
      <c r="J10" s="28">
        <f>SUM(Emissions!L16:L17)</f>
        <v>1.9759640800637785</v>
      </c>
      <c r="K10" s="28">
        <f>SUM(Emissions!M16:M17)</f>
        <v>1.9948427177713943</v>
      </c>
      <c r="L10" s="28">
        <f>SUM(Emissions!N16:N17)</f>
        <v>2.148388971126669</v>
      </c>
      <c r="M10" s="28">
        <f>SUM(Emissions!O16:O17)</f>
        <v>2.1383203643492741</v>
      </c>
      <c r="N10" s="28">
        <f>SUM(Emissions!P16:P17)</f>
        <v>2.1848876706947262</v>
      </c>
      <c r="O10" s="28">
        <f>SUM(Emissions!Q16:Q17)</f>
        <v>2.240265007970399</v>
      </c>
      <c r="P10" s="28">
        <f>SUM(Emissions!R16:R17)</f>
        <v>2.0728744202962059</v>
      </c>
      <c r="Q10" s="28">
        <f>SUM(Emissions!S16:S17)</f>
        <v>2.1118902715586119</v>
      </c>
      <c r="R10" s="28">
        <f>SUM(Emissions!T16:T17)</f>
        <v>2.1521646986681922</v>
      </c>
      <c r="S10" s="28">
        <f>SUM(Emissions!U16:U17)</f>
        <v>2.0930116338509963</v>
      </c>
      <c r="T10" s="28">
        <f>SUM(Emissions!V16:V17)</f>
        <v>2.0930116338509963</v>
      </c>
      <c r="U10" s="28">
        <f>SUM(Emissions!W16:W17)</f>
        <v>2.0779087236849034</v>
      </c>
      <c r="V10" s="28">
        <f>SUM(Emissions!X16:X17)</f>
        <v>2.0414100241168467</v>
      </c>
      <c r="W10" s="28">
        <f>SUM(Emissions!Y16:Y17)</f>
        <v>2.0779087236849034</v>
      </c>
      <c r="X10" s="28">
        <f>SUM(Emissions!Z16:Z17)</f>
        <v>2.0325999931866261</v>
      </c>
      <c r="Y10" s="28">
        <f>SUM(Emissions!AA16:AA17)</f>
        <v>2.0300828414922774</v>
      </c>
      <c r="Z10" s="28">
        <f>SUM(Emissions!AB16:AB17)</f>
        <v>2.0061699003959639</v>
      </c>
      <c r="AA10" s="28">
        <f>SUM(Emissions!AC16:AC17)</f>
        <v>1.9935841419242202</v>
      </c>
      <c r="AB10" s="28">
        <f>SUM(Emissions!AD16:AD17)</f>
        <v>2.1034078301642354</v>
      </c>
      <c r="AC10" s="28">
        <f>SUM(Emissions!AE16:AE17)</f>
        <v>2.0996903008322314</v>
      </c>
      <c r="AD10" s="28">
        <f>SUM(Emissions!AF16:AF17)</f>
        <v>2.0879099396346876</v>
      </c>
      <c r="AE10" s="28">
        <f>SUM(Emissions!AG16:AG17)</f>
        <v>2.0418375370987127</v>
      </c>
      <c r="AF10" s="28">
        <f>SUM(Emissions!AH16:AH17)</f>
        <v>1.9982686329516464</v>
      </c>
      <c r="AG10" s="28">
        <f>SUM(Emissions!AI16:AI17)</f>
        <v>1.9912365190478556</v>
      </c>
      <c r="AH10" s="28">
        <f>SUM(Emissions!AJ16:AJ17)</f>
        <v>1.9741659576667152</v>
      </c>
      <c r="AI10" s="28">
        <f>SUM(Emissions!AK16:AK17)</f>
        <v>1.9215897957575108</v>
      </c>
      <c r="AJ10" s="28">
        <f>SUM(Emissions!AL16:AL17)</f>
        <v>1.7139691892884696</v>
      </c>
      <c r="AK10" s="28">
        <f>SUM(Emissions!AM16:AM17)</f>
        <v>1.7508377162373532</v>
      </c>
      <c r="AL10" s="28">
        <f>SUM(Emissions!AN16:AN17)</f>
        <v>1.7678150061681126</v>
      </c>
      <c r="AM10" s="28">
        <f>SUM(Emissions!AO16:AO17)</f>
        <v>1.7801797097190535</v>
      </c>
      <c r="AN10" s="28">
        <f>SUM(Emissions!AP16:AP17)</f>
        <v>1.7991628614018123</v>
      </c>
      <c r="AO10" s="28">
        <f>SUM(Emissions!AQ16:AQ17)</f>
        <v>1.8413187100774886</v>
      </c>
      <c r="AP10" s="28">
        <f>SUM(Emissions!AR16:AR17)</f>
        <v>1.8887627691491791</v>
      </c>
      <c r="AQ10" s="28">
        <f>SUM(Emissions!AS16:AS17)</f>
        <v>1.9409707996213066</v>
      </c>
      <c r="AR10" s="28">
        <f>SUM(Emissions!AT16:AT17)</f>
        <v>1.9827184406422294</v>
      </c>
      <c r="AS10" s="28">
        <f>SUM(Emissions!AU16:AU17)</f>
        <v>2.0338517929203306</v>
      </c>
      <c r="AT10" s="28">
        <f>SUM(Emissions!AV16:AV17)</f>
        <v>2.0964272569013862</v>
      </c>
      <c r="AU10" s="28">
        <f>SUM(Emissions!AW16:AW17)</f>
        <v>2.1556579096911186</v>
      </c>
      <c r="AV10" s="28">
        <f>SUM(Emissions!AX16:AX17)</f>
        <v>2.2173039484069195</v>
      </c>
      <c r="AW10" s="28">
        <f>SUM(Emissions!AY16:AY17)</f>
        <v>2.2793114501750309</v>
      </c>
      <c r="AX10" s="28">
        <f>SUM(Emissions!AZ16:AZ17)</f>
        <v>2.3500295981975339</v>
      </c>
      <c r="AY10" s="28">
        <f>SUM(Emissions!BA16:BA17)</f>
        <v>2.4073629624369386</v>
      </c>
      <c r="AZ10" s="28">
        <f>SUM(Emissions!BB16:BB17)</f>
        <v>2.4687975997672549</v>
      </c>
      <c r="BA10" s="28">
        <f>SUM(Emissions!BC16:BC17)</f>
        <v>2.5302438441180537</v>
      </c>
      <c r="BB10" s="28">
        <f>SUM(Emissions!BD16:BD17)</f>
        <v>2.5860121292928318</v>
      </c>
      <c r="BC10" s="28">
        <f>SUM(Emissions!BE16:BE17)</f>
        <v>2.6400507240991913</v>
      </c>
      <c r="BD10" s="28">
        <f>SUM(Emissions!BF16:BF17)</f>
        <v>2.6957636633067761</v>
      </c>
      <c r="BE10" s="28">
        <f>SUM(Emissions!BG16:BG17)</f>
        <v>2.7546636409415282</v>
      </c>
      <c r="BF10" s="28">
        <f>SUM(Emissions!BH16:BH17)</f>
        <v>2.806448500894255</v>
      </c>
      <c r="BG10" s="28">
        <f>SUM(Emissions!BI16:BI17)</f>
        <v>2.8578560469738279</v>
      </c>
      <c r="BH10" s="28">
        <f>SUM(Emissions!BJ16:BJ17)</f>
        <v>2.9090229646226455</v>
      </c>
      <c r="BI10" s="28">
        <f>SUM(Emissions!BK16:BK17)</f>
        <v>2.9644668080296408</v>
      </c>
      <c r="BJ10" s="28">
        <f>SUM(Emissions!BL16:BL17)</f>
        <v>3.0207149835217604</v>
      </c>
      <c r="BK10" s="28">
        <f>SUM(Emissions!BM16:BM17)</f>
        <v>3.0338666247927866</v>
      </c>
      <c r="BL10" s="28">
        <f>SUM(Emissions!BN16:BN17)</f>
        <v>3.0434001459905327</v>
      </c>
      <c r="BM10" s="28">
        <f>SUM(Emissions!BO16:BO17)</f>
        <v>3.057712096243395</v>
      </c>
      <c r="BN10" s="28">
        <f>SUM(Emissions!BP16:BP17)</f>
        <v>3.068886888284962</v>
      </c>
    </row>
    <row r="11" spans="1:72" s="19" customFormat="1" ht="15.75" x14ac:dyDescent="0.25">
      <c r="A11" s="19" t="str">
        <f>A18</f>
        <v>3A Livestock</v>
      </c>
      <c r="B11" s="19" t="str">
        <f>B18</f>
        <v>3A2 Manure management (CH4)</v>
      </c>
      <c r="C11" s="19" t="s">
        <v>148</v>
      </c>
      <c r="D11" s="19" t="str">
        <f>D18</f>
        <v>CH4</v>
      </c>
      <c r="E11" s="19" t="str">
        <f>E18</f>
        <v>Gg CH4</v>
      </c>
      <c r="F11" s="46">
        <f t="shared" ref="F11:AK11" si="6">SUM(F12:F18)</f>
        <v>31.702723851583059</v>
      </c>
      <c r="G11" s="46">
        <f t="shared" si="6"/>
        <v>34.846437093745571</v>
      </c>
      <c r="H11" s="46">
        <f t="shared" si="6"/>
        <v>33.34593965991499</v>
      </c>
      <c r="I11" s="46">
        <f t="shared" si="6"/>
        <v>33.911342124246517</v>
      </c>
      <c r="J11" s="46">
        <f t="shared" si="6"/>
        <v>32.073771373963574</v>
      </c>
      <c r="K11" s="46">
        <f t="shared" si="6"/>
        <v>33.020872632281872</v>
      </c>
      <c r="L11" s="46">
        <f t="shared" si="6"/>
        <v>34.987492144761205</v>
      </c>
      <c r="M11" s="46">
        <f t="shared" si="6"/>
        <v>34.595629337012369</v>
      </c>
      <c r="N11" s="46">
        <f t="shared" si="6"/>
        <v>35.178779527916078</v>
      </c>
      <c r="O11" s="46">
        <f t="shared" si="6"/>
        <v>35.773500663635126</v>
      </c>
      <c r="P11" s="46">
        <f t="shared" si="6"/>
        <v>36.297062166313644</v>
      </c>
      <c r="Q11" s="46">
        <f t="shared" si="6"/>
        <v>36.650497115596643</v>
      </c>
      <c r="R11" s="46">
        <f t="shared" si="6"/>
        <v>35.964128838575938</v>
      </c>
      <c r="S11" s="46">
        <f t="shared" si="6"/>
        <v>34.354995245344796</v>
      </c>
      <c r="T11" s="46">
        <f t="shared" si="6"/>
        <v>34.113912838047241</v>
      </c>
      <c r="U11" s="46">
        <f t="shared" si="6"/>
        <v>34.7151680316408</v>
      </c>
      <c r="V11" s="46">
        <f t="shared" si="6"/>
        <v>34.304317583202156</v>
      </c>
      <c r="W11" s="46">
        <f t="shared" si="6"/>
        <v>34.81260712013389</v>
      </c>
      <c r="X11" s="46">
        <f t="shared" si="6"/>
        <v>36.247765210834089</v>
      </c>
      <c r="Y11" s="46">
        <f t="shared" si="6"/>
        <v>36.334449628150963</v>
      </c>
      <c r="Z11" s="46">
        <f t="shared" si="6"/>
        <v>36.137208970848143</v>
      </c>
      <c r="AA11" s="46">
        <f t="shared" si="6"/>
        <v>35.764591312652556</v>
      </c>
      <c r="AB11" s="46">
        <f t="shared" si="6"/>
        <v>36.961793653582113</v>
      </c>
      <c r="AC11" s="46">
        <f t="shared" si="6"/>
        <v>37.0601218985001</v>
      </c>
      <c r="AD11" s="46">
        <f t="shared" si="6"/>
        <v>37.041680696704411</v>
      </c>
      <c r="AE11" s="46">
        <f t="shared" si="6"/>
        <v>36.514159561424236</v>
      </c>
      <c r="AF11" s="46">
        <f t="shared" si="6"/>
        <v>36.021452993728815</v>
      </c>
      <c r="AG11" s="46">
        <f t="shared" si="6"/>
        <v>36.075690083464885</v>
      </c>
      <c r="AH11" s="46">
        <f t="shared" si="6"/>
        <v>35.979540549106673</v>
      </c>
      <c r="AI11" s="46">
        <f t="shared" si="6"/>
        <v>35.34505897384561</v>
      </c>
      <c r="AJ11" s="46">
        <f t="shared" si="6"/>
        <v>32.344653993684013</v>
      </c>
      <c r="AK11" s="46">
        <f t="shared" si="6"/>
        <v>33.038888928714236</v>
      </c>
      <c r="AL11" s="46">
        <f t="shared" ref="AL11:BN11" si="7">SUM(AL12:AL18)</f>
        <v>33.434375996199392</v>
      </c>
      <c r="AM11" s="46">
        <f t="shared" si="7"/>
        <v>33.762921162880843</v>
      </c>
      <c r="AN11" s="46">
        <f t="shared" si="7"/>
        <v>34.1976915799899</v>
      </c>
      <c r="AO11" s="46">
        <f t="shared" si="7"/>
        <v>34.997759218573641</v>
      </c>
      <c r="AP11" s="46">
        <f t="shared" si="7"/>
        <v>35.881205311999743</v>
      </c>
      <c r="AQ11" s="46">
        <f t="shared" si="7"/>
        <v>36.848038348147462</v>
      </c>
      <c r="AR11" s="46">
        <f t="shared" si="7"/>
        <v>37.659253298243414</v>
      </c>
      <c r="AS11" s="46">
        <f t="shared" si="7"/>
        <v>38.627207829124714</v>
      </c>
      <c r="AT11" s="46">
        <f t="shared" si="7"/>
        <v>39.786759978813308</v>
      </c>
      <c r="AU11" s="46">
        <f t="shared" si="7"/>
        <v>40.899173048333871</v>
      </c>
      <c r="AV11" s="46">
        <f t="shared" si="7"/>
        <v>42.06144739195927</v>
      </c>
      <c r="AW11" s="46">
        <f t="shared" si="7"/>
        <v>43.241195511104586</v>
      </c>
      <c r="AX11" s="46">
        <f t="shared" si="7"/>
        <v>44.574042507569288</v>
      </c>
      <c r="AY11" s="46">
        <f t="shared" si="7"/>
        <v>45.702446375301591</v>
      </c>
      <c r="AZ11" s="46">
        <f t="shared" si="7"/>
        <v>46.904152849636155</v>
      </c>
      <c r="BA11" s="46">
        <f t="shared" si="7"/>
        <v>48.118615134329282</v>
      </c>
      <c r="BB11" s="46">
        <f t="shared" si="7"/>
        <v>49.252159170956347</v>
      </c>
      <c r="BC11" s="46">
        <f t="shared" si="7"/>
        <v>50.369244996265479</v>
      </c>
      <c r="BD11" s="46">
        <f t="shared" si="7"/>
        <v>51.526508754292294</v>
      </c>
      <c r="BE11" s="46">
        <f t="shared" si="7"/>
        <v>52.744119548536247</v>
      </c>
      <c r="BF11" s="46">
        <f t="shared" si="7"/>
        <v>53.855478375043745</v>
      </c>
      <c r="BG11" s="46">
        <f t="shared" si="7"/>
        <v>54.973160646629857</v>
      </c>
      <c r="BH11" s="46">
        <f t="shared" si="7"/>
        <v>56.099725313897792</v>
      </c>
      <c r="BI11" s="46">
        <f t="shared" si="7"/>
        <v>57.312688629719837</v>
      </c>
      <c r="BJ11" s="46">
        <f t="shared" si="7"/>
        <v>58.548615843037688</v>
      </c>
      <c r="BK11" s="46">
        <f t="shared" si="7"/>
        <v>59.054951040418274</v>
      </c>
      <c r="BL11" s="46">
        <f t="shared" si="7"/>
        <v>59.505881261932124</v>
      </c>
      <c r="BM11" s="46">
        <f t="shared" si="7"/>
        <v>60.047221728751438</v>
      </c>
      <c r="BN11" s="46">
        <f t="shared" si="7"/>
        <v>60.541597435348791</v>
      </c>
    </row>
    <row r="12" spans="1:72" x14ac:dyDescent="0.25">
      <c r="A12" t="str">
        <f>A10</f>
        <v>3A Livestock</v>
      </c>
      <c r="B12" t="str">
        <f>'IPCC Categories'!B12</f>
        <v>3A2 Manure management (CH4)</v>
      </c>
      <c r="C12" t="str">
        <f>'IPCC Categories'!C20</f>
        <v>3A2a Cattle</v>
      </c>
      <c r="D12" t="str">
        <f>D10</f>
        <v>CH4</v>
      </c>
      <c r="E12" t="str">
        <f>E10</f>
        <v>Gg CH4</v>
      </c>
      <c r="F12" s="28">
        <f>SUM(Emissions!H18:H23)</f>
        <v>8.7411879732159203</v>
      </c>
      <c r="G12" s="28">
        <f>SUM(Emissions!I18:I23)</f>
        <v>9.975428544318282</v>
      </c>
      <c r="H12" s="28">
        <f>SUM(Emissions!J18:J23)</f>
        <v>8.7049393037396534</v>
      </c>
      <c r="I12" s="28">
        <f>SUM(Emissions!K18:K23)</f>
        <v>9.1866288543050949</v>
      </c>
      <c r="J12" s="28">
        <f>SUM(Emissions!L18:L23)</f>
        <v>8.5387883014234216</v>
      </c>
      <c r="K12" s="28">
        <f>SUM(Emissions!M18:M23)</f>
        <v>9.1047703582547079</v>
      </c>
      <c r="L12" s="28">
        <f>SUM(Emissions!N18:N23)</f>
        <v>9.1488551241771336</v>
      </c>
      <c r="M12" s="28">
        <f>SUM(Emissions!O18:O23)</f>
        <v>8.8467258594312526</v>
      </c>
      <c r="N12" s="28">
        <f>SUM(Emissions!P18:P23)</f>
        <v>8.7366188809270806</v>
      </c>
      <c r="O12" s="28">
        <f>SUM(Emissions!Q18:Q23)</f>
        <v>8.6199113361492632</v>
      </c>
      <c r="P12" s="28">
        <f>SUM(Emissions!R18:R23)</f>
        <v>10.914641044652543</v>
      </c>
      <c r="Q12" s="28">
        <f>SUM(Emissions!S18:S23)</f>
        <v>10.875335802478894</v>
      </c>
      <c r="R12" s="28">
        <f>SUM(Emissions!T18:T23)</f>
        <v>9.5759431074378831</v>
      </c>
      <c r="S12" s="28">
        <f>SUM(Emissions!U18:U23)</f>
        <v>8.7330292709988893</v>
      </c>
      <c r="T12" s="28">
        <f>SUM(Emissions!V18:V23)</f>
        <v>8.4376183222193628</v>
      </c>
      <c r="U12" s="28">
        <f>SUM(Emissions!W18:W23)</f>
        <v>9.0020345528971131</v>
      </c>
      <c r="V12" s="28">
        <f>SUM(Emissions!X18:X23)</f>
        <v>8.8216264657665526</v>
      </c>
      <c r="W12" s="28">
        <f>SUM(Emissions!Y18:Y23)</f>
        <v>8.775466165479612</v>
      </c>
      <c r="X12" s="28">
        <f>SUM(Emissions!Z18:Z23)</f>
        <v>10.574651313182118</v>
      </c>
      <c r="Y12" s="28">
        <f>SUM(Emissions!AA18:AA23)</f>
        <v>10.837506153958151</v>
      </c>
      <c r="Z12" s="28">
        <f>SUM(Emissions!AB18:AB23)</f>
        <v>10.835280189588559</v>
      </c>
      <c r="AA12" s="28">
        <f>SUM(Emissions!AC18:AC23)</f>
        <v>10.50406860380672</v>
      </c>
      <c r="AB12" s="28">
        <f>SUM(Emissions!AD18:AD23)</f>
        <v>10.526196137117998</v>
      </c>
      <c r="AC12" s="28">
        <f>SUM(Emissions!AE18:AE23)</f>
        <v>10.609745251222492</v>
      </c>
      <c r="AD12" s="28">
        <f>SUM(Emissions!AF18:AF23)</f>
        <v>10.682445699431332</v>
      </c>
      <c r="AE12" s="28">
        <f>SUM(Emissions!AG18:AG23)</f>
        <v>10.693223941100454</v>
      </c>
      <c r="AF12" s="28">
        <f>SUM(Emissions!AH18:AH23)</f>
        <v>10.709741270445058</v>
      </c>
      <c r="AG12" s="28">
        <f>SUM(Emissions!AI18:AI23)</f>
        <v>10.799732750873689</v>
      </c>
      <c r="AH12" s="28">
        <f>SUM(Emissions!AJ18:AJ23)</f>
        <v>10.871345480968387</v>
      </c>
      <c r="AI12" s="28">
        <f>SUM(Emissions!AK18:AK23)</f>
        <v>10.8711720358226</v>
      </c>
      <c r="AJ12" s="28">
        <f>SUM(Emissions!AL18:AL23)</f>
        <v>10.544541665973354</v>
      </c>
      <c r="AK12" s="28">
        <f>SUM(Emissions!AM18:AM23)</f>
        <v>10.703088427301639</v>
      </c>
      <c r="AL12" s="28">
        <f>SUM(Emissions!AN18:AN23)</f>
        <v>10.823211212549301</v>
      </c>
      <c r="AM12" s="28">
        <f>SUM(Emissions!AO18:AO23)</f>
        <v>10.936385564720965</v>
      </c>
      <c r="AN12" s="28">
        <f>SUM(Emissions!AP18:AP23)</f>
        <v>11.067311347973813</v>
      </c>
      <c r="AO12" s="28">
        <f>SUM(Emissions!AQ18:AQ23)</f>
        <v>11.254593928913131</v>
      </c>
      <c r="AP12" s="28">
        <f>SUM(Emissions!AR18:AR23)</f>
        <v>11.45094703104836</v>
      </c>
      <c r="AQ12" s="28">
        <f>SUM(Emissions!AS18:AS23)</f>
        <v>11.664080869984806</v>
      </c>
      <c r="AR12" s="28">
        <f>SUM(Emissions!AT18:AT23)</f>
        <v>11.85800047190563</v>
      </c>
      <c r="AS12" s="28">
        <f>SUM(Emissions!AU18:AU23)</f>
        <v>12.080014574738664</v>
      </c>
      <c r="AT12" s="28">
        <f>SUM(Emissions!AV18:AV23)</f>
        <v>12.336419314877464</v>
      </c>
      <c r="AU12" s="28">
        <f>SUM(Emissions!AW18:AW23)</f>
        <v>12.585375862428844</v>
      </c>
      <c r="AV12" s="28">
        <f>SUM(Emissions!AX18:AX23)</f>
        <v>12.847363352201391</v>
      </c>
      <c r="AW12" s="28">
        <f>SUM(Emissions!AY18:AY23)</f>
        <v>13.117433256141718</v>
      </c>
      <c r="AX12" s="28">
        <f>SUM(Emissions!AZ18:AZ23)</f>
        <v>13.417887659441474</v>
      </c>
      <c r="AY12" s="28">
        <f>SUM(Emissions!BA18:BA23)</f>
        <v>13.690443322850539</v>
      </c>
      <c r="AZ12" s="28">
        <f>SUM(Emissions!BB18:BB23)</f>
        <v>13.974962326268097</v>
      </c>
      <c r="BA12" s="28">
        <f>SUM(Emissions!BC18:BC23)</f>
        <v>14.267111145921927</v>
      </c>
      <c r="BB12" s="28">
        <f>SUM(Emissions!BD18:BD23)</f>
        <v>14.550956921603104</v>
      </c>
      <c r="BC12" s="28">
        <f>SUM(Emissions!BE18:BE23)</f>
        <v>14.837229182505558</v>
      </c>
      <c r="BD12" s="28">
        <f>SUM(Emissions!BF18:BF23)</f>
        <v>15.135785478343452</v>
      </c>
      <c r="BE12" s="28">
        <f>SUM(Emissions!BG18:BG23)</f>
        <v>15.444806424393388</v>
      </c>
      <c r="BF12" s="28">
        <f>SUM(Emissions!BH18:BH23)</f>
        <v>15.740469963846659</v>
      </c>
      <c r="BG12" s="28">
        <f>SUM(Emissions!BI18:BI23)</f>
        <v>16.04256612472896</v>
      </c>
      <c r="BH12" s="28">
        <f>SUM(Emissions!BJ18:BJ23)</f>
        <v>16.351647497772959</v>
      </c>
      <c r="BI12" s="28">
        <f>SUM(Emissions!BK18:BK23)</f>
        <v>16.682146784780393</v>
      </c>
      <c r="BJ12" s="28">
        <f>SUM(Emissions!BL18:BL23)</f>
        <v>17.017708758158495</v>
      </c>
      <c r="BK12" s="28">
        <f>SUM(Emissions!BM18:BM23)</f>
        <v>17.221475011367453</v>
      </c>
      <c r="BL12" s="28">
        <f>SUM(Emissions!BN18:BN23)</f>
        <v>17.417773214758959</v>
      </c>
      <c r="BM12" s="28">
        <f>SUM(Emissions!BO18:BO23)</f>
        <v>17.63442981404274</v>
      </c>
      <c r="BN12" s="28">
        <f>SUM(Emissions!BP18:BP23)</f>
        <v>17.845251702456878</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8">
        <f>SUM(Emissions!H24:H25)</f>
        <v>6.2894599121782607E-2</v>
      </c>
      <c r="G13" s="28">
        <f>SUM(Emissions!I24:I25)</f>
        <v>6.0066555504044758E-2</v>
      </c>
      <c r="H13" s="28">
        <f>SUM(Emissions!J24:J25)</f>
        <v>5.7584674495303009E-2</v>
      </c>
      <c r="I13" s="28">
        <f>SUM(Emissions!K24:K25)</f>
        <v>5.3854510138969261E-2</v>
      </c>
      <c r="J13" s="28">
        <f>SUM(Emissions!L24:L25)</f>
        <v>5.4234240031261954E-2</v>
      </c>
      <c r="K13" s="28">
        <f>SUM(Emissions!M24:M25)</f>
        <v>5.3457996605028271E-2</v>
      </c>
      <c r="L13" s="28">
        <f>SUM(Emissions!N24:N25)</f>
        <v>5.3636322797541415E-2</v>
      </c>
      <c r="M13" s="28">
        <f>SUM(Emissions!O24:O25)</f>
        <v>5.2469859702984858E-2</v>
      </c>
      <c r="N13" s="28">
        <f>SUM(Emissions!P24:P25)</f>
        <v>5.2614618612201423E-2</v>
      </c>
      <c r="O13" s="28">
        <f>SUM(Emissions!Q24:Q25)</f>
        <v>5.1322278205282637E-2</v>
      </c>
      <c r="P13" s="28">
        <f>SUM(Emissions!R24:R25)</f>
        <v>4.9482371489588214E-2</v>
      </c>
      <c r="Q13" s="28">
        <f>SUM(Emissions!S24:S25)</f>
        <v>4.8248773828438465E-2</v>
      </c>
      <c r="R13" s="28">
        <f>SUM(Emissions!T24:T25)</f>
        <v>4.7443159029320267E-2</v>
      </c>
      <c r="S13" s="28">
        <f>SUM(Emissions!U24:U25)</f>
        <v>4.7608897490597185E-2</v>
      </c>
      <c r="T13" s="28">
        <f>SUM(Emissions!V24:V25)</f>
        <v>4.6761323587358246E-2</v>
      </c>
      <c r="U13" s="28">
        <f>SUM(Emissions!W24:W25)</f>
        <v>4.6650131961438294E-2</v>
      </c>
      <c r="V13" s="28">
        <f>SUM(Emissions!X24:X25)</f>
        <v>4.6039626996481529E-2</v>
      </c>
      <c r="W13" s="28">
        <f>SUM(Emissions!Y24:Y25)</f>
        <v>4.5995569937154757E-2</v>
      </c>
      <c r="X13" s="28">
        <f>SUM(Emissions!Z24:Z25)</f>
        <v>4.6144524756783378E-2</v>
      </c>
      <c r="Y13" s="28">
        <f>SUM(Emissions!AA24:AA25)</f>
        <v>4.5980884250712492E-2</v>
      </c>
      <c r="Z13" s="28">
        <f>SUM(Emissions!AB24:AB25)</f>
        <v>4.5091351243352819E-2</v>
      </c>
      <c r="AA13" s="28">
        <f>SUM(Emissions!AC24:AC25)</f>
        <v>4.4738894768738595E-2</v>
      </c>
      <c r="AB13" s="28">
        <f>SUM(Emissions!AD24:AD25)</f>
        <v>4.0166488283782435E-2</v>
      </c>
      <c r="AC13" s="28">
        <f>SUM(Emissions!AE24:AE25)</f>
        <v>4.0188165371809373E-2</v>
      </c>
      <c r="AD13" s="28">
        <f>SUM(Emissions!AF24:AF25)</f>
        <v>4.023799914899804E-2</v>
      </c>
      <c r="AE13" s="28">
        <f>SUM(Emissions!AG24:AG25)</f>
        <v>4.031198203395478E-2</v>
      </c>
      <c r="AF13" s="28">
        <f>SUM(Emissions!AH24:AH25)</f>
        <v>4.0411838765967087E-2</v>
      </c>
      <c r="AG13" s="28">
        <f>SUM(Emissions!AI24:AI25)</f>
        <v>4.0539576191914159E-2</v>
      </c>
      <c r="AH13" s="28">
        <f>SUM(Emissions!AJ24:AJ25)</f>
        <v>4.0680329546835925E-2</v>
      </c>
      <c r="AI13" s="28">
        <f>SUM(Emissions!AK24:AK25)</f>
        <v>4.083191270938287E-2</v>
      </c>
      <c r="AJ13" s="28">
        <f>SUM(Emissions!AL24:AL25)</f>
        <v>4.098209239671502E-2</v>
      </c>
      <c r="AK13" s="28">
        <f>SUM(Emissions!AM24:AM25)</f>
        <v>4.1043552625018159E-2</v>
      </c>
      <c r="AL13" s="28">
        <f>SUM(Emissions!AN24:AN25)</f>
        <v>4.1113342622450068E-2</v>
      </c>
      <c r="AM13" s="28">
        <f>SUM(Emissions!AO24:AO25)</f>
        <v>4.1192270171244189E-2</v>
      </c>
      <c r="AN13" s="28">
        <f>SUM(Emissions!AP24:AP25)</f>
        <v>4.1280907802886166E-2</v>
      </c>
      <c r="AO13" s="28">
        <f>SUM(Emissions!AQ24:AQ25)</f>
        <v>4.1380508650808709E-2</v>
      </c>
      <c r="AP13" s="28">
        <f>SUM(Emissions!AR24:AR25)</f>
        <v>4.1443133325484036E-2</v>
      </c>
      <c r="AQ13" s="28">
        <f>SUM(Emissions!AS24:AS25)</f>
        <v>4.15136518972965E-2</v>
      </c>
      <c r="AR13" s="28">
        <f>SUM(Emissions!AT24:AT25)</f>
        <v>4.1590101737420122E-2</v>
      </c>
      <c r="AS13" s="28">
        <f>SUM(Emissions!AU24:AU25)</f>
        <v>4.1674275202987013E-2</v>
      </c>
      <c r="AT13" s="28">
        <f>SUM(Emissions!AV24:AV25)</f>
        <v>4.17661626557006E-2</v>
      </c>
      <c r="AU13" s="28">
        <f>SUM(Emissions!AW24:AW25)</f>
        <v>4.1826981163946404E-2</v>
      </c>
      <c r="AV13" s="28">
        <f>SUM(Emissions!AX24:AX25)</f>
        <v>4.1893716963360451E-2</v>
      </c>
      <c r="AW13" s="28">
        <f>SUM(Emissions!AY24:AY25)</f>
        <v>4.1965921742962389E-2</v>
      </c>
      <c r="AX13" s="28">
        <f>SUM(Emissions!AZ24:AZ25)</f>
        <v>4.2044377124726945E-2</v>
      </c>
      <c r="AY13" s="28">
        <f>SUM(Emissions!BA24:BA25)</f>
        <v>4.2126306776579102E-2</v>
      </c>
      <c r="AZ13" s="28">
        <f>SUM(Emissions!BB24:BB25)</f>
        <v>4.2178723152207762E-2</v>
      </c>
      <c r="BA13" s="28">
        <f>SUM(Emissions!BC24:BC25)</f>
        <v>4.2235585985169265E-2</v>
      </c>
      <c r="BB13" s="28">
        <f>SUM(Emissions!BD24:BD25)</f>
        <v>4.2296034090238632E-2</v>
      </c>
      <c r="BC13" s="28">
        <f>SUM(Emissions!BE24:BE25)</f>
        <v>4.2360398362860804E-2</v>
      </c>
      <c r="BD13" s="28">
        <f>SUM(Emissions!BF24:BF25)</f>
        <v>4.2428980333308365E-2</v>
      </c>
      <c r="BE13" s="28">
        <f>SUM(Emissions!BG24:BG25)</f>
        <v>4.2469401587613413E-2</v>
      </c>
      <c r="BF13" s="28">
        <f>SUM(Emissions!BH24:BH25)</f>
        <v>4.2512471357360818E-2</v>
      </c>
      <c r="BG13" s="28">
        <f>SUM(Emissions!BI24:BI25)</f>
        <v>4.2558948638289275E-2</v>
      </c>
      <c r="BH13" s="28">
        <f>SUM(Emissions!BJ24:BJ25)</f>
        <v>4.2608751441212352E-2</v>
      </c>
      <c r="BI13" s="28">
        <f>SUM(Emissions!BK24:BK25)</f>
        <v>4.2662414471477887E-2</v>
      </c>
      <c r="BJ13" s="28">
        <f>SUM(Emissions!BL24:BL25)</f>
        <v>4.2686600365663206E-2</v>
      </c>
      <c r="BK13" s="28">
        <f>SUM(Emissions!BM24:BM25)</f>
        <v>4.2707593416590646E-2</v>
      </c>
      <c r="BL13" s="28">
        <f>SUM(Emissions!BN24:BN25)</f>
        <v>4.2730769098322595E-2</v>
      </c>
      <c r="BM13" s="28">
        <f>SUM(Emissions!BO24:BO25)</f>
        <v>4.2757265194529805E-2</v>
      </c>
      <c r="BN13" s="28">
        <f>SUM(Emissions!BP24:BP25)</f>
        <v>4.2785857554838075E-2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8">
        <f>SUM(Emissions!H26:H27)</f>
        <v>5.7474022342600642E-2</v>
      </c>
      <c r="G14" s="28">
        <f>SUM(Emissions!I26:I27)</f>
        <v>5.0823279310165601E-2</v>
      </c>
      <c r="H14" s="28">
        <f>SUM(Emissions!J26:J27)</f>
        <v>4.7342516601601464E-2</v>
      </c>
      <c r="I14" s="28">
        <f>SUM(Emissions!K26:K27)</f>
        <v>4.4731944570178372E-2</v>
      </c>
      <c r="J14" s="28">
        <f>SUM(Emissions!L26:L27)</f>
        <v>4.8419895535204649E-2</v>
      </c>
      <c r="K14" s="28">
        <f>SUM(Emissions!M26:M27)</f>
        <v>4.9082897955883539E-2</v>
      </c>
      <c r="L14" s="28">
        <f>SUM(Emissions!N26:N27)</f>
        <v>4.9849494504793493E-2</v>
      </c>
      <c r="M14" s="28">
        <f>SUM(Emissions!O26:O27)</f>
        <v>4.9600868597038911E-2</v>
      </c>
      <c r="N14" s="28">
        <f>SUM(Emissions!P26:P27)</f>
        <v>4.8896428525067599E-2</v>
      </c>
      <c r="O14" s="28">
        <f>SUM(Emissions!Q26:Q27)</f>
        <v>4.8171269627450081E-2</v>
      </c>
      <c r="P14" s="28">
        <f>SUM(Emissions!R26:R27)</f>
        <v>4.8792834396836522E-2</v>
      </c>
      <c r="Q14" s="28">
        <f>SUM(Emissions!S26:S27)</f>
        <v>5.0284589843364008E-2</v>
      </c>
      <c r="R14" s="28">
        <f>SUM(Emissions!T26:T27)</f>
        <v>4.5912917632012634E-2</v>
      </c>
      <c r="S14" s="28">
        <f>SUM(Emissions!U26:U27)</f>
        <v>4.475266339582458E-2</v>
      </c>
      <c r="T14" s="28">
        <f>SUM(Emissions!V26:V27)</f>
        <v>4.4835538698409449E-2</v>
      </c>
      <c r="U14" s="28">
        <f>SUM(Emissions!W26:W27)</f>
        <v>4.4255411580315415E-2</v>
      </c>
      <c r="V14" s="28">
        <f>SUM(Emissions!X26:X27)</f>
        <v>4.5187758734395102E-2</v>
      </c>
      <c r="W14" s="28">
        <f>SUM(Emissions!Y26:Y27)</f>
        <v>4.3841035067391121E-2</v>
      </c>
      <c r="X14" s="28">
        <f>SUM(Emissions!Z26:Z27)</f>
        <v>4.3799597416098693E-2</v>
      </c>
      <c r="Y14" s="28">
        <f>SUM(Emissions!AA26:AA27)</f>
        <v>4.3033000867188732E-2</v>
      </c>
      <c r="Z14" s="28">
        <f>SUM(Emissions!AB26:AB27)</f>
        <v>4.2515030226033354E-2</v>
      </c>
      <c r="AA14" s="28">
        <f>SUM(Emissions!AC26:AC27)</f>
        <v>4.2121372538755267E-2</v>
      </c>
      <c r="AB14" s="28">
        <f>SUM(Emissions!AD26:AD27)</f>
        <v>4.2372169597710105E-2</v>
      </c>
      <c r="AC14" s="28">
        <f>SUM(Emissions!AE26:AE27)</f>
        <v>4.2482301911799372E-2</v>
      </c>
      <c r="AD14" s="28">
        <f>SUM(Emissions!AF26:AF27)</f>
        <v>4.2630817484941505E-2</v>
      </c>
      <c r="AE14" s="28">
        <f>SUM(Emissions!AG26:AG27)</f>
        <v>4.2811705682501609E-2</v>
      </c>
      <c r="AF14" s="28">
        <f>SUM(Emissions!AH26:AH27)</f>
        <v>4.3028366107910512E-2</v>
      </c>
      <c r="AG14" s="28">
        <f>SUM(Emissions!AI26:AI27)</f>
        <v>4.3284508748877376E-2</v>
      </c>
      <c r="AH14" s="28">
        <f>SUM(Emissions!AJ26:AJ27)</f>
        <v>4.3555969396976868E-2</v>
      </c>
      <c r="AI14" s="28">
        <f>SUM(Emissions!AK26:AK27)</f>
        <v>4.3839571745148923E-2</v>
      </c>
      <c r="AJ14" s="28">
        <f>SUM(Emissions!AL26:AL27)</f>
        <v>4.4115675663515597E-2</v>
      </c>
      <c r="AK14" s="28">
        <f>SUM(Emissions!AM26:AM27)</f>
        <v>4.424231319467703E-2</v>
      </c>
      <c r="AL14" s="28">
        <f>SUM(Emissions!AN26:AN27)</f>
        <v>4.4378878737709251E-2</v>
      </c>
      <c r="AM14" s="28">
        <f>SUM(Emissions!AO26:AO27)</f>
        <v>4.4526893594161385E-2</v>
      </c>
      <c r="AN14" s="28">
        <f>SUM(Emissions!AP26:AP27)</f>
        <v>4.4687453485315935E-2</v>
      </c>
      <c r="AO14" s="28">
        <f>SUM(Emissions!AQ26:AQ27)</f>
        <v>4.486271839426987E-2</v>
      </c>
      <c r="AP14" s="28">
        <f>SUM(Emissions!AR26:AR27)</f>
        <v>4.4975524896607819E-2</v>
      </c>
      <c r="AQ14" s="28">
        <f>SUM(Emissions!AS26:AS27)</f>
        <v>4.5098628990843895E-2</v>
      </c>
      <c r="AR14" s="28">
        <f>SUM(Emissions!AT26:AT27)</f>
        <v>4.522896847558866E-2</v>
      </c>
      <c r="AS14" s="28">
        <f>SUM(Emissions!AU26:AU27)</f>
        <v>4.5369506640235549E-2</v>
      </c>
      <c r="AT14" s="28">
        <f>SUM(Emissions!AV26:AV27)</f>
        <v>4.5520290862521094E-2</v>
      </c>
      <c r="AU14" s="28">
        <f>SUM(Emissions!AW26:AW27)</f>
        <v>4.5619538948445962E-2</v>
      </c>
      <c r="AV14" s="28">
        <f>SUM(Emissions!AX26:AX27)</f>
        <v>4.5726522438155545E-2</v>
      </c>
      <c r="AW14" s="28">
        <f>SUM(Emissions!AY26:AY27)</f>
        <v>4.5840575315392568E-2</v>
      </c>
      <c r="AX14" s="28">
        <f>SUM(Emissions!AZ26:AZ27)</f>
        <v>4.5962979507244983E-2</v>
      </c>
      <c r="AY14" s="28">
        <f>SUM(Emissions!BA26:BA27)</f>
        <v>4.6089373273864906E-2</v>
      </c>
      <c r="AZ14" s="28">
        <f>SUM(Emissions!BB26:BB27)</f>
        <v>4.6167726583670674E-2</v>
      </c>
      <c r="BA14" s="28">
        <f>SUM(Emissions!BC26:BC27)</f>
        <v>4.6251890241949589E-2</v>
      </c>
      <c r="BB14" s="28">
        <f>SUM(Emissions!BD26:BD27)</f>
        <v>4.6340535548289902E-2</v>
      </c>
      <c r="BC14" s="28">
        <f>SUM(Emissions!BE26:BE27)</f>
        <v>4.6434211487869352E-2</v>
      </c>
      <c r="BD14" s="28">
        <f>SUM(Emissions!BF26:BF27)</f>
        <v>4.653341369718321E-2</v>
      </c>
      <c r="BE14" s="28">
        <f>SUM(Emissions!BG26:BG27)</f>
        <v>4.6587504489709997E-2</v>
      </c>
      <c r="BF14" s="28">
        <f>SUM(Emissions!BH26:BH27)</f>
        <v>4.6644879430014302E-2</v>
      </c>
      <c r="BG14" s="28">
        <f>SUM(Emissions!BI26:BI27)</f>
        <v>4.6706742750419306E-2</v>
      </c>
      <c r="BH14" s="28">
        <f>SUM(Emissions!BJ26:BJ27)</f>
        <v>4.6772979359700262E-2</v>
      </c>
      <c r="BI14" s="28">
        <f>SUM(Emissions!BK26:BK27)</f>
        <v>4.6844431280952545E-2</v>
      </c>
      <c r="BJ14" s="28">
        <f>SUM(Emissions!BL26:BL27)</f>
        <v>4.6869389462044345E-2</v>
      </c>
      <c r="BK14" s="28">
        <f>SUM(Emissions!BM26:BM27)</f>
        <v>4.6888817882323436E-2</v>
      </c>
      <c r="BL14" s="28">
        <f>SUM(Emissions!BN26:BN27)</f>
        <v>4.6911080073778991E-2</v>
      </c>
      <c r="BM14" s="28">
        <f>SUM(Emissions!BO26:BO27)</f>
        <v>4.693794215283259E-2</v>
      </c>
      <c r="BN14" s="28">
        <f>SUM(Emissions!BP26:BP27)</f>
        <v>4.6967517442640251E-2</v>
      </c>
    </row>
    <row r="15" spans="1:72" x14ac:dyDescent="0.25">
      <c r="A15" t="str">
        <f t="shared" si="2"/>
        <v>3A Livestock</v>
      </c>
      <c r="B15" t="str">
        <f t="shared" si="10"/>
        <v>3A2 Manure management (CH4)</v>
      </c>
      <c r="C15" t="str">
        <f>'IPCC Categories'!C24</f>
        <v>3A2f Horses</v>
      </c>
      <c r="D15" t="str">
        <f t="shared" si="8"/>
        <v>CH4</v>
      </c>
      <c r="E15" t="str">
        <f t="shared" si="9"/>
        <v>Gg CH4</v>
      </c>
      <c r="F15" s="28">
        <f>Emissions!H28</f>
        <v>3.0819999999999997E-3</v>
      </c>
      <c r="G15" s="28">
        <f>Emissions!I28</f>
        <v>3.0819999999999997E-3</v>
      </c>
      <c r="H15" s="28">
        <f>Emissions!J28</f>
        <v>3.0819999999999997E-3</v>
      </c>
      <c r="I15" s="28">
        <f>Emissions!K28</f>
        <v>3.1489999999999999E-3</v>
      </c>
      <c r="J15" s="28">
        <f>Emissions!L28</f>
        <v>3.2159999999999997E-3</v>
      </c>
      <c r="K15" s="28">
        <f>Emissions!M28</f>
        <v>3.2829999999999999E-3</v>
      </c>
      <c r="L15" s="28">
        <f>Emissions!N28</f>
        <v>3.3499999999999997E-3</v>
      </c>
      <c r="M15" s="28">
        <f>Emissions!O28</f>
        <v>3.4169999999999999E-3</v>
      </c>
      <c r="N15" s="28">
        <f>Emissions!P28</f>
        <v>3.4839999999999997E-3</v>
      </c>
      <c r="O15" s="28">
        <f>Emissions!Q28</f>
        <v>3.4572000000000001E-3</v>
      </c>
      <c r="P15" s="28">
        <f>Emissions!R28</f>
        <v>3.6179999999999997E-3</v>
      </c>
      <c r="Q15" s="28">
        <f>Emissions!S28</f>
        <v>3.6179999999999997E-3</v>
      </c>
      <c r="R15" s="28">
        <f>Emissions!T28</f>
        <v>3.6179999999999997E-3</v>
      </c>
      <c r="S15" s="28">
        <f>Emissions!U28</f>
        <v>3.6179999999999997E-3</v>
      </c>
      <c r="T15" s="28">
        <f>Emissions!V28</f>
        <v>3.6179999999999997E-3</v>
      </c>
      <c r="U15" s="28">
        <f>Emissions!W28</f>
        <v>3.6179999999999997E-3</v>
      </c>
      <c r="V15" s="28">
        <f>Emissions!X28</f>
        <v>3.7519999999999997E-3</v>
      </c>
      <c r="W15" s="28">
        <f>Emissions!Y28</f>
        <v>3.8859999999999997E-3</v>
      </c>
      <c r="X15" s="28">
        <f>Emissions!Z28</f>
        <v>3.9931999999999997E-3</v>
      </c>
      <c r="Y15" s="28">
        <f>Emissions!AA28</f>
        <v>4.0200000000000001E-3</v>
      </c>
      <c r="Z15" s="28">
        <f>Emissions!AB28</f>
        <v>4.0200000000000001E-3</v>
      </c>
      <c r="AA15" s="28">
        <f>Emissions!AC28</f>
        <v>4.0869999999999995E-3</v>
      </c>
      <c r="AB15" s="28">
        <f>Emissions!AD28</f>
        <v>4.1409780786531561E-3</v>
      </c>
      <c r="AC15" s="28">
        <f>Emissions!AE28</f>
        <v>4.1688671764084162E-3</v>
      </c>
      <c r="AD15" s="28">
        <f>Emissions!AF28</f>
        <v>4.1857409403688933E-3</v>
      </c>
      <c r="AE15" s="28">
        <f>Emissions!AG28</f>
        <v>4.1635395322190223E-3</v>
      </c>
      <c r="AF15" s="28">
        <f>Emissions!AH28</f>
        <v>4.1408513683072233E-3</v>
      </c>
      <c r="AG15" s="28">
        <f>Emissions!AI28</f>
        <v>4.1549094768624506E-3</v>
      </c>
      <c r="AH15" s="28">
        <f>Emissions!AJ28</f>
        <v>4.1567255728426969E-3</v>
      </c>
      <c r="AI15" s="28">
        <f>Emissions!AK28</f>
        <v>4.1179597585422178E-3</v>
      </c>
      <c r="AJ15" s="28">
        <f>Emissions!AL28</f>
        <v>3.9049943158389311E-3</v>
      </c>
      <c r="AK15" s="28">
        <f>Emissions!AM28</f>
        <v>3.9699795028704365E-3</v>
      </c>
      <c r="AL15" s="28">
        <f>Emissions!AN28</f>
        <v>4.0126860665387013E-3</v>
      </c>
      <c r="AM15" s="28">
        <f>Emissions!AO28</f>
        <v>4.0499492305839649E-3</v>
      </c>
      <c r="AN15" s="28">
        <f>Emissions!AP28</f>
        <v>4.09467284204442E-3</v>
      </c>
      <c r="AO15" s="28">
        <f>Emissions!AQ28</f>
        <v>4.1665387441703824E-3</v>
      </c>
      <c r="AP15" s="28">
        <f>Emissions!AR28</f>
        <v>4.248702300747329E-3</v>
      </c>
      <c r="AQ15" s="28">
        <f>Emissions!AS28</f>
        <v>4.3374921923911899E-3</v>
      </c>
      <c r="AR15" s="28">
        <f>Emissions!AT28</f>
        <v>4.414637811470782E-3</v>
      </c>
      <c r="AS15" s="28">
        <f>Emissions!AU28</f>
        <v>4.5040673251205239E-3</v>
      </c>
      <c r="AT15" s="28">
        <f>Emissions!AV28</f>
        <v>4.6087014569709678E-3</v>
      </c>
      <c r="AU15" s="28">
        <f>Emissions!AW28</f>
        <v>4.7138573349945522E-3</v>
      </c>
      <c r="AV15" s="28">
        <f>Emissions!AX28</f>
        <v>4.8236014553834257E-3</v>
      </c>
      <c r="AW15" s="28">
        <f>Emissions!AY28</f>
        <v>4.9354202086686252E-3</v>
      </c>
      <c r="AX15" s="28">
        <f>Emissions!AZ28</f>
        <v>5.0601637107160246E-3</v>
      </c>
      <c r="AY15" s="28">
        <f>Emissions!BA28</f>
        <v>5.1692799161183493E-3</v>
      </c>
      <c r="AZ15" s="28">
        <f>Emissions!BB28</f>
        <v>5.2891896269508833E-3</v>
      </c>
      <c r="BA15" s="28">
        <f>Emissions!BC28</f>
        <v>5.4110891568061297E-3</v>
      </c>
      <c r="BB15" s="28">
        <f>Emissions!BD28</f>
        <v>5.5272908454311459E-3</v>
      </c>
      <c r="BC15" s="28">
        <f>Emissions!BE28</f>
        <v>5.6429797772661562E-3</v>
      </c>
      <c r="BD15" s="28">
        <f>Emissions!BF28</f>
        <v>5.7628358631585681E-3</v>
      </c>
      <c r="BE15" s="28">
        <f>Emissions!BG28</f>
        <v>5.8932639862966018E-3</v>
      </c>
      <c r="BF15" s="28">
        <f>Emissions!BH28</f>
        <v>6.015926079762964E-3</v>
      </c>
      <c r="BG15" s="28">
        <f>Emissions!BI28</f>
        <v>6.1402055338910435E-3</v>
      </c>
      <c r="BH15" s="28">
        <f>Emissions!BJ28</f>
        <v>6.266331762949981E-3</v>
      </c>
      <c r="BI15" s="28">
        <f>Emissions!BK28</f>
        <v>6.4010164026291104E-3</v>
      </c>
      <c r="BJ15" s="28">
        <f>Emissions!BL28</f>
        <v>6.544222904657609E-3</v>
      </c>
      <c r="BK15" s="28">
        <f>Emissions!BM28</f>
        <v>6.6249233396269902E-3</v>
      </c>
      <c r="BL15" s="28">
        <f>Emissions!BN28</f>
        <v>6.7012526002480271E-3</v>
      </c>
      <c r="BM15" s="28">
        <f>Emissions!BO28</f>
        <v>6.7861102667668991E-3</v>
      </c>
      <c r="BN15" s="28">
        <f>Emissions!BP28</f>
        <v>6.8673471283418426E-3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8">
        <f>Emissions!H29</f>
        <v>1.0079999999999998E-3</v>
      </c>
      <c r="G16" s="28">
        <f>Emissions!I29</f>
        <v>1.0079999999999998E-3</v>
      </c>
      <c r="H16" s="28">
        <f>Emissions!J29</f>
        <v>1.0079999999999998E-3</v>
      </c>
      <c r="I16" s="28">
        <f>Emissions!K29</f>
        <v>1.0079999999999998E-3</v>
      </c>
      <c r="J16" s="28">
        <f>Emissions!L29</f>
        <v>1.0079999999999998E-3</v>
      </c>
      <c r="K16" s="28">
        <f>Emissions!M29</f>
        <v>1.0079999999999998E-3</v>
      </c>
      <c r="L16" s="28">
        <f>Emissions!N29</f>
        <v>1.0079999999999998E-3</v>
      </c>
      <c r="M16" s="28">
        <f>Emissions!O29</f>
        <v>1.0079999999999998E-3</v>
      </c>
      <c r="N16" s="28">
        <f>Emissions!P29</f>
        <v>1.0079999999999998E-3</v>
      </c>
      <c r="O16" s="28">
        <f>Emissions!Q29</f>
        <v>1.0079999999999998E-3</v>
      </c>
      <c r="P16" s="28">
        <f>Emissions!R29</f>
        <v>7.3799999999999994E-4</v>
      </c>
      <c r="Q16" s="28">
        <f>Emissions!S29</f>
        <v>7.3799999999999994E-4</v>
      </c>
      <c r="R16" s="28">
        <f>Emissions!T29</f>
        <v>7.3799999999999994E-4</v>
      </c>
      <c r="S16" s="28">
        <f>Emissions!U29</f>
        <v>7.3799999999999994E-4</v>
      </c>
      <c r="T16" s="28">
        <f>Emissions!V29</f>
        <v>7.3799999999999994E-4</v>
      </c>
      <c r="U16" s="28">
        <f>Emissions!W29</f>
        <v>7.3799999999999994E-4</v>
      </c>
      <c r="V16" s="28">
        <f>Emissions!X29</f>
        <v>7.3822499999999991E-4</v>
      </c>
      <c r="W16" s="28">
        <f>Emissions!Y29</f>
        <v>7.4069999999999995E-4</v>
      </c>
      <c r="X16" s="28">
        <f>Emissions!Z29</f>
        <v>7.4114999999999999E-4</v>
      </c>
      <c r="Y16" s="28">
        <f>Emissions!AA29</f>
        <v>7.4159999999999992E-4</v>
      </c>
      <c r="Z16" s="28">
        <f>Emissions!AB29</f>
        <v>7.4834999999999984E-4</v>
      </c>
      <c r="AA16" s="28">
        <f>Emissions!AC29</f>
        <v>7.515E-4</v>
      </c>
      <c r="AB16" s="28">
        <f>Emissions!AD29</f>
        <v>7.515E-4</v>
      </c>
      <c r="AC16" s="28">
        <f>Emissions!AE29</f>
        <v>7.515E-4</v>
      </c>
      <c r="AD16" s="28">
        <f>Emissions!AF29</f>
        <v>7.515E-4</v>
      </c>
      <c r="AE16" s="28">
        <f>Emissions!AG29</f>
        <v>7.515E-4</v>
      </c>
      <c r="AF16" s="28">
        <f>Emissions!AH29</f>
        <v>7.515E-4</v>
      </c>
      <c r="AG16" s="28">
        <f>Emissions!AI29</f>
        <v>7.515E-4</v>
      </c>
      <c r="AH16" s="28">
        <f>Emissions!AJ29</f>
        <v>7.515E-4</v>
      </c>
      <c r="AI16" s="28">
        <f>Emissions!AK29</f>
        <v>7.515E-4</v>
      </c>
      <c r="AJ16" s="28">
        <f>Emissions!AL29</f>
        <v>7.515E-4</v>
      </c>
      <c r="AK16" s="28">
        <f>Emissions!AM29</f>
        <v>7.515E-4</v>
      </c>
      <c r="AL16" s="28">
        <f>Emissions!AN29</f>
        <v>7.515E-4</v>
      </c>
      <c r="AM16" s="28">
        <f>Emissions!AO29</f>
        <v>7.515E-4</v>
      </c>
      <c r="AN16" s="28">
        <f>Emissions!AP29</f>
        <v>7.515E-4</v>
      </c>
      <c r="AO16" s="28">
        <f>Emissions!AQ29</f>
        <v>7.515E-4</v>
      </c>
      <c r="AP16" s="28">
        <f>Emissions!AR29</f>
        <v>7.515E-4</v>
      </c>
      <c r="AQ16" s="28">
        <f>Emissions!AS29</f>
        <v>7.515E-4</v>
      </c>
      <c r="AR16" s="28">
        <f>Emissions!AT29</f>
        <v>7.515E-4</v>
      </c>
      <c r="AS16" s="28">
        <f>Emissions!AU29</f>
        <v>7.515E-4</v>
      </c>
      <c r="AT16" s="28">
        <f>Emissions!AV29</f>
        <v>7.515E-4</v>
      </c>
      <c r="AU16" s="28">
        <f>Emissions!AW29</f>
        <v>7.515E-4</v>
      </c>
      <c r="AV16" s="28">
        <f>Emissions!AX29</f>
        <v>7.515E-4</v>
      </c>
      <c r="AW16" s="28">
        <f>Emissions!AY29</f>
        <v>7.515E-4</v>
      </c>
      <c r="AX16" s="28">
        <f>Emissions!AZ29</f>
        <v>7.515E-4</v>
      </c>
      <c r="AY16" s="28">
        <f>Emissions!BA29</f>
        <v>7.515E-4</v>
      </c>
      <c r="AZ16" s="28">
        <f>Emissions!BB29</f>
        <v>7.515E-4</v>
      </c>
      <c r="BA16" s="28">
        <f>Emissions!BC29</f>
        <v>7.515E-4</v>
      </c>
      <c r="BB16" s="28">
        <f>Emissions!BD29</f>
        <v>7.515E-4</v>
      </c>
      <c r="BC16" s="28">
        <f>Emissions!BE29</f>
        <v>7.515E-4</v>
      </c>
      <c r="BD16" s="28">
        <f>Emissions!BF29</f>
        <v>7.515E-4</v>
      </c>
      <c r="BE16" s="28">
        <f>Emissions!BG29</f>
        <v>7.515E-4</v>
      </c>
      <c r="BF16" s="28">
        <f>Emissions!BH29</f>
        <v>7.515E-4</v>
      </c>
      <c r="BG16" s="28">
        <f>Emissions!BI29</f>
        <v>7.515E-4</v>
      </c>
      <c r="BH16" s="28">
        <f>Emissions!BJ29</f>
        <v>7.515E-4</v>
      </c>
      <c r="BI16" s="28">
        <f>Emissions!BK29</f>
        <v>7.515E-4</v>
      </c>
      <c r="BJ16" s="28">
        <f>Emissions!BL29</f>
        <v>7.515E-4</v>
      </c>
      <c r="BK16" s="28">
        <f>Emissions!BM29</f>
        <v>7.515E-4</v>
      </c>
      <c r="BL16" s="28">
        <f>Emissions!BN29</f>
        <v>7.515E-4</v>
      </c>
      <c r="BM16" s="28">
        <f>Emissions!BO29</f>
        <v>7.515E-4</v>
      </c>
      <c r="BN16" s="28">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8">
        <f>SUM(Emissions!H30:H31)</f>
        <v>21.491561588124931</v>
      </c>
      <c r="G17" s="28">
        <f>SUM(Emissions!I30:I31)</f>
        <v>23.479954097262475</v>
      </c>
      <c r="H17" s="28">
        <f>SUM(Emissions!J30:J31)</f>
        <v>23.324831277400676</v>
      </c>
      <c r="I17" s="28">
        <f>SUM(Emissions!K30:K31)</f>
        <v>23.310729202867787</v>
      </c>
      <c r="J17" s="28">
        <f>SUM(Emissions!L30:L31)</f>
        <v>22.140257016637882</v>
      </c>
      <c r="K17" s="28">
        <f>SUM(Emissions!M30:M31)</f>
        <v>22.351788134631242</v>
      </c>
      <c r="L17" s="28">
        <f>SUM(Emissions!N30:N31)</f>
        <v>24.072241227643865</v>
      </c>
      <c r="M17" s="28">
        <f>SUM(Emissions!O30:O31)</f>
        <v>23.959424631380745</v>
      </c>
      <c r="N17" s="28">
        <f>SUM(Emissions!P30:P31)</f>
        <v>24.481201389097684</v>
      </c>
      <c r="O17" s="28">
        <f>SUM(Emissions!Q30:Q31)</f>
        <v>25.101692668544864</v>
      </c>
      <c r="P17" s="28">
        <f>SUM(Emissions!R30:R31)</f>
        <v>23.22611675567045</v>
      </c>
      <c r="Q17" s="28">
        <f>SUM(Emissions!S30:S31)</f>
        <v>23.663281066190045</v>
      </c>
      <c r="R17" s="28">
        <f>SUM(Emissions!T30:T31)</f>
        <v>24.11454745124254</v>
      </c>
      <c r="S17" s="28">
        <f>SUM(Emissions!U30:U31)</f>
        <v>23.451749948196689</v>
      </c>
      <c r="T17" s="28">
        <f>SUM(Emissions!V30:V31)</f>
        <v>23.451749948196689</v>
      </c>
      <c r="U17" s="28">
        <f>SUM(Emissions!W30:W31)</f>
        <v>23.282525053802008</v>
      </c>
      <c r="V17" s="28">
        <f>SUM(Emissions!X30:X31)</f>
        <v>22.873564892348188</v>
      </c>
      <c r="W17" s="28">
        <f>SUM(Emissions!Y30:Y31)</f>
        <v>23.282525053802008</v>
      </c>
      <c r="X17" s="28">
        <f>SUM(Emissions!Z30:Z31)</f>
        <v>22.774850370617955</v>
      </c>
      <c r="Y17" s="28">
        <f>SUM(Emissions!AA30:AA31)</f>
        <v>22.746646221552176</v>
      </c>
      <c r="Z17" s="28">
        <f>SUM(Emissions!AB30:AB31)</f>
        <v>22.478706805427255</v>
      </c>
      <c r="AA17" s="28">
        <f>SUM(Emissions!AC30:AC31)</f>
        <v>22.337686060098353</v>
      </c>
      <c r="AB17" s="28">
        <f>SUM(Emissions!AD30:AD31)</f>
        <v>23.449986076785869</v>
      </c>
      <c r="AC17" s="28">
        <f>SUM(Emissions!AE30:AE31)</f>
        <v>23.408540946732927</v>
      </c>
      <c r="AD17" s="28">
        <f>SUM(Emissions!AF30:AF31)</f>
        <v>23.277206784094414</v>
      </c>
      <c r="AE17" s="28">
        <f>SUM(Emissions!AG30:AG31)</f>
        <v>22.763565452870349</v>
      </c>
      <c r="AF17" s="28">
        <f>SUM(Emissions!AH30:AH31)</f>
        <v>22.277834544685149</v>
      </c>
      <c r="AG17" s="28">
        <f>SUM(Emissions!AI30:AI31)</f>
        <v>22.19943654180171</v>
      </c>
      <c r="AH17" s="28">
        <f>SUM(Emissions!AJ30:AJ31)</f>
        <v>22.009124220543775</v>
      </c>
      <c r="AI17" s="28">
        <f>SUM(Emissions!AK30:AK31)</f>
        <v>21.42297528306197</v>
      </c>
      <c r="AJ17" s="28">
        <f>SUM(Emissions!AL30:AL31)</f>
        <v>19.108302749693728</v>
      </c>
      <c r="AK17" s="28">
        <f>SUM(Emissions!AM30:AM31)</f>
        <v>19.519334044350174</v>
      </c>
      <c r="AL17" s="28">
        <f>SUM(Emissions!AN30:AN31)</f>
        <v>19.708606522463363</v>
      </c>
      <c r="AM17" s="28">
        <f>SUM(Emissions!AO30:AO31)</f>
        <v>19.846455265800273</v>
      </c>
      <c r="AN17" s="28">
        <f>SUM(Emissions!AP30:AP31)</f>
        <v>20.058090230865247</v>
      </c>
      <c r="AO17" s="28">
        <f>SUM(Emissions!AQ30:AQ31)</f>
        <v>20.528067593468538</v>
      </c>
      <c r="AP17" s="28">
        <f>SUM(Emissions!AR30:AR31)</f>
        <v>21.057000931408279</v>
      </c>
      <c r="AQ17" s="28">
        <f>SUM(Emissions!AS30:AS31)</f>
        <v>21.639045730382051</v>
      </c>
      <c r="AR17" s="28">
        <f>SUM(Emissions!AT30:AT31)</f>
        <v>22.104472162023153</v>
      </c>
      <c r="AS17" s="28">
        <f>SUM(Emissions!AU30:AU31)</f>
        <v>22.674535837638185</v>
      </c>
      <c r="AT17" s="28">
        <f>SUM(Emissions!AV30:AV31)</f>
        <v>23.372162678263564</v>
      </c>
      <c r="AU17" s="28">
        <f>SUM(Emissions!AW30:AW31)</f>
        <v>24.03249966252292</v>
      </c>
      <c r="AV17" s="28">
        <f>SUM(Emissions!AX30:AX31)</f>
        <v>24.7197647420019</v>
      </c>
      <c r="AW17" s="28">
        <f>SUM(Emissions!AY30:AY31)</f>
        <v>25.411059617045201</v>
      </c>
      <c r="AX17" s="28">
        <f>SUM(Emissions!AZ30:AZ31)</f>
        <v>26.199465727701497</v>
      </c>
      <c r="AY17" s="28">
        <f>SUM(Emissions!BA30:BA31)</f>
        <v>26.838650660774775</v>
      </c>
      <c r="AZ17" s="28">
        <f>SUM(Emissions!BB30:BB31)</f>
        <v>27.523558917446906</v>
      </c>
      <c r="BA17" s="28">
        <f>SUM(Emissions!BC30:BC31)</f>
        <v>28.208596575780863</v>
      </c>
      <c r="BB17" s="28">
        <f>SUM(Emissions!BD30:BD31)</f>
        <v>28.830333117843978</v>
      </c>
      <c r="BC17" s="28">
        <f>SUM(Emissions!BE30:BE31)</f>
        <v>29.432786088516458</v>
      </c>
      <c r="BD17" s="28">
        <f>SUM(Emissions!BF30:BF31)</f>
        <v>30.053905602278395</v>
      </c>
      <c r="BE17" s="28">
        <f>SUM(Emissions!BG30:BG31)</f>
        <v>30.710556031952844</v>
      </c>
      <c r="BF17" s="28">
        <f>SUM(Emissions!BH30:BH31)</f>
        <v>31.287883085444381</v>
      </c>
      <c r="BG17" s="28">
        <f>SUM(Emissions!BI30:BI31)</f>
        <v>31.861003629411162</v>
      </c>
      <c r="BH17" s="28">
        <f>SUM(Emissions!BJ30:BJ31)</f>
        <v>32.431441510857645</v>
      </c>
      <c r="BI17" s="28">
        <f>SUM(Emissions!BK30:BK31)</f>
        <v>33.0495609916794</v>
      </c>
      <c r="BJ17" s="28">
        <f>SUM(Emissions!BL30:BL31)</f>
        <v>33.676647623771963</v>
      </c>
      <c r="BK17" s="28">
        <f>SUM(Emissions!BM30:BM31)</f>
        <v>33.823269596111182</v>
      </c>
      <c r="BL17" s="28">
        <f>SUM(Emissions!BN30:BN31)</f>
        <v>33.929554709318367</v>
      </c>
      <c r="BM17" s="28">
        <f>SUM(Emissions!BO30:BO31)</f>
        <v>34.08911246571175</v>
      </c>
      <c r="BN17" s="28">
        <f>SUM(Emissions!BP30:BP31)</f>
        <v>34.213695399191309</v>
      </c>
    </row>
    <row r="18" spans="1:66" x14ac:dyDescent="0.25">
      <c r="A18" t="str">
        <f t="shared" si="2"/>
        <v>3A Livestock</v>
      </c>
      <c r="B18" t="str">
        <f t="shared" si="10"/>
        <v>3A2 Manure management (CH4)</v>
      </c>
      <c r="C18" t="str">
        <f>'IPCC Categories'!C27</f>
        <v>3A2i Poultry</v>
      </c>
      <c r="D18" t="str">
        <f t="shared" si="8"/>
        <v>CH4</v>
      </c>
      <c r="E18" t="str">
        <f t="shared" si="9"/>
        <v>Gg CH4</v>
      </c>
      <c r="F18" s="28">
        <f>SUM(Emissions!H32:H35)</f>
        <v>1.3455156687778258</v>
      </c>
      <c r="G18" s="28">
        <f>SUM(Emissions!I32:I35)</f>
        <v>1.2760746173506023</v>
      </c>
      <c r="H18" s="28">
        <f>SUM(Emissions!J32:J35)</f>
        <v>1.2071518876777516</v>
      </c>
      <c r="I18" s="28">
        <f>SUM(Emissions!K32:K35)</f>
        <v>1.3112406123644875</v>
      </c>
      <c r="J18" s="28">
        <f>SUM(Emissions!L32:L35)</f>
        <v>1.2878479203358015</v>
      </c>
      <c r="K18" s="28">
        <f>SUM(Emissions!M32:M35)</f>
        <v>1.4574822448350102</v>
      </c>
      <c r="L18" s="28">
        <f>SUM(Emissions!N32:N35)</f>
        <v>1.6585519756378786</v>
      </c>
      <c r="M18" s="28">
        <f>SUM(Emissions!O32:O35)</f>
        <v>1.6829831179003492</v>
      </c>
      <c r="N18" s="28">
        <f>SUM(Emissions!P32:P35)</f>
        <v>1.8549562107540372</v>
      </c>
      <c r="O18" s="28">
        <f>SUM(Emissions!Q32:Q35)</f>
        <v>1.9479379111082711</v>
      </c>
      <c r="P18" s="28">
        <f>SUM(Emissions!R32:R35)</f>
        <v>2.0536731601042231</v>
      </c>
      <c r="Q18" s="28">
        <f>SUM(Emissions!S32:S35)</f>
        <v>2.0089908832558949</v>
      </c>
      <c r="R18" s="28">
        <f>SUM(Emissions!T32:T35)</f>
        <v>2.1759262032341824</v>
      </c>
      <c r="S18" s="28">
        <f>SUM(Emissions!U32:U35)</f>
        <v>2.0734984652627912</v>
      </c>
      <c r="T18" s="28">
        <f>SUM(Emissions!V32:V35)</f>
        <v>2.1285917053454204</v>
      </c>
      <c r="U18" s="28">
        <f>SUM(Emissions!W32:W35)</f>
        <v>2.3353468813999299</v>
      </c>
      <c r="V18" s="28">
        <f>SUM(Emissions!X32:X35)</f>
        <v>2.5134086143565382</v>
      </c>
      <c r="W18" s="28">
        <f>SUM(Emissions!Y32:Y35)</f>
        <v>2.6601525958477232</v>
      </c>
      <c r="X18" s="28">
        <f>SUM(Emissions!Z32:Z35)</f>
        <v>2.8035850548611285</v>
      </c>
      <c r="Y18" s="28">
        <f>SUM(Emissions!AA32:AA35)</f>
        <v>2.6565217675227304</v>
      </c>
      <c r="Z18" s="28">
        <f>SUM(Emissions!AB32:AB35)</f>
        <v>2.7308472443629443</v>
      </c>
      <c r="AA18" s="28">
        <f>SUM(Emissions!AC32:AC35)</f>
        <v>2.8311378814399824</v>
      </c>
      <c r="AB18" s="28">
        <f>SUM(Emissions!AD32:AD35)</f>
        <v>2.8981803037181013</v>
      </c>
      <c r="AC18" s="28">
        <f>SUM(Emissions!AE32:AE35)</f>
        <v>2.9542448660846659</v>
      </c>
      <c r="AD18" s="28">
        <f>SUM(Emissions!AF32:AF35)</f>
        <v>2.9942221556043527</v>
      </c>
      <c r="AE18" s="28">
        <f>SUM(Emissions!AG32:AG35)</f>
        <v>2.9693314402047584</v>
      </c>
      <c r="AF18" s="28">
        <f>SUM(Emissions!AH32:AH35)</f>
        <v>2.9455446223564201</v>
      </c>
      <c r="AG18" s="28">
        <f>SUM(Emissions!AI32:AI35)</f>
        <v>2.9877902963718368</v>
      </c>
      <c r="AH18" s="28">
        <f>SUM(Emissions!AJ32:AJ35)</f>
        <v>3.0099263230778535</v>
      </c>
      <c r="AI18" s="28">
        <f>SUM(Emissions!AK32:AK35)</f>
        <v>2.9613707107479716</v>
      </c>
      <c r="AJ18" s="28">
        <f>SUM(Emissions!AL32:AL35)</f>
        <v>2.6020553156408579</v>
      </c>
      <c r="AK18" s="28">
        <f>SUM(Emissions!AM32:AM35)</f>
        <v>2.7264591117398584</v>
      </c>
      <c r="AL18" s="28">
        <f>SUM(Emissions!AN32:AN35)</f>
        <v>2.8123018537600362</v>
      </c>
      <c r="AM18" s="28">
        <f>SUM(Emissions!AO32:AO35)</f>
        <v>2.8895597193636182</v>
      </c>
      <c r="AN18" s="28">
        <f>SUM(Emissions!AP32:AP35)</f>
        <v>2.981475467020597</v>
      </c>
      <c r="AO18" s="28">
        <f>SUM(Emissions!AQ32:AQ35)</f>
        <v>3.1239364304027193</v>
      </c>
      <c r="AP18" s="28">
        <f>SUM(Emissions!AR32:AR35)</f>
        <v>3.2818384890202674</v>
      </c>
      <c r="AQ18" s="28">
        <f>SUM(Emissions!AS32:AS35)</f>
        <v>3.4532104747000689</v>
      </c>
      <c r="AR18" s="28">
        <f>SUM(Emissions!AT32:AT35)</f>
        <v>3.6047954562901459</v>
      </c>
      <c r="AS18" s="28">
        <f>SUM(Emissions!AU32:AU35)</f>
        <v>3.7803580675795181</v>
      </c>
      <c r="AT18" s="28">
        <f>SUM(Emissions!AV32:AV35)</f>
        <v>3.9855313306970892</v>
      </c>
      <c r="AU18" s="28">
        <f>SUM(Emissions!AW32:AW35)</f>
        <v>4.1883856459347211</v>
      </c>
      <c r="AV18" s="28">
        <f>SUM(Emissions!AX32:AX35)</f>
        <v>4.4011239568990792</v>
      </c>
      <c r="AW18" s="28">
        <f>SUM(Emissions!AY32:AY35)</f>
        <v>4.6192092206506441</v>
      </c>
      <c r="AX18" s="28">
        <f>SUM(Emissions!AZ32:AZ35)</f>
        <v>4.8628701000836267</v>
      </c>
      <c r="AY18" s="28">
        <f>SUM(Emissions!BA32:BA35)</f>
        <v>5.0792159317097081</v>
      </c>
      <c r="AZ18" s="28">
        <f>SUM(Emissions!BB32:BB35)</f>
        <v>5.3112444665583256</v>
      </c>
      <c r="BA18" s="28">
        <f>SUM(Emissions!BC32:BC35)</f>
        <v>5.5482573472425702</v>
      </c>
      <c r="BB18" s="28">
        <f>SUM(Emissions!BD32:BD35)</f>
        <v>5.7759537710253062</v>
      </c>
      <c r="BC18" s="28">
        <f>SUM(Emissions!BE32:BE35)</f>
        <v>6.0040406356154703</v>
      </c>
      <c r="BD18" s="28">
        <f>SUM(Emissions!BF32:BF35)</f>
        <v>6.2413409437767999</v>
      </c>
      <c r="BE18" s="28">
        <f>SUM(Emissions!BG32:BG35)</f>
        <v>6.4930554221263961</v>
      </c>
      <c r="BF18" s="28">
        <f>SUM(Emissions!BH32:BH35)</f>
        <v>6.7312005488855657</v>
      </c>
      <c r="BG18" s="28">
        <f>SUM(Emissions!BI32:BI35)</f>
        <v>6.9734334955671331</v>
      </c>
      <c r="BH18" s="28">
        <f>SUM(Emissions!BJ32:BJ35)</f>
        <v>7.2202367427033227</v>
      </c>
      <c r="BI18" s="28">
        <f>SUM(Emissions!BK32:BK35)</f>
        <v>7.4843214911049838</v>
      </c>
      <c r="BJ18" s="28">
        <f>SUM(Emissions!BL32:BL35)</f>
        <v>7.7574077483748693</v>
      </c>
      <c r="BK18" s="28">
        <f>SUM(Emissions!BM32:BM35)</f>
        <v>7.9132335983011082</v>
      </c>
      <c r="BL18" s="28">
        <f>SUM(Emissions!BN32:BN35)</f>
        <v>8.0614587360824483</v>
      </c>
      <c r="BM18" s="28">
        <f>SUM(Emissions!BO32:BO35)</f>
        <v>8.2264466313828173</v>
      </c>
      <c r="BN18" s="28">
        <f>SUM(Emissions!BP32:BP35)</f>
        <v>8.3852781115747881</v>
      </c>
    </row>
    <row r="19" spans="1:66" s="19" customFormat="1" ht="15.75" x14ac:dyDescent="0.25">
      <c r="A19" s="19" t="str">
        <f>A26</f>
        <v>3A Livestock</v>
      </c>
      <c r="B19" s="19" t="str">
        <f>B26</f>
        <v>3A2 Manure management (N2O)</v>
      </c>
      <c r="C19" s="19" t="s">
        <v>148</v>
      </c>
      <c r="D19" s="19" t="str">
        <f>D26</f>
        <v>N2O</v>
      </c>
      <c r="E19" s="19" t="str">
        <f>E26</f>
        <v>Gg N2O</v>
      </c>
      <c r="F19" s="46">
        <f t="shared" ref="F19:AK19" si="11">SUM(F20:F26)</f>
        <v>3.8813342644172093</v>
      </c>
      <c r="G19" s="46">
        <f t="shared" si="11"/>
        <v>3.8661487301239461</v>
      </c>
      <c r="H19" s="46">
        <f t="shared" si="11"/>
        <v>3.7862483767973956</v>
      </c>
      <c r="I19" s="46">
        <f t="shared" si="11"/>
        <v>3.8129334854284056</v>
      </c>
      <c r="J19" s="46">
        <f t="shared" si="11"/>
        <v>3.6996407314660944</v>
      </c>
      <c r="K19" s="46">
        <f t="shared" si="11"/>
        <v>3.8335350634638918</v>
      </c>
      <c r="L19" s="46">
        <f t="shared" si="11"/>
        <v>4.0409580802685516</v>
      </c>
      <c r="M19" s="46">
        <f t="shared" si="11"/>
        <v>4.0955542331246733</v>
      </c>
      <c r="N19" s="46">
        <f t="shared" si="11"/>
        <v>4.2655318251850405</v>
      </c>
      <c r="O19" s="46">
        <f t="shared" si="11"/>
        <v>4.3438825095880835</v>
      </c>
      <c r="P19" s="46">
        <f t="shared" si="11"/>
        <v>4.4272539945305205</v>
      </c>
      <c r="Q19" s="46">
        <f t="shared" si="11"/>
        <v>4.3758778433663306</v>
      </c>
      <c r="R19" s="46">
        <f t="shared" si="11"/>
        <v>4.5059558233007309</v>
      </c>
      <c r="S19" s="46">
        <f t="shared" si="11"/>
        <v>4.4292467756859457</v>
      </c>
      <c r="T19" s="46">
        <f t="shared" si="11"/>
        <v>4.4470330949647732</v>
      </c>
      <c r="U19" s="46">
        <f t="shared" si="11"/>
        <v>4.5974101613100977</v>
      </c>
      <c r="V19" s="46">
        <f t="shared" si="11"/>
        <v>4.7310450300813258</v>
      </c>
      <c r="W19" s="46">
        <f t="shared" si="11"/>
        <v>4.8799892939067844</v>
      </c>
      <c r="X19" s="46">
        <f t="shared" si="11"/>
        <v>4.9663886389564027</v>
      </c>
      <c r="Y19" s="46">
        <f t="shared" si="11"/>
        <v>4.8614306045888265</v>
      </c>
      <c r="Z19" s="46">
        <f t="shared" si="11"/>
        <v>4.8921309188133044</v>
      </c>
      <c r="AA19" s="46">
        <f t="shared" si="11"/>
        <v>5.064588718240568</v>
      </c>
      <c r="AB19" s="46">
        <f t="shared" si="11"/>
        <v>5.2224274999512641</v>
      </c>
      <c r="AC19" s="46">
        <f t="shared" si="11"/>
        <v>5.2955111218021305</v>
      </c>
      <c r="AD19" s="46">
        <f t="shared" si="11"/>
        <v>5.3465353621696261</v>
      </c>
      <c r="AE19" s="46">
        <f t="shared" si="11"/>
        <v>5.3058802914422376</v>
      </c>
      <c r="AF19" s="46">
        <f t="shared" si="11"/>
        <v>5.2682078815331588</v>
      </c>
      <c r="AG19" s="46">
        <f t="shared" si="11"/>
        <v>5.3258264329482357</v>
      </c>
      <c r="AH19" s="46">
        <f t="shared" si="11"/>
        <v>5.3552515813562831</v>
      </c>
      <c r="AI19" s="46">
        <f t="shared" si="11"/>
        <v>5.2850521817385445</v>
      </c>
      <c r="AJ19" s="46">
        <f t="shared" si="11"/>
        <v>4.7764944459691581</v>
      </c>
      <c r="AK19" s="46">
        <f t="shared" si="11"/>
        <v>4.9545266952926639</v>
      </c>
      <c r="AL19" s="46">
        <f t="shared" ref="AL19:BN19" si="12">SUM(AL20:AL26)</f>
        <v>5.0783039077309571</v>
      </c>
      <c r="AM19" s="46">
        <f t="shared" si="12"/>
        <v>5.190200526249896</v>
      </c>
      <c r="AN19" s="46">
        <f t="shared" si="12"/>
        <v>5.3230077935137299</v>
      </c>
      <c r="AO19" s="46">
        <f t="shared" si="12"/>
        <v>5.5272834720225603</v>
      </c>
      <c r="AP19" s="46">
        <f t="shared" si="12"/>
        <v>5.7511151746620541</v>
      </c>
      <c r="AQ19" s="46">
        <f t="shared" si="12"/>
        <v>5.9940147797758669</v>
      </c>
      <c r="AR19" s="46">
        <f t="shared" si="12"/>
        <v>6.2091255888474564</v>
      </c>
      <c r="AS19" s="46">
        <f t="shared" si="12"/>
        <v>6.4580759279828595</v>
      </c>
      <c r="AT19" s="46">
        <f t="shared" si="12"/>
        <v>6.7487449577038774</v>
      </c>
      <c r="AU19" s="46">
        <f t="shared" si="12"/>
        <v>7.0275851157685825</v>
      </c>
      <c r="AV19" s="46">
        <f t="shared" si="12"/>
        <v>7.3199360139775411</v>
      </c>
      <c r="AW19" s="46">
        <f t="shared" si="12"/>
        <v>7.6194013663354045</v>
      </c>
      <c r="AX19" s="46">
        <f t="shared" si="12"/>
        <v>7.9542814108645477</v>
      </c>
      <c r="AY19" s="46">
        <f t="shared" si="12"/>
        <v>8.2505274727111804</v>
      </c>
      <c r="AZ19" s="46">
        <f t="shared" si="12"/>
        <v>8.5666355747409835</v>
      </c>
      <c r="BA19" s="46">
        <f t="shared" si="12"/>
        <v>8.8893253372955314</v>
      </c>
      <c r="BB19" s="46">
        <f t="shared" si="12"/>
        <v>9.1986702445589312</v>
      </c>
      <c r="BC19" s="46">
        <f t="shared" si="12"/>
        <v>9.5082400050708102</v>
      </c>
      <c r="BD19" s="46">
        <f t="shared" si="12"/>
        <v>9.8303155681379533</v>
      </c>
      <c r="BE19" s="46">
        <f t="shared" si="12"/>
        <v>10.174948402078384</v>
      </c>
      <c r="BF19" s="46">
        <f t="shared" si="12"/>
        <v>10.500615678653897</v>
      </c>
      <c r="BG19" s="46">
        <f t="shared" si="12"/>
        <v>10.831863226047384</v>
      </c>
      <c r="BH19" s="46">
        <f t="shared" si="12"/>
        <v>11.169362878878495</v>
      </c>
      <c r="BI19" s="46">
        <f t="shared" si="12"/>
        <v>11.530733676771543</v>
      </c>
      <c r="BJ19" s="46">
        <f t="shared" si="12"/>
        <v>11.902948021243397</v>
      </c>
      <c r="BK19" s="46">
        <f t="shared" si="12"/>
        <v>12.112734635318528</v>
      </c>
      <c r="BL19" s="46">
        <f t="shared" si="12"/>
        <v>12.312094834831182</v>
      </c>
      <c r="BM19" s="46">
        <f t="shared" si="12"/>
        <v>12.534747033584097</v>
      </c>
      <c r="BN19" s="46">
        <f t="shared" si="12"/>
        <v>12.748980542552744</v>
      </c>
    </row>
    <row r="20" spans="1:66" x14ac:dyDescent="0.25">
      <c r="A20" t="str">
        <f>A18</f>
        <v>3A Livestock</v>
      </c>
      <c r="B20" t="str">
        <f>'IPCC Categories'!B20</f>
        <v>3A2 Manure management (N2O)</v>
      </c>
      <c r="C20" t="str">
        <f t="shared" ref="C20:C26" si="13">C12</f>
        <v>3A2a Cattle</v>
      </c>
      <c r="D20" t="s">
        <v>139</v>
      </c>
      <c r="E20" t="s">
        <v>287</v>
      </c>
      <c r="F20" s="28">
        <f>SUM(Emissions!H36:H41)</f>
        <v>2.3334515596574898</v>
      </c>
      <c r="G20" s="28">
        <f>SUM(Emissions!I36:I41)</f>
        <v>2.3913266020486907</v>
      </c>
      <c r="H20" s="28">
        <f>SUM(Emissions!J36:J41)</f>
        <v>2.3837489012139343</v>
      </c>
      <c r="I20" s="28">
        <f>SUM(Emissions!K36:K41)</f>
        <v>2.3538599023692135</v>
      </c>
      <c r="J20" s="28">
        <f>SUM(Emissions!L36:L41)</f>
        <v>2.2497683959178429</v>
      </c>
      <c r="K20" s="28">
        <f>SUM(Emissions!M36:M41)</f>
        <v>2.2583248814343775</v>
      </c>
      <c r="L20" s="28">
        <f>SUM(Emissions!N36:N41)</f>
        <v>2.3013624403278148</v>
      </c>
      <c r="M20" s="28">
        <f>SUM(Emissions!O36:O41)</f>
        <v>2.3439053818582685</v>
      </c>
      <c r="N20" s="28">
        <f>SUM(Emissions!P36:P41)</f>
        <v>2.3881538701270464</v>
      </c>
      <c r="O20" s="28">
        <f>SUM(Emissions!Q36:Q41)</f>
        <v>2.4045249883488831</v>
      </c>
      <c r="P20" s="28">
        <f>SUM(Emissions!R36:R41)</f>
        <v>2.4217802003919431</v>
      </c>
      <c r="Q20" s="28">
        <f>SUM(Emissions!S36:S41)</f>
        <v>2.4052042445092017</v>
      </c>
      <c r="R20" s="28">
        <f>SUM(Emissions!T36:T41)</f>
        <v>2.4204844754419144</v>
      </c>
      <c r="S20" s="28">
        <f>SUM(Emissions!U36:U41)</f>
        <v>2.4261595848898265</v>
      </c>
      <c r="T20" s="28">
        <f>SUM(Emissions!V36:V41)</f>
        <v>2.4077185173815416</v>
      </c>
      <c r="U20" s="28">
        <f>SUM(Emissions!W36:W41)</f>
        <v>2.4068130130940584</v>
      </c>
      <c r="V20" s="28">
        <f>SUM(Emissions!X36:X41)</f>
        <v>2.4140441898890113</v>
      </c>
      <c r="W20" s="28">
        <f>SUM(Emissions!Y36:Y41)</f>
        <v>2.4616595203806031</v>
      </c>
      <c r="X20" s="28">
        <f>SUM(Emissions!Z36:Z41)</f>
        <v>2.4413231585134629</v>
      </c>
      <c r="Y20" s="28">
        <f>SUM(Emissions!AA36:AA41)</f>
        <v>2.4490820347552171</v>
      </c>
      <c r="Z20" s="28">
        <f>SUM(Emissions!AB36:AB41)</f>
        <v>2.4334145229663386</v>
      </c>
      <c r="AA20" s="28">
        <f>SUM(Emissions!AC36:AC41)</f>
        <v>2.5369197805494066</v>
      </c>
      <c r="AB20" s="28">
        <f>SUM(Emissions!AD36:AD41)</f>
        <v>2.6502121652525954</v>
      </c>
      <c r="AC20" s="28">
        <f>SUM(Emissions!AE36:AE41)</f>
        <v>2.6822857537768536</v>
      </c>
      <c r="AD20" s="28">
        <f>SUM(Emissions!AF36:AF41)</f>
        <v>2.704741159572472</v>
      </c>
      <c r="AE20" s="28">
        <f>SUM(Emissions!AG36:AG41)</f>
        <v>2.6864490003867827</v>
      </c>
      <c r="AF20" s="28">
        <f>SUM(Emissions!AH36:AH41)</f>
        <v>2.6699327484564312</v>
      </c>
      <c r="AG20" s="28">
        <f>SUM(Emissions!AI36:AI41)</f>
        <v>2.6963708533452717</v>
      </c>
      <c r="AH20" s="28">
        <f>SUM(Emissions!AJ36:AJ41)</f>
        <v>2.7103190564420441</v>
      </c>
      <c r="AI20" s="28">
        <f>SUM(Emissions!AK36:AK41)</f>
        <v>2.6800956132407538</v>
      </c>
      <c r="AJ20" s="28">
        <f>SUM(Emissions!AL36:AL41)</f>
        <v>2.4555165506994827</v>
      </c>
      <c r="AK20" s="28">
        <f>SUM(Emissions!AM36:AM41)</f>
        <v>2.53803239472678</v>
      </c>
      <c r="AL20" s="28">
        <f>SUM(Emissions!AN36:AN41)</f>
        <v>2.5965678310686928</v>
      </c>
      <c r="AM20" s="28">
        <f>SUM(Emissions!AO36:AO41)</f>
        <v>2.6499293605628145</v>
      </c>
      <c r="AN20" s="28">
        <f>SUM(Emissions!AP36:AP41)</f>
        <v>2.7126872995766105</v>
      </c>
      <c r="AO20" s="28">
        <f>SUM(Emissions!AQ36:AQ41)</f>
        <v>2.807330326526384</v>
      </c>
      <c r="AP20" s="28">
        <f>SUM(Emissions!AR36:AR41)</f>
        <v>2.9098433477739025</v>
      </c>
      <c r="AQ20" s="28">
        <f>SUM(Emissions!AS36:AS41)</f>
        <v>3.0209622517818611</v>
      </c>
      <c r="AR20" s="28">
        <f>SUM(Emissions!AT36:AT41)</f>
        <v>3.1198382906169932</v>
      </c>
      <c r="AS20" s="28">
        <f>SUM(Emissions!AU36:AU41)</f>
        <v>3.2338967275150319</v>
      </c>
      <c r="AT20" s="28">
        <f>SUM(Emissions!AV36:AV41)</f>
        <v>3.3666588330099789</v>
      </c>
      <c r="AU20" s="28">
        <f>SUM(Emissions!AW36:AW41)</f>
        <v>3.4897913530425377</v>
      </c>
      <c r="AV20" s="28">
        <f>SUM(Emissions!AX36:AX41)</f>
        <v>3.618849369498645</v>
      </c>
      <c r="AW20" s="28">
        <f>SUM(Emissions!AY36:AY41)</f>
        <v>3.750984147665851</v>
      </c>
      <c r="AX20" s="28">
        <f>SUM(Emissions!AZ36:AZ41)</f>
        <v>3.898757582914556</v>
      </c>
      <c r="AY20" s="28">
        <f>SUM(Emissions!BA36:BA41)</f>
        <v>4.0292995126129441</v>
      </c>
      <c r="AZ20" s="28">
        <f>SUM(Emissions!BB36:BB41)</f>
        <v>4.1678879327632909</v>
      </c>
      <c r="BA20" s="28">
        <f>SUM(Emissions!BC36:BC41)</f>
        <v>4.3093260054253797</v>
      </c>
      <c r="BB20" s="28">
        <f>SUM(Emissions!BD36:BD41)</f>
        <v>4.444797767779332</v>
      </c>
      <c r="BC20" s="28">
        <f>SUM(Emissions!BE36:BE41)</f>
        <v>4.5803260750534491</v>
      </c>
      <c r="BD20" s="28">
        <f>SUM(Emissions!BF36:BF41)</f>
        <v>4.7213480152060612</v>
      </c>
      <c r="BE20" s="28">
        <f>SUM(Emissions!BG36:BG41)</f>
        <v>4.8741214136843736</v>
      </c>
      <c r="BF20" s="28">
        <f>SUM(Emissions!BH36:BH41)</f>
        <v>5.0185943140269682</v>
      </c>
      <c r="BG20" s="28">
        <f>SUM(Emissions!BI36:BI41)</f>
        <v>5.1656213110116038</v>
      </c>
      <c r="BH20" s="28">
        <f>SUM(Emissions!BJ36:BJ41)</f>
        <v>5.3155049959286975</v>
      </c>
      <c r="BI20" s="28">
        <f>SUM(Emissions!BK36:BK41)</f>
        <v>5.4760367988678098</v>
      </c>
      <c r="BJ20" s="28">
        <f>SUM(Emissions!BL36:BL41)</f>
        <v>5.6408350738083275</v>
      </c>
      <c r="BK20" s="28">
        <f>SUM(Emissions!BM36:BM41)</f>
        <v>5.7339751950114941</v>
      </c>
      <c r="BL20" s="28">
        <f>SUM(Emissions!BN36:BN41)</f>
        <v>5.8226263059156835</v>
      </c>
      <c r="BM20" s="28">
        <f>SUM(Emissions!BO36:BO41)</f>
        <v>5.9216918343613019</v>
      </c>
      <c r="BN20" s="28">
        <f>SUM(Emissions!BP36:BP41)</f>
        <v>6.0171633619508231</v>
      </c>
    </row>
    <row r="21" spans="1:66" x14ac:dyDescent="0.25">
      <c r="A21" t="str">
        <f t="shared" si="2"/>
        <v>3A Livestock</v>
      </c>
      <c r="B21" t="str">
        <f>B20</f>
        <v>3A2 Manure management (N2O)</v>
      </c>
      <c r="C21" t="str">
        <f t="shared" si="13"/>
        <v>3A2c Sheep</v>
      </c>
      <c r="D21" t="str">
        <f>D20</f>
        <v>N2O</v>
      </c>
      <c r="E21" t="str">
        <f>E20</f>
        <v>Gg N2O</v>
      </c>
      <c r="F21" s="28">
        <f>SUM(Emissions!H42:H43)</f>
        <v>0.27697977351015546</v>
      </c>
      <c r="G21" s="28">
        <f>SUM(Emissions!I42:I43)</f>
        <v>0.26452543098066184</v>
      </c>
      <c r="H21" s="28">
        <f>SUM(Emissions!J42:J43)</f>
        <v>0.25359554432458542</v>
      </c>
      <c r="I21" s="28">
        <f>SUM(Emissions!K42:K43)</f>
        <v>0.23716837739770139</v>
      </c>
      <c r="J21" s="28">
        <f>SUM(Emissions!L42:L43)</f>
        <v>0.23884065929520765</v>
      </c>
      <c r="K21" s="28">
        <f>SUM(Emissions!M42:M43)</f>
        <v>0.23542218248815072</v>
      </c>
      <c r="L21" s="28">
        <f>SUM(Emissions!N42:N43)</f>
        <v>0.23620750824112324</v>
      </c>
      <c r="M21" s="28">
        <f>SUM(Emissions!O42:O43)</f>
        <v>0.23107055390403242</v>
      </c>
      <c r="N21" s="28">
        <f>SUM(Emissions!P42:P43)</f>
        <v>0.23170805363291622</v>
      </c>
      <c r="O21" s="28">
        <f>SUM(Emissions!Q42:Q43)</f>
        <v>0.22601675170549185</v>
      </c>
      <c r="P21" s="28">
        <f>SUM(Emissions!R42:R43)</f>
        <v>0.21791403776011653</v>
      </c>
      <c r="Q21" s="28">
        <f>SUM(Emissions!S42:S43)</f>
        <v>0.21248143137484779</v>
      </c>
      <c r="R21" s="28">
        <f>SUM(Emissions!T42:T43)</f>
        <v>0.20893360679671308</v>
      </c>
      <c r="S21" s="28">
        <f>SUM(Emissions!U42:U43)</f>
        <v>0.20966349779065224</v>
      </c>
      <c r="T21" s="28">
        <f>SUM(Emissions!V42:V43)</f>
        <v>0.20593089068240639</v>
      </c>
      <c r="U21" s="28">
        <f>SUM(Emissions!W42:W43)</f>
        <v>0.20544121697761175</v>
      </c>
      <c r="V21" s="28">
        <f>SUM(Emissions!X42:X43)</f>
        <v>0.20275263116449405</v>
      </c>
      <c r="W21" s="28">
        <f>SUM(Emissions!Y42:Y43)</f>
        <v>0.20255860950787735</v>
      </c>
      <c r="X21" s="28">
        <f>SUM(Emissions!Z42:Z43)</f>
        <v>0.203214587489772</v>
      </c>
      <c r="Y21" s="28">
        <f>SUM(Emissions!AA42:AA43)</f>
        <v>0.20249393562233842</v>
      </c>
      <c r="Z21" s="28">
        <f>SUM(Emissions!AB42:AB43)</f>
        <v>0.19857654598398133</v>
      </c>
      <c r="AA21" s="28">
        <f>SUM(Emissions!AC42:AC43)</f>
        <v>0.19702437273104745</v>
      </c>
      <c r="AB21" s="28">
        <f>SUM(Emissions!AD42:AD43)</f>
        <v>0.17982778978079705</v>
      </c>
      <c r="AC21" s="28">
        <f>SUM(Emissions!AE42:AE43)</f>
        <v>0.17992483941085752</v>
      </c>
      <c r="AD21" s="28">
        <f>SUM(Emissions!AF42:AF43)</f>
        <v>0.18014794823592961</v>
      </c>
      <c r="AE21" s="28">
        <f>SUM(Emissions!AG42:AG43)</f>
        <v>0.1804791740724872</v>
      </c>
      <c r="AF21" s="28">
        <f>SUM(Emissions!AH42:AH43)</f>
        <v>0.18092623868230917</v>
      </c>
      <c r="AG21" s="28">
        <f>SUM(Emissions!AI42:AI43)</f>
        <v>0.18149812683987124</v>
      </c>
      <c r="AH21" s="28">
        <f>SUM(Emissions!AJ42:AJ43)</f>
        <v>0.1821282880962147</v>
      </c>
      <c r="AI21" s="28">
        <f>SUM(Emissions!AK42:AK43)</f>
        <v>0.18280693505425122</v>
      </c>
      <c r="AJ21" s="28">
        <f>SUM(Emissions!AL42:AL43)</f>
        <v>0.18347929856913225</v>
      </c>
      <c r="AK21" s="28">
        <f>SUM(Emissions!AM42:AM43)</f>
        <v>0.18375445971683055</v>
      </c>
      <c r="AL21" s="28">
        <f>SUM(Emissions!AN42:AN43)</f>
        <v>0.18406691374314021</v>
      </c>
      <c r="AM21" s="28">
        <f>SUM(Emissions!AO42:AO43)</f>
        <v>0.1844202771378235</v>
      </c>
      <c r="AN21" s="28">
        <f>SUM(Emissions!AP42:AP43)</f>
        <v>0.18481711315886093</v>
      </c>
      <c r="AO21" s="28">
        <f>SUM(Emissions!AQ42:AQ43)</f>
        <v>0.18526303216018508</v>
      </c>
      <c r="AP21" s="28">
        <f>SUM(Emissions!AR42:AR43)</f>
        <v>0.18554340660449897</v>
      </c>
      <c r="AQ21" s="28">
        <f>SUM(Emissions!AS42:AS43)</f>
        <v>0.18585912250223788</v>
      </c>
      <c r="AR21" s="28">
        <f>SUM(Emissions!AT42:AT43)</f>
        <v>0.18620139304581629</v>
      </c>
      <c r="AS21" s="28">
        <f>SUM(Emissions!AU42:AU43)</f>
        <v>0.18657824272618023</v>
      </c>
      <c r="AT21" s="28">
        <f>SUM(Emissions!AV42:AV43)</f>
        <v>0.18698962839209471</v>
      </c>
      <c r="AU21" s="28">
        <f>SUM(Emissions!AW42:AW43)</f>
        <v>0.18726191652040552</v>
      </c>
      <c r="AV21" s="28">
        <f>SUM(Emissions!AX42:AX43)</f>
        <v>0.18756069671804426</v>
      </c>
      <c r="AW21" s="28">
        <f>SUM(Emissions!AY42:AY43)</f>
        <v>0.18788396186972217</v>
      </c>
      <c r="AX21" s="28">
        <f>SUM(Emissions!AZ42:AZ43)</f>
        <v>0.188235211344146</v>
      </c>
      <c r="AY21" s="28">
        <f>SUM(Emissions!BA42:BA43)</f>
        <v>0.18860201533522408</v>
      </c>
      <c r="AZ21" s="28">
        <f>SUM(Emissions!BB42:BB43)</f>
        <v>0.18883668660922315</v>
      </c>
      <c r="BA21" s="28">
        <f>SUM(Emissions!BC42:BC43)</f>
        <v>0.1890912649407889</v>
      </c>
      <c r="BB21" s="28">
        <f>SUM(Emissions!BD42:BD43)</f>
        <v>0.18936189475174628</v>
      </c>
      <c r="BC21" s="28">
        <f>SUM(Emissions!BE42:BE43)</f>
        <v>0.18965005748095276</v>
      </c>
      <c r="BD21" s="28">
        <f>SUM(Emissions!BF42:BF43)</f>
        <v>0.18995710309761865</v>
      </c>
      <c r="BE21" s="28">
        <f>SUM(Emissions!BG42:BG43)</f>
        <v>0.19013807149023706</v>
      </c>
      <c r="BF21" s="28">
        <f>SUM(Emissions!BH42:BH43)</f>
        <v>0.19033089744617637</v>
      </c>
      <c r="BG21" s="28">
        <f>SUM(Emissions!BI42:BI43)</f>
        <v>0.19053897903512018</v>
      </c>
      <c r="BH21" s="28">
        <f>SUM(Emissions!BJ42:BJ43)</f>
        <v>0.19076194918653777</v>
      </c>
      <c r="BI21" s="28">
        <f>SUM(Emissions!BK42:BK43)</f>
        <v>0.19100220180850985</v>
      </c>
      <c r="BJ21" s="28">
        <f>SUM(Emissions!BL42:BL43)</f>
        <v>0.19111048351500334</v>
      </c>
      <c r="BK21" s="28">
        <f>SUM(Emissions!BM42:BM43)</f>
        <v>0.19120447066972707</v>
      </c>
      <c r="BL21" s="28">
        <f>SUM(Emissions!BN42:BN43)</f>
        <v>0.19130822959415872</v>
      </c>
      <c r="BM21" s="28">
        <f>SUM(Emissions!BO42:BO43)</f>
        <v>0.19142685421439182</v>
      </c>
      <c r="BN21" s="28">
        <f>SUM(Emissions!BP42:BP43)</f>
        <v>0.19155486393539417</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8">
        <f>SUM(Emissions!H44:H45)</f>
        <v>0.17617782385130304</v>
      </c>
      <c r="G22" s="28">
        <f>SUM(Emissions!I44:I45)</f>
        <v>0.15579098843087474</v>
      </c>
      <c r="H22" s="28">
        <f>SUM(Emissions!J44:J45)</f>
        <v>0.14512124279027669</v>
      </c>
      <c r="I22" s="28">
        <f>SUM(Emissions!K44:K45)</f>
        <v>0.13711893355982818</v>
      </c>
      <c r="J22" s="28">
        <f>SUM(Emissions!L44:L45)</f>
        <v>0.14842378310760462</v>
      </c>
      <c r="K22" s="28">
        <f>SUM(Emissions!M44:M45)</f>
        <v>0.1504561156105757</v>
      </c>
      <c r="L22" s="28">
        <f>SUM(Emissions!N44:N45)</f>
        <v>0.15280600006713599</v>
      </c>
      <c r="M22" s="28">
        <f>SUM(Emissions!O44:O45)</f>
        <v>0.15204387537852188</v>
      </c>
      <c r="N22" s="28">
        <f>SUM(Emissions!P44:P45)</f>
        <v>0.1498845220941151</v>
      </c>
      <c r="O22" s="28">
        <f>SUM(Emissions!Q44:Q45)</f>
        <v>0.14766165841899051</v>
      </c>
      <c r="P22" s="28">
        <f>SUM(Emissions!R44:R45)</f>
        <v>0.14956697014052586</v>
      </c>
      <c r="Q22" s="28">
        <f>SUM(Emissions!S44:S45)</f>
        <v>0.15413971827221074</v>
      </c>
      <c r="R22" s="28">
        <f>SUM(Emissions!T44:T45)</f>
        <v>0.14073902583074538</v>
      </c>
      <c r="S22" s="28">
        <f>SUM(Emissions!U44:U45)</f>
        <v>0.13718244395054602</v>
      </c>
      <c r="T22" s="28">
        <f>SUM(Emissions!V44:V45)</f>
        <v>0.13743648551341742</v>
      </c>
      <c r="U22" s="28">
        <f>SUM(Emissions!W44:W45)</f>
        <v>0.13565819457331774</v>
      </c>
      <c r="V22" s="28">
        <f>SUM(Emissions!X44:X45)</f>
        <v>0.13851616215562079</v>
      </c>
      <c r="W22" s="28">
        <f>SUM(Emissions!Y44:Y45)</f>
        <v>0.13438798675896085</v>
      </c>
      <c r="X22" s="28">
        <f>SUM(Emissions!Z44:Z45)</f>
        <v>0.13426096597752513</v>
      </c>
      <c r="Y22" s="28">
        <f>SUM(Emissions!AA44:AA45)</f>
        <v>0.13191108152096487</v>
      </c>
      <c r="Z22" s="28">
        <f>SUM(Emissions!AB44:AB45)</f>
        <v>0.13032332175301872</v>
      </c>
      <c r="AA22" s="28">
        <f>SUM(Emissions!AC44:AC45)</f>
        <v>0.12911662432937968</v>
      </c>
      <c r="AB22" s="28">
        <f>SUM(Emissions!AD44:AD45)</f>
        <v>0.12930085831866078</v>
      </c>
      <c r="AC22" s="28">
        <f>SUM(Emissions!AE44:AE45)</f>
        <v>0.1296369327485416</v>
      </c>
      <c r="AD22" s="28">
        <f>SUM(Emissions!AF44:AF45)</f>
        <v>0.13009013567072575</v>
      </c>
      <c r="AE22" s="28">
        <f>SUM(Emissions!AG44:AG45)</f>
        <v>0.13064212532398867</v>
      </c>
      <c r="AF22" s="28">
        <f>SUM(Emissions!AH44:AH45)</f>
        <v>0.13130327577332915</v>
      </c>
      <c r="AG22" s="28">
        <f>SUM(Emissions!AI44:AI45)</f>
        <v>0.13208490823736077</v>
      </c>
      <c r="AH22" s="28">
        <f>SUM(Emissions!AJ44:AJ45)</f>
        <v>0.13291328438926076</v>
      </c>
      <c r="AI22" s="28">
        <f>SUM(Emissions!AK44:AK45)</f>
        <v>0.13377871156440865</v>
      </c>
      <c r="AJ22" s="28">
        <f>SUM(Emissions!AL44:AL45)</f>
        <v>0.13462125689472579</v>
      </c>
      <c r="AK22" s="28">
        <f>SUM(Emissions!AM44:AM45)</f>
        <v>0.13500769784476424</v>
      </c>
      <c r="AL22" s="28">
        <f>SUM(Emissions!AN44:AN45)</f>
        <v>0.13542443463446535</v>
      </c>
      <c r="AM22" s="28">
        <f>SUM(Emissions!AO44:AO45)</f>
        <v>0.13587610959387569</v>
      </c>
      <c r="AN22" s="28">
        <f>SUM(Emissions!AP44:AP45)</f>
        <v>0.13636606637293464</v>
      </c>
      <c r="AO22" s="28">
        <f>SUM(Emissions!AQ44:AQ45)</f>
        <v>0.13690089627133359</v>
      </c>
      <c r="AP22" s="28">
        <f>SUM(Emissions!AR44:AR45)</f>
        <v>0.13724513112441536</v>
      </c>
      <c r="AQ22" s="28">
        <f>SUM(Emissions!AS44:AS45)</f>
        <v>0.13762078960965202</v>
      </c>
      <c r="AR22" s="28">
        <f>SUM(Emissions!AT44:AT45)</f>
        <v>0.13801852726175512</v>
      </c>
      <c r="AS22" s="28">
        <f>SUM(Emissions!AU44:AU45)</f>
        <v>0.13844738671096199</v>
      </c>
      <c r="AT22" s="28">
        <f>SUM(Emissions!AV44:AV45)</f>
        <v>0.13890751253287612</v>
      </c>
      <c r="AU22" s="28">
        <f>SUM(Emissions!AW44:AW45)</f>
        <v>0.13921037317981508</v>
      </c>
      <c r="AV22" s="28">
        <f>SUM(Emissions!AX44:AX45)</f>
        <v>0.1395368388098904</v>
      </c>
      <c r="AW22" s="28">
        <f>SUM(Emissions!AY44:AY45)</f>
        <v>0.13988487704018338</v>
      </c>
      <c r="AX22" s="28">
        <f>SUM(Emissions!AZ44:AZ45)</f>
        <v>0.14025839973724097</v>
      </c>
      <c r="AY22" s="28">
        <f>SUM(Emissions!BA44:BA45)</f>
        <v>0.14064409682722351</v>
      </c>
      <c r="AZ22" s="28">
        <f>SUM(Emissions!BB44:BB45)</f>
        <v>0.14088319598844612</v>
      </c>
      <c r="BA22" s="28">
        <f>SUM(Emissions!BC44:BC45)</f>
        <v>0.14114002572735312</v>
      </c>
      <c r="BB22" s="28">
        <f>SUM(Emissions!BD44:BD45)</f>
        <v>0.14141053144619037</v>
      </c>
      <c r="BC22" s="28">
        <f>SUM(Emissions!BE44:BE45)</f>
        <v>0.14169638840150861</v>
      </c>
      <c r="BD22" s="28">
        <f>SUM(Emissions!BF44:BF45)</f>
        <v>0.14199910905360574</v>
      </c>
      <c r="BE22" s="28">
        <f>SUM(Emissions!BG44:BG45)</f>
        <v>0.14216416989347427</v>
      </c>
      <c r="BF22" s="28">
        <f>SUM(Emissions!BH44:BH45)</f>
        <v>0.14233925247946794</v>
      </c>
      <c r="BG22" s="28">
        <f>SUM(Emissions!BI44:BI45)</f>
        <v>0.14252803158855659</v>
      </c>
      <c r="BH22" s="28">
        <f>SUM(Emissions!BJ44:BJ45)</f>
        <v>0.14273015601393907</v>
      </c>
      <c r="BI22" s="28">
        <f>SUM(Emissions!BK44:BK45)</f>
        <v>0.14294819523246746</v>
      </c>
      <c r="BJ22" s="28">
        <f>SUM(Emissions!BL44:BL45)</f>
        <v>0.14302435640778324</v>
      </c>
      <c r="BK22" s="28">
        <f>SUM(Emissions!BM44:BM45)</f>
        <v>0.14308364323311487</v>
      </c>
      <c r="BL22" s="28">
        <f>SUM(Emissions!BN44:BN45)</f>
        <v>0.14315157745717252</v>
      </c>
      <c r="BM22" s="28">
        <f>SUM(Emissions!BO44:BO45)</f>
        <v>0.14323354847519756</v>
      </c>
      <c r="BN22" s="28">
        <f>SUM(Emissions!BP44:BP45)</f>
        <v>0.14332379899560899</v>
      </c>
    </row>
    <row r="23" spans="1:66" x14ac:dyDescent="0.25">
      <c r="A23" t="str">
        <f t="shared" si="2"/>
        <v>3A Livestock</v>
      </c>
      <c r="B23" t="str">
        <f t="shared" si="14"/>
        <v>3A2 Manure management (N2O)</v>
      </c>
      <c r="C23" t="str">
        <f t="shared" si="13"/>
        <v>3A2f Horses</v>
      </c>
      <c r="D23" t="str">
        <f t="shared" si="15"/>
        <v>N2O</v>
      </c>
      <c r="E23" t="str">
        <f t="shared" si="16"/>
        <v>Gg N2O</v>
      </c>
      <c r="F23" s="28" t="str">
        <f>Emissions!H46</f>
        <v>NO</v>
      </c>
      <c r="G23" s="28" t="str">
        <f>Emissions!I46</f>
        <v>NO</v>
      </c>
      <c r="H23" s="28" t="str">
        <f>Emissions!J46</f>
        <v>NO</v>
      </c>
      <c r="I23" s="28" t="str">
        <f>Emissions!K46</f>
        <v>NO</v>
      </c>
      <c r="J23" s="28" t="str">
        <f>Emissions!L46</f>
        <v>NO</v>
      </c>
      <c r="K23" s="28" t="str">
        <f>Emissions!M46</f>
        <v>NO</v>
      </c>
      <c r="L23" s="28" t="str">
        <f>Emissions!N46</f>
        <v>NO</v>
      </c>
      <c r="M23" s="28" t="str">
        <f>Emissions!O46</f>
        <v>NO</v>
      </c>
      <c r="N23" s="28" t="str">
        <f>Emissions!P46</f>
        <v>NO</v>
      </c>
      <c r="O23" s="28" t="str">
        <f>Emissions!Q46</f>
        <v>NO</v>
      </c>
      <c r="P23" s="28" t="str">
        <f>Emissions!R46</f>
        <v>NO</v>
      </c>
      <c r="Q23" s="28" t="str">
        <f>Emissions!S46</f>
        <v>NO</v>
      </c>
      <c r="R23" s="28" t="str">
        <f>Emissions!T46</f>
        <v>NO</v>
      </c>
      <c r="S23" s="28" t="str">
        <f>Emissions!U46</f>
        <v>NO</v>
      </c>
      <c r="T23" s="28" t="str">
        <f>Emissions!V46</f>
        <v>NO</v>
      </c>
      <c r="U23" s="28" t="str">
        <f>Emissions!W46</f>
        <v>NO</v>
      </c>
      <c r="V23" s="28" t="str">
        <f>Emissions!X46</f>
        <v>NO</v>
      </c>
      <c r="W23" s="28" t="str">
        <f>Emissions!Y46</f>
        <v>NO</v>
      </c>
      <c r="X23" s="28" t="str">
        <f>Emissions!Z46</f>
        <v>NO</v>
      </c>
      <c r="Y23" s="28" t="str">
        <f>Emissions!AA46</f>
        <v>NO</v>
      </c>
      <c r="Z23" s="28" t="str">
        <f>Emissions!AB46</f>
        <v>NO</v>
      </c>
      <c r="AA23" s="28" t="str">
        <f>Emissions!AC46</f>
        <v>NO</v>
      </c>
      <c r="AB23" s="28" t="str">
        <f>Emissions!AD46</f>
        <v>NO</v>
      </c>
      <c r="AC23" s="28" t="str">
        <f>Emissions!AE46</f>
        <v>NO</v>
      </c>
      <c r="AD23" s="28" t="str">
        <f>Emissions!AF46</f>
        <v>NO</v>
      </c>
      <c r="AE23" s="28" t="str">
        <f>Emissions!AG46</f>
        <v>NO</v>
      </c>
      <c r="AF23" s="28" t="str">
        <f>Emissions!AH46</f>
        <v>NO</v>
      </c>
      <c r="AG23" s="28" t="str">
        <f>Emissions!AI46</f>
        <v>NO</v>
      </c>
      <c r="AH23" s="28" t="str">
        <f>Emissions!AJ46</f>
        <v>NO</v>
      </c>
      <c r="AI23" s="28" t="str">
        <f>Emissions!AK46</f>
        <v>NO</v>
      </c>
      <c r="AJ23" s="28" t="str">
        <f>Emissions!AL46</f>
        <v>NO</v>
      </c>
      <c r="AK23" s="28" t="str">
        <f>Emissions!AM46</f>
        <v>NO</v>
      </c>
      <c r="AL23" s="28" t="str">
        <f>Emissions!AN46</f>
        <v>NO</v>
      </c>
      <c r="AM23" s="28" t="str">
        <f>Emissions!AO46</f>
        <v>NO</v>
      </c>
      <c r="AN23" s="28" t="str">
        <f>Emissions!AP46</f>
        <v>NO</v>
      </c>
      <c r="AO23" s="28" t="str">
        <f>Emissions!AQ46</f>
        <v>NO</v>
      </c>
      <c r="AP23" s="28" t="str">
        <f>Emissions!AR46</f>
        <v>NO</v>
      </c>
      <c r="AQ23" s="28" t="str">
        <f>Emissions!AS46</f>
        <v>NO</v>
      </c>
      <c r="AR23" s="28" t="str">
        <f>Emissions!AT46</f>
        <v>NO</v>
      </c>
      <c r="AS23" s="28" t="str">
        <f>Emissions!AU46</f>
        <v>NO</v>
      </c>
      <c r="AT23" s="28" t="str">
        <f>Emissions!AV46</f>
        <v>NO</v>
      </c>
      <c r="AU23" s="28" t="str">
        <f>Emissions!AW46</f>
        <v>NO</v>
      </c>
      <c r="AV23" s="28" t="str">
        <f>Emissions!AX46</f>
        <v>NO</v>
      </c>
      <c r="AW23" s="28" t="str">
        <f>Emissions!AY46</f>
        <v>NO</v>
      </c>
      <c r="AX23" s="28" t="str">
        <f>Emissions!AZ46</f>
        <v>NO</v>
      </c>
      <c r="AY23" s="28" t="str">
        <f>Emissions!BA46</f>
        <v>NO</v>
      </c>
      <c r="AZ23" s="28" t="str">
        <f>Emissions!BB46</f>
        <v>NO</v>
      </c>
      <c r="BA23" s="28" t="str">
        <f>Emissions!BC46</f>
        <v>NO</v>
      </c>
      <c r="BB23" s="28" t="str">
        <f>Emissions!BD46</f>
        <v>NO</v>
      </c>
      <c r="BC23" s="28" t="str">
        <f>Emissions!BE46</f>
        <v>NO</v>
      </c>
      <c r="BD23" s="28" t="str">
        <f>Emissions!BF46</f>
        <v>NO</v>
      </c>
      <c r="BE23" s="28" t="str">
        <f>Emissions!BG46</f>
        <v>NO</v>
      </c>
      <c r="BF23" s="28" t="str">
        <f>Emissions!BH46</f>
        <v>NO</v>
      </c>
      <c r="BG23" s="28" t="str">
        <f>Emissions!BI46</f>
        <v>NO</v>
      </c>
      <c r="BH23" s="28" t="str">
        <f>Emissions!BJ46</f>
        <v>NO</v>
      </c>
      <c r="BI23" s="28" t="str">
        <f>Emissions!BK46</f>
        <v>NO</v>
      </c>
      <c r="BJ23" s="28" t="str">
        <f>Emissions!BL46</f>
        <v>NO</v>
      </c>
      <c r="BK23" s="28" t="str">
        <f>Emissions!BM46</f>
        <v>NO</v>
      </c>
      <c r="BL23" s="28" t="str">
        <f>Emissions!BN46</f>
        <v>NO</v>
      </c>
      <c r="BM23" s="28" t="str">
        <f>Emissions!BO46</f>
        <v>NO</v>
      </c>
      <c r="BN23" s="28"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8" t="str">
        <f>Emissions!H47</f>
        <v>NO</v>
      </c>
      <c r="G24" s="28" t="str">
        <f>Emissions!I47</f>
        <v>NO</v>
      </c>
      <c r="H24" s="28" t="str">
        <f>Emissions!J47</f>
        <v>NO</v>
      </c>
      <c r="I24" s="28" t="str">
        <f>Emissions!K47</f>
        <v>NO</v>
      </c>
      <c r="J24" s="28" t="str">
        <f>Emissions!L47</f>
        <v>NO</v>
      </c>
      <c r="K24" s="28" t="str">
        <f>Emissions!M47</f>
        <v>NO</v>
      </c>
      <c r="L24" s="28" t="str">
        <f>Emissions!N47</f>
        <v>NO</v>
      </c>
      <c r="M24" s="28" t="str">
        <f>Emissions!O47</f>
        <v>NO</v>
      </c>
      <c r="N24" s="28" t="str">
        <f>Emissions!P47</f>
        <v>NO</v>
      </c>
      <c r="O24" s="28" t="str">
        <f>Emissions!Q47</f>
        <v>NO</v>
      </c>
      <c r="P24" s="28" t="str">
        <f>Emissions!R47</f>
        <v>NO</v>
      </c>
      <c r="Q24" s="28" t="str">
        <f>Emissions!S47</f>
        <v>NO</v>
      </c>
      <c r="R24" s="28" t="str">
        <f>Emissions!T47</f>
        <v>NO</v>
      </c>
      <c r="S24" s="28" t="str">
        <f>Emissions!U47</f>
        <v>NO</v>
      </c>
      <c r="T24" s="28" t="str">
        <f>Emissions!V47</f>
        <v>NO</v>
      </c>
      <c r="U24" s="28" t="str">
        <f>Emissions!W47</f>
        <v>NO</v>
      </c>
      <c r="V24" s="28" t="str">
        <f>Emissions!X47</f>
        <v>NO</v>
      </c>
      <c r="W24" s="28" t="str">
        <f>Emissions!Y47</f>
        <v>NO</v>
      </c>
      <c r="X24" s="28" t="str">
        <f>Emissions!Z47</f>
        <v>NO</v>
      </c>
      <c r="Y24" s="28" t="str">
        <f>Emissions!AA47</f>
        <v>NO</v>
      </c>
      <c r="Z24" s="28" t="str">
        <f>Emissions!AB47</f>
        <v>NO</v>
      </c>
      <c r="AA24" s="28" t="str">
        <f>Emissions!AC47</f>
        <v>NO</v>
      </c>
      <c r="AB24" s="28" t="str">
        <f>Emissions!AD47</f>
        <v>NO</v>
      </c>
      <c r="AC24" s="28" t="str">
        <f>Emissions!AE47</f>
        <v>NO</v>
      </c>
      <c r="AD24" s="28" t="str">
        <f>Emissions!AF47</f>
        <v>NO</v>
      </c>
      <c r="AE24" s="28" t="str">
        <f>Emissions!AG47</f>
        <v>NO</v>
      </c>
      <c r="AF24" s="28" t="str">
        <f>Emissions!AH47</f>
        <v>NO</v>
      </c>
      <c r="AG24" s="28" t="str">
        <f>Emissions!AI47</f>
        <v>NO</v>
      </c>
      <c r="AH24" s="28" t="str">
        <f>Emissions!AJ47</f>
        <v>NO</v>
      </c>
      <c r="AI24" s="28" t="str">
        <f>Emissions!AK47</f>
        <v>NO</v>
      </c>
      <c r="AJ24" s="28" t="str">
        <f>Emissions!AL47</f>
        <v>NO</v>
      </c>
      <c r="AK24" s="28" t="str">
        <f>Emissions!AM47</f>
        <v>NO</v>
      </c>
      <c r="AL24" s="28" t="str">
        <f>Emissions!AN47</f>
        <v>NO</v>
      </c>
      <c r="AM24" s="28" t="str">
        <f>Emissions!AO47</f>
        <v>NO</v>
      </c>
      <c r="AN24" s="28" t="str">
        <f>Emissions!AP47</f>
        <v>NO</v>
      </c>
      <c r="AO24" s="28" t="str">
        <f>Emissions!AQ47</f>
        <v>NO</v>
      </c>
      <c r="AP24" s="28" t="str">
        <f>Emissions!AR47</f>
        <v>NO</v>
      </c>
      <c r="AQ24" s="28" t="str">
        <f>Emissions!AS47</f>
        <v>NO</v>
      </c>
      <c r="AR24" s="28" t="str">
        <f>Emissions!AT47</f>
        <v>NO</v>
      </c>
      <c r="AS24" s="28" t="str">
        <f>Emissions!AU47</f>
        <v>NO</v>
      </c>
      <c r="AT24" s="28" t="str">
        <f>Emissions!AV47</f>
        <v>NO</v>
      </c>
      <c r="AU24" s="28" t="str">
        <f>Emissions!AW47</f>
        <v>NO</v>
      </c>
      <c r="AV24" s="28" t="str">
        <f>Emissions!AX47</f>
        <v>NO</v>
      </c>
      <c r="AW24" s="28" t="str">
        <f>Emissions!AY47</f>
        <v>NO</v>
      </c>
      <c r="AX24" s="28" t="str">
        <f>Emissions!AZ47</f>
        <v>NO</v>
      </c>
      <c r="AY24" s="28" t="str">
        <f>Emissions!BA47</f>
        <v>NO</v>
      </c>
      <c r="AZ24" s="28" t="str">
        <f>Emissions!BB47</f>
        <v>NO</v>
      </c>
      <c r="BA24" s="28" t="str">
        <f>Emissions!BC47</f>
        <v>NO</v>
      </c>
      <c r="BB24" s="28" t="str">
        <f>Emissions!BD47</f>
        <v>NO</v>
      </c>
      <c r="BC24" s="28" t="str">
        <f>Emissions!BE47</f>
        <v>NO</v>
      </c>
      <c r="BD24" s="28" t="str">
        <f>Emissions!BF47</f>
        <v>NO</v>
      </c>
      <c r="BE24" s="28" t="str">
        <f>Emissions!BG47</f>
        <v>NO</v>
      </c>
      <c r="BF24" s="28" t="str">
        <f>Emissions!BH47</f>
        <v>NO</v>
      </c>
      <c r="BG24" s="28" t="str">
        <f>Emissions!BI47</f>
        <v>NO</v>
      </c>
      <c r="BH24" s="28" t="str">
        <f>Emissions!BJ47</f>
        <v>NO</v>
      </c>
      <c r="BI24" s="28" t="str">
        <f>Emissions!BK47</f>
        <v>NO</v>
      </c>
      <c r="BJ24" s="28" t="str">
        <f>Emissions!BL47</f>
        <v>NO</v>
      </c>
      <c r="BK24" s="28" t="str">
        <f>Emissions!BM47</f>
        <v>NO</v>
      </c>
      <c r="BL24" s="28" t="str">
        <f>Emissions!BN47</f>
        <v>NO</v>
      </c>
      <c r="BM24" s="28" t="str">
        <f>Emissions!BO47</f>
        <v>NO</v>
      </c>
      <c r="BN24" s="28"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8">
        <f>SUM(Emissions!H48:H49)</f>
        <v>0.12329867623327949</v>
      </c>
      <c r="G25" s="28">
        <f>SUM(Emissions!I48:I49)</f>
        <v>0.13470623092415376</v>
      </c>
      <c r="H25" s="28">
        <f>SUM(Emissions!J48:J49)</f>
        <v>0.13381627984897917</v>
      </c>
      <c r="I25" s="28">
        <f>SUM(Emissions!K48:K49)</f>
        <v>0.13373537520578149</v>
      </c>
      <c r="J25" s="28">
        <f>SUM(Emissions!L48:L49)</f>
        <v>0.12702028982037319</v>
      </c>
      <c r="K25" s="28">
        <f>SUM(Emissions!M48:M49)</f>
        <v>0.12823385946833857</v>
      </c>
      <c r="L25" s="28">
        <f>SUM(Emissions!N48:N49)</f>
        <v>0.13810422593845673</v>
      </c>
      <c r="M25" s="28">
        <f>SUM(Emissions!O48:O49)</f>
        <v>0.13745698879287524</v>
      </c>
      <c r="N25" s="28">
        <f>SUM(Emissions!P48:P49)</f>
        <v>0.14045046059118976</v>
      </c>
      <c r="O25" s="28">
        <f>SUM(Emissions!Q48:Q49)</f>
        <v>0.14401026489188812</v>
      </c>
      <c r="P25" s="28">
        <f>SUM(Emissions!R48:R49)</f>
        <v>0.13324994734659534</v>
      </c>
      <c r="Q25" s="28">
        <f>SUM(Emissions!S48:S49)</f>
        <v>0.13575799128572374</v>
      </c>
      <c r="R25" s="28">
        <f>SUM(Emissions!T48:T49)</f>
        <v>0.1383469398680498</v>
      </c>
      <c r="S25" s="28">
        <f>SUM(Emissions!U48:U49)</f>
        <v>0.1345444216377584</v>
      </c>
      <c r="T25" s="28">
        <f>SUM(Emissions!V48:V49)</f>
        <v>0.1345444216377584</v>
      </c>
      <c r="U25" s="28">
        <f>SUM(Emissions!W48:W49)</f>
        <v>0.1335735659193861</v>
      </c>
      <c r="V25" s="28">
        <f>SUM(Emissions!X48:X49)</f>
        <v>0.13122733126665309</v>
      </c>
      <c r="W25" s="28">
        <f>SUM(Emissions!Y48:Y49)</f>
        <v>0.1335735659193861</v>
      </c>
      <c r="X25" s="28">
        <f>SUM(Emissions!Z48:Z49)</f>
        <v>0.13066099876426929</v>
      </c>
      <c r="Y25" s="28">
        <f>SUM(Emissions!AA48:AA49)</f>
        <v>0.13049918947787389</v>
      </c>
      <c r="Z25" s="28">
        <f>SUM(Emissions!AB48:AB49)</f>
        <v>0.12896200125711779</v>
      </c>
      <c r="AA25" s="28">
        <f>SUM(Emissions!AC48:AC49)</f>
        <v>0.12815295482514089</v>
      </c>
      <c r="AB25" s="28">
        <f>SUM(Emissions!AD48:AD49)</f>
        <v>0.13613786187116422</v>
      </c>
      <c r="AC25" s="28">
        <f>SUM(Emissions!AE48:AE49)</f>
        <v>0.13589725399310812</v>
      </c>
      <c r="AD25" s="28">
        <f>SUM(Emissions!AF48:AF49)</f>
        <v>0.1351347992934038</v>
      </c>
      <c r="AE25" s="28">
        <f>SUM(Emissions!AG48:AG49)</f>
        <v>0.1321528771561141</v>
      </c>
      <c r="AF25" s="28">
        <f>SUM(Emissions!AH48:AH49)</f>
        <v>0.12933298775112495</v>
      </c>
      <c r="AG25" s="28">
        <f>SUM(Emissions!AI48:AI49)</f>
        <v>0.12887785159656295</v>
      </c>
      <c r="AH25" s="28">
        <f>SUM(Emissions!AJ48:AJ49)</f>
        <v>0.12777300179328563</v>
      </c>
      <c r="AI25" s="28">
        <f>SUM(Emissions!AK48:AK49)</f>
        <v>0.12437013993974183</v>
      </c>
      <c r="AJ25" s="28">
        <f>SUM(Emissions!AL48:AL49)</f>
        <v>0.11093241044204248</v>
      </c>
      <c r="AK25" s="28">
        <f>SUM(Emissions!AM48:AM49)</f>
        <v>0.1133186345290606</v>
      </c>
      <c r="AL25" s="28">
        <f>SUM(Emissions!AN48:AN49)</f>
        <v>0.1144174475687363</v>
      </c>
      <c r="AM25" s="28">
        <f>SUM(Emissions!AO48:AO49)</f>
        <v>0.11521772237990521</v>
      </c>
      <c r="AN25" s="28">
        <f>SUM(Emissions!AP48:AP49)</f>
        <v>0.11644635985315499</v>
      </c>
      <c r="AO25" s="28">
        <f>SUM(Emissions!AQ48:AQ49)</f>
        <v>0.11917479274275908</v>
      </c>
      <c r="AP25" s="28">
        <f>SUM(Emissions!AR48:AR49)</f>
        <v>0.12224549195186343</v>
      </c>
      <c r="AQ25" s="28">
        <f>SUM(Emissions!AS48:AS49)</f>
        <v>0.12562452740996813</v>
      </c>
      <c r="AR25" s="28">
        <f>SUM(Emissions!AT48:AT49)</f>
        <v>0.12832654007020891</v>
      </c>
      <c r="AS25" s="28">
        <f>SUM(Emissions!AU48:AU49)</f>
        <v>0.13163601964407842</v>
      </c>
      <c r="AT25" s="28">
        <f>SUM(Emissions!AV48:AV49)</f>
        <v>0.13568606155692597</v>
      </c>
      <c r="AU25" s="28">
        <f>SUM(Emissions!AW48:AW49)</f>
        <v>0.13951961885018657</v>
      </c>
      <c r="AV25" s="28">
        <f>SUM(Emissions!AX48:AX49)</f>
        <v>0.14350950601483636</v>
      </c>
      <c r="AW25" s="28">
        <f>SUM(Emissions!AY48:AY49)</f>
        <v>0.14752278798023816</v>
      </c>
      <c r="AX25" s="28">
        <f>SUM(Emissions!AZ48:AZ49)</f>
        <v>0.15209984494903359</v>
      </c>
      <c r="AY25" s="28">
        <f>SUM(Emissions!BA48:BA49)</f>
        <v>0.15581060494027307</v>
      </c>
      <c r="AZ25" s="28">
        <f>SUM(Emissions!BB48:BB49)</f>
        <v>0.15978680967386794</v>
      </c>
      <c r="BA25" s="28">
        <f>SUM(Emissions!BC48:BC49)</f>
        <v>0.16376376564311418</v>
      </c>
      <c r="BB25" s="28">
        <f>SUM(Emissions!BD48:BD49)</f>
        <v>0.16737322976844402</v>
      </c>
      <c r="BC25" s="28">
        <f>SUM(Emissions!BE48:BE49)</f>
        <v>0.17087074396895241</v>
      </c>
      <c r="BD25" s="28">
        <f>SUM(Emissions!BF48:BF49)</f>
        <v>0.17447662596364219</v>
      </c>
      <c r="BE25" s="28">
        <f>SUM(Emissions!BG48:BG49)</f>
        <v>0.17828878112654678</v>
      </c>
      <c r="BF25" s="28">
        <f>SUM(Emissions!BH48:BH49)</f>
        <v>0.18164042792093543</v>
      </c>
      <c r="BG25" s="28">
        <f>SUM(Emissions!BI48:BI49)</f>
        <v>0.18496765400945384</v>
      </c>
      <c r="BH25" s="28">
        <f>SUM(Emissions!BJ48:BJ49)</f>
        <v>0.18827930601880483</v>
      </c>
      <c r="BI25" s="28">
        <f>SUM(Emissions!BK48:BK49)</f>
        <v>0.19186777145432554</v>
      </c>
      <c r="BJ25" s="28">
        <f>SUM(Emissions!BL48:BL49)</f>
        <v>0.19550829529180372</v>
      </c>
      <c r="BK25" s="28">
        <f>SUM(Emissions!BM48:BM49)</f>
        <v>0.19635950269773711</v>
      </c>
      <c r="BL25" s="28">
        <f>SUM(Emissions!BN48:BN49)</f>
        <v>0.19697653624365832</v>
      </c>
      <c r="BM25" s="28">
        <f>SUM(Emissions!BO48:BO49)</f>
        <v>0.19790284177446871</v>
      </c>
      <c r="BN25" s="28">
        <f>SUM(Emissions!BP48:BP49)</f>
        <v>0.19862610251048823</v>
      </c>
    </row>
    <row r="26" spans="1:66" x14ac:dyDescent="0.25">
      <c r="A26" t="str">
        <f t="shared" si="2"/>
        <v>3A Livestock</v>
      </c>
      <c r="B26" t="str">
        <f t="shared" si="14"/>
        <v>3A2 Manure management (N2O)</v>
      </c>
      <c r="C26" t="str">
        <f t="shared" si="13"/>
        <v>3A2i Poultry</v>
      </c>
      <c r="D26" t="str">
        <f t="shared" si="15"/>
        <v>N2O</v>
      </c>
      <c r="E26" t="str">
        <f t="shared" si="16"/>
        <v>Gg N2O</v>
      </c>
      <c r="F26" s="28">
        <f>SUM(Emissions!H50:H53)</f>
        <v>0.97142643116498173</v>
      </c>
      <c r="G26" s="28">
        <f>SUM(Emissions!I50:I53)</f>
        <v>0.91979947773956539</v>
      </c>
      <c r="H26" s="28">
        <f>SUM(Emissions!J50:J53)</f>
        <v>0.86996640861962027</v>
      </c>
      <c r="I26" s="28">
        <f>SUM(Emissions!K50:K53)</f>
        <v>0.95105089689588118</v>
      </c>
      <c r="J26" s="28">
        <f>SUM(Emissions!L50:L53)</f>
        <v>0.93558760332506563</v>
      </c>
      <c r="K26" s="28">
        <f>SUM(Emissions!M50:M53)</f>
        <v>1.0610980244624493</v>
      </c>
      <c r="L26" s="28">
        <f>SUM(Emissions!N50:N53)</f>
        <v>1.2124779056940209</v>
      </c>
      <c r="M26" s="28">
        <f>SUM(Emissions!O50:O53)</f>
        <v>1.2310774331909755</v>
      </c>
      <c r="N26" s="28">
        <f>SUM(Emissions!P50:P53)</f>
        <v>1.3553349187397734</v>
      </c>
      <c r="O26" s="28">
        <f>SUM(Emissions!Q50:Q53)</f>
        <v>1.4216688462228295</v>
      </c>
      <c r="P26" s="28">
        <f>SUM(Emissions!R50:R53)</f>
        <v>1.5047428388913393</v>
      </c>
      <c r="Q26" s="28">
        <f>SUM(Emissions!S50:S53)</f>
        <v>1.4682944579243469</v>
      </c>
      <c r="R26" s="28">
        <f>SUM(Emissions!T50:T53)</f>
        <v>1.5974517753633082</v>
      </c>
      <c r="S26" s="28">
        <f>SUM(Emissions!U50:U53)</f>
        <v>1.5216968274171625</v>
      </c>
      <c r="T26" s="28">
        <f>SUM(Emissions!V50:V53)</f>
        <v>1.561402779749649</v>
      </c>
      <c r="U26" s="28">
        <f>SUM(Emissions!W50:W53)</f>
        <v>1.715924170745724</v>
      </c>
      <c r="V26" s="28">
        <f>SUM(Emissions!X50:X53)</f>
        <v>1.8445047156055465</v>
      </c>
      <c r="W26" s="28">
        <f>SUM(Emissions!Y50:Y53)</f>
        <v>1.9478096113399568</v>
      </c>
      <c r="X26" s="28">
        <f>SUM(Emissions!Z50:Z53)</f>
        <v>2.0569289282113736</v>
      </c>
      <c r="Y26" s="28">
        <f>SUM(Emissions!AA50:AA53)</f>
        <v>1.9474443632124327</v>
      </c>
      <c r="Z26" s="28">
        <f>SUM(Emissions!AB50:AB53)</f>
        <v>2.0008545268528479</v>
      </c>
      <c r="AA26" s="28">
        <f>SUM(Emissions!AC50:AC53)</f>
        <v>2.0733749858055939</v>
      </c>
      <c r="AB26" s="28">
        <f>SUM(Emissions!AD50:AD53)</f>
        <v>2.1269488247280468</v>
      </c>
      <c r="AC26" s="28">
        <f>SUM(Emissions!AE50:AE53)</f>
        <v>2.16776634187277</v>
      </c>
      <c r="AD26" s="28">
        <f>SUM(Emissions!AF50:AF53)</f>
        <v>2.196421319397095</v>
      </c>
      <c r="AE26" s="28">
        <f>SUM(Emissions!AG50:AG53)</f>
        <v>2.1761571145028649</v>
      </c>
      <c r="AF26" s="28">
        <f>SUM(Emissions!AH50:AH53)</f>
        <v>2.1567126308699645</v>
      </c>
      <c r="AG26" s="28">
        <f>SUM(Emissions!AI50:AI53)</f>
        <v>2.1869946929291686</v>
      </c>
      <c r="AH26" s="28">
        <f>SUM(Emissions!AJ50:AJ53)</f>
        <v>2.2021179506354787</v>
      </c>
      <c r="AI26" s="28">
        <f>SUM(Emissions!AK50:AK53)</f>
        <v>2.1640007819393885</v>
      </c>
      <c r="AJ26" s="28">
        <f>SUM(Emissions!AL50:AL53)</f>
        <v>1.8919449293637745</v>
      </c>
      <c r="AK26" s="28">
        <f>SUM(Emissions!AM50:AM53)</f>
        <v>1.9844135084752292</v>
      </c>
      <c r="AL26" s="28">
        <f>SUM(Emissions!AN50:AN53)</f>
        <v>2.0478272807159228</v>
      </c>
      <c r="AM26" s="28">
        <f>SUM(Emissions!AO50:AO53)</f>
        <v>2.1047570565754765</v>
      </c>
      <c r="AN26" s="28">
        <f>SUM(Emissions!AP50:AP53)</f>
        <v>2.1726909545521687</v>
      </c>
      <c r="AO26" s="28">
        <f>SUM(Emissions!AQ50:AQ53)</f>
        <v>2.2786144243218991</v>
      </c>
      <c r="AP26" s="28">
        <f>SUM(Emissions!AR50:AR53)</f>
        <v>2.3962377972073736</v>
      </c>
      <c r="AQ26" s="28">
        <f>SUM(Emissions!AS50:AS53)</f>
        <v>2.5239480884721472</v>
      </c>
      <c r="AR26" s="28">
        <f>SUM(Emissions!AT50:AT53)</f>
        <v>2.6367408378526829</v>
      </c>
      <c r="AS26" s="28">
        <f>SUM(Emissions!AU50:AU53)</f>
        <v>2.7675175513866068</v>
      </c>
      <c r="AT26" s="28">
        <f>SUM(Emissions!AV50:AV53)</f>
        <v>2.9205029222120009</v>
      </c>
      <c r="AU26" s="28">
        <f>SUM(Emissions!AW50:AW53)</f>
        <v>3.0718018541756376</v>
      </c>
      <c r="AV26" s="28">
        <f>SUM(Emissions!AX50:AX53)</f>
        <v>3.2304796029361253</v>
      </c>
      <c r="AW26" s="28">
        <f>SUM(Emissions!AY50:AY53)</f>
        <v>3.3931255917794094</v>
      </c>
      <c r="AX26" s="28">
        <f>SUM(Emissions!AZ50:AZ53)</f>
        <v>3.5749303719195717</v>
      </c>
      <c r="AY26" s="28">
        <f>SUM(Emissions!BA50:BA53)</f>
        <v>3.736171242995515</v>
      </c>
      <c r="AZ26" s="28">
        <f>SUM(Emissions!BB50:BB53)</f>
        <v>3.9092409497061547</v>
      </c>
      <c r="BA26" s="28">
        <f>SUM(Emissions!BC50:BC53)</f>
        <v>4.0860042755588966</v>
      </c>
      <c r="BB26" s="28">
        <f>SUM(Emissions!BD50:BD53)</f>
        <v>4.2557268208132184</v>
      </c>
      <c r="BC26" s="28">
        <f>SUM(Emissions!BE50:BE53)</f>
        <v>4.4256967401659475</v>
      </c>
      <c r="BD26" s="28">
        <f>SUM(Emissions!BF50:BF53)</f>
        <v>4.6025347148170255</v>
      </c>
      <c r="BE26" s="28">
        <f>SUM(Emissions!BG50:BG53)</f>
        <v>4.7902359658837517</v>
      </c>
      <c r="BF26" s="28">
        <f>SUM(Emissions!BH50:BH53)</f>
        <v>4.9677107867803496</v>
      </c>
      <c r="BG26" s="28">
        <f>SUM(Emissions!BI50:BI53)</f>
        <v>5.1482072504026499</v>
      </c>
      <c r="BH26" s="28">
        <f>SUM(Emissions!BJ50:BJ53)</f>
        <v>5.3320864717305163</v>
      </c>
      <c r="BI26" s="28">
        <f>SUM(Emissions!BK50:BK53)</f>
        <v>5.5288787094084322</v>
      </c>
      <c r="BJ26" s="28">
        <f>SUM(Emissions!BL50:BL53)</f>
        <v>5.7324698122204794</v>
      </c>
      <c r="BK26" s="28">
        <f>SUM(Emissions!BM50:BM53)</f>
        <v>5.8481118237064553</v>
      </c>
      <c r="BL26" s="28">
        <f>SUM(Emissions!BN50:BN53)</f>
        <v>5.9580321856205094</v>
      </c>
      <c r="BM26" s="28">
        <f>SUM(Emissions!BO50:BO53)</f>
        <v>6.0804919547587382</v>
      </c>
      <c r="BN26" s="28">
        <f>SUM(Emissions!BP50:BP53)</f>
        <v>6.1983124151604292</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7">
        <f>SUM(F28:F33)</f>
        <v>53.0453492171862</v>
      </c>
      <c r="G27" s="47">
        <f t="shared" ref="G27:BN27" si="17">SUM(G28:G33)</f>
        <v>53.0453492171862</v>
      </c>
      <c r="H27" s="47">
        <f t="shared" si="17"/>
        <v>53.0453492171862</v>
      </c>
      <c r="I27" s="47">
        <f t="shared" si="17"/>
        <v>53.0453492171862</v>
      </c>
      <c r="J27" s="47">
        <f t="shared" si="17"/>
        <v>53.0453492171862</v>
      </c>
      <c r="K27" s="47">
        <f t="shared" si="17"/>
        <v>53.0453492171862</v>
      </c>
      <c r="L27" s="47">
        <f t="shared" si="17"/>
        <v>53.0453492171862</v>
      </c>
      <c r="M27" s="47">
        <f t="shared" si="17"/>
        <v>53.0453492171862</v>
      </c>
      <c r="N27" s="47">
        <f t="shared" si="17"/>
        <v>53.0453492171862</v>
      </c>
      <c r="O27" s="47">
        <f t="shared" si="17"/>
        <v>53.0453492171862</v>
      </c>
      <c r="P27" s="47">
        <f t="shared" si="17"/>
        <v>52.546557109309774</v>
      </c>
      <c r="Q27" s="47">
        <f t="shared" si="17"/>
        <v>61.073892579993647</v>
      </c>
      <c r="R27" s="47">
        <f t="shared" si="17"/>
        <v>61.377028794942774</v>
      </c>
      <c r="S27" s="47">
        <f t="shared" si="17"/>
        <v>48.163551471837515</v>
      </c>
      <c r="T27" s="47">
        <f t="shared" si="17"/>
        <v>42.065716129847253</v>
      </c>
      <c r="U27" s="47">
        <f t="shared" si="17"/>
        <v>67.254014225099425</v>
      </c>
      <c r="V27" s="47">
        <f t="shared" si="17"/>
        <v>58.899233231775128</v>
      </c>
      <c r="W27" s="47">
        <f t="shared" si="17"/>
        <v>58.027482006018275</v>
      </c>
      <c r="X27" s="47">
        <f t="shared" si="17"/>
        <v>54.279261632604765</v>
      </c>
      <c r="Y27" s="47">
        <f t="shared" si="17"/>
        <v>51.374827411779322</v>
      </c>
      <c r="Z27" s="47">
        <f t="shared" si="17"/>
        <v>52.716909833999999</v>
      </c>
      <c r="AA27" s="47">
        <f t="shared" si="17"/>
        <v>52.066398634182001</v>
      </c>
      <c r="AB27" s="47">
        <f t="shared" si="17"/>
        <v>43.638049727653843</v>
      </c>
      <c r="AC27" s="47">
        <f t="shared" si="17"/>
        <v>45.605203762152264</v>
      </c>
      <c r="AD27" s="47">
        <f t="shared" si="17"/>
        <v>44.965256516650697</v>
      </c>
      <c r="AE27" s="47">
        <f t="shared" si="17"/>
        <v>44.370632311149102</v>
      </c>
      <c r="AF27" s="47">
        <f t="shared" si="17"/>
        <v>44.847337385647528</v>
      </c>
      <c r="AG27" s="47">
        <f t="shared" si="17"/>
        <v>45.270823420145945</v>
      </c>
      <c r="AH27" s="47">
        <f t="shared" si="17"/>
        <v>45.390629294644363</v>
      </c>
      <c r="AI27" s="47">
        <f t="shared" si="17"/>
        <v>45.56015529937843</v>
      </c>
      <c r="AJ27" s="47">
        <f t="shared" si="17"/>
        <v>45.729681304112475</v>
      </c>
      <c r="AK27" s="47">
        <f t="shared" si="17"/>
        <v>45.899207308846528</v>
      </c>
      <c r="AL27" s="47">
        <f t="shared" si="17"/>
        <v>46.068733313580573</v>
      </c>
      <c r="AM27" s="47">
        <f t="shared" si="17"/>
        <v>46.238259318314633</v>
      </c>
      <c r="AN27" s="47">
        <f t="shared" si="17"/>
        <v>46.407785323048678</v>
      </c>
      <c r="AO27" s="47">
        <f t="shared" si="17"/>
        <v>46.577311327782738</v>
      </c>
      <c r="AP27" s="47">
        <f t="shared" si="17"/>
        <v>46.74683733251679</v>
      </c>
      <c r="AQ27" s="47">
        <f t="shared" si="17"/>
        <v>46.916363337250836</v>
      </c>
      <c r="AR27" s="47">
        <f t="shared" si="17"/>
        <v>47.085889341984888</v>
      </c>
      <c r="AS27" s="47">
        <f t="shared" si="17"/>
        <v>47.255415346718941</v>
      </c>
      <c r="AT27" s="47">
        <f t="shared" si="17"/>
        <v>47.424941351453</v>
      </c>
      <c r="AU27" s="47">
        <f t="shared" si="17"/>
        <v>47.584388215769366</v>
      </c>
      <c r="AV27" s="47">
        <f t="shared" si="17"/>
        <v>47.743835080085738</v>
      </c>
      <c r="AW27" s="47">
        <f t="shared" si="17"/>
        <v>47.90328194440211</v>
      </c>
      <c r="AX27" s="47">
        <f t="shared" si="17"/>
        <v>48.062728808718475</v>
      </c>
      <c r="AY27" s="47">
        <f t="shared" si="17"/>
        <v>48.222175673034847</v>
      </c>
      <c r="AZ27" s="47">
        <f t="shared" si="17"/>
        <v>48.38162253735122</v>
      </c>
      <c r="BA27" s="47">
        <f t="shared" si="17"/>
        <v>48.541069401667592</v>
      </c>
      <c r="BB27" s="47">
        <f t="shared" si="17"/>
        <v>48.700516265983957</v>
      </c>
      <c r="BC27" s="47">
        <f t="shared" si="17"/>
        <v>48.846366490942629</v>
      </c>
      <c r="BD27" s="47">
        <f t="shared" si="17"/>
        <v>48.992216715901286</v>
      </c>
      <c r="BE27" s="47">
        <f t="shared" si="17"/>
        <v>49.138066940859957</v>
      </c>
      <c r="BF27" s="47">
        <f t="shared" si="17"/>
        <v>49.283917165818607</v>
      </c>
      <c r="BG27" s="47">
        <f t="shared" si="17"/>
        <v>49.429767390777279</v>
      </c>
      <c r="BH27" s="47">
        <f t="shared" si="17"/>
        <v>49.575617615735943</v>
      </c>
      <c r="BI27" s="47">
        <f t="shared" si="17"/>
        <v>49.721467840694608</v>
      </c>
      <c r="BJ27" s="47">
        <f t="shared" si="17"/>
        <v>49.867318065653272</v>
      </c>
      <c r="BK27" s="47">
        <f t="shared" si="17"/>
        <v>50.013168290611944</v>
      </c>
      <c r="BL27" s="47">
        <f t="shared" si="17"/>
        <v>50.159018515570601</v>
      </c>
      <c r="BM27" s="47">
        <f t="shared" si="17"/>
        <v>50.304868740529272</v>
      </c>
      <c r="BN27" s="47">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7">
        <f>SUM(F35:F40)</f>
        <v>3.7075879357894523</v>
      </c>
      <c r="G34" s="47">
        <f t="shared" ref="G34:BN34" si="21">SUM(G35:G40)</f>
        <v>3.7075879357894523</v>
      </c>
      <c r="H34" s="47">
        <f t="shared" si="21"/>
        <v>3.7075879357894523</v>
      </c>
      <c r="I34" s="47">
        <f t="shared" si="21"/>
        <v>3.7075879357894523</v>
      </c>
      <c r="J34" s="47">
        <f t="shared" si="21"/>
        <v>3.7075879357894523</v>
      </c>
      <c r="K34" s="47">
        <f t="shared" si="21"/>
        <v>3.7075879357894523</v>
      </c>
      <c r="L34" s="47">
        <f t="shared" si="21"/>
        <v>3.7075879357894523</v>
      </c>
      <c r="M34" s="47">
        <f t="shared" si="21"/>
        <v>3.7075879357894523</v>
      </c>
      <c r="N34" s="47">
        <f t="shared" si="21"/>
        <v>3.7075879357894523</v>
      </c>
      <c r="O34" s="47">
        <f t="shared" si="21"/>
        <v>3.7075879357894523</v>
      </c>
      <c r="P34" s="47">
        <f t="shared" si="21"/>
        <v>3.6718973949162081</v>
      </c>
      <c r="Q34" s="47">
        <f t="shared" si="21"/>
        <v>4.3479436666429772</v>
      </c>
      <c r="R34" s="47">
        <f t="shared" si="21"/>
        <v>4.2850613259475647</v>
      </c>
      <c r="S34" s="47">
        <f t="shared" si="21"/>
        <v>3.282468107830713</v>
      </c>
      <c r="T34" s="47">
        <f t="shared" si="21"/>
        <v>2.9505691836097965</v>
      </c>
      <c r="U34" s="47">
        <f t="shared" si="21"/>
        <v>4.6706814433352601</v>
      </c>
      <c r="V34" s="47">
        <f t="shared" si="21"/>
        <v>4.0754902880758053</v>
      </c>
      <c r="W34" s="47">
        <f t="shared" si="21"/>
        <v>3.9272122256664277</v>
      </c>
      <c r="X34" s="47">
        <f t="shared" si="21"/>
        <v>3.8070383668685825</v>
      </c>
      <c r="Y34" s="47">
        <f t="shared" si="21"/>
        <v>3.574643820819225</v>
      </c>
      <c r="Z34" s="47">
        <f t="shared" si="21"/>
        <v>3.6185702919300007</v>
      </c>
      <c r="AA34" s="47">
        <f t="shared" si="21"/>
        <v>3.5841393659915992</v>
      </c>
      <c r="AB34" s="47">
        <f t="shared" si="21"/>
        <v>3.090013816562077</v>
      </c>
      <c r="AC34" s="47">
        <f t="shared" si="21"/>
        <v>3.2036391768546908</v>
      </c>
      <c r="AD34" s="47">
        <f t="shared" si="21"/>
        <v>3.1730419131473035</v>
      </c>
      <c r="AE34" s="47">
        <f t="shared" si="21"/>
        <v>3.1449518814399164</v>
      </c>
      <c r="AF34" s="47">
        <f t="shared" si="21"/>
        <v>3.1761268737325303</v>
      </c>
      <c r="AG34" s="47">
        <f t="shared" si="21"/>
        <v>3.2043578340251431</v>
      </c>
      <c r="AH34" s="47">
        <f t="shared" si="21"/>
        <v>3.2157894663177569</v>
      </c>
      <c r="AI34" s="47">
        <f t="shared" si="21"/>
        <v>3.2312714849038415</v>
      </c>
      <c r="AJ34" s="47">
        <f t="shared" si="21"/>
        <v>3.2467535034899253</v>
      </c>
      <c r="AK34" s="47">
        <f t="shared" si="21"/>
        <v>3.26223552207601</v>
      </c>
      <c r="AL34" s="47">
        <f t="shared" si="21"/>
        <v>3.2777175406620933</v>
      </c>
      <c r="AM34" s="47">
        <f t="shared" si="21"/>
        <v>3.2931995592481784</v>
      </c>
      <c r="AN34" s="47">
        <f t="shared" si="21"/>
        <v>3.3086815778342631</v>
      </c>
      <c r="AO34" s="47">
        <f t="shared" si="21"/>
        <v>3.3241635964203464</v>
      </c>
      <c r="AP34" s="47">
        <f t="shared" si="21"/>
        <v>3.3396456150064311</v>
      </c>
      <c r="AQ34" s="47">
        <f t="shared" si="21"/>
        <v>3.3551276335925149</v>
      </c>
      <c r="AR34" s="47">
        <f t="shared" si="21"/>
        <v>3.3706096521785995</v>
      </c>
      <c r="AS34" s="47">
        <f t="shared" si="21"/>
        <v>3.3860916707646842</v>
      </c>
      <c r="AT34" s="47">
        <f t="shared" si="21"/>
        <v>3.4015736893507675</v>
      </c>
      <c r="AU34" s="47">
        <f t="shared" si="21"/>
        <v>3.4166247163658898</v>
      </c>
      <c r="AV34" s="47">
        <f t="shared" si="21"/>
        <v>3.4316757433810112</v>
      </c>
      <c r="AW34" s="47">
        <f t="shared" si="21"/>
        <v>3.4467267703961331</v>
      </c>
      <c r="AX34" s="47">
        <f t="shared" si="21"/>
        <v>3.4617777974112558</v>
      </c>
      <c r="AY34" s="47">
        <f t="shared" si="21"/>
        <v>3.4768288244263776</v>
      </c>
      <c r="AZ34" s="47">
        <f t="shared" si="21"/>
        <v>3.491879851441499</v>
      </c>
      <c r="BA34" s="47">
        <f t="shared" si="21"/>
        <v>3.5069308784566204</v>
      </c>
      <c r="BB34" s="47">
        <f t="shared" si="21"/>
        <v>3.5219819054717427</v>
      </c>
      <c r="BC34" s="47">
        <f t="shared" si="21"/>
        <v>3.5362807779692043</v>
      </c>
      <c r="BD34" s="47">
        <f t="shared" si="21"/>
        <v>3.5505796504666653</v>
      </c>
      <c r="BE34" s="47">
        <f t="shared" si="21"/>
        <v>3.5648785229641264</v>
      </c>
      <c r="BF34" s="47">
        <f t="shared" si="21"/>
        <v>3.5791773954615884</v>
      </c>
      <c r="BG34" s="47">
        <f t="shared" si="21"/>
        <v>3.59347626795905</v>
      </c>
      <c r="BH34" s="47">
        <f t="shared" si="21"/>
        <v>3.6077751404565115</v>
      </c>
      <c r="BI34" s="47">
        <f t="shared" si="21"/>
        <v>3.622074012953973</v>
      </c>
      <c r="BJ34" s="47">
        <f t="shared" si="21"/>
        <v>3.6363728854514346</v>
      </c>
      <c r="BK34" s="47">
        <f t="shared" si="21"/>
        <v>3.6506717579488956</v>
      </c>
      <c r="BL34" s="47">
        <f t="shared" si="21"/>
        <v>3.6649706304463576</v>
      </c>
      <c r="BM34" s="47">
        <f t="shared" si="21"/>
        <v>3.6792695029438187</v>
      </c>
      <c r="BN34" s="47">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7">
        <f>Emissions!H86</f>
        <v>357.5</v>
      </c>
      <c r="G41" s="47">
        <f>Emissions!I86</f>
        <v>378.125</v>
      </c>
      <c r="H41" s="47">
        <f>Emissions!J86</f>
        <v>261.25</v>
      </c>
      <c r="I41" s="47">
        <f>Emissions!K86</f>
        <v>412.5</v>
      </c>
      <c r="J41" s="47">
        <f>Emissions!L86</f>
        <v>595.58170833333327</v>
      </c>
      <c r="K41" s="47">
        <f>Emissions!M86</f>
        <v>473.34145833333332</v>
      </c>
      <c r="L41" s="47">
        <f>Emissions!N86</f>
        <v>579.13625000000002</v>
      </c>
      <c r="M41" s="47">
        <f>Emissions!O86</f>
        <v>547.24312499999996</v>
      </c>
      <c r="N41" s="47">
        <f>Emissions!P86</f>
        <v>570.31379166666659</v>
      </c>
      <c r="O41" s="47">
        <f>Emissions!Q86</f>
        <v>567.03808333333325</v>
      </c>
      <c r="P41" s="47">
        <f>Emissions!R86</f>
        <v>378.2405</v>
      </c>
      <c r="Q41" s="47">
        <f>Emissions!S86</f>
        <v>489.66362500000002</v>
      </c>
      <c r="R41" s="47">
        <f>Emissions!T86</f>
        <v>672.79437500000006</v>
      </c>
      <c r="S41" s="47">
        <f>Emissions!U86</f>
        <v>580.13175000000001</v>
      </c>
      <c r="T41" s="47">
        <f>Emissions!V86</f>
        <v>579.7403333333333</v>
      </c>
      <c r="U41" s="47">
        <f>Emissions!W86</f>
        <v>266.03683333333333</v>
      </c>
      <c r="V41" s="47">
        <f>Emissions!X86</f>
        <v>441.42908333333332</v>
      </c>
      <c r="W41" s="47">
        <f>Emissions!Y86</f>
        <v>521.42108333333329</v>
      </c>
      <c r="X41" s="47">
        <f>Emissions!Z86</f>
        <v>655.32637499999998</v>
      </c>
      <c r="Y41" s="47">
        <f>Emissions!AA86</f>
        <v>695.56775237855516</v>
      </c>
      <c r="Z41" s="47">
        <f>Emissions!AB86</f>
        <v>653.23730656422072</v>
      </c>
      <c r="AA41" s="47">
        <f>Emissions!AC86</f>
        <v>722.61220387104663</v>
      </c>
      <c r="AB41" s="47">
        <f>Emissions!AD86</f>
        <v>886.46691832724639</v>
      </c>
      <c r="AC41" s="47">
        <f>Emissions!AE86</f>
        <v>888.5196405131752</v>
      </c>
      <c r="AD41" s="47">
        <f>Emissions!AF86</f>
        <v>891.96064822562096</v>
      </c>
      <c r="AE41" s="47">
        <f>Emissions!AG86</f>
        <v>894.88916078976843</v>
      </c>
      <c r="AF41" s="47">
        <f>Emissions!AH86</f>
        <v>895.84739945695708</v>
      </c>
      <c r="AG41" s="47">
        <f>Emissions!AI86</f>
        <v>896.81728908321736</v>
      </c>
      <c r="AH41" s="47">
        <f>Emissions!AJ86</f>
        <v>899.77409431497051</v>
      </c>
      <c r="AI41" s="47">
        <f>Emissions!AK86</f>
        <v>902.09125086952031</v>
      </c>
      <c r="AJ41" s="47">
        <f>Emissions!AL86</f>
        <v>902.24725498392274</v>
      </c>
      <c r="AK41" s="47">
        <f>Emissions!AM86</f>
        <v>892.60902179925608</v>
      </c>
      <c r="AL41" s="47">
        <f>Emissions!AN86</f>
        <v>897.88077216623924</v>
      </c>
      <c r="AM41" s="47">
        <f>Emissions!AO86</f>
        <v>901.86785433623902</v>
      </c>
      <c r="AN41" s="47">
        <f>Emissions!AP86</f>
        <v>905.54375743786386</v>
      </c>
      <c r="AO41" s="47">
        <f>Emissions!AQ86</f>
        <v>909.62789125994425</v>
      </c>
      <c r="AP41" s="47">
        <f>Emissions!AR86</f>
        <v>915.17819871340487</v>
      </c>
      <c r="AQ41" s="47">
        <f>Emissions!AS86</f>
        <v>920.99002879575733</v>
      </c>
      <c r="AR41" s="47">
        <f>Emissions!AT86</f>
        <v>927.07478216005029</v>
      </c>
      <c r="AS41" s="47">
        <f>Emissions!AU86</f>
        <v>932.48269891354084</v>
      </c>
      <c r="AT41" s="47">
        <f>Emissions!AV86</f>
        <v>938.44873038731919</v>
      </c>
      <c r="AU41" s="47">
        <f>Emissions!AW86</f>
        <v>945.07999666505555</v>
      </c>
      <c r="AV41" s="47">
        <f>Emissions!AX86</f>
        <v>951.43174054913004</v>
      </c>
      <c r="AW41" s="47">
        <f>Emissions!AY86</f>
        <v>957.88938710584625</v>
      </c>
      <c r="AX41" s="47">
        <f>Emissions!AZ86</f>
        <v>964.3285468230124</v>
      </c>
      <c r="AY41" s="47">
        <f>Emissions!BA86</f>
        <v>971.2274721173485</v>
      </c>
      <c r="AZ41" s="47">
        <f>Emissions!BB86</f>
        <v>977.31823571713028</v>
      </c>
      <c r="BA41" s="47">
        <f>Emissions!BC86</f>
        <v>983.57793052447698</v>
      </c>
      <c r="BB41" s="47">
        <f>Emissions!BD86</f>
        <v>989.80396855314598</v>
      </c>
      <c r="BC41" s="47">
        <f>Emissions!BE86</f>
        <v>995.6874985828008</v>
      </c>
      <c r="BD41" s="47">
        <f>Emissions!BF86</f>
        <v>1001.4527108587529</v>
      </c>
      <c r="BE41" s="47">
        <f>Emissions!BG86</f>
        <v>1007.2848843182181</v>
      </c>
      <c r="BF41" s="47">
        <f>Emissions!BH86</f>
        <v>1013.2376412307941</v>
      </c>
      <c r="BG41" s="47">
        <f>Emissions!BI86</f>
        <v>1018.7943384588782</v>
      </c>
      <c r="BH41" s="47">
        <f>Emissions!BJ86</f>
        <v>1024.3150671694632</v>
      </c>
      <c r="BI41" s="47">
        <f>Emissions!BK86</f>
        <v>1029.8081254914655</v>
      </c>
      <c r="BJ41" s="47">
        <f>Emissions!BL86</f>
        <v>1035.5032855203945</v>
      </c>
      <c r="BK41" s="47">
        <f>Emissions!BM86</f>
        <v>1041.199437822145</v>
      </c>
      <c r="BL41" s="47">
        <f>Emissions!BN86</f>
        <v>1044.7334229183193</v>
      </c>
      <c r="BM41" s="47">
        <f>Emissions!BO86</f>
        <v>1048.092878940131</v>
      </c>
      <c r="BN41" s="47">
        <f>Emissions!BP86</f>
        <v>1051.6990964077904</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7">
        <f>Emissions!H87</f>
        <v>90.994567483487728</v>
      </c>
      <c r="G42" s="47">
        <f>Emissions!I87</f>
        <v>111.62690198838213</v>
      </c>
      <c r="H42" s="47">
        <f>Emissions!J87</f>
        <v>132.25923649327655</v>
      </c>
      <c r="I42" s="47">
        <f>Emissions!K87</f>
        <v>152.89157099816552</v>
      </c>
      <c r="J42" s="47">
        <f>Emissions!L87</f>
        <v>173.52390550305992</v>
      </c>
      <c r="K42" s="47">
        <f>Emissions!M87</f>
        <v>194.15624000795432</v>
      </c>
      <c r="L42" s="47">
        <f>Emissions!N87</f>
        <v>214.78857451284878</v>
      </c>
      <c r="M42" s="47">
        <f>Emissions!O87</f>
        <v>235.42090901774316</v>
      </c>
      <c r="N42" s="47">
        <f>Emissions!P87</f>
        <v>256.05324352263762</v>
      </c>
      <c r="O42" s="47">
        <f>Emissions!Q87</f>
        <v>276.68557802753202</v>
      </c>
      <c r="P42" s="47">
        <f>Emissions!R87</f>
        <v>297.31791253242642</v>
      </c>
      <c r="Q42" s="47">
        <f>Emissions!S87</f>
        <v>317.95024703732088</v>
      </c>
      <c r="R42" s="47">
        <f>Emissions!T87</f>
        <v>338.58258154220977</v>
      </c>
      <c r="S42" s="47">
        <f>Emissions!U87</f>
        <v>359.21491604710423</v>
      </c>
      <c r="T42" s="47">
        <f>Emissions!V87</f>
        <v>435.89846666666671</v>
      </c>
      <c r="U42" s="47">
        <f>Emissions!W87</f>
        <v>355.08659999999998</v>
      </c>
      <c r="V42" s="47">
        <f>Emissions!X87</f>
        <v>393.08573333333334</v>
      </c>
      <c r="W42" s="47">
        <f>Emissions!Y87</f>
        <v>484.55366666666663</v>
      </c>
      <c r="X42" s="47">
        <f>Emissions!Z87</f>
        <v>480.19253333333336</v>
      </c>
      <c r="Y42" s="47">
        <f>Emissions!AA87</f>
        <v>380.54426666666666</v>
      </c>
      <c r="Z42" s="47">
        <f>Emissions!AB87</f>
        <v>501.48046666666664</v>
      </c>
      <c r="AA42" s="47">
        <f>Emissions!AC87</f>
        <v>571.19113333333337</v>
      </c>
      <c r="AB42" s="47">
        <f>Emissions!AD87</f>
        <v>470.0955092083982</v>
      </c>
      <c r="AC42" s="47">
        <f>Emissions!AE87</f>
        <v>470.04378916185391</v>
      </c>
      <c r="AD42" s="47">
        <f>Emissions!AF87</f>
        <v>469.95709010424787</v>
      </c>
      <c r="AE42" s="47">
        <f>Emissions!AG87</f>
        <v>469.88330378909933</v>
      </c>
      <c r="AF42" s="47">
        <f>Emissions!AH87</f>
        <v>469.85916016712889</v>
      </c>
      <c r="AG42" s="47">
        <f>Emissions!AI87</f>
        <v>469.83472298953274</v>
      </c>
      <c r="AH42" s="47">
        <f>Emissions!AJ87</f>
        <v>469.76022381704024</v>
      </c>
      <c r="AI42" s="47">
        <f>Emissions!AK87</f>
        <v>469.7018411261563</v>
      </c>
      <c r="AJ42" s="47">
        <f>Emissions!AL87</f>
        <v>469.69791047245496</v>
      </c>
      <c r="AK42" s="47">
        <f>Emissions!AM87</f>
        <v>469.94075379160097</v>
      </c>
      <c r="AL42" s="47">
        <f>Emissions!AN87</f>
        <v>469.80792764677761</v>
      </c>
      <c r="AM42" s="47">
        <f>Emissions!AO87</f>
        <v>469.70746978802691</v>
      </c>
      <c r="AN42" s="47">
        <f>Emissions!AP87</f>
        <v>469.61485234529096</v>
      </c>
      <c r="AO42" s="47">
        <f>Emissions!AQ87</f>
        <v>469.51194918926763</v>
      </c>
      <c r="AP42" s="47">
        <f>Emissions!AR87</f>
        <v>469.37210456645607</v>
      </c>
      <c r="AQ42" s="47">
        <f>Emissions!AS87</f>
        <v>469.22567066301434</v>
      </c>
      <c r="AR42" s="47">
        <f>Emissions!AT87</f>
        <v>469.07236022998597</v>
      </c>
      <c r="AS42" s="47">
        <f>Emissions!AU87</f>
        <v>468.93610325955154</v>
      </c>
      <c r="AT42" s="47">
        <f>Emissions!AV87</f>
        <v>468.78578412351658</v>
      </c>
      <c r="AU42" s="47">
        <f>Emissions!AW87</f>
        <v>468.61870384208186</v>
      </c>
      <c r="AV42" s="47">
        <f>Emissions!AX87</f>
        <v>468.45866636035458</v>
      </c>
      <c r="AW42" s="47">
        <f>Emissions!AY87</f>
        <v>468.29596057251365</v>
      </c>
      <c r="AX42" s="47">
        <f>Emissions!AZ87</f>
        <v>468.1337205760052</v>
      </c>
      <c r="AY42" s="47">
        <f>Emissions!BA87</f>
        <v>467.95989640253708</v>
      </c>
      <c r="AZ42" s="47">
        <f>Emissions!BB87</f>
        <v>467.8064345366156</v>
      </c>
      <c r="BA42" s="47">
        <f>Emissions!BC87</f>
        <v>467.64871630810501</v>
      </c>
      <c r="BB42" s="47">
        <f>Emissions!BD87</f>
        <v>467.49184609018818</v>
      </c>
      <c r="BC42" s="47">
        <f>Emissions!BE87</f>
        <v>467.34360564680793</v>
      </c>
      <c r="BD42" s="47">
        <f>Emissions!BF87</f>
        <v>467.19834631785739</v>
      </c>
      <c r="BE42" s="47">
        <f>Emissions!BG87</f>
        <v>467.05139984607189</v>
      </c>
      <c r="BF42" s="47">
        <f>Emissions!BH87</f>
        <v>466.90141517367164</v>
      </c>
      <c r="BG42" s="47">
        <f>Emissions!BI87</f>
        <v>466.76140955516212</v>
      </c>
      <c r="BH42" s="47">
        <f>Emissions!BJ87</f>
        <v>466.62231019343295</v>
      </c>
      <c r="BI42" s="47">
        <f>Emissions!BK87</f>
        <v>466.48390801020918</v>
      </c>
      <c r="BJ42" s="47">
        <f>Emissions!BL87</f>
        <v>466.34041370601517</v>
      </c>
      <c r="BK42" s="47">
        <f>Emissions!BM87</f>
        <v>466.19689440068032</v>
      </c>
      <c r="BL42" s="47">
        <f>Emissions!BN87</f>
        <v>466.10785270038889</v>
      </c>
      <c r="BM42" s="47">
        <f>Emissions!BO87</f>
        <v>466.02320840560674</v>
      </c>
      <c r="BN42" s="47">
        <f>Emissions!BP87</f>
        <v>465.93234675050559</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7">
        <f>SUM(F44:F48)</f>
        <v>55.596597383734697</v>
      </c>
      <c r="G43" s="47">
        <f t="shared" ref="G43:BN43" si="24">SUM(G44:G48)</f>
        <v>55.28633998855625</v>
      </c>
      <c r="H43" s="47">
        <f t="shared" si="24"/>
        <v>54.71008958224381</v>
      </c>
      <c r="I43" s="47">
        <f t="shared" si="24"/>
        <v>54.205597256781054</v>
      </c>
      <c r="J43" s="47">
        <f t="shared" si="24"/>
        <v>52.900250302352887</v>
      </c>
      <c r="K43" s="47">
        <f t="shared" si="24"/>
        <v>51.915653074343908</v>
      </c>
      <c r="L43" s="47">
        <f t="shared" si="24"/>
        <v>54.152443602860892</v>
      </c>
      <c r="M43" s="47">
        <f t="shared" si="24"/>
        <v>55.0921271912325</v>
      </c>
      <c r="N43" s="47">
        <f t="shared" si="24"/>
        <v>55.452453962621647</v>
      </c>
      <c r="O43" s="47">
        <f t="shared" si="24"/>
        <v>55.340893527840024</v>
      </c>
      <c r="P43" s="47">
        <f t="shared" si="24"/>
        <v>54.909001676139468</v>
      </c>
      <c r="Q43" s="47">
        <f t="shared" si="24"/>
        <v>53.415685968258067</v>
      </c>
      <c r="R43" s="47">
        <f t="shared" si="24"/>
        <v>54.703059588171548</v>
      </c>
      <c r="S43" s="47">
        <f t="shared" si="24"/>
        <v>54.096474666145404</v>
      </c>
      <c r="T43" s="47">
        <f t="shared" si="24"/>
        <v>53.498896979933384</v>
      </c>
      <c r="U43" s="47">
        <f t="shared" si="24"/>
        <v>52.263187711915691</v>
      </c>
      <c r="V43" s="47">
        <f t="shared" si="24"/>
        <v>52.35335955308765</v>
      </c>
      <c r="W43" s="47">
        <f t="shared" si="24"/>
        <v>54.345597859655129</v>
      </c>
      <c r="X43" s="47">
        <f t="shared" si="24"/>
        <v>54.4968684161461</v>
      </c>
      <c r="Y43" s="47">
        <f t="shared" si="24"/>
        <v>54.126626370799677</v>
      </c>
      <c r="Z43" s="47">
        <f t="shared" si="24"/>
        <v>53.115630834632697</v>
      </c>
      <c r="AA43" s="47">
        <f t="shared" si="24"/>
        <v>53.123674822972326</v>
      </c>
      <c r="AB43" s="47">
        <f t="shared" si="24"/>
        <v>55.475978434343034</v>
      </c>
      <c r="AC43" s="47">
        <f t="shared" si="24"/>
        <v>55.400630533704764</v>
      </c>
      <c r="AD43" s="47">
        <f t="shared" si="24"/>
        <v>55.206286686019403</v>
      </c>
      <c r="AE43" s="47">
        <f t="shared" si="24"/>
        <v>54.512472007317285</v>
      </c>
      <c r="AF43" s="47">
        <f t="shared" si="24"/>
        <v>53.850474162498799</v>
      </c>
      <c r="AG43" s="47">
        <f t="shared" si="24"/>
        <v>53.710876909124423</v>
      </c>
      <c r="AH43" s="47">
        <f t="shared" si="24"/>
        <v>53.425859247101819</v>
      </c>
      <c r="AI43" s="47">
        <f t="shared" si="24"/>
        <v>52.633388831569128</v>
      </c>
      <c r="AJ43" s="47">
        <f t="shared" si="24"/>
        <v>49.666104047683412</v>
      </c>
      <c r="AK43" s="47">
        <f t="shared" si="24"/>
        <v>50.308318574776649</v>
      </c>
      <c r="AL43" s="47">
        <f t="shared" si="24"/>
        <v>50.711389386462983</v>
      </c>
      <c r="AM43" s="47">
        <f t="shared" si="24"/>
        <v>51.046987054967907</v>
      </c>
      <c r="AN43" s="47">
        <f t="shared" si="24"/>
        <v>51.47640251151816</v>
      </c>
      <c r="AO43" s="47">
        <f t="shared" si="24"/>
        <v>52.238205355019623</v>
      </c>
      <c r="AP43" s="47">
        <f t="shared" si="24"/>
        <v>53.061478284179557</v>
      </c>
      <c r="AQ43" s="47">
        <f t="shared" si="24"/>
        <v>53.957627008397168</v>
      </c>
      <c r="AR43" s="47">
        <f t="shared" si="24"/>
        <v>54.708399982310212</v>
      </c>
      <c r="AS43" s="47">
        <f t="shared" si="24"/>
        <v>55.596135849968377</v>
      </c>
      <c r="AT43" s="47">
        <f t="shared" si="24"/>
        <v>56.654943558825586</v>
      </c>
      <c r="AU43" s="47">
        <f t="shared" si="24"/>
        <v>57.417188845659616</v>
      </c>
      <c r="AV43" s="47">
        <f t="shared" si="24"/>
        <v>58.200773092211449</v>
      </c>
      <c r="AW43" s="47">
        <f t="shared" si="24"/>
        <v>58.976451257249799</v>
      </c>
      <c r="AX43" s="47">
        <f t="shared" si="24"/>
        <v>59.861888096343492</v>
      </c>
      <c r="AY43" s="47">
        <f t="shared" si="24"/>
        <v>60.543900235828872</v>
      </c>
      <c r="AZ43" s="47">
        <f t="shared" si="24"/>
        <v>61.252331968585487</v>
      </c>
      <c r="BA43" s="47">
        <f t="shared" si="24"/>
        <v>61.946333873882054</v>
      </c>
      <c r="BB43" s="47">
        <f t="shared" si="24"/>
        <v>62.545878538778219</v>
      </c>
      <c r="BC43" s="47">
        <f t="shared" si="24"/>
        <v>63.10560323993878</v>
      </c>
      <c r="BD43" s="47">
        <f t="shared" si="24"/>
        <v>63.672776811091211</v>
      </c>
      <c r="BE43" s="47">
        <f t="shared" si="24"/>
        <v>64.420512273133966</v>
      </c>
      <c r="BF43" s="47">
        <f t="shared" si="24"/>
        <v>65.06467583610754</v>
      </c>
      <c r="BG43" s="47">
        <f t="shared" si="24"/>
        <v>65.696219602845133</v>
      </c>
      <c r="BH43" s="47">
        <f t="shared" si="24"/>
        <v>66.317750613940163</v>
      </c>
      <c r="BI43" s="47">
        <f t="shared" si="24"/>
        <v>66.990368660971086</v>
      </c>
      <c r="BJ43" s="47">
        <f t="shared" si="24"/>
        <v>67.65393763906404</v>
      </c>
      <c r="BK43" s="47">
        <f t="shared" si="24"/>
        <v>67.728620899319168</v>
      </c>
      <c r="BL43" s="47">
        <f t="shared" si="24"/>
        <v>67.744600744737895</v>
      </c>
      <c r="BM43" s="47">
        <f t="shared" si="24"/>
        <v>67.819931237036698</v>
      </c>
      <c r="BN43" s="47">
        <f t="shared" si="24"/>
        <v>67.849196098383516</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6.6056660352543144</v>
      </c>
      <c r="AD44" s="22">
        <f>Emissions!AF88</f>
        <v>6.6042995522505379</v>
      </c>
      <c r="AE44" s="22">
        <f>Emissions!AG88</f>
        <v>6.6031365898338095</v>
      </c>
      <c r="AF44" s="22">
        <f>Emissions!AH88</f>
        <v>6.6027560568732087</v>
      </c>
      <c r="AG44" s="22">
        <f>Emissions!AI88</f>
        <v>6.6023708971175274</v>
      </c>
      <c r="AH44" s="22">
        <f>Emissions!AJ88</f>
        <v>6.6011966991986881</v>
      </c>
      <c r="AI44" s="22">
        <f>Emissions!AK88</f>
        <v>6.6002765167075461</v>
      </c>
      <c r="AJ44" s="22">
        <f>Emissions!AL88</f>
        <v>6.6002145648060502</v>
      </c>
      <c r="AK44" s="22">
        <f>Emissions!AM88</f>
        <v>6.6040420720172728</v>
      </c>
      <c r="AL44" s="22">
        <f>Emissions!AN88</f>
        <v>6.6019485697997204</v>
      </c>
      <c r="AM44" s="22">
        <f>Emissions!AO88</f>
        <v>6.6003652312909882</v>
      </c>
      <c r="AN44" s="22">
        <f>Emissions!AP88</f>
        <v>6.5989054673114653</v>
      </c>
      <c r="AO44" s="22">
        <f>Emissions!AQ88</f>
        <v>6.5972835879321101</v>
      </c>
      <c r="AP44" s="22">
        <f>Emissions!AR88</f>
        <v>6.5950794659321978</v>
      </c>
      <c r="AQ44" s="22">
        <f>Emissions!AS88</f>
        <v>6.5927714888243178</v>
      </c>
      <c r="AR44" s="22">
        <f>Emissions!AT88</f>
        <v>6.5903551292141982</v>
      </c>
      <c r="AS44" s="22">
        <f>Emissions!AU88</f>
        <v>6.5882075529961197</v>
      </c>
      <c r="AT44" s="22">
        <f>Emissions!AV88</f>
        <v>6.5858383398788654</v>
      </c>
      <c r="AU44" s="22">
        <f>Emissions!AW88</f>
        <v>6.5832049506454569</v>
      </c>
      <c r="AV44" s="22">
        <f>Emissions!AX88</f>
        <v>6.5806825645343991</v>
      </c>
      <c r="AW44" s="22">
        <f>Emissions!AY88</f>
        <v>6.5781181226611025</v>
      </c>
      <c r="AX44" s="22">
        <f>Emissions!AZ88</f>
        <v>6.5755610222279151</v>
      </c>
      <c r="AY44" s="22">
        <f>Emissions!BA88</f>
        <v>6.5728213410220508</v>
      </c>
      <c r="AZ44" s="22">
        <f>Emissions!BB88</f>
        <v>6.5704025946446434</v>
      </c>
      <c r="BA44" s="22">
        <f>Emissions!BC88</f>
        <v>6.5679167627959911</v>
      </c>
      <c r="BB44" s="22">
        <f>Emissions!BD88</f>
        <v>6.5654442966296829</v>
      </c>
      <c r="BC44" s="22">
        <f>Emissions!BE88</f>
        <v>6.5631078462466625</v>
      </c>
      <c r="BD44" s="22">
        <f>Emissions!BF88</f>
        <v>6.5608183818668682</v>
      </c>
      <c r="BE44" s="22">
        <f>Emissions!BG88</f>
        <v>6.5585023260560664</v>
      </c>
      <c r="BF44" s="22">
        <f>Emissions!BH88</f>
        <v>6.5561383844940604</v>
      </c>
      <c r="BG44" s="22">
        <f>Emissions!BI88</f>
        <v>6.5539317250053788</v>
      </c>
      <c r="BH44" s="22">
        <f>Emissions!BJ88</f>
        <v>6.5517393492300551</v>
      </c>
      <c r="BI44" s="22">
        <f>Emissions!BK88</f>
        <v>6.5495579618392012</v>
      </c>
      <c r="BJ44" s="22">
        <f>Emissions!BL88</f>
        <v>6.5472963164045943</v>
      </c>
      <c r="BK44" s="22">
        <f>Emissions!BM88</f>
        <v>6.5450342769214798</v>
      </c>
      <c r="BL44" s="22">
        <f>Emissions!BN88</f>
        <v>6.5436308710087152</v>
      </c>
      <c r="BM44" s="22">
        <f>Emissions!BO88</f>
        <v>6.5422967735758233</v>
      </c>
      <c r="BN44" s="22">
        <f>Emissions!BP88</f>
        <v>6.5408646829531705</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6.0715002012796448</v>
      </c>
      <c r="AC45" s="22">
        <f>Emissions!AE89+SUM(Emissions!AE91:AE106)</f>
        <v>6.0957366079247697</v>
      </c>
      <c r="AD45" s="22">
        <f>Emissions!AF89+SUM(Emissions!AF91:AF106)</f>
        <v>6.0987934171800253</v>
      </c>
      <c r="AE45" s="22">
        <f>Emissions!AG89+SUM(Emissions!AG91:AG106)</f>
        <v>6.0152058908583923</v>
      </c>
      <c r="AF45" s="22">
        <f>Emissions!AH89+SUM(Emissions!AH91:AH106)</f>
        <v>5.9362463735811053</v>
      </c>
      <c r="AG45" s="22">
        <f>Emissions!AI89+SUM(Emissions!AI91:AI106)</f>
        <v>5.947568071357332</v>
      </c>
      <c r="AH45" s="22">
        <f>Emissions!AJ89+SUM(Emissions!AJ91:AJ106)</f>
        <v>5.9324713858792073</v>
      </c>
      <c r="AI45" s="22">
        <f>Emissions!AK89+SUM(Emissions!AK91:AK106)</f>
        <v>5.8265554614902353</v>
      </c>
      <c r="AJ45" s="22">
        <f>Emissions!AL89+SUM(Emissions!AL91:AL106)</f>
        <v>5.3263920112801761</v>
      </c>
      <c r="AK45" s="22">
        <f>Emissions!AM89+SUM(Emissions!AM91:AM106)</f>
        <v>5.4655773996982511</v>
      </c>
      <c r="AL45" s="22">
        <f>Emissions!AN89+SUM(Emissions!AN91:AN106)</f>
        <v>5.5550623041470608</v>
      </c>
      <c r="AM45" s="22">
        <f>Emissions!AO89+SUM(Emissions!AO91:AO106)</f>
        <v>5.6333250772274175</v>
      </c>
      <c r="AN45" s="22">
        <f>Emissions!AP89+SUM(Emissions!AP91:AP106)</f>
        <v>5.729521567544281</v>
      </c>
      <c r="AO45" s="22">
        <f>Emissions!AQ89+SUM(Emissions!AQ91:AQ106)</f>
        <v>5.8878402632774058</v>
      </c>
      <c r="AP45" s="22">
        <f>Emissions!AR89+SUM(Emissions!AR91:AR106)</f>
        <v>6.0602907475586187</v>
      </c>
      <c r="AQ45" s="22">
        <f>Emissions!AS89+SUM(Emissions!AS91:AS106)</f>
        <v>6.2477658584525448</v>
      </c>
      <c r="AR45" s="22">
        <f>Emissions!AT89+SUM(Emissions!AT91:AT106)</f>
        <v>6.4094179108287772</v>
      </c>
      <c r="AS45" s="22">
        <f>Emissions!AU89+SUM(Emissions!AU91:AU106)</f>
        <v>6.5987576902743648</v>
      </c>
      <c r="AT45" s="22">
        <f>Emissions!AV89+SUM(Emissions!AV91:AV106)</f>
        <v>6.8221073794998164</v>
      </c>
      <c r="AU45" s="22">
        <f>Emissions!AW89+SUM(Emissions!AW91:AW106)</f>
        <v>7.0132472816043059</v>
      </c>
      <c r="AV45" s="22">
        <f>Emissions!AX89+SUM(Emissions!AX91:AX106)</f>
        <v>7.2123361522447835</v>
      </c>
      <c r="AW45" s="22">
        <f>Emissions!AY89+SUM(Emissions!AY91:AY106)</f>
        <v>7.4137569599851636</v>
      </c>
      <c r="AX45" s="22">
        <f>Emissions!AZ89+SUM(Emissions!AZ91:AZ106)</f>
        <v>7.6408877266470521</v>
      </c>
      <c r="AY45" s="22">
        <f>Emissions!BA89+SUM(Emissions!BA91:BA106)</f>
        <v>7.8320254768133921</v>
      </c>
      <c r="AZ45" s="22">
        <f>Emissions!BB89+SUM(Emissions!BB91:BB106)</f>
        <v>8.0346670975242809</v>
      </c>
      <c r="BA45" s="22">
        <f>Emissions!BC89+SUM(Emissions!BC91:BC106)</f>
        <v>8.2387803390993479</v>
      </c>
      <c r="BB45" s="22">
        <f>Emissions!BD89+SUM(Emissions!BD91:BD106)</f>
        <v>8.4282349148964446</v>
      </c>
      <c r="BC45" s="22">
        <f>Emissions!BE89+SUM(Emissions!BE91:BE106)</f>
        <v>8.6141339372271784</v>
      </c>
      <c r="BD45" s="22">
        <f>Emissions!BF89+SUM(Emissions!BF91:BF106)</f>
        <v>8.8062015510718066</v>
      </c>
      <c r="BE45" s="22">
        <f>Emissions!BG89+SUM(Emissions!BG91:BG106)</f>
        <v>9.0246860200828767</v>
      </c>
      <c r="BF45" s="22">
        <f>Emissions!BH89+SUM(Emissions!BH91:BH106)</f>
        <v>9.225143480826608</v>
      </c>
      <c r="BG45" s="22">
        <f>Emissions!BI89+SUM(Emissions!BI91:BI106)</f>
        <v>9.4269156642113678</v>
      </c>
      <c r="BH45" s="22">
        <f>Emissions!BJ89+SUM(Emissions!BJ91:BJ106)</f>
        <v>9.6304510187414003</v>
      </c>
      <c r="BI45" s="22">
        <f>Emissions!BK89+SUM(Emissions!BK91:BK106)</f>
        <v>9.8491476315581039</v>
      </c>
      <c r="BJ45" s="22">
        <f>Emissions!BL89+SUM(Emissions!BL91:BL106)</f>
        <v>10.0717996627492</v>
      </c>
      <c r="BK45" s="22">
        <f>Emissions!BM89+SUM(Emissions!BM91:BM106)</f>
        <v>10.168474564413442</v>
      </c>
      <c r="BL45" s="22">
        <f>Emissions!BN89+SUM(Emissions!BN91:BN106)</f>
        <v>10.255599322748948</v>
      </c>
      <c r="BM45" s="22">
        <f>Emissions!BO89+SUM(Emissions!BO91:BO106)</f>
        <v>10.358440965664274</v>
      </c>
      <c r="BN45" s="22">
        <f>Emissions!BP89+SUM(Emissions!BP91:BP106)</f>
        <v>10.453204660719866</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2.9553948259346963</v>
      </c>
      <c r="AD46" s="22">
        <f>Emissions!AF90</f>
        <v>2.9655964240149095</v>
      </c>
      <c r="AE46" s="22">
        <f>Emissions!AG90</f>
        <v>2.9742786213968655</v>
      </c>
      <c r="AF46" s="22">
        <f>Emissions!AH90</f>
        <v>2.9771195234129291</v>
      </c>
      <c r="AG46" s="22">
        <f>Emissions!AI90</f>
        <v>2.9799949671713049</v>
      </c>
      <c r="AH46" s="22">
        <f>Emissions!AJ90</f>
        <v>2.9887610441744785</v>
      </c>
      <c r="AI46" s="22">
        <f>Emissions!AK90</f>
        <v>2.9956307468412153</v>
      </c>
      <c r="AJ46" s="22">
        <f>Emissions!AL90</f>
        <v>2.9960932541666816</v>
      </c>
      <c r="AK46" s="22">
        <f>Emissions!AM90</f>
        <v>2.9675186651595986</v>
      </c>
      <c r="AL46" s="22">
        <f>Emissions!AN90</f>
        <v>2.9831478886073279</v>
      </c>
      <c r="AM46" s="22">
        <f>Emissions!AO90</f>
        <v>2.9949684403788361</v>
      </c>
      <c r="AN46" s="22">
        <f>Emissions!AP90</f>
        <v>3.0058664357215821</v>
      </c>
      <c r="AO46" s="22">
        <f>Emissions!AQ90</f>
        <v>3.0179747177251275</v>
      </c>
      <c r="AP46" s="22">
        <f>Emissions!AR90</f>
        <v>3.0344297828088291</v>
      </c>
      <c r="AQ46" s="22">
        <f>Emissions!AS90</f>
        <v>3.051660187261632</v>
      </c>
      <c r="AR46" s="22">
        <f>Emissions!AT90</f>
        <v>3.0696997307404872</v>
      </c>
      <c r="AS46" s="22">
        <f>Emissions!AU90</f>
        <v>3.0857326483566894</v>
      </c>
      <c r="AT46" s="22">
        <f>Emissions!AV90</f>
        <v>3.1034202155798769</v>
      </c>
      <c r="AU46" s="22">
        <f>Emissions!AW90</f>
        <v>3.1230800126456195</v>
      </c>
      <c r="AV46" s="22">
        <f>Emissions!AX90</f>
        <v>3.1419111062172522</v>
      </c>
      <c r="AW46" s="22">
        <f>Emissions!AY90</f>
        <v>3.1610561707509404</v>
      </c>
      <c r="AX46" s="22">
        <f>Emissions!AZ90</f>
        <v>3.1801464271230016</v>
      </c>
      <c r="AY46" s="22">
        <f>Emissions!BA90</f>
        <v>3.2005997561822985</v>
      </c>
      <c r="AZ46" s="22">
        <f>Emissions!BB90</f>
        <v>3.2186571182805661</v>
      </c>
      <c r="BA46" s="22">
        <f>Emissions!BC90</f>
        <v>3.2372153128171188</v>
      </c>
      <c r="BB46" s="22">
        <f>Emissions!BD90</f>
        <v>3.2556737246860838</v>
      </c>
      <c r="BC46" s="22">
        <f>Emissions!BE90</f>
        <v>3.2731166988585363</v>
      </c>
      <c r="BD46" s="22">
        <f>Emissions!BF90</f>
        <v>3.2902088949247208</v>
      </c>
      <c r="BE46" s="22">
        <f>Emissions!BG90</f>
        <v>3.3074996116389994</v>
      </c>
      <c r="BF46" s="22">
        <f>Emissions!BH90</f>
        <v>3.3251478236065783</v>
      </c>
      <c r="BG46" s="22">
        <f>Emissions!BI90</f>
        <v>3.3416218325340545</v>
      </c>
      <c r="BH46" s="22">
        <f>Emissions!BJ90</f>
        <v>3.3579892051532951</v>
      </c>
      <c r="BI46" s="22">
        <f>Emissions!BK90</f>
        <v>3.3742745430296259</v>
      </c>
      <c r="BJ46" s="22">
        <f>Emissions!BL90</f>
        <v>3.391159054333535</v>
      </c>
      <c r="BK46" s="22">
        <f>Emissions!BM90</f>
        <v>3.4080465074409378</v>
      </c>
      <c r="BL46" s="22">
        <f>Emissions!BN90</f>
        <v>3.4185237567194666</v>
      </c>
      <c r="BM46" s="22">
        <f>Emissions!BO90</f>
        <v>3.4284835774948501</v>
      </c>
      <c r="BN46" s="22">
        <f>Emissions!BP90</f>
        <v>3.439174974977584</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35.521729894987658</v>
      </c>
      <c r="AC47" s="22">
        <f>SUM(Emissions!AE107:AE122)</f>
        <v>35.415743172250174</v>
      </c>
      <c r="AD47" s="22">
        <f>SUM(Emissions!AF107:AF122)</f>
        <v>35.20837554452438</v>
      </c>
      <c r="AE47" s="22">
        <f>SUM(Emissions!AG107:AG122)</f>
        <v>34.589497301469926</v>
      </c>
      <c r="AF47" s="22">
        <f>SUM(Emissions!AH107:AH122)</f>
        <v>34.002866749164525</v>
      </c>
      <c r="AG47" s="22">
        <f>SUM(Emissions!AI107:AI122)</f>
        <v>33.848325658302485</v>
      </c>
      <c r="AH47" s="22">
        <f>SUM(Emissions!AJ107:AJ122)</f>
        <v>33.569680946964937</v>
      </c>
      <c r="AI47" s="22">
        <f>SUM(Emissions!AK107:AK122)</f>
        <v>32.87604507993688</v>
      </c>
      <c r="AJ47" s="22">
        <f>SUM(Emissions!AL107:AL122)</f>
        <v>30.407391335128516</v>
      </c>
      <c r="AK47" s="22">
        <f>SUM(Emissions!AM107:AM122)</f>
        <v>30.934035699890799</v>
      </c>
      <c r="AL47" s="22">
        <f>SUM(Emissions!AN107:AN122)</f>
        <v>31.232954030189401</v>
      </c>
      <c r="AM47" s="22">
        <f>SUM(Emissions!AO107:AO122)</f>
        <v>31.478919856642456</v>
      </c>
      <c r="AN47" s="22">
        <f>SUM(Emissions!AP107:AP122)</f>
        <v>31.801568735803876</v>
      </c>
      <c r="AO47" s="22">
        <f>SUM(Emissions!AQ107:AQ122)</f>
        <v>32.39343462523928</v>
      </c>
      <c r="AP47" s="22">
        <f>SUM(Emissions!AR107:AR122)</f>
        <v>33.028874271325471</v>
      </c>
      <c r="AQ47" s="22">
        <f>SUM(Emissions!AS107:AS122)</f>
        <v>33.721493601595498</v>
      </c>
      <c r="AR47" s="22">
        <f>SUM(Emissions!AT107:AT122)</f>
        <v>34.293859483554833</v>
      </c>
      <c r="AS47" s="22">
        <f>SUM(Emissions!AU107:AU122)</f>
        <v>34.977238374660544</v>
      </c>
      <c r="AT47" s="22">
        <f>SUM(Emissions!AV107:AV122)</f>
        <v>35.796246184477624</v>
      </c>
      <c r="AU47" s="22">
        <f>SUM(Emissions!AW107:AW122)</f>
        <v>36.349193305666098</v>
      </c>
      <c r="AV47" s="22">
        <f>SUM(Emissions!AX107:AX122)</f>
        <v>36.916248118408134</v>
      </c>
      <c r="AW47" s="22">
        <f>SUM(Emissions!AY107:AY122)</f>
        <v>37.472792997336974</v>
      </c>
      <c r="AX47" s="22">
        <f>SUM(Emissions!AZ107:AZ122)</f>
        <v>38.113434058121165</v>
      </c>
      <c r="AY47" s="22">
        <f>SUM(Emissions!BA107:BA122)</f>
        <v>38.585462943878035</v>
      </c>
      <c r="AZ47" s="22">
        <f>SUM(Emissions!BB107:BB122)</f>
        <v>39.074482584494156</v>
      </c>
      <c r="BA47" s="22">
        <f>SUM(Emissions!BC107:BC122)</f>
        <v>39.547167029819015</v>
      </c>
      <c r="BB47" s="22">
        <f>SUM(Emissions!BD107:BD122)</f>
        <v>39.940139317506684</v>
      </c>
      <c r="BC47" s="22">
        <f>SUM(Emissions!BE107:BE122)</f>
        <v>40.297726616838339</v>
      </c>
      <c r="BD47" s="22">
        <f>SUM(Emissions!BF107:BF122)</f>
        <v>40.656897986751019</v>
      </c>
      <c r="BE47" s="22">
        <f>SUM(Emissions!BG107:BG122)</f>
        <v>41.170042463170475</v>
      </c>
      <c r="BF47" s="22">
        <f>SUM(Emissions!BH107:BH122)</f>
        <v>41.597332439286014</v>
      </c>
      <c r="BG47" s="22">
        <f>SUM(Emissions!BI107:BI122)</f>
        <v>42.011704817491314</v>
      </c>
      <c r="BH47" s="22">
        <f>SUM(Emissions!BJ107:BJ122)</f>
        <v>42.414393621503642</v>
      </c>
      <c r="BI47" s="22">
        <f>SUM(Emissions!BK107:BK122)</f>
        <v>42.853079249523653</v>
      </c>
      <c r="BJ47" s="22">
        <f>SUM(Emissions!BL107:BL122)</f>
        <v>43.278241474847462</v>
      </c>
      <c r="BK47" s="22">
        <f>SUM(Emissions!BM107:BM122)</f>
        <v>43.240492564105324</v>
      </c>
      <c r="BL47" s="22">
        <f>SUM(Emissions!BN107:BN122)</f>
        <v>43.159141952114048</v>
      </c>
      <c r="BM47" s="22">
        <f>SUM(Emissions!BO107:BO122)</f>
        <v>43.121873222446283</v>
      </c>
      <c r="BN47" s="22">
        <f>SUM(Emissions!BP107:BP122)</f>
        <v>43.045983226168694</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7">
        <f>SUM(F50:F51)</f>
        <v>7.2080814517834266</v>
      </c>
      <c r="G49" s="47">
        <f t="shared" ref="G49:BN49" si="33">SUM(G50:G51)</f>
        <v>7.1345099865500927</v>
      </c>
      <c r="H49" s="47">
        <f t="shared" si="33"/>
        <v>6.99786412512554</v>
      </c>
      <c r="I49" s="47">
        <f t="shared" si="33"/>
        <v>6.8588909130254319</v>
      </c>
      <c r="J49" s="47">
        <f t="shared" si="33"/>
        <v>6.679602845791754</v>
      </c>
      <c r="K49" s="47">
        <f t="shared" si="33"/>
        <v>6.6534582978194159</v>
      </c>
      <c r="L49" s="47">
        <f t="shared" si="33"/>
        <v>6.8804585865565491</v>
      </c>
      <c r="M49" s="47">
        <f t="shared" si="33"/>
        <v>6.951262387234447</v>
      </c>
      <c r="N49" s="47">
        <f t="shared" si="33"/>
        <v>7.0501121079701523</v>
      </c>
      <c r="O49" s="47">
        <f t="shared" si="33"/>
        <v>7.0310583897046115</v>
      </c>
      <c r="P49" s="47">
        <f t="shared" si="33"/>
        <v>6.9539885376975494</v>
      </c>
      <c r="Q49" s="47">
        <f t="shared" si="33"/>
        <v>6.8347507783671411</v>
      </c>
      <c r="R49" s="47">
        <f t="shared" si="33"/>
        <v>6.9330762409780968</v>
      </c>
      <c r="S49" s="47">
        <f t="shared" si="33"/>
        <v>6.8626749309901376</v>
      </c>
      <c r="T49" s="47">
        <f t="shared" si="33"/>
        <v>6.8083480354019672</v>
      </c>
      <c r="U49" s="47">
        <f t="shared" si="33"/>
        <v>6.684349427481286</v>
      </c>
      <c r="V49" s="47">
        <f t="shared" si="33"/>
        <v>6.7803417478590298</v>
      </c>
      <c r="W49" s="47">
        <f t="shared" si="33"/>
        <v>6.9394221477721096</v>
      </c>
      <c r="X49" s="47">
        <f t="shared" si="33"/>
        <v>6.954986168244754</v>
      </c>
      <c r="Y49" s="47">
        <f t="shared" si="33"/>
        <v>6.9329479113600767</v>
      </c>
      <c r="Z49" s="47">
        <f t="shared" si="33"/>
        <v>6.7915965417835125</v>
      </c>
      <c r="AA49" s="47">
        <f t="shared" si="33"/>
        <v>6.808083773512462</v>
      </c>
      <c r="AB49" s="47">
        <f t="shared" si="33"/>
        <v>6.6338007564004169</v>
      </c>
      <c r="AC49" s="47">
        <f t="shared" si="33"/>
        <v>6.6300250247439445</v>
      </c>
      <c r="AD49" s="47">
        <f t="shared" si="33"/>
        <v>6.6118049162798025</v>
      </c>
      <c r="AE49" s="47">
        <f t="shared" si="33"/>
        <v>6.5324355925641511</v>
      </c>
      <c r="AF49" s="47">
        <f t="shared" si="33"/>
        <v>6.4578266280354386</v>
      </c>
      <c r="AG49" s="47">
        <f t="shared" si="33"/>
        <v>6.4483933885621241</v>
      </c>
      <c r="AH49" s="47">
        <f t="shared" si="33"/>
        <v>6.4207001810694821</v>
      </c>
      <c r="AI49" s="47">
        <f t="shared" si="33"/>
        <v>6.3302110686852755</v>
      </c>
      <c r="AJ49" s="47">
        <f t="shared" si="33"/>
        <v>5.9687705949624457</v>
      </c>
      <c r="AK49" s="47">
        <f t="shared" si="33"/>
        <v>6.0553656666592302</v>
      </c>
      <c r="AL49" s="47">
        <f t="shared" si="33"/>
        <v>6.108542549697078</v>
      </c>
      <c r="AM49" s="47">
        <f t="shared" si="33"/>
        <v>6.1538850004571248</v>
      </c>
      <c r="AN49" s="47">
        <f t="shared" si="33"/>
        <v>6.2113284930127941</v>
      </c>
      <c r="AO49" s="47">
        <f t="shared" si="33"/>
        <v>6.3106546806091766</v>
      </c>
      <c r="AP49" s="47">
        <f t="shared" si="33"/>
        <v>6.4169176057113679</v>
      </c>
      <c r="AQ49" s="47">
        <f t="shared" si="33"/>
        <v>6.5326418200797942</v>
      </c>
      <c r="AR49" s="47">
        <f t="shared" si="33"/>
        <v>6.6303760504470644</v>
      </c>
      <c r="AS49" s="47">
        <f t="shared" si="33"/>
        <v>6.7458886432260812</v>
      </c>
      <c r="AT49" s="47">
        <f t="shared" si="33"/>
        <v>6.8832146953042672</v>
      </c>
      <c r="AU49" s="47">
        <f t="shared" si="33"/>
        <v>6.9856953643098558</v>
      </c>
      <c r="AV49" s="47">
        <f t="shared" si="33"/>
        <v>7.091584308193295</v>
      </c>
      <c r="AW49" s="47">
        <f t="shared" si="33"/>
        <v>7.1971048850085237</v>
      </c>
      <c r="AX49" s="47">
        <f t="shared" si="33"/>
        <v>7.3172606244300962</v>
      </c>
      <c r="AY49" s="47">
        <f t="shared" si="33"/>
        <v>7.4121448877496698</v>
      </c>
      <c r="AZ49" s="47">
        <f t="shared" si="33"/>
        <v>7.5107357150444161</v>
      </c>
      <c r="BA49" s="47">
        <f t="shared" si="33"/>
        <v>7.6081553917807616</v>
      </c>
      <c r="BB49" s="47">
        <f t="shared" si="33"/>
        <v>7.6942155750719579</v>
      </c>
      <c r="BC49" s="47">
        <f t="shared" si="33"/>
        <v>7.7759651087473678</v>
      </c>
      <c r="BD49" s="47">
        <f t="shared" si="33"/>
        <v>7.8594240004095566</v>
      </c>
      <c r="BE49" s="47">
        <f t="shared" si="33"/>
        <v>7.963873452675915</v>
      </c>
      <c r="BF49" s="47">
        <f t="shared" si="33"/>
        <v>8.0555389676668927</v>
      </c>
      <c r="BG49" s="47">
        <f t="shared" si="33"/>
        <v>8.1462785634464439</v>
      </c>
      <c r="BH49" s="47">
        <f t="shared" si="33"/>
        <v>8.2363425920034246</v>
      </c>
      <c r="BI49" s="47">
        <f t="shared" si="33"/>
        <v>8.3336849193876219</v>
      </c>
      <c r="BJ49" s="47">
        <f t="shared" si="33"/>
        <v>8.4299725786801929</v>
      </c>
      <c r="BK49" s="47">
        <f t="shared" si="33"/>
        <v>8.4500619188870729</v>
      </c>
      <c r="BL49" s="47">
        <f t="shared" si="33"/>
        <v>8.463443642208837</v>
      </c>
      <c r="BM49" s="47">
        <f t="shared" si="33"/>
        <v>8.4850216958067257</v>
      </c>
      <c r="BN49" s="47">
        <f t="shared" si="33"/>
        <v>8.5008878671396744</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6.2848455756762904</v>
      </c>
      <c r="AC50" s="22">
        <f>SUM(Emissions!AE135:AE138)</f>
        <v>6.2799845239496435</v>
      </c>
      <c r="AD50" s="22">
        <f>SUM(Emissions!AF135:AF138)</f>
        <v>6.2612676877171083</v>
      </c>
      <c r="AE50" s="22">
        <f>SUM(Emissions!AG135:AG138)</f>
        <v>6.1844433244083916</v>
      </c>
      <c r="AF50" s="22">
        <f>SUM(Emissions!AH135:AH138)</f>
        <v>6.1124213296519194</v>
      </c>
      <c r="AG50" s="22">
        <f>SUM(Emissions!AI135:AI138)</f>
        <v>6.1024591654485461</v>
      </c>
      <c r="AH50" s="22">
        <f>SUM(Emissions!AJ135:AJ138)</f>
        <v>6.0749450883386649</v>
      </c>
      <c r="AI50" s="22">
        <f>SUM(Emissions!AK135:AK138)</f>
        <v>5.9878338440121919</v>
      </c>
      <c r="AJ50" s="22">
        <f>SUM(Emissions!AL135:AL138)</f>
        <v>5.6435939918419287</v>
      </c>
      <c r="AK50" s="22">
        <f>SUM(Emissions!AM135:AM138)</f>
        <v>5.726334680539952</v>
      </c>
      <c r="AL50" s="22">
        <f>SUM(Emissions!AN135:AN138)</f>
        <v>5.7758456731554793</v>
      </c>
      <c r="AM50" s="22">
        <f>SUM(Emissions!AO135:AO138)</f>
        <v>5.8180408946457121</v>
      </c>
      <c r="AN50" s="22">
        <f>SUM(Emissions!AP135:AP138)</f>
        <v>5.87175029673016</v>
      </c>
      <c r="AO50" s="22">
        <f>SUM(Emissions!AQ135:AQ138)</f>
        <v>5.9651573915948823</v>
      </c>
      <c r="AP50" s="22">
        <f>SUM(Emissions!AR135:AR138)</f>
        <v>6.0648636008875405</v>
      </c>
      <c r="AQ50" s="22">
        <f>SUM(Emissions!AS135:AS138)</f>
        <v>6.173485980578902</v>
      </c>
      <c r="AR50" s="22">
        <f>SUM(Emissions!AT135:AT138)</f>
        <v>6.2649813355767492</v>
      </c>
      <c r="AS50" s="22">
        <f>SUM(Emissions!AU135:AU138)</f>
        <v>6.3733691068624605</v>
      </c>
      <c r="AT50" s="22">
        <f>SUM(Emissions!AV135:AV138)</f>
        <v>6.5023398673787121</v>
      </c>
      <c r="AU50" s="22">
        <f>SUM(Emissions!AW135:AW138)</f>
        <v>6.597508389569799</v>
      </c>
      <c r="AV50" s="22">
        <f>SUM(Emissions!AX135:AX138)</f>
        <v>6.6958395589153197</v>
      </c>
      <c r="AW50" s="22">
        <f>SUM(Emissions!AY135:AY138)</f>
        <v>6.7937110692488947</v>
      </c>
      <c r="AX50" s="22">
        <f>SUM(Emissions!AZ135:AZ138)</f>
        <v>6.9053326409042928</v>
      </c>
      <c r="AY50" s="22">
        <f>SUM(Emissions!BA135:BA138)</f>
        <v>6.9928774342860462</v>
      </c>
      <c r="AZ50" s="22">
        <f>SUM(Emissions!BB135:BB138)</f>
        <v>7.083814630900874</v>
      </c>
      <c r="BA50" s="22">
        <f>SUM(Emissions!BC135:BC138)</f>
        <v>7.1735126143727275</v>
      </c>
      <c r="BB50" s="22">
        <f>SUM(Emissions!BD135:BD138)</f>
        <v>7.2523602734500106</v>
      </c>
      <c r="BC50" s="22">
        <f>SUM(Emissions!BE135:BE138)</f>
        <v>7.3270550083539048</v>
      </c>
      <c r="BD50" s="22">
        <f>SUM(Emissions!BF135:BF138)</f>
        <v>7.4032583957490115</v>
      </c>
      <c r="BE50" s="22">
        <f>SUM(Emissions!BG135:BG138)</f>
        <v>7.499534108151277</v>
      </c>
      <c r="BF50" s="22">
        <f>SUM(Emissions!BH135:BH138)</f>
        <v>7.5836354722365229</v>
      </c>
      <c r="BG50" s="22">
        <f>SUM(Emissions!BI135:BI138)</f>
        <v>7.6668060995351945</v>
      </c>
      <c r="BH50" s="22">
        <f>SUM(Emissions!BJ135:BJ138)</f>
        <v>7.7492440119157777</v>
      </c>
      <c r="BI50" s="22">
        <f>SUM(Emissions!BK135:BK138)</f>
        <v>7.8384399920317707</v>
      </c>
      <c r="BJ50" s="22">
        <f>SUM(Emissions!BL135:BL138)</f>
        <v>7.9264241551513912</v>
      </c>
      <c r="BK50" s="22">
        <f>SUM(Emissions!BM135:BM138)</f>
        <v>7.9425561085857375</v>
      </c>
      <c r="BL50" s="22">
        <f>SUM(Emissions!BN135:BN138)</f>
        <v>7.9525312428043975</v>
      </c>
      <c r="BM50" s="22">
        <f>SUM(Emissions!BO135:BO138)</f>
        <v>7.9701783394391557</v>
      </c>
      <c r="BN50" s="22">
        <f>SUM(Emissions!BP135:BP138)</f>
        <v>7.9823669847037593</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0.34895518072412623</v>
      </c>
      <c r="AC51" s="22">
        <f>SUM(Emissions!AE139:AE154)</f>
        <v>0.35004050079430066</v>
      </c>
      <c r="AD51" s="22">
        <f>SUM(Emissions!AF139:AF154)</f>
        <v>0.35053722856269393</v>
      </c>
      <c r="AE51" s="22">
        <f>SUM(Emissions!AG139:AG154)</f>
        <v>0.34799226815575907</v>
      </c>
      <c r="AF51" s="22">
        <f>SUM(Emissions!AH139:AH154)</f>
        <v>0.34540529838351902</v>
      </c>
      <c r="AG51" s="22">
        <f>SUM(Emissions!AI139:AI154)</f>
        <v>0.34593422311357835</v>
      </c>
      <c r="AH51" s="22">
        <f>SUM(Emissions!AJ139:AJ154)</f>
        <v>0.34575509273081712</v>
      </c>
      <c r="AI51" s="22">
        <f>SUM(Emissions!AK139:AK154)</f>
        <v>0.34237722467308329</v>
      </c>
      <c r="AJ51" s="22">
        <f>SUM(Emissions!AL139:AL154)</f>
        <v>0.32517660312051716</v>
      </c>
      <c r="AK51" s="22">
        <f>SUM(Emissions!AM139:AM154)</f>
        <v>0.32903098611927822</v>
      </c>
      <c r="AL51" s="22">
        <f>SUM(Emissions!AN139:AN154)</f>
        <v>0.33269687654159835</v>
      </c>
      <c r="AM51" s="22">
        <f>SUM(Emissions!AO139:AO154)</f>
        <v>0.33584410581141294</v>
      </c>
      <c r="AN51" s="22">
        <f>SUM(Emissions!AP139:AP154)</f>
        <v>0.33957819628263375</v>
      </c>
      <c r="AO51" s="22">
        <f>SUM(Emissions!AQ139:AQ154)</f>
        <v>0.34549728901429438</v>
      </c>
      <c r="AP51" s="22">
        <f>SUM(Emissions!AR139:AR154)</f>
        <v>0.35205400482382732</v>
      </c>
      <c r="AQ51" s="22">
        <f>SUM(Emissions!AS139:AS154)</f>
        <v>0.35915583950089192</v>
      </c>
      <c r="AR51" s="22">
        <f>SUM(Emissions!AT139:AT154)</f>
        <v>0.36539471487031544</v>
      </c>
      <c r="AS51" s="22">
        <f>SUM(Emissions!AU139:AU154)</f>
        <v>0.37251953636362112</v>
      </c>
      <c r="AT51" s="22">
        <f>SUM(Emissions!AV139:AV154)</f>
        <v>0.3808748279255551</v>
      </c>
      <c r="AU51" s="22">
        <f>SUM(Emissions!AW139:AW154)</f>
        <v>0.38818697474005687</v>
      </c>
      <c r="AV51" s="22">
        <f>SUM(Emissions!AX139:AX154)</f>
        <v>0.39574474927797548</v>
      </c>
      <c r="AW51" s="22">
        <f>SUM(Emissions!AY139:AY154)</f>
        <v>0.4033938157596289</v>
      </c>
      <c r="AX51" s="22">
        <f>SUM(Emissions!AZ139:AZ154)</f>
        <v>0.41192798352580362</v>
      </c>
      <c r="AY51" s="22">
        <f>SUM(Emissions!BA139:BA154)</f>
        <v>0.41926745346362321</v>
      </c>
      <c r="AZ51" s="22">
        <f>SUM(Emissions!BB139:BB154)</f>
        <v>0.4269210841435423</v>
      </c>
      <c r="BA51" s="22">
        <f>SUM(Emissions!BC139:BC154)</f>
        <v>0.43464277740803386</v>
      </c>
      <c r="BB51" s="22">
        <f>SUM(Emissions!BD139:BD154)</f>
        <v>0.44185530162194736</v>
      </c>
      <c r="BC51" s="22">
        <f>SUM(Emissions!BE139:BE154)</f>
        <v>0.44891010039346319</v>
      </c>
      <c r="BD51" s="22">
        <f>SUM(Emissions!BF139:BF154)</f>
        <v>0.4561656046605449</v>
      </c>
      <c r="BE51" s="22">
        <f>SUM(Emissions!BG139:BG154)</f>
        <v>0.46433934452463771</v>
      </c>
      <c r="BF51" s="22">
        <f>SUM(Emissions!BH139:BH154)</f>
        <v>0.47190349543036952</v>
      </c>
      <c r="BG51" s="22">
        <f>SUM(Emissions!BI139:BI154)</f>
        <v>0.4794724639112502</v>
      </c>
      <c r="BH51" s="22">
        <f>SUM(Emissions!BJ139:BJ154)</f>
        <v>0.48709858008764767</v>
      </c>
      <c r="BI51" s="22">
        <f>SUM(Emissions!BK139:BK154)</f>
        <v>0.49524492735585091</v>
      </c>
      <c r="BJ51" s="22">
        <f>SUM(Emissions!BL139:BL154)</f>
        <v>0.50354842352880125</v>
      </c>
      <c r="BK51" s="22">
        <f>SUM(Emissions!BM139:BM154)</f>
        <v>0.50750581030133635</v>
      </c>
      <c r="BL51" s="22">
        <f>SUM(Emissions!BN139:BN154)</f>
        <v>0.51091239940443889</v>
      </c>
      <c r="BM51" s="22">
        <f>SUM(Emissions!BO139:BO154)</f>
        <v>0.51484335636756995</v>
      </c>
      <c r="BN51" s="22">
        <f>SUM(Emissions!BP139:BP154)</f>
        <v>0.51852088243591488</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7">
        <f>SUM(F53:F54)</f>
        <v>1.0950538253856468</v>
      </c>
      <c r="G52" s="47">
        <f t="shared" ref="G52:BN52" si="38">SUM(G53:G54)</f>
        <v>1.1658727848185233</v>
      </c>
      <c r="H52" s="47">
        <f t="shared" si="38"/>
        <v>1.0848631974974343</v>
      </c>
      <c r="I52" s="47">
        <f t="shared" si="38"/>
        <v>1.1252390431692683</v>
      </c>
      <c r="J52" s="47">
        <f t="shared" si="38"/>
        <v>1.0734739532249553</v>
      </c>
      <c r="K52" s="47">
        <f t="shared" si="38"/>
        <v>1.132808817863219</v>
      </c>
      <c r="L52" s="47">
        <f t="shared" si="38"/>
        <v>1.1837401232176359</v>
      </c>
      <c r="M52" s="47">
        <f t="shared" si="38"/>
        <v>1.1732129506374127</v>
      </c>
      <c r="N52" s="47">
        <f t="shared" si="38"/>
        <v>1.2025072193927659</v>
      </c>
      <c r="O52" s="47">
        <f t="shared" si="38"/>
        <v>1.2151362947473952</v>
      </c>
      <c r="P52" s="47">
        <f t="shared" si="38"/>
        <v>1.3425597798100053</v>
      </c>
      <c r="Q52" s="47">
        <f t="shared" si="38"/>
        <v>1.3350835411028359</v>
      </c>
      <c r="R52" s="47">
        <f t="shared" si="38"/>
        <v>1.2971770946245216</v>
      </c>
      <c r="S52" s="47">
        <f t="shared" si="38"/>
        <v>1.2325302326597585</v>
      </c>
      <c r="T52" s="47">
        <f t="shared" si="38"/>
        <v>1.2249617526122387</v>
      </c>
      <c r="U52" s="47">
        <f t="shared" si="38"/>
        <v>1.2870593712731417</v>
      </c>
      <c r="V52" s="47">
        <f t="shared" si="38"/>
        <v>1.3036096413946223</v>
      </c>
      <c r="W52" s="47">
        <f t="shared" si="38"/>
        <v>1.3296829545150457</v>
      </c>
      <c r="X52" s="47">
        <f t="shared" si="38"/>
        <v>1.4390001307004523</v>
      </c>
      <c r="Y52" s="47">
        <f t="shared" si="38"/>
        <v>1.4305572536330728</v>
      </c>
      <c r="Z52" s="47">
        <f t="shared" si="38"/>
        <v>1.4388556601471445</v>
      </c>
      <c r="AA52" s="47">
        <f t="shared" si="38"/>
        <v>1.4563575155753867</v>
      </c>
      <c r="AB52" s="47">
        <f t="shared" si="38"/>
        <v>1.5016874000809757</v>
      </c>
      <c r="AC52" s="47">
        <f t="shared" si="38"/>
        <v>1.5212038114888795</v>
      </c>
      <c r="AD52" s="47">
        <f t="shared" si="38"/>
        <v>1.5357851396347018</v>
      </c>
      <c r="AE52" s="47">
        <f t="shared" si="38"/>
        <v>1.5289173386940065</v>
      </c>
      <c r="AF52" s="47">
        <f t="shared" si="38"/>
        <v>1.5228935421905561</v>
      </c>
      <c r="AG52" s="47">
        <f t="shared" si="38"/>
        <v>1.5396358297633466</v>
      </c>
      <c r="AH52" s="47">
        <f t="shared" si="38"/>
        <v>1.5498332699408952</v>
      </c>
      <c r="AI52" s="47">
        <f t="shared" si="38"/>
        <v>1.5364061921220382</v>
      </c>
      <c r="AJ52" s="47">
        <f t="shared" si="38"/>
        <v>1.4182480953137817</v>
      </c>
      <c r="AK52" s="47">
        <f t="shared" si="38"/>
        <v>1.4614411738727207</v>
      </c>
      <c r="AL52" s="47">
        <f t="shared" si="38"/>
        <v>1.4917725939728019</v>
      </c>
      <c r="AM52" s="47">
        <f t="shared" si="38"/>
        <v>1.5193610475976624</v>
      </c>
      <c r="AN52" s="47">
        <f t="shared" si="38"/>
        <v>1.5520488277805384</v>
      </c>
      <c r="AO52" s="47">
        <f t="shared" si="38"/>
        <v>1.6019474802638336</v>
      </c>
      <c r="AP52" s="47">
        <f t="shared" si="38"/>
        <v>1.6563850438050247</v>
      </c>
      <c r="AQ52" s="47">
        <f t="shared" si="38"/>
        <v>1.715495440025345</v>
      </c>
      <c r="AR52" s="47">
        <f t="shared" si="38"/>
        <v>1.7680447072973338</v>
      </c>
      <c r="AS52" s="47">
        <f t="shared" si="38"/>
        <v>1.828807692985035</v>
      </c>
      <c r="AT52" s="47">
        <f t="shared" si="38"/>
        <v>1.8996839899937705</v>
      </c>
      <c r="AU52" s="47">
        <f t="shared" si="38"/>
        <v>1.969415479953599</v>
      </c>
      <c r="AV52" s="47">
        <f t="shared" si="38"/>
        <v>2.0426246144872331</v>
      </c>
      <c r="AW52" s="47">
        <f t="shared" si="38"/>
        <v>2.1177803673432494</v>
      </c>
      <c r="AX52" s="47">
        <f t="shared" si="38"/>
        <v>2.201719505068382</v>
      </c>
      <c r="AY52" s="47">
        <f t="shared" si="38"/>
        <v>2.2765727587920277</v>
      </c>
      <c r="AZ52" s="47">
        <f t="shared" si="38"/>
        <v>2.3562599455267015</v>
      </c>
      <c r="BA52" s="47">
        <f t="shared" si="38"/>
        <v>2.4377754783905576</v>
      </c>
      <c r="BB52" s="47">
        <f t="shared" si="38"/>
        <v>2.5162850496478253</v>
      </c>
      <c r="BC52" s="47">
        <f t="shared" si="38"/>
        <v>2.5950714752876509</v>
      </c>
      <c r="BD52" s="47">
        <f t="shared" si="38"/>
        <v>2.6771222319681609</v>
      </c>
      <c r="BE52" s="47">
        <f t="shared" si="38"/>
        <v>2.7634477625689708</v>
      </c>
      <c r="BF52" s="47">
        <f t="shared" si="38"/>
        <v>2.8453062997632568</v>
      </c>
      <c r="BG52" s="47">
        <f t="shared" si="38"/>
        <v>2.9286754125483871</v>
      </c>
      <c r="BH52" s="47">
        <f t="shared" si="38"/>
        <v>3.0137206224850965</v>
      </c>
      <c r="BI52" s="47">
        <f t="shared" si="38"/>
        <v>3.104752102586124</v>
      </c>
      <c r="BJ52" s="47">
        <f t="shared" si="38"/>
        <v>3.1983995858211811</v>
      </c>
      <c r="BK52" s="47">
        <f t="shared" si="38"/>
        <v>3.252418302668262</v>
      </c>
      <c r="BL52" s="47">
        <f t="shared" si="38"/>
        <v>3.303969063488347</v>
      </c>
      <c r="BM52" s="47">
        <f t="shared" si="38"/>
        <v>3.361316874797839</v>
      </c>
      <c r="BN52" s="47">
        <f t="shared" si="38"/>
        <v>3.4166875925762676</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1.1298198952525629</v>
      </c>
      <c r="AC53" s="22">
        <f>SUM(Emissions!AE156:AE171)</f>
        <v>1.1455371667671974</v>
      </c>
      <c r="AD53" s="22">
        <f>SUM(Emissions!AF156:AF171)</f>
        <v>1.1575191106493943</v>
      </c>
      <c r="AE53" s="22">
        <f>SUM(Emissions!AG156:AG171)</f>
        <v>1.1532040721669654</v>
      </c>
      <c r="AF53" s="22">
        <f>SUM(Emissions!AH156:AH171)</f>
        <v>1.149501389037674</v>
      </c>
      <c r="AG53" s="22">
        <f>SUM(Emissions!AI156:AI171)</f>
        <v>1.1631085035964004</v>
      </c>
      <c r="AH53" s="22">
        <f>SUM(Emissions!AJ156:AJ171)</f>
        <v>1.1717413579771083</v>
      </c>
      <c r="AI53" s="22">
        <f>SUM(Emissions!AK156:AK171)</f>
        <v>1.1623510711663771</v>
      </c>
      <c r="AJ53" s="22">
        <f>SUM(Emissions!AL156:AL171)</f>
        <v>1.0729322516649875</v>
      </c>
      <c r="AK53" s="22">
        <f>SUM(Emissions!AM156:AM171)</f>
        <v>1.1062830354709141</v>
      </c>
      <c r="AL53" s="22">
        <f>SUM(Emissions!AN156:AN171)</f>
        <v>1.1298239951323668</v>
      </c>
      <c r="AM53" s="22">
        <f>SUM(Emissions!AO156:AO171)</f>
        <v>1.1512812432677826</v>
      </c>
      <c r="AN53" s="22">
        <f>SUM(Emissions!AP156:AP171)</f>
        <v>1.1766530640141664</v>
      </c>
      <c r="AO53" s="22">
        <f>SUM(Emissions!AQ156:AQ171)</f>
        <v>1.2152167972119381</v>
      </c>
      <c r="AP53" s="22">
        <f>SUM(Emissions!AR156:AR171)</f>
        <v>1.2573130399107117</v>
      </c>
      <c r="AQ53" s="22">
        <f>SUM(Emissions!AS156:AS171)</f>
        <v>1.3030197657597056</v>
      </c>
      <c r="AR53" s="22">
        <f>SUM(Emissions!AT156:AT171)</f>
        <v>1.343729779969963</v>
      </c>
      <c r="AS53" s="22">
        <f>SUM(Emissions!AU156:AU171)</f>
        <v>1.3907669721669906</v>
      </c>
      <c r="AT53" s="22">
        <f>SUM(Emissions!AV156:AV171)</f>
        <v>1.4455964016090115</v>
      </c>
      <c r="AU53" s="22">
        <f>SUM(Emissions!AW156:AW171)</f>
        <v>1.5000548708101049</v>
      </c>
      <c r="AV53" s="22">
        <f>SUM(Emissions!AX156:AX171)</f>
        <v>1.5572557639044888</v>
      </c>
      <c r="AW53" s="22">
        <f>SUM(Emissions!AY156:AY171)</f>
        <v>1.6160269722904843</v>
      </c>
      <c r="AX53" s="22">
        <f>SUM(Emissions!AZ156:AZ171)</f>
        <v>1.6816316527980055</v>
      </c>
      <c r="AY53" s="22">
        <f>SUM(Emissions!BA156:BA171)</f>
        <v>1.7403238123777984</v>
      </c>
      <c r="AZ53" s="22">
        <f>SUM(Emissions!BB156:BB171)</f>
        <v>1.8028344595982839</v>
      </c>
      <c r="BA53" s="22">
        <f>SUM(Emissions!BC156:BC171)</f>
        <v>1.8668323145545371</v>
      </c>
      <c r="BB53" s="22">
        <f>SUM(Emissions!BD156:BD171)</f>
        <v>1.9285890623874153</v>
      </c>
      <c r="BC53" s="22">
        <f>SUM(Emissions!BE156:BE171)</f>
        <v>1.9906340038389174</v>
      </c>
      <c r="BD53" s="22">
        <f>SUM(Emissions!BF156:BF171)</f>
        <v>2.055275308890586</v>
      </c>
      <c r="BE53" s="22">
        <f>SUM(Emissions!BG156:BG171)</f>
        <v>2.1230055341102512</v>
      </c>
      <c r="BF53" s="22">
        <f>SUM(Emissions!BH156:BH171)</f>
        <v>2.1873418022425892</v>
      </c>
      <c r="BG53" s="22">
        <f>SUM(Emissions!BI156:BI171)</f>
        <v>2.2529044331981947</v>
      </c>
      <c r="BH53" s="22">
        <f>SUM(Emissions!BJ156:BJ171)</f>
        <v>2.3198228242283321</v>
      </c>
      <c r="BI53" s="22">
        <f>SUM(Emissions!BK156:BK171)</f>
        <v>2.3914376541734121</v>
      </c>
      <c r="BJ53" s="22">
        <f>SUM(Emissions!BL156:BL171)</f>
        <v>2.4651614448419767</v>
      </c>
      <c r="BK53" s="22">
        <f>SUM(Emissions!BM156:BM171)</f>
        <v>2.508216130886658</v>
      </c>
      <c r="BL53" s="22">
        <f>SUM(Emissions!BN156:BN171)</f>
        <v>2.5493885867524284</v>
      </c>
      <c r="BM53" s="22">
        <f>SUM(Emissions!BO156:BO171)</f>
        <v>2.595091758147027</v>
      </c>
      <c r="BN53" s="22">
        <f>SUM(Emissions!BP156:BP171)</f>
        <v>2.6392939617720943</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0.3718675048284128</v>
      </c>
      <c r="AC54" s="22">
        <f>SUM(Emissions!AE172:AE187)</f>
        <v>0.37566664472168221</v>
      </c>
      <c r="AD54" s="22">
        <f>SUM(Emissions!AF172:AF187)</f>
        <v>0.37826602898530737</v>
      </c>
      <c r="AE54" s="22">
        <f>SUM(Emissions!AG172:AG187)</f>
        <v>0.37571326652704101</v>
      </c>
      <c r="AF54" s="22">
        <f>SUM(Emissions!AH172:AH187)</f>
        <v>0.37339215315288216</v>
      </c>
      <c r="AG54" s="22">
        <f>SUM(Emissions!AI172:AI187)</f>
        <v>0.37652732616694606</v>
      </c>
      <c r="AH54" s="22">
        <f>SUM(Emissions!AJ172:AJ187)</f>
        <v>0.37809191196378683</v>
      </c>
      <c r="AI54" s="22">
        <f>SUM(Emissions!AK172:AK187)</f>
        <v>0.37405512095566107</v>
      </c>
      <c r="AJ54" s="22">
        <f>SUM(Emissions!AL172:AL187)</f>
        <v>0.34531584364879414</v>
      </c>
      <c r="AK54" s="22">
        <f>SUM(Emissions!AM172:AM187)</f>
        <v>0.35515813840180654</v>
      </c>
      <c r="AL54" s="22">
        <f>SUM(Emissions!AN172:AN187)</f>
        <v>0.36194859884043512</v>
      </c>
      <c r="AM54" s="22">
        <f>SUM(Emissions!AO172:AO187)</f>
        <v>0.3680798043298798</v>
      </c>
      <c r="AN54" s="22">
        <f>SUM(Emissions!AP172:AP187)</f>
        <v>0.37539576376637207</v>
      </c>
      <c r="AO54" s="22">
        <f>SUM(Emissions!AQ172:AQ187)</f>
        <v>0.38673068305189562</v>
      </c>
      <c r="AP54" s="22">
        <f>SUM(Emissions!AR172:AR187)</f>
        <v>0.39907200389431291</v>
      </c>
      <c r="AQ54" s="22">
        <f>SUM(Emissions!AS172:AS187)</f>
        <v>0.41247567426563947</v>
      </c>
      <c r="AR54" s="22">
        <f>SUM(Emissions!AT172:AT187)</f>
        <v>0.42431492732737075</v>
      </c>
      <c r="AS54" s="22">
        <f>SUM(Emissions!AU172:AU187)</f>
        <v>0.43804072081804424</v>
      </c>
      <c r="AT54" s="22">
        <f>SUM(Emissions!AV172:AV187)</f>
        <v>0.45408758838475893</v>
      </c>
      <c r="AU54" s="22">
        <f>SUM(Emissions!AW172:AW187)</f>
        <v>0.46936060914349415</v>
      </c>
      <c r="AV54" s="22">
        <f>SUM(Emissions!AX172:AX187)</f>
        <v>0.48536885058274432</v>
      </c>
      <c r="AW54" s="22">
        <f>SUM(Emissions!AY172:AY187)</f>
        <v>0.50175339505276506</v>
      </c>
      <c r="AX54" s="22">
        <f>SUM(Emissions!AZ172:AZ187)</f>
        <v>0.52008785227037635</v>
      </c>
      <c r="AY54" s="22">
        <f>SUM(Emissions!BA172:BA187)</f>
        <v>0.53624894641422916</v>
      </c>
      <c r="AZ54" s="22">
        <f>SUM(Emissions!BB172:BB187)</f>
        <v>0.55342548592841767</v>
      </c>
      <c r="BA54" s="22">
        <f>SUM(Emissions!BC172:BC187)</f>
        <v>0.57094316383602062</v>
      </c>
      <c r="BB54" s="22">
        <f>SUM(Emissions!BD172:BD187)</f>
        <v>0.58769598726040984</v>
      </c>
      <c r="BC54" s="22">
        <f>SUM(Emissions!BE172:BE187)</f>
        <v>0.60443747144873372</v>
      </c>
      <c r="BD54" s="22">
        <f>SUM(Emissions!BF172:BF187)</f>
        <v>0.62184692307757494</v>
      </c>
      <c r="BE54" s="22">
        <f>SUM(Emissions!BG172:BG187)</f>
        <v>0.64044222845871968</v>
      </c>
      <c r="BF54" s="22">
        <f>SUM(Emissions!BH172:BH187)</f>
        <v>0.65796449752066755</v>
      </c>
      <c r="BG54" s="22">
        <f>SUM(Emissions!BI172:BI187)</f>
        <v>0.67577097935019237</v>
      </c>
      <c r="BH54" s="22">
        <f>SUM(Emissions!BJ172:BJ187)</f>
        <v>0.69389779825676434</v>
      </c>
      <c r="BI54" s="22">
        <f>SUM(Emissions!BK172:BK187)</f>
        <v>0.71331444841271174</v>
      </c>
      <c r="BJ54" s="22">
        <f>SUM(Emissions!BL172:BL187)</f>
        <v>0.73323814097920426</v>
      </c>
      <c r="BK54" s="22">
        <f>SUM(Emissions!BM172:BM187)</f>
        <v>0.74420217178160419</v>
      </c>
      <c r="BL54" s="22">
        <f>SUM(Emissions!BN172:BN187)</f>
        <v>0.75458047673591855</v>
      </c>
      <c r="BM54" s="22">
        <f>SUM(Emissions!BO172:BO187)</f>
        <v>0.76622511665081228</v>
      </c>
      <c r="BN54" s="22">
        <f>SUM(Emissions!BP172:BP187)</f>
        <v>0.77739363080417345</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24683.367452658804</v>
      </c>
      <c r="AC58" s="22">
        <f t="shared" si="42"/>
        <v>24650.189452440565</v>
      </c>
      <c r="AD58" s="22">
        <f t="shared" si="42"/>
        <v>24544.093639596515</v>
      </c>
      <c r="AE58" s="22">
        <f t="shared" si="42"/>
        <v>24140.855034258169</v>
      </c>
      <c r="AF58" s="22">
        <f t="shared" si="42"/>
        <v>23759.191709341216</v>
      </c>
      <c r="AG58" s="22">
        <f t="shared" si="42"/>
        <v>23689.297013784038</v>
      </c>
      <c r="AH58" s="22">
        <f t="shared" si="42"/>
        <v>23529.542562385181</v>
      </c>
      <c r="AI58" s="22">
        <f t="shared" si="42"/>
        <v>23066.991414207259</v>
      </c>
      <c r="AJ58" s="22">
        <f t="shared" si="42"/>
        <v>21303.967381995029</v>
      </c>
      <c r="AK58" s="22">
        <f t="shared" si="42"/>
        <v>21713.687537069913</v>
      </c>
      <c r="AL58" s="22">
        <f t="shared" ref="AL58:BN58" si="43">AL4*CH4GWP</f>
        <v>21957.492762752772</v>
      </c>
      <c r="AM58" s="22">
        <f t="shared" si="43"/>
        <v>22163.082048042328</v>
      </c>
      <c r="AN58" s="22">
        <f t="shared" si="43"/>
        <v>22425.804557527983</v>
      </c>
      <c r="AO58" s="22">
        <f t="shared" si="43"/>
        <v>22888.132208535564</v>
      </c>
      <c r="AP58" s="22">
        <f t="shared" si="43"/>
        <v>23385.954149519908</v>
      </c>
      <c r="AQ58" s="22">
        <f t="shared" si="43"/>
        <v>23927.987836027696</v>
      </c>
      <c r="AR58" s="22">
        <f t="shared" si="43"/>
        <v>24382.811490470587</v>
      </c>
      <c r="AS58" s="22">
        <f t="shared" si="43"/>
        <v>24921.974091541579</v>
      </c>
      <c r="AT58" s="22">
        <f t="shared" si="43"/>
        <v>25564.343899418323</v>
      </c>
      <c r="AU58" s="22">
        <f t="shared" si="43"/>
        <v>26033.066926596006</v>
      </c>
      <c r="AV58" s="22">
        <f t="shared" si="43"/>
        <v>26516.562847733574</v>
      </c>
      <c r="AW58" s="22">
        <f t="shared" si="43"/>
        <v>26996.640446850615</v>
      </c>
      <c r="AX58" s="22">
        <f t="shared" si="43"/>
        <v>27544.849842596203</v>
      </c>
      <c r="AY58" s="22">
        <f t="shared" si="43"/>
        <v>27970.755811998624</v>
      </c>
      <c r="AZ58" s="22">
        <f t="shared" si="43"/>
        <v>28415.726539002233</v>
      </c>
      <c r="BA58" s="22">
        <f t="shared" si="43"/>
        <v>28853.41441399711</v>
      </c>
      <c r="BB58" s="22">
        <f t="shared" si="43"/>
        <v>29235.467635879326</v>
      </c>
      <c r="BC58" s="22">
        <f t="shared" si="43"/>
        <v>29595.548461537317</v>
      </c>
      <c r="BD58" s="22">
        <f t="shared" si="43"/>
        <v>29962.155078360938</v>
      </c>
      <c r="BE58" s="22">
        <f t="shared" si="43"/>
        <v>30435.972979249818</v>
      </c>
      <c r="BF58" s="22">
        <f t="shared" si="43"/>
        <v>30847.921741495957</v>
      </c>
      <c r="BG58" s="22">
        <f t="shared" si="43"/>
        <v>31254.362511646552</v>
      </c>
      <c r="BH58" s="22">
        <f t="shared" si="43"/>
        <v>31656.365812327476</v>
      </c>
      <c r="BI58" s="22">
        <f t="shared" si="43"/>
        <v>32091.480404089387</v>
      </c>
      <c r="BJ58" s="22">
        <f t="shared" si="43"/>
        <v>32522.75971561452</v>
      </c>
      <c r="BK58" s="22">
        <f t="shared" si="43"/>
        <v>32593.417208552168</v>
      </c>
      <c r="BL58" s="22">
        <f t="shared" si="43"/>
        <v>32632.326910513839</v>
      </c>
      <c r="BM58" s="22">
        <f t="shared" si="43"/>
        <v>32709.12745699814</v>
      </c>
      <c r="BN58" s="22">
        <f t="shared" si="43"/>
        <v>32758.180544503717</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776.19766672522439</v>
      </c>
      <c r="AC59" s="22">
        <f t="shared" si="45"/>
        <v>778.26255986850208</v>
      </c>
      <c r="AD59" s="22">
        <f t="shared" si="45"/>
        <v>777.87529463079261</v>
      </c>
      <c r="AE59" s="22">
        <f t="shared" si="45"/>
        <v>766.79735078990893</v>
      </c>
      <c r="AF59" s="22">
        <f t="shared" si="45"/>
        <v>756.45051286830517</v>
      </c>
      <c r="AG59" s="22">
        <f t="shared" si="45"/>
        <v>757.58949175276257</v>
      </c>
      <c r="AH59" s="22">
        <f t="shared" si="45"/>
        <v>755.57035153124014</v>
      </c>
      <c r="AI59" s="22">
        <f t="shared" si="45"/>
        <v>742.2462384507578</v>
      </c>
      <c r="AJ59" s="22">
        <f t="shared" si="45"/>
        <v>679.23773386736423</v>
      </c>
      <c r="AK59" s="22">
        <f t="shared" si="45"/>
        <v>693.81666750299894</v>
      </c>
      <c r="AL59" s="22">
        <f t="shared" ref="AL59:BN59" si="46">AL11*CH4GWP</f>
        <v>702.12189592018728</v>
      </c>
      <c r="AM59" s="22">
        <f t="shared" si="46"/>
        <v>709.02134442049771</v>
      </c>
      <c r="AN59" s="22">
        <f t="shared" si="46"/>
        <v>718.15152317978789</v>
      </c>
      <c r="AO59" s="22">
        <f t="shared" si="46"/>
        <v>734.95294359004652</v>
      </c>
      <c r="AP59" s="22">
        <f t="shared" si="46"/>
        <v>753.50531155199462</v>
      </c>
      <c r="AQ59" s="22">
        <f t="shared" si="46"/>
        <v>773.80880531109665</v>
      </c>
      <c r="AR59" s="22">
        <f t="shared" si="46"/>
        <v>790.84431926311163</v>
      </c>
      <c r="AS59" s="22">
        <f t="shared" si="46"/>
        <v>811.17136441161904</v>
      </c>
      <c r="AT59" s="22">
        <f t="shared" si="46"/>
        <v>835.52195955507943</v>
      </c>
      <c r="AU59" s="22">
        <f t="shared" si="46"/>
        <v>858.88263401501126</v>
      </c>
      <c r="AV59" s="22">
        <f t="shared" si="46"/>
        <v>883.29039523114466</v>
      </c>
      <c r="AW59" s="22">
        <f t="shared" si="46"/>
        <v>908.06510573319633</v>
      </c>
      <c r="AX59" s="22">
        <f t="shared" si="46"/>
        <v>936.05489265895505</v>
      </c>
      <c r="AY59" s="22">
        <f t="shared" si="46"/>
        <v>959.75137388133339</v>
      </c>
      <c r="AZ59" s="22">
        <f t="shared" si="46"/>
        <v>984.98720984235922</v>
      </c>
      <c r="BA59" s="22">
        <f t="shared" si="46"/>
        <v>1010.4909178209149</v>
      </c>
      <c r="BB59" s="22">
        <f t="shared" si="46"/>
        <v>1034.2953425900832</v>
      </c>
      <c r="BC59" s="22">
        <f t="shared" si="46"/>
        <v>1057.7541449215751</v>
      </c>
      <c r="BD59" s="22">
        <f t="shared" si="46"/>
        <v>1082.0566838401382</v>
      </c>
      <c r="BE59" s="22">
        <f t="shared" si="46"/>
        <v>1107.6265105192613</v>
      </c>
      <c r="BF59" s="22">
        <f t="shared" si="46"/>
        <v>1130.9650458759186</v>
      </c>
      <c r="BG59" s="22">
        <f t="shared" si="46"/>
        <v>1154.4363735792269</v>
      </c>
      <c r="BH59" s="22">
        <f t="shared" si="46"/>
        <v>1178.0942315918537</v>
      </c>
      <c r="BI59" s="22">
        <f t="shared" si="46"/>
        <v>1203.5664612241167</v>
      </c>
      <c r="BJ59" s="22">
        <f t="shared" si="46"/>
        <v>1229.5209327037915</v>
      </c>
      <c r="BK59" s="22">
        <f t="shared" si="46"/>
        <v>1240.1539718487838</v>
      </c>
      <c r="BL59" s="22">
        <f t="shared" si="46"/>
        <v>1249.6235065005746</v>
      </c>
      <c r="BM59" s="22">
        <f t="shared" si="46"/>
        <v>1260.9916563037802</v>
      </c>
      <c r="BN59" s="22">
        <f t="shared" si="46"/>
        <v>1271.3735461423246</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1618.9525249848919</v>
      </c>
      <c r="AC60" s="22">
        <f t="shared" si="48"/>
        <v>1641.6084477586605</v>
      </c>
      <c r="AD60" s="22">
        <f t="shared" si="48"/>
        <v>1657.425962272584</v>
      </c>
      <c r="AE60" s="22">
        <f t="shared" si="48"/>
        <v>1644.8228903470936</v>
      </c>
      <c r="AF60" s="22">
        <f t="shared" si="48"/>
        <v>1633.1444432752792</v>
      </c>
      <c r="AG60" s="22">
        <f t="shared" si="48"/>
        <v>1651.006194213953</v>
      </c>
      <c r="AH60" s="22">
        <f t="shared" si="48"/>
        <v>1660.1279902204478</v>
      </c>
      <c r="AI60" s="22">
        <f t="shared" si="48"/>
        <v>1638.3661763389489</v>
      </c>
      <c r="AJ60" s="22">
        <f t="shared" si="48"/>
        <v>1480.7132782504391</v>
      </c>
      <c r="AK60" s="22">
        <f t="shared" si="48"/>
        <v>1535.9032755407259</v>
      </c>
      <c r="AL60" s="22">
        <f t="shared" ref="AL60:BN60" si="49">AL19*N2OGWP</f>
        <v>1574.2742113965967</v>
      </c>
      <c r="AM60" s="22">
        <f t="shared" si="49"/>
        <v>1608.9621631374678</v>
      </c>
      <c r="AN60" s="22">
        <f t="shared" si="49"/>
        <v>1650.1324159892563</v>
      </c>
      <c r="AO60" s="22">
        <f t="shared" si="49"/>
        <v>1713.4578763269938</v>
      </c>
      <c r="AP60" s="22">
        <f t="shared" si="49"/>
        <v>1782.8457041452368</v>
      </c>
      <c r="AQ60" s="22">
        <f t="shared" si="49"/>
        <v>1858.1445817305187</v>
      </c>
      <c r="AR60" s="22">
        <f t="shared" si="49"/>
        <v>1924.8289325427115</v>
      </c>
      <c r="AS60" s="22">
        <f t="shared" si="49"/>
        <v>2002.0035376746864</v>
      </c>
      <c r="AT60" s="22">
        <f t="shared" si="49"/>
        <v>2092.1109368882021</v>
      </c>
      <c r="AU60" s="22">
        <f t="shared" si="49"/>
        <v>2178.5513858882605</v>
      </c>
      <c r="AV60" s="22">
        <f t="shared" si="49"/>
        <v>2269.1801643330377</v>
      </c>
      <c r="AW60" s="22">
        <f t="shared" si="49"/>
        <v>2362.0144235639755</v>
      </c>
      <c r="AX60" s="22">
        <f t="shared" si="49"/>
        <v>2465.8272373680097</v>
      </c>
      <c r="AY60" s="22">
        <f t="shared" si="49"/>
        <v>2557.6635165404659</v>
      </c>
      <c r="AZ60" s="22">
        <f t="shared" si="49"/>
        <v>2655.657028169705</v>
      </c>
      <c r="BA60" s="22">
        <f t="shared" si="49"/>
        <v>2755.6908545616147</v>
      </c>
      <c r="BB60" s="22">
        <f t="shared" si="49"/>
        <v>2851.5877758132688</v>
      </c>
      <c r="BC60" s="22">
        <f t="shared" si="49"/>
        <v>2947.5544015719511</v>
      </c>
      <c r="BD60" s="22">
        <f t="shared" si="49"/>
        <v>3047.3978261227653</v>
      </c>
      <c r="BE60" s="22">
        <f t="shared" si="49"/>
        <v>3154.2340046442987</v>
      </c>
      <c r="BF60" s="22">
        <f t="shared" si="49"/>
        <v>3255.1908603827083</v>
      </c>
      <c r="BG60" s="22">
        <f t="shared" si="49"/>
        <v>3357.8776000746889</v>
      </c>
      <c r="BH60" s="22">
        <f t="shared" si="49"/>
        <v>3462.5024924523336</v>
      </c>
      <c r="BI60" s="22">
        <f t="shared" si="49"/>
        <v>3574.5274397991784</v>
      </c>
      <c r="BJ60" s="22">
        <f t="shared" si="49"/>
        <v>3689.9138865854529</v>
      </c>
      <c r="BK60" s="22">
        <f t="shared" si="49"/>
        <v>3754.9477369487436</v>
      </c>
      <c r="BL60" s="22">
        <f t="shared" si="49"/>
        <v>3816.7493987976663</v>
      </c>
      <c r="BM60" s="22">
        <f t="shared" si="49"/>
        <v>3885.7715804110699</v>
      </c>
      <c r="BN60" s="22">
        <f t="shared" si="49"/>
        <v>3952.1839681913507</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888.5196405131752</v>
      </c>
      <c r="AD63" s="22">
        <f t="shared" si="57"/>
        <v>891.96064822562096</v>
      </c>
      <c r="AE63" s="22">
        <f t="shared" si="57"/>
        <v>894.88916078976843</v>
      </c>
      <c r="AF63" s="22">
        <f t="shared" si="57"/>
        <v>895.84739945695708</v>
      </c>
      <c r="AG63" s="22">
        <f t="shared" si="57"/>
        <v>896.81728908321736</v>
      </c>
      <c r="AH63" s="22">
        <f t="shared" si="57"/>
        <v>899.77409431497051</v>
      </c>
      <c r="AI63" s="22">
        <f t="shared" si="57"/>
        <v>902.09125086952031</v>
      </c>
      <c r="AJ63" s="22">
        <f t="shared" si="57"/>
        <v>902.24725498392274</v>
      </c>
      <c r="AK63" s="22">
        <f t="shared" si="57"/>
        <v>892.60902179925608</v>
      </c>
      <c r="AL63" s="22">
        <f t="shared" si="57"/>
        <v>897.88077216623924</v>
      </c>
      <c r="AM63" s="22">
        <f t="shared" si="57"/>
        <v>901.86785433623902</v>
      </c>
      <c r="AN63" s="22">
        <f t="shared" si="57"/>
        <v>905.54375743786386</v>
      </c>
      <c r="AO63" s="22">
        <f t="shared" si="57"/>
        <v>909.62789125994425</v>
      </c>
      <c r="AP63" s="22">
        <f t="shared" si="57"/>
        <v>915.17819871340487</v>
      </c>
      <c r="AQ63" s="22">
        <f t="shared" si="57"/>
        <v>920.99002879575733</v>
      </c>
      <c r="AR63" s="22">
        <f t="shared" si="57"/>
        <v>927.07478216005029</v>
      </c>
      <c r="AS63" s="22">
        <f t="shared" si="57"/>
        <v>932.48269891354084</v>
      </c>
      <c r="AT63" s="22">
        <f t="shared" si="57"/>
        <v>938.44873038731919</v>
      </c>
      <c r="AU63" s="22">
        <f t="shared" si="57"/>
        <v>945.07999666505555</v>
      </c>
      <c r="AV63" s="22">
        <f t="shared" si="57"/>
        <v>951.43174054913004</v>
      </c>
      <c r="AW63" s="22">
        <f t="shared" si="57"/>
        <v>957.88938710584625</v>
      </c>
      <c r="AX63" s="22">
        <f t="shared" si="57"/>
        <v>964.3285468230124</v>
      </c>
      <c r="AY63" s="22">
        <f t="shared" si="57"/>
        <v>971.2274721173485</v>
      </c>
      <c r="AZ63" s="22">
        <f t="shared" si="57"/>
        <v>977.31823571713028</v>
      </c>
      <c r="BA63" s="22">
        <f t="shared" si="57"/>
        <v>983.57793052447698</v>
      </c>
      <c r="BB63" s="22">
        <f t="shared" si="57"/>
        <v>989.80396855314598</v>
      </c>
      <c r="BC63" s="22">
        <f t="shared" si="57"/>
        <v>995.6874985828008</v>
      </c>
      <c r="BD63" s="22">
        <f t="shared" si="57"/>
        <v>1001.4527108587529</v>
      </c>
      <c r="BE63" s="22">
        <f t="shared" si="57"/>
        <v>1007.2848843182181</v>
      </c>
      <c r="BF63" s="22">
        <f t="shared" si="57"/>
        <v>1013.2376412307941</v>
      </c>
      <c r="BG63" s="22">
        <f t="shared" si="57"/>
        <v>1018.7943384588782</v>
      </c>
      <c r="BH63" s="22">
        <f t="shared" si="57"/>
        <v>1024.3150671694632</v>
      </c>
      <c r="BI63" s="22">
        <f t="shared" si="57"/>
        <v>1029.8081254914655</v>
      </c>
      <c r="BJ63" s="22">
        <f t="shared" si="57"/>
        <v>1035.5032855203945</v>
      </c>
      <c r="BK63" s="22">
        <f t="shared" si="57"/>
        <v>1041.199437822145</v>
      </c>
      <c r="BL63" s="22">
        <f t="shared" si="57"/>
        <v>1044.7334229183193</v>
      </c>
      <c r="BM63" s="22">
        <f t="shared" si="57"/>
        <v>1048.092878940131</v>
      </c>
      <c r="BN63" s="22">
        <f t="shared" si="57"/>
        <v>1051.6990964077904</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470.04378916185391</v>
      </c>
      <c r="AD64" s="22">
        <f t="shared" si="58"/>
        <v>469.95709010424787</v>
      </c>
      <c r="AE64" s="22">
        <f t="shared" si="58"/>
        <v>469.88330378909933</v>
      </c>
      <c r="AF64" s="22">
        <f t="shared" si="58"/>
        <v>469.85916016712889</v>
      </c>
      <c r="AG64" s="22">
        <f t="shared" si="58"/>
        <v>469.83472298953274</v>
      </c>
      <c r="AH64" s="22">
        <f t="shared" si="58"/>
        <v>469.76022381704024</v>
      </c>
      <c r="AI64" s="22">
        <f t="shared" si="58"/>
        <v>469.7018411261563</v>
      </c>
      <c r="AJ64" s="22">
        <f t="shared" si="58"/>
        <v>469.69791047245496</v>
      </c>
      <c r="AK64" s="22">
        <f t="shared" si="58"/>
        <v>469.94075379160097</v>
      </c>
      <c r="AL64" s="22">
        <f t="shared" si="58"/>
        <v>469.80792764677761</v>
      </c>
      <c r="AM64" s="22">
        <f t="shared" si="58"/>
        <v>469.70746978802691</v>
      </c>
      <c r="AN64" s="22">
        <f t="shared" si="58"/>
        <v>469.61485234529096</v>
      </c>
      <c r="AO64" s="22">
        <f t="shared" si="58"/>
        <v>469.51194918926763</v>
      </c>
      <c r="AP64" s="22">
        <f t="shared" si="58"/>
        <v>469.37210456645607</v>
      </c>
      <c r="AQ64" s="22">
        <f t="shared" si="58"/>
        <v>469.22567066301434</v>
      </c>
      <c r="AR64" s="22">
        <f t="shared" si="58"/>
        <v>469.07236022998597</v>
      </c>
      <c r="AS64" s="22">
        <f t="shared" si="58"/>
        <v>468.93610325955154</v>
      </c>
      <c r="AT64" s="22">
        <f t="shared" si="58"/>
        <v>468.78578412351658</v>
      </c>
      <c r="AU64" s="22">
        <f t="shared" si="58"/>
        <v>468.61870384208186</v>
      </c>
      <c r="AV64" s="22">
        <f t="shared" si="58"/>
        <v>468.45866636035458</v>
      </c>
      <c r="AW64" s="22">
        <f t="shared" si="58"/>
        <v>468.29596057251365</v>
      </c>
      <c r="AX64" s="22">
        <f t="shared" si="58"/>
        <v>468.1337205760052</v>
      </c>
      <c r="AY64" s="22">
        <f t="shared" si="58"/>
        <v>467.95989640253708</v>
      </c>
      <c r="AZ64" s="22">
        <f t="shared" si="58"/>
        <v>467.8064345366156</v>
      </c>
      <c r="BA64" s="22">
        <f t="shared" si="58"/>
        <v>467.64871630810501</v>
      </c>
      <c r="BB64" s="22">
        <f t="shared" si="58"/>
        <v>467.49184609018818</v>
      </c>
      <c r="BC64" s="22">
        <f t="shared" si="58"/>
        <v>467.34360564680793</v>
      </c>
      <c r="BD64" s="22">
        <f t="shared" si="58"/>
        <v>467.19834631785739</v>
      </c>
      <c r="BE64" s="22">
        <f t="shared" si="58"/>
        <v>467.05139984607189</v>
      </c>
      <c r="BF64" s="22">
        <f t="shared" si="58"/>
        <v>466.90141517367164</v>
      </c>
      <c r="BG64" s="22">
        <f t="shared" si="58"/>
        <v>466.76140955516212</v>
      </c>
      <c r="BH64" s="22">
        <f t="shared" si="58"/>
        <v>466.62231019343295</v>
      </c>
      <c r="BI64" s="22">
        <f t="shared" si="58"/>
        <v>466.48390801020918</v>
      </c>
      <c r="BJ64" s="22">
        <f t="shared" si="58"/>
        <v>466.34041370601517</v>
      </c>
      <c r="BK64" s="22">
        <f t="shared" si="58"/>
        <v>466.19689440068032</v>
      </c>
      <c r="BL64" s="22">
        <f t="shared" si="58"/>
        <v>466.10785270038889</v>
      </c>
      <c r="BM64" s="22">
        <f t="shared" si="58"/>
        <v>466.02320840560674</v>
      </c>
      <c r="BN64" s="22">
        <f t="shared" si="58"/>
        <v>465.93234675050559</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17197.553314646342</v>
      </c>
      <c r="AC65" s="22">
        <f t="shared" si="59"/>
        <v>17174.195465448476</v>
      </c>
      <c r="AD65" s="22">
        <f t="shared" si="59"/>
        <v>17113.948872666017</v>
      </c>
      <c r="AE65" s="22">
        <f t="shared" si="59"/>
        <v>16898.866322268357</v>
      </c>
      <c r="AF65" s="22">
        <f t="shared" si="59"/>
        <v>16693.646990374629</v>
      </c>
      <c r="AG65" s="22">
        <f t="shared" si="59"/>
        <v>16650.371841828572</v>
      </c>
      <c r="AH65" s="22">
        <f t="shared" si="59"/>
        <v>16562.016366601565</v>
      </c>
      <c r="AI65" s="22">
        <f t="shared" si="59"/>
        <v>16316.350537786429</v>
      </c>
      <c r="AJ65" s="22">
        <f t="shared" si="59"/>
        <v>15396.492254781857</v>
      </c>
      <c r="AK65" s="22">
        <f t="shared" si="59"/>
        <v>15595.578758180762</v>
      </c>
      <c r="AL65" s="22">
        <f t="shared" ref="AL65:BN65" si="60">AL43*N2OGWP</f>
        <v>15720.530709803525</v>
      </c>
      <c r="AM65" s="22">
        <f t="shared" si="60"/>
        <v>15824.56598704005</v>
      </c>
      <c r="AN65" s="22">
        <f t="shared" si="60"/>
        <v>15957.684778570629</v>
      </c>
      <c r="AO65" s="22">
        <f t="shared" si="60"/>
        <v>16193.843660056084</v>
      </c>
      <c r="AP65" s="22">
        <f t="shared" si="60"/>
        <v>16449.058268095661</v>
      </c>
      <c r="AQ65" s="22">
        <f t="shared" si="60"/>
        <v>16726.864372603122</v>
      </c>
      <c r="AR65" s="22">
        <f t="shared" si="60"/>
        <v>16959.603994516165</v>
      </c>
      <c r="AS65" s="22">
        <f t="shared" si="60"/>
        <v>17234.802113490197</v>
      </c>
      <c r="AT65" s="22">
        <f t="shared" si="60"/>
        <v>17563.032503235932</v>
      </c>
      <c r="AU65" s="22">
        <f t="shared" si="60"/>
        <v>17799.328542154482</v>
      </c>
      <c r="AV65" s="22">
        <f t="shared" si="60"/>
        <v>18042.239658585549</v>
      </c>
      <c r="AW65" s="22">
        <f t="shared" si="60"/>
        <v>18282.699889747437</v>
      </c>
      <c r="AX65" s="22">
        <f t="shared" si="60"/>
        <v>18557.185309866483</v>
      </c>
      <c r="AY65" s="22">
        <f t="shared" si="60"/>
        <v>18768.609073106949</v>
      </c>
      <c r="AZ65" s="22">
        <f t="shared" si="60"/>
        <v>18988.222910261502</v>
      </c>
      <c r="BA65" s="22">
        <f t="shared" si="60"/>
        <v>19203.363500903437</v>
      </c>
      <c r="BB65" s="22">
        <f t="shared" si="60"/>
        <v>19389.222347021248</v>
      </c>
      <c r="BC65" s="22">
        <f t="shared" si="60"/>
        <v>19562.737004381022</v>
      </c>
      <c r="BD65" s="22">
        <f t="shared" si="60"/>
        <v>19738.560811438274</v>
      </c>
      <c r="BE65" s="22">
        <f t="shared" si="60"/>
        <v>19970.35880467153</v>
      </c>
      <c r="BF65" s="22">
        <f t="shared" si="60"/>
        <v>20170.049509193337</v>
      </c>
      <c r="BG65" s="22">
        <f t="shared" si="60"/>
        <v>20365.82807688199</v>
      </c>
      <c r="BH65" s="22">
        <f t="shared" si="60"/>
        <v>20558.502690321449</v>
      </c>
      <c r="BI65" s="22">
        <f t="shared" si="60"/>
        <v>20767.014284901037</v>
      </c>
      <c r="BJ65" s="22">
        <f t="shared" si="60"/>
        <v>20972.720668109854</v>
      </c>
      <c r="BK65" s="22">
        <f t="shared" si="60"/>
        <v>20995.87247878894</v>
      </c>
      <c r="BL65" s="22">
        <f t="shared" si="60"/>
        <v>21000.826230868748</v>
      </c>
      <c r="BM65" s="22">
        <f t="shared" si="60"/>
        <v>21024.178683481376</v>
      </c>
      <c r="BN65" s="22">
        <f t="shared" si="60"/>
        <v>21033.250790498889</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2056.4782344841292</v>
      </c>
      <c r="AC66" s="22">
        <f t="shared" si="62"/>
        <v>2055.3077576706228</v>
      </c>
      <c r="AD66" s="22">
        <f t="shared" si="62"/>
        <v>2049.6595240467386</v>
      </c>
      <c r="AE66" s="22">
        <f t="shared" si="62"/>
        <v>2025.0550336948868</v>
      </c>
      <c r="AF66" s="22">
        <f t="shared" si="62"/>
        <v>2001.9262546909861</v>
      </c>
      <c r="AG66" s="22">
        <f t="shared" si="62"/>
        <v>1999.0019504542583</v>
      </c>
      <c r="AH66" s="22">
        <f t="shared" si="62"/>
        <v>1990.4170561315395</v>
      </c>
      <c r="AI66" s="22">
        <f t="shared" si="62"/>
        <v>1962.3654312924355</v>
      </c>
      <c r="AJ66" s="22">
        <f t="shared" si="62"/>
        <v>1850.3188844383581</v>
      </c>
      <c r="AK66" s="22">
        <f t="shared" si="62"/>
        <v>1877.1633566643613</v>
      </c>
      <c r="AL66" s="22">
        <f t="shared" ref="AL66:BN66" si="63">AL49*N2OGWP</f>
        <v>1893.6481904060943</v>
      </c>
      <c r="AM66" s="22">
        <f t="shared" si="63"/>
        <v>1907.7043501417088</v>
      </c>
      <c r="AN66" s="22">
        <f t="shared" si="63"/>
        <v>1925.5118328339661</v>
      </c>
      <c r="AO66" s="22">
        <f t="shared" si="63"/>
        <v>1956.3029509888447</v>
      </c>
      <c r="AP66" s="22">
        <f t="shared" si="63"/>
        <v>1989.2444577705241</v>
      </c>
      <c r="AQ66" s="22">
        <f t="shared" si="63"/>
        <v>2025.1189642247361</v>
      </c>
      <c r="AR66" s="22">
        <f t="shared" si="63"/>
        <v>2055.4165756385901</v>
      </c>
      <c r="AS66" s="22">
        <f t="shared" si="63"/>
        <v>2091.2254794000851</v>
      </c>
      <c r="AT66" s="22">
        <f t="shared" si="63"/>
        <v>2133.7965555443229</v>
      </c>
      <c r="AU66" s="22">
        <f t="shared" si="63"/>
        <v>2165.5655629360554</v>
      </c>
      <c r="AV66" s="22">
        <f t="shared" si="63"/>
        <v>2198.3911355399214</v>
      </c>
      <c r="AW66" s="22">
        <f t="shared" si="63"/>
        <v>2231.1025143526422</v>
      </c>
      <c r="AX66" s="22">
        <f t="shared" si="63"/>
        <v>2268.3507935733296</v>
      </c>
      <c r="AY66" s="22">
        <f t="shared" si="63"/>
        <v>2297.7649152023978</v>
      </c>
      <c r="AZ66" s="22">
        <f t="shared" si="63"/>
        <v>2328.3280716637692</v>
      </c>
      <c r="BA66" s="22">
        <f t="shared" si="63"/>
        <v>2358.5281714520361</v>
      </c>
      <c r="BB66" s="22">
        <f t="shared" si="63"/>
        <v>2385.2068282723071</v>
      </c>
      <c r="BC66" s="22">
        <f t="shared" si="63"/>
        <v>2410.5491837116842</v>
      </c>
      <c r="BD66" s="22">
        <f t="shared" si="63"/>
        <v>2436.4214401269624</v>
      </c>
      <c r="BE66" s="22">
        <f t="shared" si="63"/>
        <v>2468.8007703295339</v>
      </c>
      <c r="BF66" s="22">
        <f t="shared" si="63"/>
        <v>2497.2170799767368</v>
      </c>
      <c r="BG66" s="22">
        <f t="shared" si="63"/>
        <v>2525.3463546683975</v>
      </c>
      <c r="BH66" s="22">
        <f t="shared" si="63"/>
        <v>2553.2662035210615</v>
      </c>
      <c r="BI66" s="22">
        <f t="shared" si="63"/>
        <v>2583.4423250101627</v>
      </c>
      <c r="BJ66" s="22">
        <f t="shared" si="63"/>
        <v>2613.2914993908598</v>
      </c>
      <c r="BK66" s="22">
        <f t="shared" si="63"/>
        <v>2619.5191948549927</v>
      </c>
      <c r="BL66" s="22">
        <f t="shared" si="63"/>
        <v>2623.6675290847393</v>
      </c>
      <c r="BM66" s="22">
        <f t="shared" si="63"/>
        <v>2630.356725700085</v>
      </c>
      <c r="BN66" s="22">
        <f t="shared" si="63"/>
        <v>2635.275238813299</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465.52309402510247</v>
      </c>
      <c r="AC67" s="22">
        <f t="shared" si="65"/>
        <v>471.57318156155264</v>
      </c>
      <c r="AD67" s="22">
        <f t="shared" si="65"/>
        <v>476.09339328675753</v>
      </c>
      <c r="AE67" s="22">
        <f t="shared" si="65"/>
        <v>473.96437499514201</v>
      </c>
      <c r="AF67" s="22">
        <f t="shared" si="65"/>
        <v>472.09699807907236</v>
      </c>
      <c r="AG67" s="22">
        <f t="shared" si="65"/>
        <v>477.28710722663743</v>
      </c>
      <c r="AH67" s="22">
        <f t="shared" si="65"/>
        <v>480.44831368167752</v>
      </c>
      <c r="AI67" s="22">
        <f t="shared" si="65"/>
        <v>476.28591955783185</v>
      </c>
      <c r="AJ67" s="22">
        <f t="shared" si="65"/>
        <v>439.65690954727233</v>
      </c>
      <c r="AK67" s="22">
        <f t="shared" si="65"/>
        <v>453.0467639005434</v>
      </c>
      <c r="AL67" s="22">
        <f t="shared" ref="AL67:BN67" si="66">AL52*N2OGWP</f>
        <v>462.44950413156857</v>
      </c>
      <c r="AM67" s="22">
        <f t="shared" si="66"/>
        <v>471.00192475527535</v>
      </c>
      <c r="AN67" s="22">
        <f t="shared" si="66"/>
        <v>481.13513661196691</v>
      </c>
      <c r="AO67" s="22">
        <f t="shared" si="66"/>
        <v>496.60371888178844</v>
      </c>
      <c r="AP67" s="22">
        <f t="shared" si="66"/>
        <v>513.47936357955768</v>
      </c>
      <c r="AQ67" s="22">
        <f t="shared" si="66"/>
        <v>531.80358640785698</v>
      </c>
      <c r="AR67" s="22">
        <f t="shared" si="66"/>
        <v>548.09385926217351</v>
      </c>
      <c r="AS67" s="22">
        <f t="shared" si="66"/>
        <v>566.93038482536087</v>
      </c>
      <c r="AT67" s="22">
        <f t="shared" si="66"/>
        <v>588.9020368980689</v>
      </c>
      <c r="AU67" s="22">
        <f t="shared" si="66"/>
        <v>610.51879878561567</v>
      </c>
      <c r="AV67" s="22">
        <f t="shared" si="66"/>
        <v>633.2136304910423</v>
      </c>
      <c r="AW67" s="22">
        <f t="shared" si="66"/>
        <v>656.51191387640733</v>
      </c>
      <c r="AX67" s="22">
        <f t="shared" si="66"/>
        <v>682.53304657119838</v>
      </c>
      <c r="AY67" s="22">
        <f t="shared" si="66"/>
        <v>705.73755522552858</v>
      </c>
      <c r="AZ67" s="22">
        <f t="shared" si="66"/>
        <v>730.44058311327751</v>
      </c>
      <c r="BA67" s="22">
        <f t="shared" si="66"/>
        <v>755.71039830107281</v>
      </c>
      <c r="BB67" s="22">
        <f t="shared" si="66"/>
        <v>780.04836539082589</v>
      </c>
      <c r="BC67" s="22">
        <f t="shared" si="66"/>
        <v>804.47215733917176</v>
      </c>
      <c r="BD67" s="22">
        <f t="shared" si="66"/>
        <v>829.90789191012993</v>
      </c>
      <c r="BE67" s="22">
        <f t="shared" si="66"/>
        <v>856.668806396381</v>
      </c>
      <c r="BF67" s="22">
        <f t="shared" si="66"/>
        <v>882.04495292660965</v>
      </c>
      <c r="BG67" s="22">
        <f t="shared" si="66"/>
        <v>907.88937788999999</v>
      </c>
      <c r="BH67" s="22">
        <f t="shared" si="66"/>
        <v>934.25339297037988</v>
      </c>
      <c r="BI67" s="22">
        <f t="shared" si="66"/>
        <v>962.47315180169846</v>
      </c>
      <c r="BJ67" s="22">
        <f t="shared" si="66"/>
        <v>991.50387160456614</v>
      </c>
      <c r="BK67" s="22">
        <f t="shared" si="66"/>
        <v>1008.2496738271612</v>
      </c>
      <c r="BL67" s="22">
        <f t="shared" si="66"/>
        <v>1024.2304096813875</v>
      </c>
      <c r="BM67" s="22">
        <f t="shared" si="66"/>
        <v>1042.00823118733</v>
      </c>
      <c r="BN67" s="22">
        <f t="shared" si="66"/>
        <v>1059.1731536986429</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27078.51764436892</v>
      </c>
      <c r="AC71" s="22">
        <f t="shared" si="67"/>
        <v>27070.060460067725</v>
      </c>
      <c r="AD71" s="22">
        <f t="shared" si="67"/>
        <v>26979.394896499893</v>
      </c>
      <c r="AE71" s="22">
        <f t="shared" si="67"/>
        <v>26552.475275395169</v>
      </c>
      <c r="AF71" s="22">
        <f t="shared" si="67"/>
        <v>26148.7866654848</v>
      </c>
      <c r="AG71" s="22">
        <f t="shared" si="67"/>
        <v>26097.892699750755</v>
      </c>
      <c r="AH71" s="22">
        <f t="shared" ref="AH71:BN71" si="68">SUM(AH58:AH60)</f>
        <v>25945.24090413687</v>
      </c>
      <c r="AI71" s="22">
        <f t="shared" si="68"/>
        <v>25447.603828996966</v>
      </c>
      <c r="AJ71" s="22">
        <f t="shared" si="68"/>
        <v>23463.918394112832</v>
      </c>
      <c r="AK71" s="22">
        <f t="shared" si="68"/>
        <v>23943.407480113638</v>
      </c>
      <c r="AL71" s="22">
        <f t="shared" si="68"/>
        <v>24233.888870069557</v>
      </c>
      <c r="AM71" s="22">
        <f t="shared" si="68"/>
        <v>24481.065555600293</v>
      </c>
      <c r="AN71" s="22">
        <f t="shared" si="68"/>
        <v>24794.08849669703</v>
      </c>
      <c r="AO71" s="22">
        <f t="shared" si="68"/>
        <v>25336.543028452605</v>
      </c>
      <c r="AP71" s="22">
        <f t="shared" si="68"/>
        <v>25922.305165217142</v>
      </c>
      <c r="AQ71" s="22">
        <f t="shared" si="68"/>
        <v>26559.941223069309</v>
      </c>
      <c r="AR71" s="22">
        <f t="shared" si="68"/>
        <v>27098.484742276411</v>
      </c>
      <c r="AS71" s="22">
        <f t="shared" si="68"/>
        <v>27735.148993627885</v>
      </c>
      <c r="AT71" s="22">
        <f t="shared" si="68"/>
        <v>28491.976795861607</v>
      </c>
      <c r="AU71" s="22">
        <f t="shared" si="68"/>
        <v>29070.500946499276</v>
      </c>
      <c r="AV71" s="22">
        <f t="shared" si="68"/>
        <v>29669.033407297757</v>
      </c>
      <c r="AW71" s="22">
        <f t="shared" si="68"/>
        <v>30266.719976147786</v>
      </c>
      <c r="AX71" s="22">
        <f t="shared" si="68"/>
        <v>30946.731972623165</v>
      </c>
      <c r="AY71" s="22">
        <f t="shared" si="68"/>
        <v>31488.170702420422</v>
      </c>
      <c r="AZ71" s="22">
        <f t="shared" si="68"/>
        <v>32056.370777014297</v>
      </c>
      <c r="BA71" s="22">
        <f t="shared" si="68"/>
        <v>32619.59618637964</v>
      </c>
      <c r="BB71" s="22">
        <f t="shared" si="68"/>
        <v>33121.350754282677</v>
      </c>
      <c r="BC71" s="22">
        <f t="shared" si="68"/>
        <v>33600.857008030842</v>
      </c>
      <c r="BD71" s="22">
        <f t="shared" si="68"/>
        <v>34091.609588323845</v>
      </c>
      <c r="BE71" s="22">
        <f t="shared" si="68"/>
        <v>34697.833494413382</v>
      </c>
      <c r="BF71" s="22">
        <f t="shared" si="68"/>
        <v>35234.077647754581</v>
      </c>
      <c r="BG71" s="22">
        <f t="shared" si="68"/>
        <v>35766.676485300472</v>
      </c>
      <c r="BH71" s="22">
        <f t="shared" si="68"/>
        <v>36296.962536371662</v>
      </c>
      <c r="BI71" s="22">
        <f t="shared" si="68"/>
        <v>36869.574305112685</v>
      </c>
      <c r="BJ71" s="22">
        <f t="shared" si="68"/>
        <v>37442.194534903763</v>
      </c>
      <c r="BK71" s="22">
        <f t="shared" si="68"/>
        <v>37588.518917349691</v>
      </c>
      <c r="BL71" s="22">
        <f t="shared" si="68"/>
        <v>37698.699815812077</v>
      </c>
      <c r="BM71" s="22">
        <f t="shared" si="68"/>
        <v>37855.890693712987</v>
      </c>
      <c r="BN71" s="22">
        <f t="shared" si="68"/>
        <v>37981.738058837393</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22950.420398106195</v>
      </c>
      <c r="AC72" s="22">
        <f t="shared" si="69"/>
        <v>23010.477258185831</v>
      </c>
      <c r="AD72" s="22">
        <f t="shared" si="69"/>
        <v>22929.532908254714</v>
      </c>
      <c r="AE72" s="22">
        <f t="shared" si="69"/>
        <v>22669.376557317759</v>
      </c>
      <c r="AF72" s="22">
        <f t="shared" si="69"/>
        <v>22459.770218724454</v>
      </c>
      <c r="AG72" s="22">
        <f t="shared" si="69"/>
        <v>22437.351131953077</v>
      </c>
      <c r="AH72" s="22">
        <f t="shared" ref="AH72:BN72" si="70">SUM(AH61:AH67)</f>
        <v>22352.514004292832</v>
      </c>
      <c r="AI72" s="22">
        <f t="shared" si="70"/>
        <v>22085.252402239512</v>
      </c>
      <c r="AJ72" s="22">
        <f t="shared" si="70"/>
        <v>21025.230107692107</v>
      </c>
      <c r="AK72" s="22">
        <f t="shared" si="70"/>
        <v>21263.515019665865</v>
      </c>
      <c r="AL72" s="22">
        <f t="shared" si="70"/>
        <v>21427.852941344641</v>
      </c>
      <c r="AM72" s="22">
        <f t="shared" si="70"/>
        <v>21566.742895112842</v>
      </c>
      <c r="AN72" s="22">
        <f t="shared" si="70"/>
        <v>21739.745138712362</v>
      </c>
      <c r="AO72" s="22">
        <f t="shared" si="70"/>
        <v>22034.504423149676</v>
      </c>
      <c r="AP72" s="22">
        <f t="shared" si="70"/>
        <v>22353.306117360451</v>
      </c>
      <c r="AQ72" s="22">
        <f t="shared" si="70"/>
        <v>22699.335819190434</v>
      </c>
      <c r="AR72" s="22">
        <f t="shared" si="70"/>
        <v>22992.954240164014</v>
      </c>
      <c r="AS72" s="22">
        <f t="shared" si="70"/>
        <v>23336.428920106886</v>
      </c>
      <c r="AT72" s="22">
        <f t="shared" si="70"/>
        <v>23743.377222268409</v>
      </c>
      <c r="AU72" s="22">
        <f t="shared" si="70"/>
        <v>24047.537418987875</v>
      </c>
      <c r="AV72" s="22">
        <f t="shared" si="70"/>
        <v>24360.174848655912</v>
      </c>
      <c r="AW72" s="22">
        <f t="shared" si="70"/>
        <v>24670.953885310089</v>
      </c>
      <c r="AX72" s="22">
        <f t="shared" si="70"/>
        <v>25022.999839590608</v>
      </c>
      <c r="AY72" s="22">
        <f t="shared" si="70"/>
        <v>25301.781536760671</v>
      </c>
      <c r="AZ72" s="22">
        <f t="shared" si="70"/>
        <v>25590.613062523535</v>
      </c>
      <c r="BA72" s="22">
        <f t="shared" si="70"/>
        <v>25875.339747245696</v>
      </c>
      <c r="BB72" s="22">
        <f t="shared" si="70"/>
        <v>26126.298587609621</v>
      </c>
      <c r="BC72" s="22">
        <f t="shared" si="70"/>
        <v>26362.810187141738</v>
      </c>
      <c r="BD72" s="22">
        <f t="shared" si="70"/>
        <v>26603.057443330574</v>
      </c>
      <c r="BE72" s="22">
        <f t="shared" si="70"/>
        <v>26907.176413438672</v>
      </c>
      <c r="BF72" s="22">
        <f t="shared" si="70"/>
        <v>27173.95785157643</v>
      </c>
      <c r="BG72" s="22">
        <f t="shared" si="70"/>
        <v>27436.622315728051</v>
      </c>
      <c r="BH72" s="22">
        <f t="shared" si="70"/>
        <v>27696.45792764776</v>
      </c>
      <c r="BI72" s="22">
        <f t="shared" si="70"/>
        <v>27976.215563884893</v>
      </c>
      <c r="BJ72" s="22">
        <f t="shared" si="70"/>
        <v>28253.849012200353</v>
      </c>
      <c r="BK72" s="22">
        <f t="shared" si="70"/>
        <v>28313.02245876093</v>
      </c>
      <c r="BL72" s="22">
        <f t="shared" si="70"/>
        <v>28349.045729518934</v>
      </c>
      <c r="BM72" s="22">
        <f t="shared" si="70"/>
        <v>28407.635517178223</v>
      </c>
      <c r="BN72" s="22">
        <f t="shared" si="70"/>
        <v>28449.801920831171</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50028.938042475114</v>
      </c>
      <c r="AC73" s="22">
        <f t="shared" si="71"/>
        <v>50080.537718253559</v>
      </c>
      <c r="AD73" s="22">
        <f t="shared" si="71"/>
        <v>49908.92780475461</v>
      </c>
      <c r="AE73" s="22">
        <f t="shared" si="71"/>
        <v>49221.851832712928</v>
      </c>
      <c r="AF73" s="22">
        <f t="shared" si="71"/>
        <v>48608.556884209254</v>
      </c>
      <c r="AG73" s="22">
        <f t="shared" si="71"/>
        <v>48535.243831703832</v>
      </c>
      <c r="AH73" s="22">
        <f t="shared" ref="AH73:BN73" si="72">SUM(AH71:AH72)</f>
        <v>48297.754908429706</v>
      </c>
      <c r="AI73" s="22">
        <f t="shared" si="72"/>
        <v>47532.856231236481</v>
      </c>
      <c r="AJ73" s="22">
        <f t="shared" si="72"/>
        <v>44489.148501804942</v>
      </c>
      <c r="AK73" s="22">
        <f t="shared" si="72"/>
        <v>45206.922499779503</v>
      </c>
      <c r="AL73" s="22">
        <f t="shared" si="72"/>
        <v>45661.741811414198</v>
      </c>
      <c r="AM73" s="22">
        <f t="shared" si="72"/>
        <v>46047.808450713135</v>
      </c>
      <c r="AN73" s="22">
        <f t="shared" si="72"/>
        <v>46533.833635409392</v>
      </c>
      <c r="AO73" s="22">
        <f t="shared" si="72"/>
        <v>47371.04745160228</v>
      </c>
      <c r="AP73" s="22">
        <f t="shared" si="72"/>
        <v>48275.611282577593</v>
      </c>
      <c r="AQ73" s="22">
        <f t="shared" si="72"/>
        <v>49259.277042259739</v>
      </c>
      <c r="AR73" s="22">
        <f t="shared" si="72"/>
        <v>50091.438982440421</v>
      </c>
      <c r="AS73" s="22">
        <f t="shared" si="72"/>
        <v>51071.577913734771</v>
      </c>
      <c r="AT73" s="22">
        <f t="shared" si="72"/>
        <v>52235.35401813002</v>
      </c>
      <c r="AU73" s="22">
        <f t="shared" si="72"/>
        <v>53118.038365487155</v>
      </c>
      <c r="AV73" s="22">
        <f t="shared" si="72"/>
        <v>54029.208255953665</v>
      </c>
      <c r="AW73" s="22">
        <f t="shared" si="72"/>
        <v>54937.673861457879</v>
      </c>
      <c r="AX73" s="22">
        <f t="shared" si="72"/>
        <v>55969.731812213773</v>
      </c>
      <c r="AY73" s="22">
        <f t="shared" si="72"/>
        <v>56789.95223918109</v>
      </c>
      <c r="AZ73" s="22">
        <f t="shared" si="72"/>
        <v>57646.983839537832</v>
      </c>
      <c r="BA73" s="22">
        <f t="shared" si="72"/>
        <v>58494.93593362534</v>
      </c>
      <c r="BB73" s="22">
        <f t="shared" si="72"/>
        <v>59247.649341892298</v>
      </c>
      <c r="BC73" s="22">
        <f t="shared" si="72"/>
        <v>59963.66719517258</v>
      </c>
      <c r="BD73" s="22">
        <f t="shared" si="72"/>
        <v>60694.667031654419</v>
      </c>
      <c r="BE73" s="22">
        <f t="shared" si="72"/>
        <v>61605.009907852058</v>
      </c>
      <c r="BF73" s="22">
        <f t="shared" si="72"/>
        <v>62408.03549933101</v>
      </c>
      <c r="BG73" s="22">
        <f t="shared" si="72"/>
        <v>63203.298801028519</v>
      </c>
      <c r="BH73" s="22">
        <f t="shared" si="72"/>
        <v>63993.420464019422</v>
      </c>
      <c r="BI73" s="22">
        <f t="shared" si="72"/>
        <v>64845.789868997577</v>
      </c>
      <c r="BJ73" s="22">
        <f t="shared" si="72"/>
        <v>65696.043547104113</v>
      </c>
      <c r="BK73" s="22">
        <f t="shared" si="72"/>
        <v>65901.541376110617</v>
      </c>
      <c r="BL73" s="22">
        <f t="shared" si="72"/>
        <v>66047.74554533101</v>
      </c>
      <c r="BM73" s="22">
        <f t="shared" si="72"/>
        <v>66263.526210891214</v>
      </c>
      <c r="BN73" s="22">
        <f t="shared" si="72"/>
        <v>66431.539979668567</v>
      </c>
    </row>
    <row r="74" spans="1:72" x14ac:dyDescent="0.25">
      <c r="C74" t="s">
        <v>931</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931</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931</v>
      </c>
      <c r="E76" t="s">
        <v>937</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930</v>
      </c>
      <c r="E77" t="s">
        <v>932</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930</v>
      </c>
      <c r="E78" t="s">
        <v>933</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930</v>
      </c>
      <c r="E79" t="s">
        <v>934</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55">
        <f>(F73-F76)/F76</f>
        <v>-6.4045440840285739E-2</v>
      </c>
      <c r="G80" s="55">
        <f t="shared" ref="G80:AG80" si="74">(G73-G76)/G76</f>
        <v>-9.4363292067637106E-2</v>
      </c>
      <c r="H80" s="55">
        <f t="shared" si="74"/>
        <v>-8.9443746474139149E-2</v>
      </c>
      <c r="I80" s="55">
        <f t="shared" si="74"/>
        <v>-9.0490278316741182E-2</v>
      </c>
      <c r="J80" s="55">
        <f t="shared" si="74"/>
        <v>-8.8351384137255323E-2</v>
      </c>
      <c r="K80" s="55">
        <f t="shared" si="74"/>
        <v>-9.7350533741556292E-2</v>
      </c>
      <c r="L80" s="55">
        <f t="shared" si="74"/>
        <v>-8.9009931127412775E-2</v>
      </c>
      <c r="M80" s="55">
        <f t="shared" si="74"/>
        <v>-8.7507163727912465E-2</v>
      </c>
      <c r="N80" s="55">
        <f t="shared" si="74"/>
        <v>-9.2787018934469931E-2</v>
      </c>
      <c r="O80" s="55">
        <f t="shared" si="74"/>
        <v>-9.799661403058392E-2</v>
      </c>
      <c r="P80" s="55">
        <f t="shared" si="74"/>
        <v>-0.10572301120904243</v>
      </c>
      <c r="Q80" s="55">
        <f t="shared" si="74"/>
        <v>-0.10818070025604484</v>
      </c>
      <c r="R80" s="55">
        <f t="shared" si="74"/>
        <v>-0.10561792018006667</v>
      </c>
      <c r="S80" s="55">
        <f t="shared" si="74"/>
        <v>-7.7598780611129375E-2</v>
      </c>
      <c r="T80" s="55">
        <f t="shared" si="74"/>
        <v>-7.7463245970024047E-2</v>
      </c>
      <c r="U80" s="55">
        <f t="shared" si="74"/>
        <v>-7.4858260290865147E-2</v>
      </c>
      <c r="V80" s="55">
        <f t="shared" si="74"/>
        <v>-7.7260643448578595E-2</v>
      </c>
      <c r="W80" s="55">
        <f t="shared" si="74"/>
        <v>-3.1975651541170817E-2</v>
      </c>
      <c r="X80" s="55">
        <f t="shared" si="74"/>
        <v>-6.4511250926577557E-2</v>
      </c>
      <c r="Y80" s="55">
        <f t="shared" si="74"/>
        <v>-5.0591207124651746E-2</v>
      </c>
      <c r="Z80" s="55">
        <f t="shared" si="74"/>
        <v>-8.3919487032531173E-2</v>
      </c>
      <c r="AA80" s="55">
        <f t="shared" si="74"/>
        <v>-8.6333980097050636E-2</v>
      </c>
      <c r="AB80" s="55">
        <f t="shared" si="74"/>
        <v>-5.9124683005459304E-2</v>
      </c>
      <c r="AC80" s="55">
        <f t="shared" si="74"/>
        <v>-0.10017664962448325</v>
      </c>
      <c r="AD80" s="55">
        <f t="shared" si="74"/>
        <v>-0.1054049211991248</v>
      </c>
      <c r="AE80" s="55">
        <f t="shared" si="74"/>
        <v>-0.10029815980970559</v>
      </c>
      <c r="AF80" s="55">
        <f t="shared" si="74"/>
        <v>-6.0582033755639503E-2</v>
      </c>
      <c r="AG80" s="55">
        <f t="shared" si="74"/>
        <v>-6.0798812261536224E-2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RowHeight="15" x14ac:dyDescent="0.25"/>
  <cols>
    <col min="1" max="1" width="12.28515625" style="97" customWidth="1"/>
    <col min="2" max="2" width="53.85546875" customWidth="1"/>
    <col min="3" max="3" width="12.42578125" customWidth="1"/>
    <col min="4" max="4" width="14" customWidth="1"/>
    <col min="5" max="5" width="12.5703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941</v>
      </c>
      <c r="C1" s="97">
        <f>DriversCGE!E87</f>
        <v>5</v>
      </c>
    </row>
    <row r="2" spans="1:8" x14ac:dyDescent="0.25">
      <c r="B2" s="94"/>
    </row>
    <row r="3" spans="1:8" s="106" customFormat="1" ht="21.75" customHeight="1" x14ac:dyDescent="0.25">
      <c r="A3" s="105"/>
      <c r="B3" s="105" t="s">
        <v>1003</v>
      </c>
      <c r="C3" s="105"/>
      <c r="D3" s="105"/>
      <c r="E3" s="105"/>
      <c r="F3" s="105"/>
      <c r="G3" s="105"/>
      <c r="H3" s="105"/>
    </row>
    <row r="4" spans="1:8" s="50" customFormat="1" x14ac:dyDescent="0.25">
      <c r="A4" s="98" t="s">
        <v>1405</v>
      </c>
      <c r="B4" s="42" t="s">
        <v>1385</v>
      </c>
      <c r="C4" s="42"/>
    </row>
    <row r="5" spans="1:8" x14ac:dyDescent="0.25">
      <c r="A5" s="97">
        <v>1</v>
      </c>
      <c r="B5" s="23" t="s">
        <v>1004</v>
      </c>
      <c r="C5" s="114" t="str">
        <f>IF($C$1-2&gt;A5,"On","Off")</f>
        <v>On</v>
      </c>
      <c r="F5" t="s">
        <v>1386</v>
      </c>
    </row>
    <row r="6" spans="1:8" x14ac:dyDescent="0.25">
      <c r="A6" s="97">
        <v>1</v>
      </c>
      <c r="B6" s="23" t="s">
        <v>946</v>
      </c>
      <c r="C6" s="114" t="str">
        <f t="shared" ref="C6:C14" si="0">IF($C$1-2&gt;A6,"On","Off")</f>
        <v>On</v>
      </c>
    </row>
    <row r="7" spans="1:8" x14ac:dyDescent="0.25">
      <c r="A7" s="97">
        <v>1</v>
      </c>
      <c r="B7" s="23" t="s">
        <v>1338</v>
      </c>
      <c r="C7" s="114" t="str">
        <f t="shared" si="0"/>
        <v>On</v>
      </c>
    </row>
    <row r="8" spans="1:8" x14ac:dyDescent="0.25">
      <c r="A8" s="97">
        <v>1</v>
      </c>
      <c r="B8" s="23" t="s">
        <v>988</v>
      </c>
      <c r="C8" s="114" t="str">
        <f t="shared" si="0"/>
        <v>On</v>
      </c>
    </row>
    <row r="9" spans="1:8" x14ac:dyDescent="0.25">
      <c r="A9" s="97">
        <v>1</v>
      </c>
      <c r="B9" s="23" t="s">
        <v>989</v>
      </c>
      <c r="C9" s="114" t="str">
        <f t="shared" si="0"/>
        <v>On</v>
      </c>
    </row>
    <row r="10" spans="1:8" x14ac:dyDescent="0.25">
      <c r="A10" s="97">
        <v>1</v>
      </c>
      <c r="B10" s="23" t="s">
        <v>992</v>
      </c>
      <c r="C10" s="114" t="str">
        <f t="shared" si="0"/>
        <v>On</v>
      </c>
    </row>
    <row r="11" spans="1:8" x14ac:dyDescent="0.25">
      <c r="A11" s="97">
        <v>1</v>
      </c>
      <c r="B11" s="112" t="s">
        <v>990</v>
      </c>
      <c r="C11" s="114" t="str">
        <f t="shared" si="0"/>
        <v>On</v>
      </c>
      <c r="F11" t="s">
        <v>1387</v>
      </c>
    </row>
    <row r="12" spans="1:8" ht="64.5" customHeight="1" x14ac:dyDescent="0.25">
      <c r="A12" s="97">
        <v>2</v>
      </c>
      <c r="B12" s="23" t="s">
        <v>994</v>
      </c>
      <c r="C12" s="114" t="str">
        <f>IF($C$1-2&gt;A12,"PB","Off")</f>
        <v>PB</v>
      </c>
      <c r="D12" s="144" t="s">
        <v>1383</v>
      </c>
      <c r="E12" s="145"/>
    </row>
    <row r="13" spans="1:8" x14ac:dyDescent="0.25">
      <c r="A13" s="97">
        <v>2</v>
      </c>
      <c r="B13" s="112" t="s">
        <v>995</v>
      </c>
      <c r="C13" s="114" t="str">
        <f t="shared" si="0"/>
        <v>On</v>
      </c>
      <c r="F13" t="s">
        <v>1388</v>
      </c>
    </row>
    <row r="14" spans="1:8" x14ac:dyDescent="0.25">
      <c r="A14" s="97">
        <v>2</v>
      </c>
      <c r="B14" s="23" t="s">
        <v>1384</v>
      </c>
      <c r="C14" s="114" t="str">
        <f t="shared" si="0"/>
        <v>On</v>
      </c>
    </row>
    <row r="15" spans="1:8" x14ac:dyDescent="0.25">
      <c r="B15" s="94"/>
    </row>
    <row r="16" spans="1:8" s="106" customFormat="1" ht="29.25" customHeight="1" x14ac:dyDescent="0.25">
      <c r="A16" s="105"/>
      <c r="B16" s="105" t="s">
        <v>1375</v>
      </c>
      <c r="C16" s="105">
        <v>2020</v>
      </c>
      <c r="D16" s="105">
        <v>2030</v>
      </c>
      <c r="E16" s="105">
        <v>2040</v>
      </c>
      <c r="F16" s="105">
        <v>2050</v>
      </c>
    </row>
    <row r="17" spans="1:8" s="116" customFormat="1" x14ac:dyDescent="0.25">
      <c r="A17" s="115"/>
      <c r="B17" s="116" t="s">
        <v>1004</v>
      </c>
      <c r="H17" s="117"/>
    </row>
    <row r="18" spans="1:8" x14ac:dyDescent="0.25">
      <c r="A18" s="97" t="s">
        <v>948</v>
      </c>
      <c r="B18" t="s">
        <v>949</v>
      </c>
      <c r="C18">
        <v>3</v>
      </c>
      <c r="D18">
        <v>4</v>
      </c>
      <c r="E18">
        <v>4</v>
      </c>
      <c r="F18">
        <v>4</v>
      </c>
      <c r="H18" s="99"/>
    </row>
    <row r="19" spans="1:8" x14ac:dyDescent="0.25">
      <c r="A19" s="97" t="s">
        <v>948</v>
      </c>
      <c r="B19" t="s">
        <v>951</v>
      </c>
      <c r="C19">
        <v>2</v>
      </c>
      <c r="D19">
        <v>4</v>
      </c>
      <c r="E19">
        <v>4</v>
      </c>
      <c r="F19">
        <v>4</v>
      </c>
      <c r="H19" s="99"/>
    </row>
    <row r="20" spans="1:8" x14ac:dyDescent="0.25">
      <c r="A20" s="97" t="s">
        <v>948</v>
      </c>
      <c r="B20" t="s">
        <v>950</v>
      </c>
      <c r="C20">
        <v>3</v>
      </c>
      <c r="D20">
        <v>4</v>
      </c>
      <c r="E20">
        <v>4</v>
      </c>
      <c r="F20">
        <v>4</v>
      </c>
      <c r="H20" s="99"/>
    </row>
    <row r="21" spans="1:8" x14ac:dyDescent="0.25">
      <c r="A21" s="97" t="s">
        <v>948</v>
      </c>
      <c r="B21" t="s">
        <v>1014</v>
      </c>
      <c r="C21">
        <v>0</v>
      </c>
      <c r="D21">
        <v>80</v>
      </c>
      <c r="E21">
        <v>100</v>
      </c>
      <c r="F21">
        <v>100</v>
      </c>
      <c r="H21" s="99"/>
    </row>
    <row r="22" spans="1:8" x14ac:dyDescent="0.25">
      <c r="A22" s="97" t="s">
        <v>948</v>
      </c>
      <c r="B22" t="s">
        <v>1016</v>
      </c>
      <c r="C22">
        <v>0</v>
      </c>
      <c r="D22">
        <v>50</v>
      </c>
      <c r="E22">
        <v>80</v>
      </c>
      <c r="F22">
        <v>100</v>
      </c>
      <c r="H22" s="99"/>
    </row>
    <row r="23" spans="1:8" x14ac:dyDescent="0.25">
      <c r="A23" s="97" t="s">
        <v>948</v>
      </c>
      <c r="B23" t="s">
        <v>1015</v>
      </c>
      <c r="C23">
        <v>0</v>
      </c>
      <c r="D23">
        <v>80</v>
      </c>
      <c r="E23">
        <v>100</v>
      </c>
      <c r="F23">
        <v>100</v>
      </c>
      <c r="H23" s="99"/>
    </row>
    <row r="25" spans="1:8" s="116" customFormat="1" x14ac:dyDescent="0.25">
      <c r="A25" s="115"/>
      <c r="B25" s="116" t="s">
        <v>946</v>
      </c>
      <c r="H25" s="117"/>
    </row>
    <row r="26" spans="1:8" x14ac:dyDescent="0.25">
      <c r="A26" s="97" t="s">
        <v>948</v>
      </c>
      <c r="B26" t="s">
        <v>1340</v>
      </c>
      <c r="C26">
        <v>0</v>
      </c>
      <c r="D26">
        <v>20</v>
      </c>
      <c r="E26">
        <v>20</v>
      </c>
      <c r="F26">
        <v>20</v>
      </c>
      <c r="H26" s="99"/>
    </row>
    <row r="27" spans="1:8" x14ac:dyDescent="0.25">
      <c r="A27" s="97" t="s">
        <v>948</v>
      </c>
      <c r="B27" t="s">
        <v>1344</v>
      </c>
      <c r="C27">
        <v>0</v>
      </c>
      <c r="D27">
        <v>20</v>
      </c>
      <c r="E27">
        <v>20</v>
      </c>
      <c r="F27">
        <v>20</v>
      </c>
      <c r="H27" s="99"/>
    </row>
    <row r="28" spans="1:8" x14ac:dyDescent="0.25">
      <c r="A28" s="97" t="s">
        <v>948</v>
      </c>
      <c r="B28" t="s">
        <v>1018</v>
      </c>
      <c r="C28">
        <v>0</v>
      </c>
      <c r="D28">
        <v>70</v>
      </c>
      <c r="E28">
        <v>100</v>
      </c>
      <c r="F28">
        <v>100</v>
      </c>
      <c r="H28" s="99" t="s">
        <v>1389</v>
      </c>
    </row>
    <row r="29" spans="1:8" x14ac:dyDescent="0.25">
      <c r="A29" s="97" t="s">
        <v>948</v>
      </c>
      <c r="B29" t="s">
        <v>1015</v>
      </c>
      <c r="C29">
        <v>0</v>
      </c>
      <c r="D29">
        <v>70</v>
      </c>
      <c r="E29">
        <v>100</v>
      </c>
      <c r="F29">
        <v>100</v>
      </c>
    </row>
    <row r="31" spans="1:8" s="116" customFormat="1" x14ac:dyDescent="0.25">
      <c r="A31" s="115"/>
      <c r="B31" s="116" t="s">
        <v>1338</v>
      </c>
      <c r="H31" s="117"/>
    </row>
    <row r="32" spans="1:8" x14ac:dyDescent="0.25">
      <c r="B32" t="s">
        <v>1340</v>
      </c>
      <c r="C32">
        <v>0</v>
      </c>
      <c r="D32">
        <v>10</v>
      </c>
      <c r="E32">
        <v>15</v>
      </c>
      <c r="F32">
        <v>20</v>
      </c>
    </row>
    <row r="33" spans="1:8" x14ac:dyDescent="0.25">
      <c r="B33" t="s">
        <v>1341</v>
      </c>
      <c r="C33">
        <v>0</v>
      </c>
      <c r="D33">
        <v>10</v>
      </c>
      <c r="E33">
        <v>15</v>
      </c>
      <c r="F33">
        <v>20</v>
      </c>
    </row>
    <row r="34" spans="1:8" x14ac:dyDescent="0.25">
      <c r="B34" t="s">
        <v>1342</v>
      </c>
      <c r="C34">
        <v>0</v>
      </c>
      <c r="D34">
        <v>10</v>
      </c>
      <c r="E34">
        <v>15</v>
      </c>
      <c r="F34">
        <v>20</v>
      </c>
    </row>
    <row r="35" spans="1:8" x14ac:dyDescent="0.25">
      <c r="B35" t="s">
        <v>1343</v>
      </c>
      <c r="C35">
        <v>0</v>
      </c>
      <c r="D35">
        <v>10</v>
      </c>
      <c r="E35">
        <v>15</v>
      </c>
      <c r="F35">
        <v>20</v>
      </c>
    </row>
    <row r="36" spans="1:8" x14ac:dyDescent="0.25">
      <c r="B36" t="s">
        <v>1344</v>
      </c>
      <c r="C36">
        <v>0</v>
      </c>
      <c r="D36">
        <v>10</v>
      </c>
      <c r="E36">
        <v>15</v>
      </c>
      <c r="F36">
        <v>20</v>
      </c>
    </row>
    <row r="37" spans="1:8" x14ac:dyDescent="0.25">
      <c r="B37" t="s">
        <v>1363</v>
      </c>
      <c r="C37">
        <v>0</v>
      </c>
      <c r="D37">
        <v>2</v>
      </c>
      <c r="E37">
        <v>3.5</v>
      </c>
      <c r="F37">
        <v>5</v>
      </c>
    </row>
    <row r="38" spans="1:8" x14ac:dyDescent="0.25">
      <c r="B38" t="s">
        <v>1365</v>
      </c>
      <c r="C38">
        <v>0</v>
      </c>
      <c r="D38">
        <v>2</v>
      </c>
      <c r="E38">
        <v>3.5</v>
      </c>
      <c r="F38">
        <v>5</v>
      </c>
    </row>
    <row r="39" spans="1:8" x14ac:dyDescent="0.25">
      <c r="B39" t="s">
        <v>1018</v>
      </c>
      <c r="C39">
        <v>0</v>
      </c>
      <c r="D39">
        <v>40</v>
      </c>
      <c r="E39">
        <v>60</v>
      </c>
      <c r="F39">
        <v>80</v>
      </c>
    </row>
    <row r="40" spans="1:8" x14ac:dyDescent="0.25">
      <c r="B40" t="s">
        <v>1353</v>
      </c>
      <c r="C40">
        <v>0</v>
      </c>
      <c r="D40">
        <v>40</v>
      </c>
      <c r="E40">
        <v>60</v>
      </c>
      <c r="F40">
        <v>80</v>
      </c>
    </row>
    <row r="41" spans="1:8" x14ac:dyDescent="0.25">
      <c r="B41" t="s">
        <v>1047</v>
      </c>
      <c r="C41">
        <v>0</v>
      </c>
      <c r="D41">
        <v>40</v>
      </c>
      <c r="E41">
        <v>60</v>
      </c>
      <c r="F41">
        <v>80</v>
      </c>
    </row>
    <row r="42" spans="1:8" x14ac:dyDescent="0.25">
      <c r="B42" t="s">
        <v>1016</v>
      </c>
      <c r="C42">
        <v>0</v>
      </c>
      <c r="D42">
        <v>40</v>
      </c>
      <c r="E42">
        <v>60</v>
      </c>
      <c r="F42">
        <v>80</v>
      </c>
    </row>
    <row r="43" spans="1:8" x14ac:dyDescent="0.25">
      <c r="B43" t="s">
        <v>1048</v>
      </c>
      <c r="C43">
        <v>0</v>
      </c>
      <c r="D43">
        <v>40</v>
      </c>
      <c r="E43">
        <v>60</v>
      </c>
      <c r="F43">
        <v>80</v>
      </c>
    </row>
    <row r="45" spans="1:8" s="116" customFormat="1" x14ac:dyDescent="0.25">
      <c r="A45" s="115"/>
      <c r="B45" s="116" t="s">
        <v>988</v>
      </c>
      <c r="H45" s="117"/>
    </row>
    <row r="46" spans="1:8" x14ac:dyDescent="0.25">
      <c r="B46" t="s">
        <v>1042</v>
      </c>
      <c r="C46">
        <v>70</v>
      </c>
      <c r="D46">
        <v>80</v>
      </c>
      <c r="E46">
        <v>85</v>
      </c>
      <c r="F46">
        <v>85</v>
      </c>
    </row>
    <row r="47" spans="1:8" x14ac:dyDescent="0.25">
      <c r="B47" t="s">
        <v>1035</v>
      </c>
      <c r="C47">
        <v>70</v>
      </c>
      <c r="D47">
        <v>80</v>
      </c>
      <c r="E47">
        <v>80</v>
      </c>
      <c r="F47">
        <v>80</v>
      </c>
    </row>
    <row r="48" spans="1:8" x14ac:dyDescent="0.25">
      <c r="B48" t="s">
        <v>1043</v>
      </c>
      <c r="C48">
        <v>60</v>
      </c>
      <c r="D48">
        <v>70</v>
      </c>
      <c r="E48">
        <v>70</v>
      </c>
      <c r="F48">
        <v>70</v>
      </c>
    </row>
    <row r="49" spans="2:8" x14ac:dyDescent="0.25">
      <c r="B49" t="s">
        <v>1036</v>
      </c>
      <c r="C49">
        <v>60</v>
      </c>
      <c r="D49">
        <v>70</v>
      </c>
      <c r="E49">
        <v>70</v>
      </c>
      <c r="F49">
        <v>70</v>
      </c>
    </row>
    <row r="50" spans="2:8" x14ac:dyDescent="0.25">
      <c r="B50" t="s">
        <v>1044</v>
      </c>
      <c r="C50">
        <v>75</v>
      </c>
      <c r="D50">
        <v>80</v>
      </c>
      <c r="E50">
        <v>85</v>
      </c>
      <c r="F50">
        <v>85</v>
      </c>
    </row>
    <row r="51" spans="2:8" x14ac:dyDescent="0.25">
      <c r="B51" t="s">
        <v>1037</v>
      </c>
      <c r="C51">
        <v>50</v>
      </c>
      <c r="D51">
        <v>60</v>
      </c>
      <c r="E51">
        <v>60</v>
      </c>
      <c r="F51">
        <v>60</v>
      </c>
    </row>
    <row r="52" spans="2:8" x14ac:dyDescent="0.25">
      <c r="B52" t="s">
        <v>1038</v>
      </c>
      <c r="C52">
        <v>60</v>
      </c>
      <c r="D52">
        <v>70</v>
      </c>
      <c r="E52">
        <v>70</v>
      </c>
      <c r="F52">
        <v>70</v>
      </c>
    </row>
    <row r="53" spans="2:8" x14ac:dyDescent="0.25">
      <c r="B53" t="s">
        <v>1039</v>
      </c>
      <c r="C53">
        <v>50</v>
      </c>
      <c r="D53">
        <v>60</v>
      </c>
      <c r="E53">
        <v>60</v>
      </c>
      <c r="F53">
        <v>60</v>
      </c>
    </row>
    <row r="54" spans="2:8" x14ac:dyDescent="0.25">
      <c r="B54" t="s">
        <v>1040</v>
      </c>
      <c r="C54">
        <v>60</v>
      </c>
      <c r="D54">
        <v>70</v>
      </c>
      <c r="E54">
        <v>70</v>
      </c>
      <c r="F54">
        <v>70</v>
      </c>
    </row>
    <row r="55" spans="2:8" x14ac:dyDescent="0.25">
      <c r="B55" t="s">
        <v>1041</v>
      </c>
      <c r="C55">
        <v>50</v>
      </c>
      <c r="D55">
        <v>60</v>
      </c>
      <c r="E55">
        <v>60</v>
      </c>
      <c r="F55">
        <v>60</v>
      </c>
    </row>
    <row r="56" spans="2:8" x14ac:dyDescent="0.25">
      <c r="B56" t="s">
        <v>1018</v>
      </c>
      <c r="C56">
        <v>0</v>
      </c>
      <c r="D56">
        <v>85</v>
      </c>
      <c r="E56">
        <v>85</v>
      </c>
      <c r="F56">
        <v>85</v>
      </c>
      <c r="H56" s="99"/>
    </row>
    <row r="57" spans="2:8" x14ac:dyDescent="0.25">
      <c r="B57" t="s">
        <v>1046</v>
      </c>
      <c r="C57">
        <v>0</v>
      </c>
      <c r="D57">
        <v>85</v>
      </c>
      <c r="E57">
        <v>85</v>
      </c>
      <c r="F57">
        <v>85</v>
      </c>
    </row>
    <row r="58" spans="2:8" x14ac:dyDescent="0.25">
      <c r="B58" t="s">
        <v>1047</v>
      </c>
      <c r="C58">
        <v>0</v>
      </c>
      <c r="D58">
        <v>60</v>
      </c>
      <c r="E58">
        <v>60</v>
      </c>
      <c r="F58">
        <v>60</v>
      </c>
    </row>
    <row r="59" spans="2:8" x14ac:dyDescent="0.25">
      <c r="B59" t="s">
        <v>1016</v>
      </c>
      <c r="C59">
        <v>0</v>
      </c>
      <c r="D59">
        <v>60</v>
      </c>
      <c r="E59">
        <v>60</v>
      </c>
      <c r="F59">
        <v>60</v>
      </c>
    </row>
    <row r="60" spans="2:8" x14ac:dyDescent="0.25">
      <c r="B60" t="s">
        <v>1049</v>
      </c>
      <c r="C60">
        <v>0</v>
      </c>
      <c r="D60">
        <v>60</v>
      </c>
      <c r="E60">
        <v>60</v>
      </c>
      <c r="F60">
        <v>60</v>
      </c>
    </row>
    <row r="61" spans="2:8" x14ac:dyDescent="0.25">
      <c r="B61" t="s">
        <v>1048</v>
      </c>
      <c r="C61">
        <v>0</v>
      </c>
      <c r="D61">
        <v>85</v>
      </c>
      <c r="E61">
        <v>85</v>
      </c>
      <c r="F61">
        <v>85</v>
      </c>
    </row>
    <row r="62" spans="2:8" x14ac:dyDescent="0.25">
      <c r="B62" t="s">
        <v>1017</v>
      </c>
      <c r="C62">
        <v>0</v>
      </c>
      <c r="D62">
        <v>60</v>
      </c>
      <c r="E62">
        <v>60</v>
      </c>
      <c r="F62">
        <v>60</v>
      </c>
    </row>
    <row r="63" spans="2:8" x14ac:dyDescent="0.25">
      <c r="B63" t="s">
        <v>1050</v>
      </c>
      <c r="C63">
        <v>0</v>
      </c>
      <c r="D63">
        <v>40</v>
      </c>
      <c r="E63">
        <v>40</v>
      </c>
      <c r="F63">
        <v>40</v>
      </c>
    </row>
    <row r="64" spans="2:8" x14ac:dyDescent="0.25">
      <c r="B64" t="s">
        <v>1052</v>
      </c>
      <c r="C64">
        <v>0</v>
      </c>
      <c r="D64">
        <v>0</v>
      </c>
      <c r="E64">
        <v>40</v>
      </c>
      <c r="F64">
        <v>40</v>
      </c>
    </row>
    <row r="65" spans="1:8" x14ac:dyDescent="0.25">
      <c r="B65" t="s">
        <v>1051</v>
      </c>
      <c r="C65">
        <v>0</v>
      </c>
      <c r="D65">
        <v>0</v>
      </c>
      <c r="E65">
        <v>20</v>
      </c>
      <c r="F65">
        <v>20</v>
      </c>
    </row>
    <row r="67" spans="1:8" s="116" customFormat="1" x14ac:dyDescent="0.25">
      <c r="A67" s="115"/>
      <c r="B67" s="116" t="s">
        <v>989</v>
      </c>
      <c r="H67" s="117"/>
    </row>
    <row r="68" spans="1:8" x14ac:dyDescent="0.25">
      <c r="B68" t="s">
        <v>1115</v>
      </c>
      <c r="C68">
        <v>0</v>
      </c>
      <c r="D68">
        <v>50</v>
      </c>
      <c r="E68">
        <v>100</v>
      </c>
      <c r="F68">
        <v>100</v>
      </c>
    </row>
    <row r="69" spans="1:8" x14ac:dyDescent="0.25">
      <c r="B69" t="s">
        <v>1116</v>
      </c>
      <c r="C69">
        <v>0</v>
      </c>
      <c r="D69">
        <v>50</v>
      </c>
      <c r="E69">
        <v>100</v>
      </c>
      <c r="F69">
        <v>100</v>
      </c>
    </row>
    <row r="70" spans="1:8" x14ac:dyDescent="0.25">
      <c r="B70" t="s">
        <v>1125</v>
      </c>
      <c r="C70">
        <v>0</v>
      </c>
      <c r="D70">
        <v>50</v>
      </c>
      <c r="E70">
        <v>100</v>
      </c>
      <c r="F70">
        <v>100</v>
      </c>
    </row>
    <row r="72" spans="1:8" s="116" customFormat="1" x14ac:dyDescent="0.25">
      <c r="A72" s="115"/>
      <c r="B72" s="116" t="s">
        <v>992</v>
      </c>
      <c r="H72" s="117"/>
    </row>
    <row r="73" spans="1:8" x14ac:dyDescent="0.25">
      <c r="B73" t="s">
        <v>1218</v>
      </c>
      <c r="C73">
        <v>0</v>
      </c>
      <c r="D73">
        <v>80</v>
      </c>
      <c r="E73">
        <v>100</v>
      </c>
      <c r="F73">
        <v>100</v>
      </c>
    </row>
    <row r="74" spans="1:8" x14ac:dyDescent="0.25">
      <c r="B74" t="s">
        <v>1219</v>
      </c>
      <c r="C74">
        <v>0</v>
      </c>
      <c r="D74">
        <v>0</v>
      </c>
      <c r="E74">
        <v>0</v>
      </c>
      <c r="F74">
        <v>0</v>
      </c>
    </row>
    <row r="75" spans="1:8" x14ac:dyDescent="0.25">
      <c r="B75" t="s">
        <v>1236</v>
      </c>
      <c r="C75">
        <v>0</v>
      </c>
      <c r="D75">
        <v>30</v>
      </c>
      <c r="E75">
        <v>40</v>
      </c>
      <c r="F75">
        <v>50</v>
      </c>
    </row>
    <row r="77" spans="1:8" s="116" customFormat="1" x14ac:dyDescent="0.25">
      <c r="A77" s="115"/>
      <c r="B77" s="116" t="s">
        <v>1377</v>
      </c>
      <c r="H77" s="117"/>
    </row>
    <row r="78" spans="1:8" x14ac:dyDescent="0.25">
      <c r="B78" t="s">
        <v>1368</v>
      </c>
      <c r="C78">
        <v>0</v>
      </c>
      <c r="D78">
        <v>15</v>
      </c>
      <c r="E78">
        <v>25</v>
      </c>
      <c r="F78">
        <v>30</v>
      </c>
    </row>
    <row r="79" spans="1:8" x14ac:dyDescent="0.25">
      <c r="B79" t="s">
        <v>1369</v>
      </c>
      <c r="C79">
        <v>0</v>
      </c>
      <c r="D79">
        <f>D78/3</f>
        <v>5</v>
      </c>
      <c r="E79" s="92">
        <f>E78/3</f>
        <v>8.3333333333333339</v>
      </c>
      <c r="F79">
        <f>F78/3</f>
        <v>10</v>
      </c>
    </row>
    <row r="80" spans="1:8" x14ac:dyDescent="0.25">
      <c r="B80" t="s">
        <v>1370</v>
      </c>
      <c r="C80">
        <v>0</v>
      </c>
      <c r="D80">
        <f>(D78-D79)+(0.05*(D78-D79))</f>
        <v>10.5</v>
      </c>
      <c r="E80">
        <f t="shared" ref="E80:F80" si="1">(E78-E79)+(0.05*(E78-E79))</f>
        <v>17.499999999999996</v>
      </c>
      <c r="F80">
        <f t="shared" si="1"/>
        <v>21</v>
      </c>
    </row>
    <row r="82" spans="1:8" s="116" customFormat="1" x14ac:dyDescent="0.25">
      <c r="A82" s="115"/>
      <c r="B82" s="116" t="s">
        <v>1378</v>
      </c>
      <c r="H82" s="117"/>
    </row>
    <row r="83" spans="1:8" x14ac:dyDescent="0.25">
      <c r="B83" t="s">
        <v>1368</v>
      </c>
      <c r="C83">
        <f>C78</f>
        <v>0</v>
      </c>
      <c r="D83">
        <f t="shared" ref="D83:F83" si="2">D78</f>
        <v>15</v>
      </c>
      <c r="E83">
        <f t="shared" si="2"/>
        <v>25</v>
      </c>
      <c r="F83">
        <f t="shared" si="2"/>
        <v>30</v>
      </c>
    </row>
    <row r="85" spans="1:8" s="116" customFormat="1" x14ac:dyDescent="0.25">
      <c r="A85" s="115"/>
      <c r="B85" s="116" t="s">
        <v>995</v>
      </c>
      <c r="H85" s="117"/>
    </row>
    <row r="88" spans="1:8" s="116" customFormat="1" x14ac:dyDescent="0.25">
      <c r="A88" s="115"/>
      <c r="B88" s="116" t="s">
        <v>1257</v>
      </c>
      <c r="H88" s="117"/>
    </row>
    <row r="89" spans="1:8" x14ac:dyDescent="0.25">
      <c r="B89" t="s">
        <v>1258</v>
      </c>
      <c r="C89">
        <v>0</v>
      </c>
      <c r="D89">
        <v>0.5</v>
      </c>
      <c r="E89">
        <v>0.8</v>
      </c>
      <c r="F89">
        <v>1</v>
      </c>
    </row>
    <row r="90" spans="1:8" x14ac:dyDescent="0.25">
      <c r="B90" t="s">
        <v>1259</v>
      </c>
      <c r="C90">
        <v>0</v>
      </c>
      <c r="D90">
        <v>0.2</v>
      </c>
      <c r="E90">
        <v>0.3</v>
      </c>
      <c r="F90">
        <v>0.4</v>
      </c>
    </row>
    <row r="91" spans="1:8" x14ac:dyDescent="0.25">
      <c r="B91" t="s">
        <v>1260</v>
      </c>
      <c r="C91">
        <v>0</v>
      </c>
      <c r="D91">
        <v>0.2</v>
      </c>
      <c r="E91">
        <v>0.3</v>
      </c>
      <c r="F91">
        <v>0.4</v>
      </c>
    </row>
    <row r="92" spans="1:8" x14ac:dyDescent="0.25">
      <c r="B92" t="s">
        <v>1261</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13" t="str">
        <f>IF(AND('Net zero activities &amp; levers'!$C$8="Off",'Net zero activities &amp; levers'!$C$14="Off",'Net zero activities &amp; levers'!$C$7="Off",'Net zero activities &amp; levers'!$C$12="Off"),"Off","On")</f>
        <v>On</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32204.904457468539</v>
      </c>
      <c r="AU4" s="87">
        <f t="shared" si="0"/>
        <v>35840.4330056943</v>
      </c>
      <c r="AV4" s="87">
        <f t="shared" si="0"/>
        <v>39469.213678751141</v>
      </c>
      <c r="AW4" s="87">
        <f>AW11-AV11</f>
        <v>26755.445266284049</v>
      </c>
      <c r="AX4" s="87">
        <f t="shared" si="0"/>
        <v>29544.940406482667</v>
      </c>
      <c r="AY4" s="87">
        <f t="shared" si="0"/>
        <v>32121.839887656271</v>
      </c>
      <c r="AZ4" s="87">
        <f t="shared" si="0"/>
        <v>35067.116980519146</v>
      </c>
      <c r="BA4" s="15">
        <f>BA8/'Intermediate calculations'!AV8</f>
        <v>2.5265228519350051</v>
      </c>
      <c r="BB4" s="15">
        <f>BB8/'Intermediate calculations'!AW8</f>
        <v>2.4207296981384729</v>
      </c>
      <c r="BC4" s="15">
        <f>BC8/'Intermediate calculations'!AX8</f>
        <v>2.3185962510092137</v>
      </c>
      <c r="BD4" s="15">
        <f>BD8/'Intermediate calculations'!AY8</f>
        <v>2.2198856368274917</v>
      </c>
      <c r="BE4" s="15">
        <f>BE8/'Intermediate calculations'!AZ8</f>
        <v>2.1245343000841621</v>
      </c>
      <c r="BF4" s="15">
        <f>BF8/'Intermediate calculations'!BA8</f>
        <v>2.0324671835386674</v>
      </c>
      <c r="BG4" s="15">
        <f>BG8/'Intermediate calculations'!BB8</f>
        <v>1.9679191150309567</v>
      </c>
      <c r="BH4" s="15">
        <f>BH8/'Intermediate calculations'!BC8</f>
        <v>1.9050182567018659</v>
      </c>
      <c r="BI4" s="15">
        <f>BI8/'Intermediate calculations'!BD8</f>
        <v>1.8438035186880677</v>
      </c>
      <c r="BJ4" s="15">
        <f>BJ8/'Intermediate calculations'!BE8</f>
        <v>1.7842210395199138</v>
      </c>
      <c r="BK4" s="15">
        <f>BK8/'Intermediate calculations'!BF8</f>
        <v>1.7262661076068826</v>
      </c>
      <c r="BL4" s="15">
        <f>BL8/'Intermediate calculations'!BG8</f>
        <v>1.669841848770738</v>
      </c>
      <c r="BM4" s="15">
        <f>BM8/'Intermediate calculations'!BH8</f>
        <v>1.6144865145762561</v>
      </c>
      <c r="BN4" s="15">
        <f>BN8/'Intermediate calculations'!BI8</f>
        <v>1.5605700509747367</v>
      </c>
      <c r="BO4" s="15">
        <f>BO8/'Intermediate calculations'!BJ8</f>
        <v>1.5081258012985708</v>
      </c>
      <c r="BP4" s="15">
        <f>BP8/'Intermediate calculations'!BK8</f>
        <v>1.4570372230314177</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110">
        <f>IF($AD$2="Off",'Activity data'!AD5,'Net zero Intermediate calcs'!Y15*'Net zero Intermediate calcs'!Y16*Constants!$H$18)</f>
        <v>590659.82732236863</v>
      </c>
      <c r="AE5" s="110">
        <f>IF($AD$2="Off",'Activity data'!AE5,'Net zero Intermediate calcs'!Z15*'Net zero Intermediate calcs'!Z16*Constants!$H$18)</f>
        <v>594647.99563903548</v>
      </c>
      <c r="AF5" s="110">
        <f>IF($AD$2="Off",'Activity data'!AF5,'Net zero Intermediate calcs'!AA15*'Net zero Intermediate calcs'!AA16*Constants!$H$18)</f>
        <v>598136.63268648856</v>
      </c>
      <c r="AG5" s="110">
        <f>IF($AD$2="Off",'Activity data'!AG5,'Net zero Intermediate calcs'!AB15*'Net zero Intermediate calcs'!AB16*Constants!$H$18)</f>
        <v>598587.8952012012</v>
      </c>
      <c r="AH5" s="110">
        <f>IF($AD$2="Off",'Activity data'!AH5,'Net zero Intermediate calcs'!AC15*'Net zero Intermediate calcs'!AC16*Constants!$H$18)</f>
        <v>599365.15063746762</v>
      </c>
      <c r="AI5" s="110">
        <f>IF($AD$2="Off",'Activity data'!AI5,'Net zero Intermediate calcs'!AD15*'Net zero Intermediate calcs'!AD16*Constants!$H$18)</f>
        <v>603824.89896406408</v>
      </c>
      <c r="AJ5" s="110">
        <f>IF($AD$2="Off",'Activity data'!AJ5,'Net zero Intermediate calcs'!AE15*'Net zero Intermediate calcs'!AE16*Constants!$H$18)</f>
        <v>607391.06462310744</v>
      </c>
      <c r="AK5" s="110">
        <f>IF($AD$2="Off",'Activity data'!AK5,'Net zero Intermediate calcs'!AF15*'Net zero Intermediate calcs'!AF16*Constants!$H$18)</f>
        <v>607422.33297804231</v>
      </c>
      <c r="AL5" s="110">
        <f>IF($AD$2="Off",'Activity data'!AL5,'Net zero Intermediate calcs'!AG15*'Net zero Intermediate calcs'!AG16*Constants!$H$18)</f>
        <v>591329.43600858422</v>
      </c>
      <c r="AM5" s="110">
        <f>IF($AD$2="Off",'Activity data'!AM5,'Net zero Intermediate calcs'!AH15*'Net zero Intermediate calcs'!AH16*Constants!$H$18)</f>
        <v>594310.99483650515</v>
      </c>
      <c r="AN5" s="110">
        <f>IF($AD$2="Off",'Activity data'!AN5,'Net zero Intermediate calcs'!AI15*'Net zero Intermediate calcs'!AI16*Constants!$H$18)</f>
        <v>595309.08218994818</v>
      </c>
      <c r="AO5" s="110">
        <f>IF($AD$2="Off",'Activity data'!AO5,'Net zero Intermediate calcs'!AJ15*'Net zero Intermediate calcs'!AJ16*Constants!$H$18)</f>
        <v>595888.34554496768</v>
      </c>
      <c r="AP5" s="110">
        <f>IF($AD$2="Off",'Activity data'!AP5,'Net zero Intermediate calcs'!AK15*'Net zero Intermediate calcs'!AK16*Constants!$H$18)</f>
        <v>597236.20184656978</v>
      </c>
      <c r="AQ5" s="110">
        <f>IF($AD$2="Off",'Activity data'!AQ5,'Net zero Intermediate calcs'!AL15*'Net zero Intermediate calcs'!AL16*Constants!$H$18)</f>
        <v>601156.34586219699</v>
      </c>
      <c r="AR5" s="110">
        <f>IF($AD$2="Off",'Activity data'!AR5,'Net zero Intermediate calcs'!AM15*'Net zero Intermediate calcs'!AM16*Constants!$H$18)</f>
        <v>605289.98147841368</v>
      </c>
      <c r="AS5" s="110">
        <f>IF($AD$2="Off",'Activity data'!AS5,'Net zero Intermediate calcs'!AN15*'Net zero Intermediate calcs'!AN16*Constants!$H$18)</f>
        <v>610051.7089030362</v>
      </c>
      <c r="AT5" s="110">
        <f>IF($AD$2="Off",'Activity data'!AT5,'Net zero Intermediate calcs'!AO15*'Net zero Intermediate calcs'!AO16*Constants!$H$18)</f>
        <v>613761.8109087511</v>
      </c>
      <c r="AU5" s="110">
        <f>IF($AD$2="Off",'Activity data'!AU5,'Net zero Intermediate calcs'!AP15*'Net zero Intermediate calcs'!AP16*Constants!$H$18)</f>
        <v>618603.37304570992</v>
      </c>
      <c r="AV5" s="110">
        <f>IF($AD$2="Off",'Activity data'!AV5,'Net zero Intermediate calcs'!AQ15*'Net zero Intermediate calcs'!AQ16*Constants!$H$18)</f>
        <v>624825.24797790078</v>
      </c>
      <c r="AW5" s="110">
        <f>IF($AD$2="Off",'Activity data'!AW5,'Net zero Intermediate calcs'!AR15*'Net zero Intermediate calcs'!AR16*Constants!$H$18)</f>
        <v>634912.65557563817</v>
      </c>
      <c r="AX5" s="110">
        <f>IF($AD$2="Off",'Activity data'!AX5,'Net zero Intermediate calcs'!AS15*'Net zero Intermediate calcs'!AS16*Constants!$H$18)</f>
        <v>645541.85014850192</v>
      </c>
      <c r="AY5" s="110">
        <f>IF($AD$2="Off",'Activity data'!AY5,'Net zero Intermediate calcs'!AT15*'Net zero Intermediate calcs'!AT16*Constants!$H$18)</f>
        <v>656486.13949319441</v>
      </c>
      <c r="AZ5" s="110">
        <f>IF($AD$2="Off",'Activity data'!AZ5,'Net zero Intermediate calcs'!AU15*'Net zero Intermediate calcs'!AU16*Constants!$H$18)</f>
        <v>668741.51823787007</v>
      </c>
      <c r="BA5" s="110">
        <f>IF($AD$2="Off",'Activity data'!BA5,'Net zero Intermediate calcs'!AV15*'Net zero Intermediate calcs'!AV16*Constants!$H$18)</f>
        <v>679693.73895087012</v>
      </c>
      <c r="BB5" s="110">
        <f>IF($AD$2="Off",'Activity data'!BB5,'Net zero Intermediate calcs'!AW15*'Net zero Intermediate calcs'!AW16*Constants!$H$18)</f>
        <v>691076.84775274887</v>
      </c>
      <c r="BC5" s="110">
        <f>IF($AD$2="Off",'Activity data'!BC5,'Net zero Intermediate calcs'!AX15*'Net zero Intermediate calcs'!AX16*Constants!$H$18)</f>
        <v>702744.99023918109</v>
      </c>
      <c r="BD5" s="110">
        <f>IF($AD$2="Off",'Activity data'!BD5,'Net zero Intermediate calcs'!AY15*'Net zero Intermediate calcs'!AY16*Constants!$H$18)</f>
        <v>713988.71726778673</v>
      </c>
      <c r="BE5" s="110">
        <f>IF($AD$2="Off",'Activity data'!BE5,'Net zero Intermediate calcs'!AZ15*'Net zero Intermediate calcs'!AZ16*Constants!$H$18)</f>
        <v>725285.31238435791</v>
      </c>
      <c r="BF5" s="110">
        <f>IF($AD$2="Off",'Activity data'!BF5,'Net zero Intermediate calcs'!BA15*'Net zero Intermediate calcs'!BA16*Constants!$H$18)</f>
        <v>737068.97637809033</v>
      </c>
      <c r="BG5" s="110">
        <f>IF($AD$2="Off",'Activity data'!BG5,'Net zero Intermediate calcs'!BB15*'Net zero Intermediate calcs'!BB16*Constants!$H$18)</f>
        <v>749238.7959830102</v>
      </c>
      <c r="BH5" s="110">
        <f>IF($AD$2="Off",'Activity data'!BH5,'Net zero Intermediate calcs'!BC15*'Net zero Intermediate calcs'!BC16*Constants!$H$18)</f>
        <v>760763.90332007338</v>
      </c>
      <c r="BI5" s="110">
        <f>IF($AD$2="Off",'Activity data'!BI5,'Net zero Intermediate calcs'!BD15*'Net zero Intermediate calcs'!BD16*Constants!$H$18)</f>
        <v>772515.82556675421</v>
      </c>
      <c r="BJ5" s="110">
        <f>IF($AD$2="Off",'Activity data'!BJ5,'Net zero Intermediate calcs'!BE15*'Net zero Intermediate calcs'!BE16*Constants!$H$18)</f>
        <v>784516.63771677448</v>
      </c>
      <c r="BK5" s="110">
        <f>IF($AD$2="Off",'Activity data'!BK5,'Net zero Intermediate calcs'!BF15*'Net zero Intermediate calcs'!BF16*Constants!$H$18)</f>
        <v>797393.76329683722</v>
      </c>
      <c r="BL5" s="110">
        <f>IF($AD$2="Off",'Activity data'!BL5,'Net zero Intermediate calcs'!BG15*'Net zero Intermediate calcs'!BG16*Constants!$H$18)</f>
        <v>810379.33873565192</v>
      </c>
      <c r="BM5" s="110">
        <f>IF($AD$2="Off",'Activity data'!BM5,'Net zero Intermediate calcs'!BH15*'Net zero Intermediate calcs'!BH16*Constants!$H$18)</f>
        <v>817577.98532730131</v>
      </c>
      <c r="BN5" s="110">
        <f>IF($AD$2="Off",'Activity data'!BN5,'Net zero Intermediate calcs'!BI15*'Net zero Intermediate calcs'!BI16*Constants!$H$18)</f>
        <v>824416.10401658353</v>
      </c>
      <c r="BO5" s="110">
        <f>IF($AD$2="Off",'Activity data'!BO5,'Net zero Intermediate calcs'!BJ15*'Net zero Intermediate calcs'!BJ16*Constants!$H$18)</f>
        <v>832098.46671053173</v>
      </c>
      <c r="BP5" s="110">
        <f>IF($AD$2="Off",'Activity data'!BP5,'Net zero Intermediate calcs'!BK15*'Net zero Intermediate calcs'!BK16*Constants!$H$18)</f>
        <v>839489.43918547477</v>
      </c>
      <c r="BQ5" s="23">
        <v>840617.99710661627</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110">
        <f>IF($AD$2="Off",'Activity data'!AD6,'Net zero Intermediate calcs'!Y15*'Net zero Intermediate calcs'!Y16*Constants!$H$19)</f>
        <v>489403.85692424828</v>
      </c>
      <c r="AE6" s="110">
        <f>IF($AD$2="Off",'Activity data'!AE6,'Net zero Intermediate calcs'!Z15*'Net zero Intermediate calcs'!Z16*Constants!$H$19)</f>
        <v>492708.33924377221</v>
      </c>
      <c r="AF6" s="110">
        <f>IF($AD$2="Off",'Activity data'!AF6,'Net zero Intermediate calcs'!AA15*'Net zero Intermediate calcs'!AA16*Constants!$H$19)</f>
        <v>495598.9242259477</v>
      </c>
      <c r="AG6" s="110">
        <f>IF($AD$2="Off",'Activity data'!AG6,'Net zero Intermediate calcs'!AB15*'Net zero Intermediate calcs'!AB16*Constants!$H$19)</f>
        <v>495972.82745242387</v>
      </c>
      <c r="AH6" s="110">
        <f>IF($AD$2="Off",'Activity data'!AH6,'Net zero Intermediate calcs'!AC15*'Net zero Intermediate calcs'!AC16*Constants!$H$19)</f>
        <v>496616.83909961605</v>
      </c>
      <c r="AI6" s="110">
        <f>IF($AD$2="Off",'Activity data'!AI6,'Net zero Intermediate calcs'!AD15*'Net zero Intermediate calcs'!AD16*Constants!$H$19)</f>
        <v>500312.05914165312</v>
      </c>
      <c r="AJ6" s="110">
        <f>IF($AD$2="Off",'Activity data'!AJ6,'Net zero Intermediate calcs'!AE15*'Net zero Intermediate calcs'!AE16*Constants!$H$19)</f>
        <v>503266.88211628905</v>
      </c>
      <c r="AK6" s="110">
        <f>IF($AD$2="Off",'Activity data'!AK6,'Net zero Intermediate calcs'!AF15*'Net zero Intermediate calcs'!AF16*Constants!$H$19)</f>
        <v>503292.79018180649</v>
      </c>
      <c r="AL6" s="110">
        <f>IF($AD$2="Off",'Activity data'!AL6,'Net zero Intermediate calcs'!AG15*'Net zero Intermediate calcs'!AG16*Constants!$H$19)</f>
        <v>489958.67554996983</v>
      </c>
      <c r="AM6" s="110">
        <f>IF($AD$2="Off",'Activity data'!AM6,'Net zero Intermediate calcs'!AH15*'Net zero Intermediate calcs'!AH16*Constants!$H$19)</f>
        <v>492429.11000739003</v>
      </c>
      <c r="AN6" s="110">
        <f>IF($AD$2="Off",'Activity data'!AN6,'Net zero Intermediate calcs'!AI15*'Net zero Intermediate calcs'!AI16*Constants!$H$19)</f>
        <v>493256.09667167137</v>
      </c>
      <c r="AO6" s="110">
        <f>IF($AD$2="Off",'Activity data'!AO6,'Net zero Intermediate calcs'!AJ15*'Net zero Intermediate calcs'!AJ16*Constants!$H$19)</f>
        <v>493736.05773725896</v>
      </c>
      <c r="AP6" s="110">
        <f>IF($AD$2="Off",'Activity data'!AP6,'Net zero Intermediate calcs'!AK15*'Net zero Intermediate calcs'!AK16*Constants!$H$19)</f>
        <v>494852.85295858636</v>
      </c>
      <c r="AQ6" s="110">
        <f>IF($AD$2="Off",'Activity data'!AQ6,'Net zero Intermediate calcs'!AL15*'Net zero Intermediate calcs'!AL16*Constants!$H$19)</f>
        <v>498100.9722858204</v>
      </c>
      <c r="AR6" s="110">
        <f>IF($AD$2="Off",'Activity data'!AR6,'Net zero Intermediate calcs'!AM15*'Net zero Intermediate calcs'!AM16*Constants!$H$19)</f>
        <v>501525.98465354275</v>
      </c>
      <c r="AS6" s="110">
        <f>IF($AD$2="Off",'Activity data'!AS6,'Net zero Intermediate calcs'!AN15*'Net zero Intermediate calcs'!AN16*Constants!$H$19)</f>
        <v>505471.41594823002</v>
      </c>
      <c r="AT6" s="110">
        <f>IF($AD$2="Off",'Activity data'!AT6,'Net zero Intermediate calcs'!AO15*'Net zero Intermediate calcs'!AO16*Constants!$H$19)</f>
        <v>508545.50046725088</v>
      </c>
      <c r="AU6" s="110">
        <f>IF($AD$2="Off",'Activity data'!AU6,'Net zero Intermediate calcs'!AP15*'Net zero Intermediate calcs'!AP16*Constants!$H$19)</f>
        <v>512557.08052358823</v>
      </c>
      <c r="AV6" s="110">
        <f>IF($AD$2="Off",'Activity data'!AV6,'Net zero Intermediate calcs'!AQ15*'Net zero Intermediate calcs'!AQ16*Constants!$H$19)</f>
        <v>517712.34832454642</v>
      </c>
      <c r="AW6" s="110">
        <f>IF($AD$2="Off",'Activity data'!AW6,'Net zero Intermediate calcs'!AR15*'Net zero Intermediate calcs'!AR16*Constants!$H$19)</f>
        <v>526070.48604838585</v>
      </c>
      <c r="AX6" s="110">
        <f>IF($AD$2="Off",'Activity data'!AX6,'Net zero Intermediate calcs'!AS15*'Net zero Intermediate calcs'!AS16*Constants!$H$19)</f>
        <v>534877.53298018733</v>
      </c>
      <c r="AY6" s="110">
        <f>IF($AD$2="Off",'Activity data'!AY6,'Net zero Intermediate calcs'!AT15*'Net zero Intermediate calcs'!AT16*Constants!$H$19)</f>
        <v>543945.65843721828</v>
      </c>
      <c r="AZ6" s="110">
        <f>IF($AD$2="Off",'Activity data'!AZ6,'Net zero Intermediate calcs'!AU15*'Net zero Intermediate calcs'!AU16*Constants!$H$19)</f>
        <v>554100.11511137802</v>
      </c>
      <c r="BA6" s="110">
        <f>IF($AD$2="Off",'Activity data'!BA6,'Net zero Intermediate calcs'!AV15*'Net zero Intermediate calcs'!AV16*Constants!$H$19)</f>
        <v>563174.81227357814</v>
      </c>
      <c r="BB6" s="110">
        <f>IF($AD$2="Off",'Activity data'!BB6,'Net zero Intermediate calcs'!AW15*'Net zero Intermediate calcs'!AW16*Constants!$H$19)</f>
        <v>572606.53099513473</v>
      </c>
      <c r="BC6" s="110">
        <f>IF($AD$2="Off",'Activity data'!BC6,'Net zero Intermediate calcs'!AX15*'Net zero Intermediate calcs'!AX16*Constants!$H$19)</f>
        <v>582274.4204838929</v>
      </c>
      <c r="BD6" s="110">
        <f>IF($AD$2="Off",'Activity data'!BD6,'Net zero Intermediate calcs'!AY15*'Net zero Intermediate calcs'!AY16*Constants!$H$19)</f>
        <v>591590.65145045181</v>
      </c>
      <c r="BE6" s="110">
        <f>IF($AD$2="Off",'Activity data'!BE6,'Net zero Intermediate calcs'!AZ15*'Net zero Intermediate calcs'!AZ16*Constants!$H$19)</f>
        <v>600950.68740418227</v>
      </c>
      <c r="BF6" s="110">
        <f>IF($AD$2="Off",'Activity data'!BF6,'Net zero Intermediate calcs'!BA15*'Net zero Intermediate calcs'!BA16*Constants!$H$19)</f>
        <v>610714.29471327481</v>
      </c>
      <c r="BG6" s="110">
        <f>IF($AD$2="Off",'Activity data'!BG6,'Net zero Intermediate calcs'!BB15*'Net zero Intermediate calcs'!BB16*Constants!$H$19)</f>
        <v>620797.85952877987</v>
      </c>
      <c r="BH6" s="110">
        <f>IF($AD$2="Off",'Activity data'!BH6,'Net zero Intermediate calcs'!BC15*'Net zero Intermediate calcs'!BC16*Constants!$H$19)</f>
        <v>630347.23417948931</v>
      </c>
      <c r="BI6" s="110">
        <f>IF($AD$2="Off",'Activity data'!BI6,'Net zero Intermediate calcs'!BD15*'Net zero Intermediate calcs'!BD16*Constants!$H$19)</f>
        <v>640084.54118388204</v>
      </c>
      <c r="BJ6" s="110">
        <f>IF($AD$2="Off",'Activity data'!BJ6,'Net zero Intermediate calcs'!BE15*'Net zero Intermediate calcs'!BE16*Constants!$H$19)</f>
        <v>650028.07125104172</v>
      </c>
      <c r="BK6" s="110">
        <f>IF($AD$2="Off",'Activity data'!BK6,'Net zero Intermediate calcs'!BF15*'Net zero Intermediate calcs'!BF16*Constants!$H$19)</f>
        <v>660697.68958880799</v>
      </c>
      <c r="BL6" s="110">
        <f>IF($AD$2="Off",'Activity data'!BL6,'Net zero Intermediate calcs'!BG15*'Net zero Intermediate calcs'!BG16*Constants!$H$19)</f>
        <v>671457.16638096864</v>
      </c>
      <c r="BM6" s="110">
        <f>IF($AD$2="Off",'Activity data'!BM6,'Net zero Intermediate calcs'!BH15*'Net zero Intermediate calcs'!BH16*Constants!$H$19)</f>
        <v>677421.75927119248</v>
      </c>
      <c r="BN6" s="110">
        <f>IF($AD$2="Off",'Activity data'!BN6,'Net zero Intermediate calcs'!BI15*'Net zero Intermediate calcs'!BI16*Constants!$H$19)</f>
        <v>683087.62904231215</v>
      </c>
      <c r="BO6" s="110">
        <f>IF($AD$2="Off",'Activity data'!BO6,'Net zero Intermediate calcs'!BJ15*'Net zero Intermediate calcs'!BJ16*Constants!$H$19)</f>
        <v>689453.01527444052</v>
      </c>
      <c r="BP6" s="110">
        <f>IF($AD$2="Off",'Activity data'!BP6,'Net zero Intermediate calcs'!BK15*'Net zero Intermediate calcs'!BK16*Constants!$H$19)</f>
        <v>695576.96389653615</v>
      </c>
      <c r="BQ6" s="23">
        <v>696512.05474548205</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110">
        <f>IF($AD$2="Off",'Activity data'!AD7,'Net zero Intermediate calcs'!Y15*'Net zero Intermediate calcs'!Y16*(1-Constants!$H$18-Constants!$H$19))</f>
        <v>607535.8223887221</v>
      </c>
      <c r="AE7" s="110">
        <f>IF($AD$2="Off",'Activity data'!AE7,'Net zero Intermediate calcs'!Z15*'Net zero Intermediate calcs'!Z16*(1-Constants!$H$18-Constants!$H$19))</f>
        <v>611637.9383715794</v>
      </c>
      <c r="AF7" s="110">
        <f>IF($AD$2="Off",'Activity data'!AF7,'Net zero Intermediate calcs'!AA15*'Net zero Intermediate calcs'!AA16*(1-Constants!$H$18-Constants!$H$19))</f>
        <v>615226.25076324551</v>
      </c>
      <c r="AG7" s="110">
        <f>IF($AD$2="Off",'Activity data'!AG7,'Net zero Intermediate calcs'!AB15*'Net zero Intermediate calcs'!AB16*(1-Constants!$H$18-Constants!$H$19))</f>
        <v>615690.40649266425</v>
      </c>
      <c r="AH7" s="110">
        <f>IF($AD$2="Off",'Activity data'!AH7,'Net zero Intermediate calcs'!AC15*'Net zero Intermediate calcs'!AC16*(1-Constants!$H$18-Constants!$H$19))</f>
        <v>616489.86922710971</v>
      </c>
      <c r="AI7" s="110">
        <f>IF($AD$2="Off",'Activity data'!AI7,'Net zero Intermediate calcs'!AD15*'Net zero Intermediate calcs'!AD16*(1-Constants!$H$18-Constants!$H$19))</f>
        <v>621077.03893446608</v>
      </c>
      <c r="AJ7" s="110">
        <f>IF($AD$2="Off",'Activity data'!AJ7,'Net zero Intermediate calcs'!AE15*'Net zero Intermediate calcs'!AE16*(1-Constants!$H$18-Constants!$H$19))</f>
        <v>624745.09504091064</v>
      </c>
      <c r="AK7" s="110">
        <f>IF($AD$2="Off",'Activity data'!AK7,'Net zero Intermediate calcs'!AF15*'Net zero Intermediate calcs'!AF16*(1-Constants!$H$18-Constants!$H$19))</f>
        <v>624777.25677741505</v>
      </c>
      <c r="AL7" s="110">
        <f>IF($AD$2="Off",'Activity data'!AL7,'Net zero Intermediate calcs'!AG15*'Net zero Intermediate calcs'!AG16*(1-Constants!$H$18-Constants!$H$19))</f>
        <v>608224.56275168678</v>
      </c>
      <c r="AM7" s="110">
        <f>IF($AD$2="Off",'Activity data'!AM7,'Net zero Intermediate calcs'!AH15*'Net zero Intermediate calcs'!AH16*(1-Constants!$H$18-Constants!$H$19))</f>
        <v>611291.3089746912</v>
      </c>
      <c r="AN7" s="110">
        <f>IF($AD$2="Off",'Activity data'!AN7,'Net zero Intermediate calcs'!AI15*'Net zero Intermediate calcs'!AI16*(1-Constants!$H$18-Constants!$H$19))</f>
        <v>612317.9131096612</v>
      </c>
      <c r="AO7" s="110">
        <f>IF($AD$2="Off",'Activity data'!AO7,'Net zero Intermediate calcs'!AJ15*'Net zero Intermediate calcs'!AJ16*(1-Constants!$H$18-Constants!$H$19))</f>
        <v>612913.72684625268</v>
      </c>
      <c r="AP7" s="110">
        <f>IF($AD$2="Off",'Activity data'!AP7,'Net zero Intermediate calcs'!AK15*'Net zero Intermediate calcs'!AK16*(1-Constants!$H$18-Constants!$H$19))</f>
        <v>614300.09332790039</v>
      </c>
      <c r="AQ7" s="110">
        <f>IF($AD$2="Off",'Activity data'!AQ7,'Net zero Intermediate calcs'!AL15*'Net zero Intermediate calcs'!AL16*(1-Constants!$H$18-Constants!$H$19))</f>
        <v>618332.24145825999</v>
      </c>
      <c r="AR7" s="110">
        <f>IF($AD$2="Off",'Activity data'!AR7,'Net zero Intermediate calcs'!AM15*'Net zero Intermediate calcs'!AM16*(1-Constants!$H$18-Constants!$H$19))</f>
        <v>622583.9809492256</v>
      </c>
      <c r="AS7" s="110">
        <f>IF($AD$2="Off",'Activity data'!AS7,'Net zero Intermediate calcs'!AN15*'Net zero Intermediate calcs'!AN16*(1-Constants!$H$18-Constants!$H$19))</f>
        <v>627481.75772883731</v>
      </c>
      <c r="AT7" s="110">
        <f>IF($AD$2="Off",'Activity data'!AT7,'Net zero Intermediate calcs'!AO15*'Net zero Intermediate calcs'!AO16*(1-Constants!$H$18-Constants!$H$19))</f>
        <v>631297.86264900118</v>
      </c>
      <c r="AU7" s="110">
        <f>IF($AD$2="Off",'Activity data'!AU7,'Net zero Intermediate calcs'!AP15*'Net zero Intermediate calcs'!AP16*(1-Constants!$H$18-Constants!$H$19))</f>
        <v>636277.75513273035</v>
      </c>
      <c r="AV7" s="110">
        <f>IF($AD$2="Off",'Activity data'!AV7,'Net zero Intermediate calcs'!AQ15*'Net zero Intermediate calcs'!AQ16*(1-Constants!$H$18-Constants!$H$19))</f>
        <v>642677.39792012668</v>
      </c>
      <c r="AW7" s="110">
        <f>IF($AD$2="Off",'Activity data'!AW7,'Net zero Intermediate calcs'!AR15*'Net zero Intermediate calcs'!AR16*(1-Constants!$H$18-Constants!$H$19))</f>
        <v>653053.01716351358</v>
      </c>
      <c r="AX7" s="110">
        <f>IF($AD$2="Off",'Activity data'!AX7,'Net zero Intermediate calcs'!AS15*'Net zero Intermediate calcs'!AS16*(1-Constants!$H$18-Constants!$H$19))</f>
        <v>663985.9030098879</v>
      </c>
      <c r="AY7" s="110">
        <f>IF($AD$2="Off",'Activity data'!AY7,'Net zero Intermediate calcs'!AT15*'Net zero Intermediate calcs'!AT16*(1-Constants!$H$18-Constants!$H$19))</f>
        <v>675242.88633585721</v>
      </c>
      <c r="AZ7" s="110">
        <f>IF($AD$2="Off",'Activity data'!AZ7,'Net zero Intermediate calcs'!AU15*'Net zero Intermediate calcs'!AU16*(1-Constants!$H$18-Constants!$H$19))</f>
        <v>687848.41875895218</v>
      </c>
      <c r="BA7" s="110">
        <f>IF($AD$2="Off",'Activity data'!BA7,'Net zero Intermediate calcs'!AV15*'Net zero Intermediate calcs'!AV16*(1-Constants!$H$18-Constants!$H$19))</f>
        <v>699113.56006375235</v>
      </c>
      <c r="BB7" s="110">
        <f>IF($AD$2="Off",'Activity data'!BB7,'Net zero Intermediate calcs'!AW15*'Net zero Intermediate calcs'!AW16*(1-Constants!$H$18-Constants!$H$19))</f>
        <v>710821.90054568474</v>
      </c>
      <c r="BC7" s="110">
        <f>IF($AD$2="Off",'Activity data'!BC7,'Net zero Intermediate calcs'!AX15*'Net zero Intermediate calcs'!AX16*(1-Constants!$H$18-Constants!$H$19))</f>
        <v>722823.41853172926</v>
      </c>
      <c r="BD7" s="110">
        <f>IF($AD$2="Off",'Activity data'!BD7,'Net zero Intermediate calcs'!AY15*'Net zero Intermediate calcs'!AY16*(1-Constants!$H$18-Constants!$H$19))</f>
        <v>734388.3949040093</v>
      </c>
      <c r="BE7" s="110">
        <f>IF($AD$2="Off",'Activity data'!BE7,'Net zero Intermediate calcs'!AZ15*'Net zero Intermediate calcs'!AZ16*(1-Constants!$H$18-Constants!$H$19))</f>
        <v>746007.74988105404</v>
      </c>
      <c r="BF7" s="110">
        <f>IF($AD$2="Off",'Activity data'!BF7,'Net zero Intermediate calcs'!BA15*'Net zero Intermediate calcs'!BA16*(1-Constants!$H$18-Constants!$H$19))</f>
        <v>758128.08998889301</v>
      </c>
      <c r="BG7" s="110">
        <f>IF($AD$2="Off",'Activity data'!BG7,'Net zero Intermediate calcs'!BB15*'Net zero Intermediate calcs'!BB16*(1-Constants!$H$18-Constants!$H$19))</f>
        <v>770645.61872538214</v>
      </c>
      <c r="BH7" s="110">
        <f>IF($AD$2="Off",'Activity data'!BH7,'Net zero Intermediate calcs'!BC15*'Net zero Intermediate calcs'!BC16*(1-Constants!$H$18-Constants!$H$19))</f>
        <v>782500.01484350418</v>
      </c>
      <c r="BI7" s="110">
        <f>IF($AD$2="Off",'Activity data'!BI7,'Net zero Intermediate calcs'!BD15*'Net zero Intermediate calcs'!BD16*(1-Constants!$H$18-Constants!$H$19))</f>
        <v>794587.70629723312</v>
      </c>
      <c r="BJ7" s="110">
        <f>IF($AD$2="Off",'Activity data'!BJ7,'Net zero Intermediate calcs'!BE15*'Net zero Intermediate calcs'!BE16*(1-Constants!$H$18-Constants!$H$19))</f>
        <v>806931.39879439678</v>
      </c>
      <c r="BK7" s="110">
        <f>IF($AD$2="Off",'Activity data'!BK7,'Net zero Intermediate calcs'!BF15*'Net zero Intermediate calcs'!BF16*(1-Constants!$H$18-Constants!$H$19))</f>
        <v>820176.44224817562</v>
      </c>
      <c r="BL7" s="110">
        <f>IF($AD$2="Off",'Activity data'!BL7,'Net zero Intermediate calcs'!BG15*'Net zero Intermediate calcs'!BG16*(1-Constants!$H$18-Constants!$H$19))</f>
        <v>833533.03412809921</v>
      </c>
      <c r="BM7" s="110">
        <f>IF($AD$2="Off",'Activity data'!BM7,'Net zero Intermediate calcs'!BH15*'Net zero Intermediate calcs'!BH16*(1-Constants!$H$18-Constants!$H$19))</f>
        <v>840937.35633665288</v>
      </c>
      <c r="BN7" s="110">
        <f>IF($AD$2="Off",'Activity data'!BN7,'Net zero Intermediate calcs'!BI15*'Net zero Intermediate calcs'!BI16*(1-Constants!$H$18-Constants!$H$19))</f>
        <v>847970.84984562895</v>
      </c>
      <c r="BO7" s="110">
        <f>IF($AD$2="Off",'Activity data'!BO7,'Net zero Intermediate calcs'!BJ15*'Net zero Intermediate calcs'!BJ16*(1-Constants!$H$18-Constants!$H$19))</f>
        <v>855872.70861654705</v>
      </c>
      <c r="BP7" s="110">
        <f>IF($AD$2="Off",'Activity data'!BP7,'Net zero Intermediate calcs'!BK15*'Net zero Intermediate calcs'!BK16*(1-Constants!$H$18-Constants!$H$19))</f>
        <v>863474.85173363134</v>
      </c>
      <c r="BQ7" s="23">
        <v>864635.65416680544</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110">
        <f>IF($AD$2="Off",'Activity data'!AD8,'Net zero Intermediate calcs'!Y10*'Net zero Intermediate calcs'!Y11*Constants!$H$20)</f>
        <v>5984261.233029482</v>
      </c>
      <c r="AE8" s="110">
        <f>IF($AD$2="Off",'Activity data'!AE8,'Net zero Intermediate calcs'!Z10*'Net zero Intermediate calcs'!Z11*Constants!$H$20)</f>
        <v>5953794.0597159145</v>
      </c>
      <c r="AF8" s="110">
        <f>IF($AD$2="Off",'Activity data'!AF8,'Net zero Intermediate calcs'!AA10*'Net zero Intermediate calcs'!AA11*Constants!$H$20)</f>
        <v>5898185.8883474981</v>
      </c>
      <c r="AG8" s="110">
        <f>IF($AD$2="Off",'Activity data'!AG8,'Net zero Intermediate calcs'!AB10*'Net zero Intermediate calcs'!AB11*Constants!$H$20)</f>
        <v>5745970.6114831753</v>
      </c>
      <c r="AH8" s="110">
        <f>IF($AD$2="Off",'Activity data'!AH8,'Net zero Intermediate calcs'!AC10*'Net zero Intermediate calcs'!AC11*Constants!$H$20)</f>
        <v>5599829.6425982891</v>
      </c>
      <c r="AI8" s="110">
        <f>IF($AD$2="Off",'Activity data'!AI8,'Net zero Intermediate calcs'!AD10*'Net zero Intermediate calcs'!AD11*Constants!$H$20)</f>
        <v>5551992.8329450591</v>
      </c>
      <c r="AJ8" s="110">
        <f>IF($AD$2="Off",'Activity data'!AJ8,'Net zero Intermediate calcs'!AE10*'Net zero Intermediate calcs'!AE11*Constants!$H$20)</f>
        <v>5474731.2958658384</v>
      </c>
      <c r="AK8" s="110">
        <f>IF($AD$2="Off",'Activity data'!AK8,'Net zero Intermediate calcs'!AF10*'Net zero Intermediate calcs'!AF11*Constants!$H$20)</f>
        <v>5301139.6705897786</v>
      </c>
      <c r="AL8" s="110">
        <f>IF($AD$2="Off",'Activity data'!AL8,'Net zero Intermediate calcs'!AG10*'Net zero Intermediate calcs'!AG11*Constants!$H$20)</f>
        <v>4718721.9406965245</v>
      </c>
      <c r="AM8" s="110">
        <f>IF($AD$2="Off",'Activity data'!AM8,'Net zero Intermediate calcs'!AH10*'Net zero Intermediate calcs'!AH11*Constants!$H$20)</f>
        <v>4711534.1123859668</v>
      </c>
      <c r="AN8" s="110">
        <f>IF($AD$2="Off",'Activity data'!AN8,'Net zero Intermediate calcs'!AI10*'Net zero Intermediate calcs'!AI11*Constants!$H$20)</f>
        <v>4650247.1416900577</v>
      </c>
      <c r="AO8" s="110">
        <f>IF($AD$2="Off",'Activity data'!AO8,'Net zero Intermediate calcs'!AJ10*'Net zero Intermediate calcs'!AJ11*Constants!$H$20)</f>
        <v>4576010.7270728555</v>
      </c>
      <c r="AP8" s="110">
        <f>IF($AD$2="Off",'Activity data'!AP8,'Net zero Intermediate calcs'!AK10*'Net zero Intermediate calcs'!AK11*Constants!$H$20)</f>
        <v>4516773.9429858532</v>
      </c>
      <c r="AQ8" s="110">
        <f>IF($AD$2="Off",'Activity data'!AQ8,'Net zero Intermediate calcs'!AL10*'Net zero Intermediate calcs'!AL11*Constants!$H$20)</f>
        <v>4510532.5038587032</v>
      </c>
      <c r="AR8" s="110">
        <f>IF($AD$2="Off",'Activity data'!AR8,'Net zero Intermediate calcs'!AM10*'Net zero Intermediate calcs'!AM11*Constants!$H$20)</f>
        <v>4510832.1551695792</v>
      </c>
      <c r="AS8" s="110">
        <f>IF($AD$2="Off",'Activity data'!AS8,'Net zero Intermediate calcs'!AN10*'Net zero Intermediate calcs'!AN11*Constants!$H$20)</f>
        <v>4517346.9802303929</v>
      </c>
      <c r="AT8" s="110">
        <f>IF($AD$2="Off",'Activity data'!AT8,'Net zero Intermediate calcs'!AO10*'Net zero Intermediate calcs'!AO11*Constants!$H$20)</f>
        <v>4496010.7192518292</v>
      </c>
      <c r="AU8" s="110">
        <f>IF($AD$2="Off",'Activity data'!AU8,'Net zero Intermediate calcs'!AP10*'Net zero Intermediate calcs'!AP11*Constants!$H$20)</f>
        <v>4491072.1137791025</v>
      </c>
      <c r="AV8" s="110">
        <f>IF($AD$2="Off",'Activity data'!AV8,'Net zero Intermediate calcs'!AQ10*'Net zero Intermediate calcs'!AQ11*Constants!$H$20)</f>
        <v>4505400.890733039</v>
      </c>
      <c r="AW8" s="110">
        <f>IF($AD$2="Off",'Activity data'!AW8,'Net zero Intermediate calcs'!AR10*'Net zero Intermediate calcs'!AR11*Constants!$H$20)</f>
        <v>4530917.9657591889</v>
      </c>
      <c r="AX8" s="110">
        <f>IF($AD$2="Off",'Activity data'!AX8,'Net zero Intermediate calcs'!AS10*'Net zero Intermediate calcs'!AS11*Constants!$H$20)</f>
        <v>4556281.5571180247</v>
      </c>
      <c r="AY8" s="110">
        <f>IF($AD$2="Off",'Activity data'!AY8,'Net zero Intermediate calcs'!AT10*'Net zero Intermediate calcs'!AT11*Constants!$H$20)</f>
        <v>4577213.5049043419</v>
      </c>
      <c r="AZ8" s="110">
        <f>IF($AD$2="Off",'Activity data'!AZ8,'Net zero Intermediate calcs'!AU10*'Net zero Intermediate calcs'!AU11*Constants!$H$20)</f>
        <v>4609684.5032126708</v>
      </c>
      <c r="BA8" s="110">
        <f>IF($AD$2="Off",'Activity data'!BA8,'Net zero Intermediate calcs'!AV10*'Net zero Intermediate calcs'!AV11*Constants!$H$20)</f>
        <v>4611330.4249759261</v>
      </c>
      <c r="BB8" s="110">
        <f>IF($AD$2="Off",'Activity data'!BB8,'Net zero Intermediate calcs'!AW10*'Net zero Intermediate calcs'!AW11*Constants!$H$20)</f>
        <v>4615078.158247265</v>
      </c>
      <c r="BC8" s="110">
        <f>IF($AD$2="Off",'Activity data'!BC8,'Net zero Intermediate calcs'!AX10*'Net zero Intermediate calcs'!AX11*Constants!$H$20)</f>
        <v>4614009.3957581082</v>
      </c>
      <c r="BD8" s="110">
        <f>IF($AD$2="Off",'Activity data'!BD8,'Net zero Intermediate calcs'!AY10*'Net zero Intermediate calcs'!AY11*Constants!$H$20)</f>
        <v>4598280.1180993337</v>
      </c>
      <c r="BE8" s="110">
        <f>IF($AD$2="Off",'Activity data'!BE8,'Net zero Intermediate calcs'!AZ10*'Net zero Intermediate calcs'!AZ11*Constants!$H$20)</f>
        <v>4575380.7139388472</v>
      </c>
      <c r="BF8" s="110">
        <f>IF($AD$2="Off",'Activity data'!BF8,'Net zero Intermediate calcs'!BA10*'Net zero Intermediate calcs'!BA11*Constants!$H$20)</f>
        <v>4551228.0774298152</v>
      </c>
      <c r="BG8" s="110">
        <f>IF($AD$2="Off",'Activity data'!BG8,'Net zero Intermediate calcs'!BB10*'Net zero Intermediate calcs'!BB11*Constants!$H$20)</f>
        <v>4584218.1474687643</v>
      </c>
      <c r="BH8" s="110">
        <f>IF($AD$2="Off",'Activity data'!BH8,'Net zero Intermediate calcs'!BC10*'Net zero Intermediate calcs'!BC11*Constants!$H$20)</f>
        <v>4602892.9051738065</v>
      </c>
      <c r="BI8" s="110">
        <f>IF($AD$2="Off",'Activity data'!BI8,'Net zero Intermediate calcs'!BD10*'Net zero Intermediate calcs'!BD11*Constants!$H$20)</f>
        <v>4618437.0245618345</v>
      </c>
      <c r="BJ8" s="110">
        <f>IF($AD$2="Off",'Activity data'!BJ8,'Net zero Intermediate calcs'!BE10*'Net zero Intermediate calcs'!BE11*Constants!$H$20)</f>
        <v>4631093.3487354163</v>
      </c>
      <c r="BK8" s="110">
        <f>IF($AD$2="Off",'Activity data'!BK8,'Net zero Intermediate calcs'!BF10*'Net zero Intermediate calcs'!BF11*Constants!$H$20)</f>
        <v>4647843.9256793922</v>
      </c>
      <c r="BL8" s="110">
        <f>IF($AD$2="Off",'Activity data'!BL8,'Net zero Intermediate calcs'!BG10*'Net zero Intermediate calcs'!BG11*Constants!$H$20)</f>
        <v>4662593.5662119258</v>
      </c>
      <c r="BM8" s="110">
        <f>IF($AD$2="Off",'Activity data'!BM8,'Net zero Intermediate calcs'!BH10*'Net zero Intermediate calcs'!BH11*Constants!$H$20)</f>
        <v>4610214.8858198384</v>
      </c>
      <c r="BN8" s="110">
        <f>IF($AD$2="Off",'Activity data'!BN8,'Net zero Intermediate calcs'!BI10*'Net zero Intermediate calcs'!BI11*Constants!$H$20)</f>
        <v>4551808.9980495395</v>
      </c>
      <c r="BO8" s="110">
        <f>IF($AD$2="Off",'Activity data'!BO8,'Net zero Intermediate calcs'!BJ10*'Net zero Intermediate calcs'!BJ11*Constants!$H$20)</f>
        <v>4499797.6705995882</v>
      </c>
      <c r="BP8" s="110">
        <f>IF($AD$2="Off",'Activity data'!BP8,'Net zero Intermediate calcs'!BK10*'Net zero Intermediate calcs'!BK11*Constants!$H$20)</f>
        <v>4442570.1132161999</v>
      </c>
      <c r="BQ8" s="111">
        <v>5916196.5823583361</v>
      </c>
    </row>
    <row r="9" spans="1:72" s="23" customFormat="1" x14ac:dyDescent="0.25">
      <c r="A9" s="23" t="str">
        <f t="shared" si="1"/>
        <v>3A Livestock</v>
      </c>
      <c r="C9" s="23" t="str">
        <f>$C$8</f>
        <v>3A1aii Other cattle</v>
      </c>
      <c r="D9" t="str">
        <f>'IPCC Categories'!$F$37</f>
        <v>Subsistence</v>
      </c>
      <c r="E9" s="23" t="str">
        <f t="shared" ref="E9:F22" si="2">E8</f>
        <v>Population</v>
      </c>
      <c r="F9" s="23" t="str">
        <f t="shared" si="2"/>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110">
        <f>IF($AD$2="Off",'Activity data'!AD9,'Net zero Intermediate calcs'!Y10*'Net zero Intermediate calcs'!Y11*(1-Constants!$H$20))</f>
        <v>5306797.6972148223</v>
      </c>
      <c r="AE9" s="110">
        <f>IF($AD$2="Off",'Activity data'!AE9,'Net zero Intermediate calcs'!Z10*'Net zero Intermediate calcs'!Z11*(1-Constants!$H$20))</f>
        <v>5279779.6378612826</v>
      </c>
      <c r="AF9" s="110">
        <f>IF($AD$2="Off",'Activity data'!AF9,'Net zero Intermediate calcs'!AA10*'Net zero Intermediate calcs'!AA11*(1-Constants!$H$20))</f>
        <v>5230466.731176083</v>
      </c>
      <c r="AG9" s="110">
        <f>IF($AD$2="Off",'Activity data'!AG9,'Net zero Intermediate calcs'!AB10*'Net zero Intermediate calcs'!AB11*(1-Constants!$H$20))</f>
        <v>5095483.3724473435</v>
      </c>
      <c r="AH9" s="110">
        <f>IF($AD$2="Off",'Activity data'!AH9,'Net zero Intermediate calcs'!AC10*'Net zero Intermediate calcs'!AC11*(1-Constants!$H$20))</f>
        <v>4965886.6641909359</v>
      </c>
      <c r="AI9" s="110">
        <f>IF($AD$2="Off",'Activity data'!AI9,'Net zero Intermediate calcs'!AD10*'Net zero Intermediate calcs'!AD11*(1-Constants!$H$20))</f>
        <v>4923465.3424229762</v>
      </c>
      <c r="AJ9" s="110">
        <f>IF($AD$2="Off",'Activity data'!AJ9,'Net zero Intermediate calcs'!AE10*'Net zero Intermediate calcs'!AE11*(1-Constants!$H$20))</f>
        <v>4854950.3944470631</v>
      </c>
      <c r="AK9" s="110">
        <f>IF($AD$2="Off",'Activity data'!AK9,'Net zero Intermediate calcs'!AF10*'Net zero Intermediate calcs'!AF11*(1-Constants!$H$20))</f>
        <v>4701010.6512777284</v>
      </c>
      <c r="AL9" s="110">
        <f>IF($AD$2="Off",'Activity data'!AL9,'Net zero Intermediate calcs'!AG10*'Net zero Intermediate calcs'!AG11*(1-Constants!$H$20))</f>
        <v>4184527.0040138983</v>
      </c>
      <c r="AM9" s="110">
        <f>IF($AD$2="Off",'Activity data'!AM9,'Net zero Intermediate calcs'!AH10*'Net zero Intermediate calcs'!AH11*(1-Constants!$H$20))</f>
        <v>4178152.8921158565</v>
      </c>
      <c r="AN9" s="110">
        <f>IF($AD$2="Off",'Activity data'!AN9,'Net zero Intermediate calcs'!AI10*'Net zero Intermediate calcs'!AI11*(1-Constants!$H$20))</f>
        <v>4123804.0690458999</v>
      </c>
      <c r="AO9" s="110">
        <f>IF($AD$2="Off",'Activity data'!AO9,'Net zero Intermediate calcs'!AJ10*'Net zero Intermediate calcs'!AJ11*(1-Constants!$H$20))</f>
        <v>4057971.7768381923</v>
      </c>
      <c r="AP9" s="110">
        <f>IF($AD$2="Off",'Activity data'!AP9,'Net zero Intermediate calcs'!AK10*'Net zero Intermediate calcs'!AK11*(1-Constants!$H$20))</f>
        <v>4005441.0437799073</v>
      </c>
      <c r="AQ9" s="110">
        <f>IF($AD$2="Off",'Activity data'!AQ9,'Net zero Intermediate calcs'!AL10*'Net zero Intermediate calcs'!AL11*(1-Constants!$H$20))</f>
        <v>3999906.1826671516</v>
      </c>
      <c r="AR9" s="110">
        <f>IF($AD$2="Off",'Activity data'!AR9,'Net zero Intermediate calcs'!AM10*'Net zero Intermediate calcs'!AM11*(1-Constants!$H$20))</f>
        <v>4000171.9111881172</v>
      </c>
      <c r="AS9" s="110">
        <f>IF($AD$2="Off",'Activity data'!AS9,'Net zero Intermediate calcs'!AN10*'Net zero Intermediate calcs'!AN11*(1-Constants!$H$20))</f>
        <v>4005949.2088835556</v>
      </c>
      <c r="AT9" s="110">
        <f>IF($AD$2="Off",'Activity data'!AT9,'Net zero Intermediate calcs'!AO10*'Net zero Intermediate calcs'!AO11*(1-Constants!$H$20))</f>
        <v>3987028.3736761501</v>
      </c>
      <c r="AU9" s="110">
        <f>IF($AD$2="Off",'Activity data'!AU9,'Net zero Intermediate calcs'!AP10*'Net zero Intermediate calcs'!AP11*(1-Constants!$H$20))</f>
        <v>3982648.85561543</v>
      </c>
      <c r="AV9" s="110">
        <f>IF($AD$2="Off",'Activity data'!AV9,'Net zero Intermediate calcs'!AQ10*'Net zero Intermediate calcs'!AQ11*(1-Constants!$H$20))</f>
        <v>3995355.5068764682</v>
      </c>
      <c r="AW9" s="110">
        <f>IF($AD$2="Off",'Activity data'!AW9,'Net zero Intermediate calcs'!AR10*'Net zero Intermediate calcs'!AR11*(1-Constants!$H$20))</f>
        <v>4017983.8564279592</v>
      </c>
      <c r="AX9" s="110">
        <f>IF($AD$2="Off",'Activity data'!AX9,'Net zero Intermediate calcs'!AS10*'Net zero Intermediate calcs'!AS11*(1-Constants!$H$20))</f>
        <v>4040476.097821644</v>
      </c>
      <c r="AY9" s="110">
        <f>IF($AD$2="Off",'Activity data'!AY9,'Net zero Intermediate calcs'!AT10*'Net zero Intermediate calcs'!AT11*(1-Constants!$H$20))</f>
        <v>4059038.3911415855</v>
      </c>
      <c r="AZ9" s="110">
        <f>IF($AD$2="Off",'Activity data'!AZ9,'Net zero Intermediate calcs'!AU10*'Net zero Intermediate calcs'!AU11*(1-Constants!$H$20))</f>
        <v>4087833.4273772733</v>
      </c>
      <c r="BA9" s="110">
        <f>IF($AD$2="Off",'Activity data'!BA9,'Net zero Intermediate calcs'!AV10*'Net zero Intermediate calcs'!AV11*(1-Constants!$H$20))</f>
        <v>4089293.0183748771</v>
      </c>
      <c r="BB9" s="110">
        <f>IF($AD$2="Off",'Activity data'!BB9,'Net zero Intermediate calcs'!AW10*'Net zero Intermediate calcs'!AW11*(1-Constants!$H$20))</f>
        <v>4092616.4799551214</v>
      </c>
      <c r="BC9" s="110">
        <f>IF($AD$2="Off",'Activity data'!BC9,'Net zero Intermediate calcs'!AX10*'Net zero Intermediate calcs'!AX11*(1-Constants!$H$20))</f>
        <v>4091668.7094458691</v>
      </c>
      <c r="BD9" s="110">
        <f>IF($AD$2="Off",'Activity data'!BD9,'Net zero Intermediate calcs'!AY10*'Net zero Intermediate calcs'!AY11*(1-Constants!$H$20))</f>
        <v>4077720.104729597</v>
      </c>
      <c r="BE9" s="110">
        <f>IF($AD$2="Off",'Activity data'!BE9,'Net zero Intermediate calcs'!AZ10*'Net zero Intermediate calcs'!AZ11*(1-Constants!$H$20))</f>
        <v>4057413.0859457701</v>
      </c>
      <c r="BF9" s="110">
        <f>IF($AD$2="Off",'Activity data'!BF9,'Net zero Intermediate calcs'!BA10*'Net zero Intermediate calcs'!BA11*(1-Constants!$H$20))</f>
        <v>4035994.7101736097</v>
      </c>
      <c r="BG9" s="110">
        <f>IF($AD$2="Off",'Activity data'!BG9,'Net zero Intermediate calcs'!BB10*'Net zero Intermediate calcs'!BB11*(1-Constants!$H$20))</f>
        <v>4065250.0553024891</v>
      </c>
      <c r="BH9" s="110">
        <f>IF($AD$2="Off",'Activity data'!BH9,'Net zero Intermediate calcs'!BC10*'Net zero Intermediate calcs'!BC11*(1-Constants!$H$20))</f>
        <v>4081810.6894937526</v>
      </c>
      <c r="BI9" s="110">
        <f>IF($AD$2="Off",'Activity data'!BI9,'Net zero Intermediate calcs'!BD10*'Net zero Intermediate calcs'!BD11*(1-Constants!$H$20))</f>
        <v>4095595.0972529473</v>
      </c>
      <c r="BJ9" s="110">
        <f>IF($AD$2="Off",'Activity data'!BJ9,'Net zero Intermediate calcs'!BE10*'Net zero Intermediate calcs'!BE11*(1-Constants!$H$20))</f>
        <v>4106818.6300106514</v>
      </c>
      <c r="BK9" s="110">
        <f>IF($AD$2="Off",'Activity data'!BK9,'Net zero Intermediate calcs'!BF10*'Net zero Intermediate calcs'!BF11*(1-Constants!$H$20))</f>
        <v>4121672.9152251212</v>
      </c>
      <c r="BL9" s="110">
        <f>IF($AD$2="Off",'Activity data'!BL9,'Net zero Intermediate calcs'!BG10*'Net zero Intermediate calcs'!BG11*(1-Constants!$H$20))</f>
        <v>4134752.7851313297</v>
      </c>
      <c r="BM9" s="110">
        <f>IF($AD$2="Off",'Activity data'!BM9,'Net zero Intermediate calcs'!BH10*'Net zero Intermediate calcs'!BH11*(1-Constants!$H$20))</f>
        <v>4088303.7666704222</v>
      </c>
      <c r="BN9" s="110">
        <f>IF($AD$2="Off",'Activity data'!BN9,'Net zero Intermediate calcs'!BI10*'Net zero Intermediate calcs'!BI11*(1-Constants!$H$20))</f>
        <v>4036509.8661948745</v>
      </c>
      <c r="BO9" s="110">
        <f>IF($AD$2="Off",'Activity data'!BO9,'Net zero Intermediate calcs'!BJ10*'Net zero Intermediate calcs'!BJ11*(1-Constants!$H$20))</f>
        <v>3990386.6135505778</v>
      </c>
      <c r="BP9" s="110">
        <f>IF($AD$2="Off",'Activity data'!BP9,'Net zero Intermediate calcs'!BK10*'Net zero Intermediate calcs'!BK11*(1-Constants!$H$20))</f>
        <v>3939637.6475690822</v>
      </c>
      <c r="BQ9" s="111">
        <v>5246438.4786951281</v>
      </c>
    </row>
    <row r="10" spans="1:72" s="23" customFormat="1" x14ac:dyDescent="0.25">
      <c r="A10" s="23" t="str">
        <f t="shared" si="1"/>
        <v>3A Livestock</v>
      </c>
      <c r="C10" s="23" t="str">
        <f>$C$9</f>
        <v>3A1aii Other cattle</v>
      </c>
      <c r="D10" t="str">
        <f>'IPCC Categories'!$F$38</f>
        <v>Feedlot</v>
      </c>
      <c r="E10" s="23" t="str">
        <f t="shared" si="2"/>
        <v>Population</v>
      </c>
      <c r="F10" s="23" t="str">
        <f t="shared" si="2"/>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110">
        <f>IF($AD$2="Off",'Activity data'!AD10,(((('Net zero Intermediate calcs'!Y9/('Net zero Intermediate calcs'!Y64+0.27))*ttokg)/Constants!$H$21)/(365/'Net zero Intermediate calcs'!Y65)))</f>
        <v>543007.49179039791</v>
      </c>
      <c r="AE10" s="110">
        <f>IF($AD$2="Off",'Activity data'!AE10,(((('Net zero Intermediate calcs'!Z9/('Net zero Intermediate calcs'!Z64+0.27))*ttokg)/Constants!$H$21)/(365/'Net zero Intermediate calcs'!Z65)))</f>
        <v>563264.94874187512</v>
      </c>
      <c r="AF10" s="110">
        <f>IF($AD$2="Off",'Activity data'!AF10,(((('Net zero Intermediate calcs'!AA9/('Net zero Intermediate calcs'!AA64+0.27))*ttokg)/Constants!$H$21)/(365/'Net zero Intermediate calcs'!AA65)))</f>
        <v>581463.66332741594</v>
      </c>
      <c r="AG10" s="110">
        <f>IF($AD$2="Off",'Activity data'!AG10,(((('Net zero Intermediate calcs'!AB9/('Net zero Intermediate calcs'!AB64+0.27))*ttokg)/Constants!$H$21)/(365/'Net zero Intermediate calcs'!AB65)))</f>
        <v>590003.82779140584</v>
      </c>
      <c r="AH10" s="110">
        <f>IF($AD$2="Off",'Activity data'!AH10,(((('Net zero Intermediate calcs'!AC9/('Net zero Intermediate calcs'!AC64+0.27))*ttokg)/Constants!$H$21)/(365/'Net zero Intermediate calcs'!AC65)))</f>
        <v>598674.66430219111</v>
      </c>
      <c r="AI10" s="110">
        <f>IF($AD$2="Off",'Activity data'!AI10,(((('Net zero Intermediate calcs'!AD9/('Net zero Intermediate calcs'!AD64+0.27))*ttokg)/Constants!$H$21)/(365/'Net zero Intermediate calcs'!AD65)))</f>
        <v>617814.32044813794</v>
      </c>
      <c r="AJ10" s="110">
        <f>IF($AD$2="Off",'Activity data'!AJ10,(((('Net zero Intermediate calcs'!AE9/('Net zero Intermediate calcs'!AE64+0.27))*ttokg)/Constants!$H$21)/(365/'Net zero Intermediate calcs'!AE65)))</f>
        <v>633958.70908242883</v>
      </c>
      <c r="AK10" s="110">
        <f>IF($AD$2="Off",'Activity data'!AK10,(((('Net zero Intermediate calcs'!AF9/('Net zero Intermediate calcs'!AF64+0.27))*ttokg)/Constants!$H$21)/(365/'Net zero Intermediate calcs'!AF65)))</f>
        <v>638671.61459478887</v>
      </c>
      <c r="AL10" s="110">
        <f>IF($AD$2="Off",'Activity data'!AL10,(((('Net zero Intermediate calcs'!AG9/('Net zero Intermediate calcs'!AG64+0.27))*ttokg)/Constants!$H$21)/(365/'Net zero Intermediate calcs'!AG65)))</f>
        <v>591407.68067539216</v>
      </c>
      <c r="AM10" s="110">
        <f>IF($AD$2="Off",'Activity data'!AM10,(((('Net zero Intermediate calcs'!AH9/('Net zero Intermediate calcs'!AH64+0.27))*ttokg)/Constants!$H$21)/(365/'Net zero Intermediate calcs'!AH65)))</f>
        <v>611206.14853008732</v>
      </c>
      <c r="AN10" s="110">
        <f>IF($AD$2="Off",'Activity data'!AN10,(((('Net zero Intermediate calcs'!AI9/('Net zero Intermediate calcs'!AI64+0.27))*ttokg)/Constants!$H$21)/(365/'Net zero Intermediate calcs'!AI65)))</f>
        <v>624246.58680008829</v>
      </c>
      <c r="AO10" s="110">
        <f>IF($AD$2="Off",'Activity data'!AO10,(((('Net zero Intermediate calcs'!AJ9/('Net zero Intermediate calcs'!AJ64+0.27))*ttokg)/Constants!$H$21)/(365/'Net zero Intermediate calcs'!AJ65)))</f>
        <v>635516.04421068856</v>
      </c>
      <c r="AP10" s="110">
        <f>IF($AD$2="Off",'Activity data'!AP10,(((('Net zero Intermediate calcs'!AK9/('Net zero Intermediate calcs'!AK64+0.27))*ttokg)/Constants!$H$21)/(365/'Net zero Intermediate calcs'!AK65)))</f>
        <v>648848.2526071677</v>
      </c>
      <c r="AQ10" s="110">
        <f>IF($AD$2="Off",'Activity data'!AQ10,(((('Net zero Intermediate calcs'!AL9/('Net zero Intermediate calcs'!AL64+0.27))*ttokg)/Constants!$H$21)/(365/'Net zero Intermediate calcs'!AL65)))</f>
        <v>670107.03806065023</v>
      </c>
      <c r="AR10" s="110">
        <f>IF($AD$2="Off",'Activity data'!AR10,(((('Net zero Intermediate calcs'!AM9/('Net zero Intermediate calcs'!AM64+0.27))*ttokg)/Constants!$H$21)/(365/'Net zero Intermediate calcs'!AM65)))</f>
        <v>692963.41157666012</v>
      </c>
      <c r="AS10" s="110">
        <f>IF($AD$2="Off",'Activity data'!AS10,(((('Net zero Intermediate calcs'!AN9/('Net zero Intermediate calcs'!AN64+0.27))*ttokg)/Constants!$H$21)/(365/'Net zero Intermediate calcs'!AN65)))</f>
        <v>717494.68236783356</v>
      </c>
      <c r="AT10" s="110">
        <f>IF($AD$2="Off",'Activity data'!AT10,(((('Net zero Intermediate calcs'!AO9/('Net zero Intermediate calcs'!AO64+0.27))*ttokg)/Constants!$H$21)/(365/'Net zero Intermediate calcs'!AO65)))</f>
        <v>738238.08215894026</v>
      </c>
      <c r="AU10" s="110">
        <f>IF($AD$2="Off",'Activity data'!AU10,(((('Net zero Intermediate calcs'!AP9/('Net zero Intermediate calcs'!AP64+0.27))*ttokg)/Constants!$H$21)/(365/'Net zero Intermediate calcs'!AP65)))</f>
        <v>762276.66429253283</v>
      </c>
      <c r="AV10" s="110">
        <f>IF($AD$2="Off",'Activity data'!AV10,(((('Net zero Intermediate calcs'!AQ9/('Net zero Intermediate calcs'!AQ64+0.27))*ttokg)/Constants!$H$21)/(365/'Net zero Intermediate calcs'!AQ65)))</f>
        <v>790416.45342891675</v>
      </c>
      <c r="AW10" s="110">
        <f>IF($AD$2="Off",'Activity data'!AW10,(((('Net zero Intermediate calcs'!AR9/('Net zero Intermediate calcs'!AR64+0.27))*ttokg)/Constants!$H$21)/(365/'Net zero Intermediate calcs'!AR65)))</f>
        <v>821643.47220152733</v>
      </c>
      <c r="AX10" s="110">
        <f>IF($AD$2="Off",'Activity data'!AX10,(((('Net zero Intermediate calcs'!AS9/('Net zero Intermediate calcs'!AS64+0.27))*ttokg)/Constants!$H$21)/(365/'Net zero Intermediate calcs'!AS65)))</f>
        <v>854104.86662732123</v>
      </c>
      <c r="AY10" s="110">
        <f>IF($AD$2="Off",'Activity data'!AY10,(((('Net zero Intermediate calcs'!AT9/('Net zero Intermediate calcs'!AT64+0.27))*ttokg)/Constants!$H$21)/(365/'Net zero Intermediate calcs'!AT65)))</f>
        <v>887039.42632510792</v>
      </c>
      <c r="AZ10" s="110">
        <f>IF($AD$2="Off",'Activity data'!AZ10,(((('Net zero Intermediate calcs'!AU9/('Net zero Intermediate calcs'!AU64+0.27))*ttokg)/Constants!$H$21)/(365/'Net zero Intermediate calcs'!AU65)))</f>
        <v>923635.35687567387</v>
      </c>
      <c r="BA10" s="110">
        <f>IF($AD$2="Off",'Activity data'!BA10,(((('Net zero Intermediate calcs'!AV9/('Net zero Intermediate calcs'!AV64+0.27))*ttokg)/Constants!$H$21)/(365/'Net zero Intermediate calcs'!AV65)))</f>
        <v>955428.98368984181</v>
      </c>
      <c r="BB10" s="110">
        <f>IF($AD$2="Off",'Activity data'!BB10,(((('Net zero Intermediate calcs'!AW9/('Net zero Intermediate calcs'!AW64+0.27))*ttokg)/Constants!$H$21)/(365/'Net zero Intermediate calcs'!AW65)))</f>
        <v>988912.82148767007</v>
      </c>
      <c r="BC10" s="110">
        <f>IF($AD$2="Off",'Activity data'!BC10,(((('Net zero Intermediate calcs'!AX9/('Net zero Intermediate calcs'!AX64+0.27))*ttokg)/Constants!$H$21)/(365/'Net zero Intermediate calcs'!AX65)))</f>
        <v>1022673.2976493411</v>
      </c>
      <c r="BD10" s="110">
        <f>IF($AD$2="Off",'Activity data'!BD10,(((('Net zero Intermediate calcs'!AY9/('Net zero Intermediate calcs'!AY64+0.27))*ttokg)/Constants!$H$21)/(365/'Net zero Intermediate calcs'!AY65)))</f>
        <v>1054423.1080462888</v>
      </c>
      <c r="BE10" s="110">
        <f>IF($AD$2="Off",'Activity data'!BE10,(((('Net zero Intermediate calcs'!AZ9/('Net zero Intermediate calcs'!AZ64+0.27))*ttokg)/Constants!$H$21)/(365/'Net zero Intermediate calcs'!AZ65)))</f>
        <v>1085671.1361477501</v>
      </c>
      <c r="BF10" s="110">
        <f>IF($AD$2="Off",'Activity data'!BF10,(((('Net zero Intermediate calcs'!BA9/('Net zero Intermediate calcs'!BA64+0.27))*ttokg)/Constants!$H$21)/(365/'Net zero Intermediate calcs'!BA65)))</f>
        <v>1117765.909590167</v>
      </c>
      <c r="BG10" s="110">
        <f>IF($AD$2="Off",'Activity data'!BG10,(((('Net zero Intermediate calcs'!BB9/('Net zero Intermediate calcs'!BB64+0.27))*ttokg)/Constants!$H$21)/(365/'Net zero Intermediate calcs'!BB65)))</f>
        <v>1158236.0157574657</v>
      </c>
      <c r="BH10" s="110">
        <f>IF($AD$2="Off",'Activity data'!BH10,(((('Net zero Intermediate calcs'!BC9/('Net zero Intermediate calcs'!BC64+0.27))*ttokg)/Constants!$H$21)/(365/'Net zero Intermediate calcs'!BC65)))</f>
        <v>1196507.0626884943</v>
      </c>
      <c r="BI10" s="110">
        <f>IF($AD$2="Off",'Activity data'!BI10,(((('Net zero Intermediate calcs'!BD9/('Net zero Intermediate calcs'!BD64+0.27))*ttokg)/Constants!$H$21)/(365/'Net zero Intermediate calcs'!BD65)))</f>
        <v>1235322.8472017227</v>
      </c>
      <c r="BJ10" s="110">
        <f>IF($AD$2="Off",'Activity data'!BJ10,(((('Net zero Intermediate calcs'!BE9/('Net zero Intermediate calcs'!BE64+0.27))*ttokg)/Constants!$H$21)/(365/'Net zero Intermediate calcs'!BE65)))</f>
        <v>1274746.6017324834</v>
      </c>
      <c r="BK10" s="110">
        <f>IF($AD$2="Off",'Activity data'!BK10,(((('Net zero Intermediate calcs'!BF9/('Net zero Intermediate calcs'!BF64+0.27))*ttokg)/Constants!$H$21)/(365/'Net zero Intermediate calcs'!BF65)))</f>
        <v>1316758.0853179072</v>
      </c>
      <c r="BL10" s="110">
        <f>IF($AD$2="Off",'Activity data'!BL10,(((('Net zero Intermediate calcs'!BG9/('Net zero Intermediate calcs'!BG64+0.27))*ttokg)/Constants!$H$21)/(365/'Net zero Intermediate calcs'!BG65)))</f>
        <v>1359755.6620945183</v>
      </c>
      <c r="BM10" s="110">
        <f>IF($AD$2="Off",'Activity data'!BM10,(((('Net zero Intermediate calcs'!BH9/('Net zero Intermediate calcs'!BH64+0.27))*ttokg)/Constants!$H$21)/(365/'Net zero Intermediate calcs'!BH65)))</f>
        <v>1384215.2392491424</v>
      </c>
      <c r="BN10" s="110">
        <f>IF($AD$2="Off",'Activity data'!BN10,(((('Net zero Intermediate calcs'!BI9/('Net zero Intermediate calcs'!BI64+0.27))*ttokg)/Constants!$H$21)/(365/'Net zero Intermediate calcs'!BI65)))</f>
        <v>1407315.8052346774</v>
      </c>
      <c r="BO10" s="110">
        <f>IF($AD$2="Off",'Activity data'!BO10,(((('Net zero Intermediate calcs'!BJ9/('Net zero Intermediate calcs'!BJ64+0.27))*ttokg)/Constants!$H$21)/(365/'Net zero Intermediate calcs'!BJ65)))</f>
        <v>1432871.6990553653</v>
      </c>
      <c r="BP10" s="110">
        <f>IF($AD$2="Off",'Activity data'!BP10,(((('Net zero Intermediate calcs'!BK9/('Net zero Intermediate calcs'!BK64+0.27))*ttokg)/Constants!$H$21)/(365/'Net zero Intermediate calcs'!BK65)))</f>
        <v>1457280.0035630902</v>
      </c>
      <c r="BQ10" s="111">
        <v>1714907.4323024135</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2"/>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('Net zero Intermediate calcs'!Y27*'Net zero Intermediate calcs'!Y28)*Constants!$H$22</f>
        <v>19015978.109920204</v>
      </c>
      <c r="AE11" s="24">
        <f>('Net zero Intermediate calcs'!Z27*'Net zero Intermediate calcs'!Z28)*Constants!$H$22</f>
        <v>19026240.670801673</v>
      </c>
      <c r="AF11" s="24">
        <f>('Net zero Intermediate calcs'!AA27*'Net zero Intermediate calcs'!AA28)*Constants!$H$22</f>
        <v>19049833.423283767</v>
      </c>
      <c r="AG11" s="24">
        <f>('Net zero Intermediate calcs'!AB27*'Net zero Intermediate calcs'!AB28)*Constants!$H$22</f>
        <v>19084859.062341545</v>
      </c>
      <c r="AH11" s="24">
        <f>('Net zero Intermediate calcs'!AC27*'Net zero Intermediate calcs'!AC28)*Constants!$H$22</f>
        <v>19132134.129473589</v>
      </c>
      <c r="AI11" s="24">
        <f>('Net zero Intermediate calcs'!AD27*'Net zero Intermediate calcs'!AD28)*Constants!$H$22</f>
        <v>19192608.724077564</v>
      </c>
      <c r="AJ11" s="24">
        <f>('Net zero Intermediate calcs'!AE27*'Net zero Intermediate calcs'!AE28)*Constants!$H$22</f>
        <v>19259245.436183929</v>
      </c>
      <c r="AK11" s="24">
        <f>('Net zero Intermediate calcs'!AF27*'Net zero Intermediate calcs'!AF28)*Constants!$H$22</f>
        <v>19331009.292671949</v>
      </c>
      <c r="AL11" s="24">
        <f>('Net zero Intermediate calcs'!AG27*'Net zero Intermediate calcs'!AG28)*Constants!$H$22</f>
        <v>19402108.703371886</v>
      </c>
      <c r="AM11" s="24">
        <f>('Net zero Intermediate calcs'!AH27*'Net zero Intermediate calcs'!AH28)*Constants!$H$22</f>
        <v>19427319.513170213</v>
      </c>
      <c r="AN11" s="24">
        <f>('Net zero Intermediate calcs'!AI27*'Net zero Intermediate calcs'!AI28)*Constants!$H$22</f>
        <v>19456460.660524372</v>
      </c>
      <c r="AO11" s="24">
        <f>('Net zero Intermediate calcs'!AJ27*'Net zero Intermediate calcs'!AJ28)*Constants!$H$22</f>
        <v>19489911.977334917</v>
      </c>
      <c r="AP11" s="24">
        <f>('Net zero Intermediate calcs'!AK27*'Net zero Intermediate calcs'!AK28)*Constants!$H$22</f>
        <v>19527941.704147018</v>
      </c>
      <c r="AQ11" s="24">
        <f>('Net zero Intermediate calcs'!AL27*'Net zero Intermediate calcs'!AL28)*Constants!$H$22</f>
        <v>19571139.759107526</v>
      </c>
      <c r="AR11" s="24">
        <f>('Net zero Intermediate calcs'!AM27*'Net zero Intermediate calcs'!AM28)*Constants!$H$22</f>
        <v>19596834.368574195</v>
      </c>
      <c r="AS11" s="24">
        <f>('Net zero Intermediate calcs'!AN27*'Net zero Intermediate calcs'!AN28)*Constants!$H$22</f>
        <v>19626249.086009569</v>
      </c>
      <c r="AT11" s="24">
        <f>('Net zero Intermediate calcs'!AO27*'Net zero Intermediate calcs'!AO28)*Constants!$H$22</f>
        <v>19658453.990467038</v>
      </c>
      <c r="AU11" s="24">
        <f>('Net zero Intermediate calcs'!AP27*'Net zero Intermediate calcs'!AP28)*Constants!$H$22</f>
        <v>19694294.423472732</v>
      </c>
      <c r="AV11" s="24">
        <f>('Net zero Intermediate calcs'!AQ27*'Net zero Intermediate calcs'!AQ28)*Constants!$H$22</f>
        <v>19733763.637151483</v>
      </c>
      <c r="AW11" s="24">
        <f>('Net zero Intermediate calcs'!AR27*'Net zero Intermediate calcs'!AR28)*Constants!$H$22</f>
        <v>19760519.082417767</v>
      </c>
      <c r="AX11" s="24">
        <f>('Net zero Intermediate calcs'!AS27*'Net zero Intermediate calcs'!AS28)*Constants!$H$22</f>
        <v>19790064.02282425</v>
      </c>
      <c r="AY11" s="24">
        <f>('Net zero Intermediate calcs'!AT27*'Net zero Intermediate calcs'!AT28)*Constants!$H$22</f>
        <v>19822185.862711906</v>
      </c>
      <c r="AZ11" s="24">
        <f>('Net zero Intermediate calcs'!AU27*'Net zero Intermediate calcs'!AU28)*Constants!$H$22</f>
        <v>19857252.979692426</v>
      </c>
      <c r="BA11" s="24">
        <f>('Net zero Intermediate calcs'!AV27*'Net zero Intermediate calcs'!AV28)*Constants!$H$22</f>
        <v>19893953.376030006</v>
      </c>
      <c r="BB11" s="24">
        <f>('Net zero Intermediate calcs'!AW27*'Net zero Intermediate calcs'!AW28)*Constants!$H$22</f>
        <v>19916709.903955787</v>
      </c>
      <c r="BC11" s="24">
        <f>('Net zero Intermediate calcs'!AX27*'Net zero Intermediate calcs'!AX28)*Constants!$H$22</f>
        <v>19941560.866672534</v>
      </c>
      <c r="BD11" s="24">
        <f>('Net zero Intermediate calcs'!AY27*'Net zero Intermediate calcs'!AY28)*Constants!$H$22</f>
        <v>19968099.064232621</v>
      </c>
      <c r="BE11" s="24">
        <f>('Net zero Intermediate calcs'!AZ27*'Net zero Intermediate calcs'!AZ28)*Constants!$H$22</f>
        <v>19996480.188604578</v>
      </c>
      <c r="BF11" s="24">
        <f>('Net zero Intermediate calcs'!BA27*'Net zero Intermediate calcs'!BA28)*Constants!$H$22</f>
        <v>20026846.008479167</v>
      </c>
      <c r="BG11" s="24">
        <f>('Net zero Intermediate calcs'!BB27*'Net zero Intermediate calcs'!BB28)*Constants!$H$22</f>
        <v>20043914.566029985</v>
      </c>
      <c r="BH11" s="24">
        <f>('Net zero Intermediate calcs'!BC27*'Net zero Intermediate calcs'!BC28)*Constants!$H$22</f>
        <v>20062229.167701647</v>
      </c>
      <c r="BI11" s="24">
        <f>('Net zero Intermediate calcs'!BD27*'Net zero Intermediate calcs'!BD28)*Constants!$H$22</f>
        <v>20082147.582088817</v>
      </c>
      <c r="BJ11" s="24">
        <f>('Net zero Intermediate calcs'!BE27*'Net zero Intermediate calcs'!BE28)*Constants!$H$22</f>
        <v>20103630.641147859</v>
      </c>
      <c r="BK11" s="24">
        <f>('Net zero Intermediate calcs'!BF27*'Net zero Intermediate calcs'!BF28)*Constants!$H$22</f>
        <v>20126930.131539661</v>
      </c>
      <c r="BL11" s="24">
        <f>('Net zero Intermediate calcs'!BG27*'Net zero Intermediate calcs'!BG28)*Constants!$H$22</f>
        <v>20136319.450600818</v>
      </c>
      <c r="BM11" s="24">
        <f>('Net zero Intermediate calcs'!BH27*'Net zero Intermediate calcs'!BH28)*Constants!$H$22</f>
        <v>20144200.488053665</v>
      </c>
      <c r="BN11" s="24">
        <f>('Net zero Intermediate calcs'!BI27*'Net zero Intermediate calcs'!BI28)*Constants!$H$22</f>
        <v>20153108.931740377</v>
      </c>
      <c r="BO11" s="24">
        <f>('Net zero Intermediate calcs'!BJ27*'Net zero Intermediate calcs'!BJ28)*Constants!$H$22</f>
        <v>20163581.030612953</v>
      </c>
      <c r="BP11" s="24">
        <f>('Net zero Intermediate calcs'!BK27*'Net zero Intermediate calcs'!BK28)*Constants!$H$22</f>
        <v>20175039.083051898</v>
      </c>
      <c r="BQ11" s="23">
        <v>20235541.527663115</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2"/>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('Net zero Intermediate calcs'!Y27*'Net zero Intermediate calcs'!Y28)*(1-Constants!$H$22)</f>
        <v>2841467.9934363523</v>
      </c>
      <c r="AE12" s="24">
        <f>('Net zero Intermediate calcs'!Z27*'Net zero Intermediate calcs'!Z28)*(1-Constants!$H$22)</f>
        <v>2843001.4795450778</v>
      </c>
      <c r="AF12" s="24">
        <f>('Net zero Intermediate calcs'!AA27*'Net zero Intermediate calcs'!AA28)*(1-Constants!$H$22)</f>
        <v>2846526.8333642413</v>
      </c>
      <c r="AG12" s="24">
        <f>('Net zero Intermediate calcs'!AB27*'Net zero Intermediate calcs'!AB28)*(1-Constants!$H$22)</f>
        <v>2851760.5495452886</v>
      </c>
      <c r="AH12" s="24">
        <f>('Net zero Intermediate calcs'!AC27*'Net zero Intermediate calcs'!AC28)*(1-Constants!$H$22)</f>
        <v>2858824.6400362835</v>
      </c>
      <c r="AI12" s="24">
        <f>('Net zero Intermediate calcs'!AD27*'Net zero Intermediate calcs'!AD28)*(1-Constants!$H$22)</f>
        <v>2867861.0737127396</v>
      </c>
      <c r="AJ12" s="24">
        <f>('Net zero Intermediate calcs'!AE27*'Net zero Intermediate calcs'!AE28)*(1-Constants!$H$22)</f>
        <v>2877818.283567714</v>
      </c>
      <c r="AK12" s="24">
        <f>('Net zero Intermediate calcs'!AF27*'Net zero Intermediate calcs'!AF28)*(1-Constants!$H$22)</f>
        <v>2888541.6184452334</v>
      </c>
      <c r="AL12" s="24">
        <f>('Net zero Intermediate calcs'!AG27*'Net zero Intermediate calcs'!AG28)*(1-Constants!$H$22)</f>
        <v>2899165.6683199373</v>
      </c>
      <c r="AM12" s="24">
        <f>('Net zero Intermediate calcs'!AH27*'Net zero Intermediate calcs'!AH28)*(1-Constants!$H$22)</f>
        <v>2902932.8008185374</v>
      </c>
      <c r="AN12" s="24">
        <f>('Net zero Intermediate calcs'!AI27*'Net zero Intermediate calcs'!AI28)*(1-Constants!$H$22)</f>
        <v>2907287.2251358256</v>
      </c>
      <c r="AO12" s="24">
        <f>('Net zero Intermediate calcs'!AJ27*'Net zero Intermediate calcs'!AJ28)*(1-Constants!$H$22)</f>
        <v>2912285.6977626886</v>
      </c>
      <c r="AP12" s="24">
        <f>('Net zero Intermediate calcs'!AK27*'Net zero Intermediate calcs'!AK28)*(1-Constants!$H$22)</f>
        <v>2917968.3006196697</v>
      </c>
      <c r="AQ12" s="24">
        <f>('Net zero Intermediate calcs'!AL27*'Net zero Intermediate calcs'!AL28)*(1-Constants!$H$22)</f>
        <v>2924423.1823953777</v>
      </c>
      <c r="AR12" s="24">
        <f>('Net zero Intermediate calcs'!AM27*'Net zero Intermediate calcs'!AM28)*(1-Constants!$H$22)</f>
        <v>2928262.606798443</v>
      </c>
      <c r="AS12" s="24">
        <f>('Net zero Intermediate calcs'!AN27*'Net zero Intermediate calcs'!AN28)*(1-Constants!$H$22)</f>
        <v>2932657.9094037293</v>
      </c>
      <c r="AT12" s="24">
        <f>('Net zero Intermediate calcs'!AO27*'Net zero Intermediate calcs'!AO28)*(1-Constants!$H$22)</f>
        <v>2937470.1365065691</v>
      </c>
      <c r="AU12" s="24">
        <f>('Net zero Intermediate calcs'!AP27*'Net zero Intermediate calcs'!AP28)*(1-Constants!$H$22)</f>
        <v>2942825.6035074196</v>
      </c>
      <c r="AV12" s="24">
        <f>('Net zero Intermediate calcs'!AQ27*'Net zero Intermediate calcs'!AQ28)*(1-Constants!$H$22)</f>
        <v>2948723.3021030952</v>
      </c>
      <c r="AW12" s="24">
        <f>('Net zero Intermediate calcs'!AR27*'Net zero Intermediate calcs'!AR28)*(1-Constants!$H$22)</f>
        <v>2952721.242200356</v>
      </c>
      <c r="AX12" s="24">
        <f>('Net zero Intermediate calcs'!AS27*'Net zero Intermediate calcs'!AS28)*(1-Constants!$H$22)</f>
        <v>2957136.00341052</v>
      </c>
      <c r="AY12" s="24">
        <f>('Net zero Intermediate calcs'!AT27*'Net zero Intermediate calcs'!AT28)*(1-Constants!$H$22)</f>
        <v>2961935.8185661472</v>
      </c>
      <c r="AZ12" s="24">
        <f>('Net zero Intermediate calcs'!AU27*'Net zero Intermediate calcs'!AU28)*(1-Constants!$H$22)</f>
        <v>2967175.7325977189</v>
      </c>
      <c r="BA12" s="24">
        <f>('Net zero Intermediate calcs'!AV27*'Net zero Intermediate calcs'!AV28)*(1-Constants!$H$22)</f>
        <v>2972659.6998665524</v>
      </c>
      <c r="BB12" s="24">
        <f>('Net zero Intermediate calcs'!AW27*'Net zero Intermediate calcs'!AW28)*(1-Constants!$H$22)</f>
        <v>2976060.1005910947</v>
      </c>
      <c r="BC12" s="24">
        <f>('Net zero Intermediate calcs'!AX27*'Net zero Intermediate calcs'!AX28)*(1-Constants!$H$22)</f>
        <v>2979773.4628361259</v>
      </c>
      <c r="BD12" s="24">
        <f>('Net zero Intermediate calcs'!AY27*'Net zero Intermediate calcs'!AY28)*(1-Constants!$H$22)</f>
        <v>2983738.9406324611</v>
      </c>
      <c r="BE12" s="24">
        <f>('Net zero Intermediate calcs'!AZ27*'Net zero Intermediate calcs'!AZ28)*(1-Constants!$H$22)</f>
        <v>2987979.7982972362</v>
      </c>
      <c r="BF12" s="24">
        <f>('Net zero Intermediate calcs'!BA27*'Net zero Intermediate calcs'!BA28)*(1-Constants!$H$22)</f>
        <v>2992517.2196578067</v>
      </c>
      <c r="BG12" s="24">
        <f>('Net zero Intermediate calcs'!BB27*'Net zero Intermediate calcs'!BB28)*(1-Constants!$H$22)</f>
        <v>2995067.6937745954</v>
      </c>
      <c r="BH12" s="24">
        <f>('Net zero Intermediate calcs'!BC27*'Net zero Intermediate calcs'!BC28)*(1-Constants!$H$22)</f>
        <v>2997804.3583922004</v>
      </c>
      <c r="BI12" s="24">
        <f>('Net zero Intermediate calcs'!BD27*'Net zero Intermediate calcs'!BD28)*(1-Constants!$H$22)</f>
        <v>3000780.6731856856</v>
      </c>
      <c r="BJ12" s="24">
        <f>('Net zero Intermediate calcs'!BE27*'Net zero Intermediate calcs'!BE28)*(1-Constants!$H$22)</f>
        <v>3003990.7854588754</v>
      </c>
      <c r="BK12" s="24">
        <f>('Net zero Intermediate calcs'!BF27*'Net zero Intermediate calcs'!BF28)*(1-Constants!$H$22)</f>
        <v>3007472.3185059265</v>
      </c>
      <c r="BL12" s="24">
        <f>('Net zero Intermediate calcs'!BG27*'Net zero Intermediate calcs'!BG28)*(1-Constants!$H$22)</f>
        <v>3008875.3202047199</v>
      </c>
      <c r="BM12" s="24">
        <f>('Net zero Intermediate calcs'!BH27*'Net zero Intermediate calcs'!BH28)*(1-Constants!$H$22)</f>
        <v>3010052.9464907777</v>
      </c>
      <c r="BN12" s="24">
        <f>('Net zero Intermediate calcs'!BI27*'Net zero Intermediate calcs'!BI28)*(1-Constants!$H$22)</f>
        <v>3011384.093248562</v>
      </c>
      <c r="BO12" s="24">
        <f>('Net zero Intermediate calcs'!BJ27*'Net zero Intermediate calcs'!BJ28)*(1-Constants!$H$22)</f>
        <v>3012948.8896318204</v>
      </c>
      <c r="BP12" s="24">
        <f>('Net zero Intermediate calcs'!BK27*'Net zero Intermediate calcs'!BK28)*(1-Constants!$H$22)</f>
        <v>3014661.012410054</v>
      </c>
      <c r="BQ12" s="23">
        <v>3023701.607581845</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2"/>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'Net zero Intermediate calcs'!Y22*'Net zero Intermediate calcs'!Y25*Constants!$H$23</f>
        <v>2067614.642656798</v>
      </c>
      <c r="AE13" s="24">
        <f>'Net zero Intermediate calcs'!Z22*'Net zero Intermediate calcs'!Z25*Constants!$H$23</f>
        <v>2072988.7168994576</v>
      </c>
      <c r="AF13" s="24">
        <f>'Net zero Intermediate calcs'!AA22*'Net zero Intermediate calcs'!AA25*Constants!$H$23</f>
        <v>2080235.7608107477</v>
      </c>
      <c r="AG13" s="24">
        <f>'Net zero Intermediate calcs'!AB22*'Net zero Intermediate calcs'!AB25*Constants!$H$23</f>
        <v>2089062.4763060827</v>
      </c>
      <c r="AH13" s="24">
        <f>'Net zero Intermediate calcs'!AC22*'Net zero Intermediate calcs'!AC25*Constants!$H$23</f>
        <v>2099634.7522200332</v>
      </c>
      <c r="AI13" s="24">
        <f>'Net zero Intermediate calcs'!AD22*'Net zero Intermediate calcs'!AD25*Constants!$H$23</f>
        <v>2112133.6230614381</v>
      </c>
      <c r="AJ13" s="24">
        <f>'Net zero Intermediate calcs'!AE22*'Net zero Intermediate calcs'!AE25*Constants!$H$23</f>
        <v>2125379.9594243024</v>
      </c>
      <c r="AK13" s="24">
        <f>'Net zero Intermediate calcs'!AF22*'Net zero Intermediate calcs'!AF25*Constants!$H$23</f>
        <v>2139218.7685610452</v>
      </c>
      <c r="AL13" s="24">
        <f>'Net zero Intermediate calcs'!AG22*'Net zero Intermediate calcs'!AG25*Constants!$H$23</f>
        <v>2152691.6803786336</v>
      </c>
      <c r="AM13" s="24">
        <f>'Net zero Intermediate calcs'!AH22*'Net zero Intermediate calcs'!AH25*Constants!$H$23</f>
        <v>2158871.1518625161</v>
      </c>
      <c r="AN13" s="24">
        <f>'Net zero Intermediate calcs'!AI22*'Net zero Intermediate calcs'!AI25*Constants!$H$23</f>
        <v>2165535.0758280959</v>
      </c>
      <c r="AO13" s="24">
        <f>'Net zero Intermediate calcs'!AJ22*'Net zero Intermediate calcs'!AJ25*Constants!$H$23</f>
        <v>2172757.6865047915</v>
      </c>
      <c r="AP13" s="24">
        <f>'Net zero Intermediate calcs'!AK22*'Net zero Intermediate calcs'!AK25*Constants!$H$23</f>
        <v>2180592.4512838051</v>
      </c>
      <c r="AQ13" s="24">
        <f>'Net zero Intermediate calcs'!AL22*'Net zero Intermediate calcs'!AL25*Constants!$H$23</f>
        <v>2189144.7698348155</v>
      </c>
      <c r="AR13" s="24">
        <f>'Net zero Intermediate calcs'!AM22*'Net zero Intermediate calcs'!AM25*Constants!$H$23</f>
        <v>2194649.3351718113</v>
      </c>
      <c r="AS13" s="24">
        <f>'Net zero Intermediate calcs'!AN22*'Net zero Intermediate calcs'!AN25*Constants!$H$23</f>
        <v>2200656.3872116311</v>
      </c>
      <c r="AT13" s="24">
        <f>'Net zero Intermediate calcs'!AO22*'Net zero Intermediate calcs'!AO25*Constants!$H$23</f>
        <v>2207016.5011669281</v>
      </c>
      <c r="AU13" s="24">
        <f>'Net zero Intermediate calcs'!AP22*'Net zero Intermediate calcs'!AP25*Constants!$H$23</f>
        <v>2213874.2752633416</v>
      </c>
      <c r="AV13" s="24">
        <f>'Net zero Intermediate calcs'!AQ22*'Net zero Intermediate calcs'!AQ25*Constants!$H$23</f>
        <v>2221232.0213697874</v>
      </c>
      <c r="AW13" s="24">
        <f>'Net zero Intermediate calcs'!AR22*'Net zero Intermediate calcs'!AR25*Constants!$H$23</f>
        <v>2226074.9830982564</v>
      </c>
      <c r="AX13" s="24">
        <f>'Net zero Intermediate calcs'!AS22*'Net zero Intermediate calcs'!AS25*Constants!$H$23</f>
        <v>2231295.4056526404</v>
      </c>
      <c r="AY13" s="24">
        <f>'Net zero Intermediate calcs'!AT22*'Net zero Intermediate calcs'!AT25*Constants!$H$23</f>
        <v>2236860.7897538398</v>
      </c>
      <c r="AZ13" s="24">
        <f>'Net zero Intermediate calcs'!AU22*'Net zero Intermediate calcs'!AU25*Constants!$H$23</f>
        <v>2242833.6889893389</v>
      </c>
      <c r="BA13" s="24">
        <f>'Net zero Intermediate calcs'!AV22*'Net zero Intermediate calcs'!AV25*Constants!$H$23</f>
        <v>2249001.2656106222</v>
      </c>
      <c r="BB13" s="24">
        <f>'Net zero Intermediate calcs'!AW22*'Net zero Intermediate calcs'!AW25*Constants!$H$23</f>
        <v>2252824.6348691038</v>
      </c>
      <c r="BC13" s="24">
        <f>'Net zero Intermediate calcs'!AX22*'Net zero Intermediate calcs'!AX25*Constants!$H$23</f>
        <v>2256931.5289434274</v>
      </c>
      <c r="BD13" s="24">
        <f>'Net zero Intermediate calcs'!AY22*'Net zero Intermediate calcs'!AY25*Constants!$H$23</f>
        <v>2261257.1118704318</v>
      </c>
      <c r="BE13" s="24">
        <f>'Net zero Intermediate calcs'!AZ22*'Net zero Intermediate calcs'!AZ25*Constants!$H$23</f>
        <v>2265828.172219194</v>
      </c>
      <c r="BF13" s="24">
        <f>'Net zero Intermediate calcs'!BA22*'Net zero Intermediate calcs'!BA25*Constants!$H$23</f>
        <v>2270668.8953284565</v>
      </c>
      <c r="BG13" s="24">
        <f>'Net zero Intermediate calcs'!BB22*'Net zero Intermediate calcs'!BB25*Constants!$H$23</f>
        <v>2273308.3380504865</v>
      </c>
      <c r="BH13" s="24">
        <f>'Net zero Intermediate calcs'!BC22*'Net zero Intermediate calcs'!BC25*Constants!$H$23</f>
        <v>2276108.0357723883</v>
      </c>
      <c r="BI13" s="24">
        <f>'Net zero Intermediate calcs'!BD22*'Net zero Intermediate calcs'!BD25*Constants!$H$23</f>
        <v>2279126.7508470975</v>
      </c>
      <c r="BJ13" s="24">
        <f>'Net zero Intermediate calcs'!BE22*'Net zero Intermediate calcs'!BE25*Constants!$H$23</f>
        <v>2282358.8672227631</v>
      </c>
      <c r="BK13" s="24">
        <f>'Net zero Intermediate calcs'!BF22*'Net zero Intermediate calcs'!BF25*Constants!$H$23</f>
        <v>2285845.4727006</v>
      </c>
      <c r="BL13" s="24">
        <f>'Net zero Intermediate calcs'!BG22*'Net zero Intermediate calcs'!BG25*Constants!$H$23</f>
        <v>2287063.3452138416</v>
      </c>
      <c r="BM13" s="24">
        <f>'Net zero Intermediate calcs'!BH22*'Net zero Intermediate calcs'!BH25*Constants!$H$23</f>
        <v>2288011.3846140928</v>
      </c>
      <c r="BN13" s="24">
        <f>'Net zero Intermediate calcs'!BI22*'Net zero Intermediate calcs'!BI25*Constants!$H$23</f>
        <v>2289097.7022010405</v>
      </c>
      <c r="BO13" s="24">
        <f>'Net zero Intermediate calcs'!BJ22*'Net zero Intermediate calcs'!BJ25*Constants!$H$23</f>
        <v>2290408.4783192039</v>
      </c>
      <c r="BP13" s="24">
        <f>'Net zero Intermediate calcs'!BK22*'Net zero Intermediate calcs'!BK25*Constants!$H$23</f>
        <v>2291851.6496943706</v>
      </c>
      <c r="BQ13" s="23">
        <v>2288591.5024888623</v>
      </c>
    </row>
    <row r="14" spans="1:72" s="23" customFormat="1" x14ac:dyDescent="0.25">
      <c r="A14" s="23" t="str">
        <f t="shared" si="1"/>
        <v>3A Livestock</v>
      </c>
      <c r="C14" s="23" t="str">
        <f>C13</f>
        <v>3A1d Goats</v>
      </c>
      <c r="D14" t="str">
        <f>$D$12</f>
        <v>Subsistence</v>
      </c>
      <c r="E14" s="23" t="str">
        <f t="shared" si="2"/>
        <v>Population</v>
      </c>
      <c r="F14" s="23" t="str">
        <f t="shared" si="2"/>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'Net zero Intermediate calcs'!Y22*'Net zero Intermediate calcs'!Y25*(1-Constants!$H$23)</f>
        <v>4013604.8945690775</v>
      </c>
      <c r="AE14" s="24">
        <f>'Net zero Intermediate calcs'!Z22*'Net zero Intermediate calcs'!Z25*(1-Constants!$H$23)</f>
        <v>4024036.9210401229</v>
      </c>
      <c r="AF14" s="24">
        <f>'Net zero Intermediate calcs'!AA22*'Net zero Intermediate calcs'!AA25*(1-Constants!$H$23)</f>
        <v>4038104.7121620388</v>
      </c>
      <c r="AG14" s="24">
        <f>'Net zero Intermediate calcs'!AB22*'Net zero Intermediate calcs'!AB25*(1-Constants!$H$23)</f>
        <v>4055238.9245941597</v>
      </c>
      <c r="AH14" s="24">
        <f>'Net zero Intermediate calcs'!AC22*'Net zero Intermediate calcs'!AC25*(1-Constants!$H$23)</f>
        <v>4075761.5778388875</v>
      </c>
      <c r="AI14" s="24">
        <f>'Net zero Intermediate calcs'!AD22*'Net zero Intermediate calcs'!AD25*(1-Constants!$H$23)</f>
        <v>4100024.0918251434</v>
      </c>
      <c r="AJ14" s="24">
        <f>'Net zero Intermediate calcs'!AE22*'Net zero Intermediate calcs'!AE25*(1-Constants!$H$23)</f>
        <v>4125737.5682942332</v>
      </c>
      <c r="AK14" s="24">
        <f>'Net zero Intermediate calcs'!AF22*'Net zero Intermediate calcs'!AF25*(1-Constants!$H$23)</f>
        <v>4152601.1389714396</v>
      </c>
      <c r="AL14" s="24">
        <f>'Net zero Intermediate calcs'!AG22*'Net zero Intermediate calcs'!AG25*(1-Constants!$H$23)</f>
        <v>4178754.4383820524</v>
      </c>
      <c r="AM14" s="24">
        <f>'Net zero Intermediate calcs'!AH22*'Net zero Intermediate calcs'!AH25*(1-Constants!$H$23)</f>
        <v>4190749.8830272364</v>
      </c>
      <c r="AN14" s="24">
        <f>'Net zero Intermediate calcs'!AI22*'Net zero Intermediate calcs'!AI25*(1-Constants!$H$23)</f>
        <v>4203685.735431009</v>
      </c>
      <c r="AO14" s="24">
        <f>'Net zero Intermediate calcs'!AJ22*'Net zero Intermediate calcs'!AJ25*(1-Constants!$H$23)</f>
        <v>4217706.0973328296</v>
      </c>
      <c r="AP14" s="24">
        <f>'Net zero Intermediate calcs'!AK22*'Net zero Intermediate calcs'!AK25*(1-Constants!$H$23)</f>
        <v>4232914.7583744442</v>
      </c>
      <c r="AQ14" s="24">
        <f>'Net zero Intermediate calcs'!AL22*'Net zero Intermediate calcs'!AL25*(1-Constants!$H$23)</f>
        <v>4249516.3179146415</v>
      </c>
      <c r="AR14" s="24">
        <f>'Net zero Intermediate calcs'!AM22*'Net zero Intermediate calcs'!AM25*(1-Constants!$H$23)</f>
        <v>4260201.6506276326</v>
      </c>
      <c r="AS14" s="24">
        <f>'Net zero Intermediate calcs'!AN22*'Net zero Intermediate calcs'!AN25*(1-Constants!$H$23)</f>
        <v>4271862.3987049302</v>
      </c>
      <c r="AT14" s="24">
        <f>'Net zero Intermediate calcs'!AO22*'Net zero Intermediate calcs'!AO25*(1-Constants!$H$23)</f>
        <v>4284208.5022652121</v>
      </c>
      <c r="AU14" s="24">
        <f>'Net zero Intermediate calcs'!AP22*'Net zero Intermediate calcs'!AP25*(1-Constants!$H$23)</f>
        <v>4297520.6519817803</v>
      </c>
      <c r="AV14" s="24">
        <f>'Net zero Intermediate calcs'!AQ22*'Net zero Intermediate calcs'!AQ25*(1-Constants!$H$23)</f>
        <v>4311803.335600174</v>
      </c>
      <c r="AW14" s="24">
        <f>'Net zero Intermediate calcs'!AR22*'Net zero Intermediate calcs'!AR25*(1-Constants!$H$23)</f>
        <v>4321204.3789554378</v>
      </c>
      <c r="AX14" s="24">
        <f>'Net zero Intermediate calcs'!AS22*'Net zero Intermediate calcs'!AS25*(1-Constants!$H$23)</f>
        <v>4331338.1403845362</v>
      </c>
      <c r="AY14" s="24">
        <f>'Net zero Intermediate calcs'!AT22*'Net zero Intermediate calcs'!AT25*(1-Constants!$H$23)</f>
        <v>4342141.5330515699</v>
      </c>
      <c r="AZ14" s="24">
        <f>'Net zero Intermediate calcs'!AU22*'Net zero Intermediate calcs'!AU25*(1-Constants!$H$23)</f>
        <v>4353735.9845087156</v>
      </c>
      <c r="BA14" s="24">
        <f>'Net zero Intermediate calcs'!AV22*'Net zero Intermediate calcs'!AV25*(1-Constants!$H$23)</f>
        <v>4365708.3391265012</v>
      </c>
      <c r="BB14" s="24">
        <f>'Net zero Intermediate calcs'!AW22*'Net zero Intermediate calcs'!AW25*(1-Constants!$H$23)</f>
        <v>4373130.1735694353</v>
      </c>
      <c r="BC14" s="24">
        <f>'Net zero Intermediate calcs'!AX22*'Net zero Intermediate calcs'!AX25*(1-Constants!$H$23)</f>
        <v>4381102.3797137104</v>
      </c>
      <c r="BD14" s="24">
        <f>'Net zero Intermediate calcs'!AY22*'Net zero Intermediate calcs'!AY25*(1-Constants!$H$23)</f>
        <v>4389499.0995131908</v>
      </c>
      <c r="BE14" s="24">
        <f>'Net zero Intermediate calcs'!AZ22*'Net zero Intermediate calcs'!AZ25*(1-Constants!$H$23)</f>
        <v>4398372.3343078457</v>
      </c>
      <c r="BF14" s="24">
        <f>'Net zero Intermediate calcs'!BA22*'Net zero Intermediate calcs'!BA25*(1-Constants!$H$23)</f>
        <v>4407769.0321081793</v>
      </c>
      <c r="BG14" s="24">
        <f>'Net zero Intermediate calcs'!BB22*'Net zero Intermediate calcs'!BB25*(1-Constants!$H$23)</f>
        <v>4412892.65621565</v>
      </c>
      <c r="BH14" s="24">
        <f>'Net zero Intermediate calcs'!BC22*'Net zero Intermediate calcs'!BC25*(1-Constants!$H$23)</f>
        <v>4418327.3635581648</v>
      </c>
      <c r="BI14" s="24">
        <f>'Net zero Intermediate calcs'!BD22*'Net zero Intermediate calcs'!BD25*(1-Constants!$H$23)</f>
        <v>4424187.2222326007</v>
      </c>
      <c r="BJ14" s="24">
        <f>'Net zero Intermediate calcs'!BE22*'Net zero Intermediate calcs'!BE25*(1-Constants!$H$23)</f>
        <v>4430461.3304912457</v>
      </c>
      <c r="BK14" s="24">
        <f>'Net zero Intermediate calcs'!BF22*'Net zero Intermediate calcs'!BF25*(1-Constants!$H$23)</f>
        <v>4437229.4470070461</v>
      </c>
      <c r="BL14" s="24">
        <f>'Net zero Intermediate calcs'!BG22*'Net zero Intermediate calcs'!BG25*(1-Constants!$H$23)</f>
        <v>4439593.5524739269</v>
      </c>
      <c r="BM14" s="24">
        <f>'Net zero Intermediate calcs'!BH22*'Net zero Intermediate calcs'!BH25*(1-Constants!$H$23)</f>
        <v>4441433.8642508844</v>
      </c>
      <c r="BN14" s="24">
        <f>'Net zero Intermediate calcs'!BI22*'Net zero Intermediate calcs'!BI25*(1-Constants!$H$23)</f>
        <v>4443542.5983902542</v>
      </c>
      <c r="BO14" s="24">
        <f>'Net zero Intermediate calcs'!BJ22*'Net zero Intermediate calcs'!BJ25*(1-Constants!$H$23)</f>
        <v>4446087.0461490415</v>
      </c>
      <c r="BP14" s="24">
        <f>'Net zero Intermediate calcs'!BK22*'Net zero Intermediate calcs'!BK25*(1-Constants!$H$23)</f>
        <v>4448888.4964655424</v>
      </c>
      <c r="BQ14" s="23">
        <v>4442559.9754195558</v>
      </c>
    </row>
    <row r="15" spans="1:72" s="23" customFormat="1" x14ac:dyDescent="0.25">
      <c r="A15" s="23" t="str">
        <f t="shared" si="1"/>
        <v>3A Livestock</v>
      </c>
      <c r="C15" s="23" t="str">
        <f>'IPCC Categories'!$C$9</f>
        <v>3A1f Horses</v>
      </c>
      <c r="D15" t="str">
        <f>'IPCC Categories'!$F$42</f>
        <v>Horses</v>
      </c>
      <c r="E15" s="23" t="str">
        <f t="shared" si="2"/>
        <v>Population</v>
      </c>
      <c r="F15" s="23" t="str">
        <f t="shared" si="2"/>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309028.21482486243</v>
      </c>
      <c r="AE15" s="24">
        <f>((Data!$AJ$61*((Drivers!AA5*1000000)/Drivers!AA4))+Data!$AK$61)</f>
        <v>311109.49077674747</v>
      </c>
      <c r="AF15" s="24">
        <f>((Data!$AJ$61*((Drivers!AB5*1000000)/Drivers!AB4))+Data!$AK$61)</f>
        <v>312368.726893201</v>
      </c>
      <c r="AG15" s="24">
        <f>((Data!$AJ$61*((Drivers!AC5*1000000)/Drivers!AC4))+Data!$AK$61)</f>
        <v>310711.90538947925</v>
      </c>
      <c r="AH15" s="24">
        <f>((Data!$AJ$61*((Drivers!AD5*1000000)/Drivers!AD4))+Data!$AK$61)</f>
        <v>309018.75882889726</v>
      </c>
      <c r="AI15" s="24">
        <f>((Data!$AJ$61*((Drivers!AE5*1000000)/Drivers!AE4))+Data!$AK$61)</f>
        <v>310067.87140764558</v>
      </c>
      <c r="AJ15" s="24">
        <f>((Data!$AJ$61*((Drivers!AF5*1000000)/Drivers!AF4))+Data!$AK$61)</f>
        <v>310203.40095841023</v>
      </c>
      <c r="AK15" s="24">
        <f>((Data!$AJ$61*((Drivers!AG5*1000000)/Drivers!AG4))+Data!$AK$61)</f>
        <v>307310.42974195653</v>
      </c>
      <c r="AL15" s="24">
        <f>((Data!$AJ$61*((Drivers!AH5*1000000)/Drivers!AH4))+Data!$AK$61)</f>
        <v>291417.48625663668</v>
      </c>
      <c r="AM15" s="24">
        <f>((Data!$AJ$61*((Drivers!AI5*1000000)/Drivers!AI4))+Data!$AK$61)</f>
        <v>296267.12707988336</v>
      </c>
      <c r="AN15" s="24">
        <f>((Data!$AJ$61*((Drivers!AJ5*1000000)/Drivers!AJ4))+Data!$AK$61)</f>
        <v>299454.18407005235</v>
      </c>
      <c r="AO15" s="24">
        <f>((Data!$AJ$61*((Drivers!AK5*1000000)/Drivers!AK4))+Data!$AK$61)</f>
        <v>302235.01720775856</v>
      </c>
      <c r="AP15" s="24">
        <f>((Data!$AJ$61*((Drivers!AL5*1000000)/Drivers!AL4))+Data!$AK$61)</f>
        <v>305572.60015256866</v>
      </c>
      <c r="AQ15" s="24">
        <f>((Data!$AJ$61*((Drivers!AM5*1000000)/Drivers!AM4))+Data!$AK$61)</f>
        <v>310935.7271768942</v>
      </c>
      <c r="AR15" s="24">
        <f>((Data!$AJ$61*((Drivers!AN5*1000000)/Drivers!AN4))+Data!$AK$61)</f>
        <v>317067.33587666636</v>
      </c>
      <c r="AS15" s="24">
        <f>((Data!$AJ$61*((Drivers!AO5*1000000)/Drivers!AO4))+Data!$AK$61)</f>
        <v>323693.44719337235</v>
      </c>
      <c r="AT15" s="24">
        <f>((Data!$AJ$61*((Drivers!AP5*1000000)/Drivers!AP4))+Data!$AK$61)</f>
        <v>329450.58294558077</v>
      </c>
      <c r="AU15" s="24">
        <f>((Data!$AJ$61*((Drivers!AQ5*1000000)/Drivers!AQ4))+Data!$AK$61)</f>
        <v>336124.42724780034</v>
      </c>
      <c r="AV15" s="24">
        <f>((Data!$AJ$61*((Drivers!AR5*1000000)/Drivers!AR4))+Data!$AK$61)</f>
        <v>343932.94455007225</v>
      </c>
      <c r="AW15" s="24">
        <f>((Data!$AJ$61*((Drivers!AS5*1000000)/Drivers!AS4))+Data!$AK$61)</f>
        <v>351780.39813392184</v>
      </c>
      <c r="AX15" s="24">
        <f>((Data!$AJ$61*((Drivers!AT5*1000000)/Drivers!AT4))+Data!$AK$61)</f>
        <v>359970.25786443474</v>
      </c>
      <c r="AY15" s="24">
        <f>((Data!$AJ$61*((Drivers!AU5*1000000)/Drivers!AU4))+Data!$AK$61)</f>
        <v>368314.94094541977</v>
      </c>
      <c r="AZ15" s="24">
        <f>((Data!$AJ$61*((Drivers!AV5*1000000)/Drivers!AV4))+Data!$AK$61)</f>
        <v>377624.15751612128</v>
      </c>
      <c r="BA15" s="24">
        <f>((Data!$AJ$61*((Drivers!AW5*1000000)/Drivers!AW4))+Data!$AK$61)</f>
        <v>385767.15791927977</v>
      </c>
      <c r="BB15" s="24">
        <f>((Data!$AJ$61*((Drivers!AX5*1000000)/Drivers!AX4))+Data!$AK$61)</f>
        <v>394715.64380230469</v>
      </c>
      <c r="BC15" s="24">
        <f>((Data!$AJ$61*((Drivers!AY5*1000000)/Drivers!AY4))+Data!$AK$61)</f>
        <v>403812.62364224845</v>
      </c>
      <c r="BD15" s="24">
        <f>((Data!$AJ$61*((Drivers!AZ5*1000000)/Drivers!AZ4))+Data!$AK$61)</f>
        <v>412484.39145008556</v>
      </c>
      <c r="BE15" s="24">
        <f>((Data!$AJ$61*((Drivers!BA5*1000000)/Drivers!BA4))+Data!$AK$61)</f>
        <v>421117.89382583258</v>
      </c>
      <c r="BF15" s="24">
        <f>((Data!$AJ$61*((Drivers!BB5*1000000)/Drivers!BB4))+Data!$AK$61)</f>
        <v>430062.37784765434</v>
      </c>
      <c r="BG15" s="24">
        <f>((Data!$AJ$61*((Drivers!BC5*1000000)/Drivers!BC4))+Data!$AK$61)</f>
        <v>439795.81987288076</v>
      </c>
      <c r="BH15" s="24">
        <f>((Data!$AJ$61*((Drivers!BD5*1000000)/Drivers!BD4))+Data!$AK$61)</f>
        <v>448949.70744499733</v>
      </c>
      <c r="BI15" s="24">
        <f>((Data!$AJ$61*((Drivers!BE5*1000000)/Drivers!BE4))+Data!$AK$61)</f>
        <v>458224.29357395851</v>
      </c>
      <c r="BJ15" s="24">
        <f>((Data!$AJ$61*((Drivers!BF5*1000000)/Drivers!BF4))+Data!$AK$61)</f>
        <v>467636.69872761058</v>
      </c>
      <c r="BK15" s="24">
        <f>((Data!$AJ$61*((Drivers!BG5*1000000)/Drivers!BG4))+Data!$AK$61)</f>
        <v>477687.79124097835</v>
      </c>
      <c r="BL15" s="24">
        <f>((Data!$AJ$61*((Drivers!BH5*1000000)/Drivers!BH4))+Data!$AK$61)</f>
        <v>488374.84363116487</v>
      </c>
      <c r="BM15" s="24">
        <f>((Data!$AJ$61*((Drivers!BI5*1000000)/Drivers!BI4))+Data!$AK$61)</f>
        <v>494397.26415126788</v>
      </c>
      <c r="BN15" s="24">
        <f>((Data!$AJ$61*((Drivers!BJ5*1000000)/Drivers!BJ4))+Data!$AK$61)</f>
        <v>500093.47763044975</v>
      </c>
      <c r="BO15" s="24">
        <f>((Data!$AJ$61*((Drivers!BK5*1000000)/Drivers!BK4))+Data!$AK$61)</f>
        <v>506426.13931096264</v>
      </c>
      <c r="BP15" s="24">
        <f>((Data!$AJ$61*((Drivers!BL5*1000000)/Drivers!BL4))+Data!$AK$61)</f>
        <v>512488.59166730172</v>
      </c>
      <c r="BQ15" s="23">
        <v>439500.1913407169</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2"/>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 si="3">AC16</f>
        <v>167000</v>
      </c>
      <c r="AE16" s="24">
        <f t="shared" ref="AE16" si="4">AD16</f>
        <v>167000</v>
      </c>
      <c r="AF16" s="24">
        <f t="shared" ref="AF16" si="5">AE16</f>
        <v>167000</v>
      </c>
      <c r="AG16" s="24">
        <f t="shared" ref="AG16" si="6">AF16</f>
        <v>167000</v>
      </c>
      <c r="AH16" s="24">
        <f t="shared" ref="AH16" si="7">AG16</f>
        <v>167000</v>
      </c>
      <c r="AI16" s="24">
        <f t="shared" ref="AI16" si="8">AH16</f>
        <v>167000</v>
      </c>
      <c r="AJ16" s="24">
        <f t="shared" ref="AJ16" si="9">AI16</f>
        <v>167000</v>
      </c>
      <c r="AK16" s="24">
        <f t="shared" ref="AK16" si="10">AJ16</f>
        <v>167000</v>
      </c>
      <c r="AL16" s="24">
        <f t="shared" ref="AL16" si="11">AK16</f>
        <v>167000</v>
      </c>
      <c r="AM16" s="24">
        <f t="shared" ref="AM16" si="12">AL16</f>
        <v>167000</v>
      </c>
      <c r="AN16" s="24">
        <f t="shared" ref="AN16" si="13">AM16</f>
        <v>167000</v>
      </c>
      <c r="AO16" s="24">
        <f t="shared" ref="AO16" si="14">AN16</f>
        <v>167000</v>
      </c>
      <c r="AP16" s="24">
        <f t="shared" ref="AP16" si="15">AO16</f>
        <v>167000</v>
      </c>
      <c r="AQ16" s="24">
        <f t="shared" ref="AQ16" si="16">AP16</f>
        <v>167000</v>
      </c>
      <c r="AR16" s="24">
        <f t="shared" ref="AR16" si="17">AQ16</f>
        <v>167000</v>
      </c>
      <c r="AS16" s="24">
        <f t="shared" ref="AS16" si="18">AR16</f>
        <v>167000</v>
      </c>
      <c r="AT16" s="24">
        <f t="shared" ref="AT16" si="19">AS16</f>
        <v>167000</v>
      </c>
      <c r="AU16" s="24">
        <f t="shared" ref="AU16" si="20">AT16</f>
        <v>167000</v>
      </c>
      <c r="AV16" s="24">
        <f t="shared" ref="AV16" si="21">AU16</f>
        <v>167000</v>
      </c>
      <c r="AW16" s="24">
        <f t="shared" ref="AW16" si="22">AV16</f>
        <v>167000</v>
      </c>
      <c r="AX16" s="24">
        <f t="shared" ref="AX16" si="23">AW16</f>
        <v>167000</v>
      </c>
      <c r="AY16" s="24">
        <f t="shared" ref="AY16" si="24">AX16</f>
        <v>167000</v>
      </c>
      <c r="AZ16" s="24">
        <f t="shared" ref="AZ16" si="25">AY16</f>
        <v>167000</v>
      </c>
      <c r="BA16" s="24">
        <f t="shared" ref="BA16" si="26">AZ16</f>
        <v>167000</v>
      </c>
      <c r="BB16" s="24">
        <f t="shared" ref="BB16" si="27">BA16</f>
        <v>167000</v>
      </c>
      <c r="BC16" s="24">
        <f t="shared" ref="BC16" si="28">BB16</f>
        <v>167000</v>
      </c>
      <c r="BD16" s="24">
        <f t="shared" ref="BD16" si="29">BC16</f>
        <v>167000</v>
      </c>
      <c r="BE16" s="24">
        <f t="shared" ref="BE16" si="30">BD16</f>
        <v>167000</v>
      </c>
      <c r="BF16" s="24">
        <f t="shared" ref="BF16" si="31">BE16</f>
        <v>167000</v>
      </c>
      <c r="BG16" s="24">
        <f t="shared" ref="BG16" si="32">BF16</f>
        <v>167000</v>
      </c>
      <c r="BH16" s="24">
        <f t="shared" ref="BH16" si="33">BG16</f>
        <v>167000</v>
      </c>
      <c r="BI16" s="24">
        <f t="shared" ref="BI16" si="34">BH16</f>
        <v>167000</v>
      </c>
      <c r="BJ16" s="24">
        <f t="shared" ref="BJ16" si="35">BI16</f>
        <v>167000</v>
      </c>
      <c r="BK16" s="24">
        <f t="shared" ref="BK16" si="36">BJ16</f>
        <v>167000</v>
      </c>
      <c r="BL16" s="24">
        <f t="shared" ref="BL16" si="37">BK16</f>
        <v>167000</v>
      </c>
      <c r="BM16" s="24">
        <f t="shared" ref="BM16" si="38">BL16</f>
        <v>167000</v>
      </c>
      <c r="BN16" s="24">
        <f t="shared" ref="BN16" si="39">BM16</f>
        <v>167000</v>
      </c>
      <c r="BO16" s="24">
        <f t="shared" ref="BO16" si="40">BN16</f>
        <v>167000</v>
      </c>
      <c r="BP16" s="24">
        <f t="shared" ref="BP16" si="41">BO16</f>
        <v>167000</v>
      </c>
      <c r="BQ16" s="23">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2"/>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'Net zero Intermediate calcs'!Y32*'Net zero Intermediate calcs'!Y33*Constants!$H$24</f>
        <v>1662639.7620173867</v>
      </c>
      <c r="AE17" s="24">
        <f>'Net zero Intermediate calcs'!Z32*'Net zero Intermediate calcs'!Z33*Constants!$H$24</f>
        <v>1659701.2391141164</v>
      </c>
      <c r="AF17" s="24">
        <f>'Net zero Intermediate calcs'!AA32*'Net zero Intermediate calcs'!AA33*Constants!$H$24</f>
        <v>1650389.446765966</v>
      </c>
      <c r="AG17" s="24">
        <f>'Net zero Intermediate calcs'!AB32*'Net zero Intermediate calcs'!AB33*Constants!$H$24</f>
        <v>1613971.4933432096</v>
      </c>
      <c r="AH17" s="24">
        <f>'Net zero Intermediate calcs'!AC32*'Net zero Intermediate calcs'!AC33*Constants!$H$24</f>
        <v>1579532.4314629554</v>
      </c>
      <c r="AI17" s="24">
        <f>'Net zero Intermediate calcs'!AD32*'Net zero Intermediate calcs'!AD33*Constants!$H$24</f>
        <v>1573973.8935418692</v>
      </c>
      <c r="AJ17" s="24">
        <f>'Net zero Intermediate calcs'!AE32*'Net zero Intermediate calcs'!AE33*Constants!$H$24</f>
        <v>1560480.4598362304</v>
      </c>
      <c r="AK17" s="24">
        <f>'Net zero Intermediate calcs'!AF32*'Net zero Intermediate calcs'!AF33*Constants!$H$24</f>
        <v>1518921.6065929763</v>
      </c>
      <c r="AL17" s="24">
        <f>'Net zero Intermediate calcs'!AG32*'Net zero Intermediate calcs'!AG33*Constants!$H$24</f>
        <v>1354807.7952915137</v>
      </c>
      <c r="AM17" s="24">
        <f>'Net zero Intermediate calcs'!AH32*'Net zero Intermediate calcs'!AH33*Constants!$H$24</f>
        <v>1383673.7505859332</v>
      </c>
      <c r="AN17" s="24">
        <f>'Net zero Intermediate calcs'!AI32*'Net zero Intermediate calcs'!AI33*Constants!$H$24</f>
        <v>1396811.2998363478</v>
      </c>
      <c r="AO17" s="24">
        <f>'Net zero Intermediate calcs'!AJ32*'Net zero Intermediate calcs'!AJ33*Constants!$H$24</f>
        <v>1406299.6476261832</v>
      </c>
      <c r="AP17" s="24">
        <f>'Net zero Intermediate calcs'!AK32*'Net zero Intermediate calcs'!AK33*Constants!$H$24</f>
        <v>1421011.4563036875</v>
      </c>
      <c r="AQ17" s="24">
        <f>'Net zero Intermediate calcs'!AL32*'Net zero Intermediate calcs'!AL33*Constants!$H$24</f>
        <v>1454015.8158395153</v>
      </c>
      <c r="AR17" s="24">
        <f>'Net zero Intermediate calcs'!AM32*'Net zero Intermediate calcs'!AM33*Constants!$H$24</f>
        <v>1491181.8989774229</v>
      </c>
      <c r="AS17" s="24">
        <f>'Net zero Intermediate calcs'!AN32*'Net zero Intermediate calcs'!AN33*Constants!$H$24</f>
        <v>1532093.3928413352</v>
      </c>
      <c r="AT17" s="24">
        <f>'Net zero Intermediate calcs'!AO32*'Net zero Intermediate calcs'!AO33*Constants!$H$24</f>
        <v>1564733.1890049209</v>
      </c>
      <c r="AU17" s="24">
        <f>'Net zero Intermediate calcs'!AP32*'Net zero Intermediate calcs'!AP33*Constants!$H$24</f>
        <v>1604765.3714146377</v>
      </c>
      <c r="AV17" s="24">
        <f>'Net zero Intermediate calcs'!AQ32*'Net zero Intermediate calcs'!AQ33*Constants!$H$24</f>
        <v>1653807.7204926384</v>
      </c>
      <c r="AW17" s="24">
        <f>'Net zero Intermediate calcs'!AR32*'Net zero Intermediate calcs'!AR33*Constants!$H$24</f>
        <v>1700362.5874670078</v>
      </c>
      <c r="AX17" s="24">
        <f>'Net zero Intermediate calcs'!AS32*'Net zero Intermediate calcs'!AS33*Constants!$H$24</f>
        <v>1748813.1333295722</v>
      </c>
      <c r="AY17" s="24">
        <f>'Net zero Intermediate calcs'!AT32*'Net zero Intermediate calcs'!AT33*Constants!$H$24</f>
        <v>1797538.9950597496</v>
      </c>
      <c r="AZ17" s="24">
        <f>'Net zero Intermediate calcs'!AU32*'Net zero Intermediate calcs'!AU33*Constants!$H$24</f>
        <v>1853123.8638643369</v>
      </c>
      <c r="BA17" s="24">
        <f>'Net zero Intermediate calcs'!AV32*'Net zero Intermediate calcs'!AV33*Constants!$H$24</f>
        <v>1898143.9938761145</v>
      </c>
      <c r="BB17" s="24">
        <f>'Net zero Intermediate calcs'!AW32*'Net zero Intermediate calcs'!AW33*Constants!$H$24</f>
        <v>1946388.4845796728</v>
      </c>
      <c r="BC17" s="24">
        <f>'Net zero Intermediate calcs'!AX32*'Net zero Intermediate calcs'!AX33*Constants!$H$24</f>
        <v>1994632.4130785267</v>
      </c>
      <c r="BD17" s="24">
        <f>'Net zero Intermediate calcs'!AY32*'Net zero Intermediate calcs'!AY33*Constants!$H$24</f>
        <v>2038391.0486970635</v>
      </c>
      <c r="BE17" s="24">
        <f>'Net zero Intermediate calcs'!AZ32*'Net zero Intermediate calcs'!AZ33*Constants!$H$24</f>
        <v>2080777.5982731057</v>
      </c>
      <c r="BF17" s="24">
        <f>'Net zero Intermediate calcs'!BA32*'Net zero Intermediate calcs'!BA33*Constants!$H$24</f>
        <v>2124475.1207851768</v>
      </c>
      <c r="BG17" s="24">
        <f>'Net zero Intermediate calcs'!BB32*'Net zero Intermediate calcs'!BB33*Constants!$H$24</f>
        <v>2170675.2222298179</v>
      </c>
      <c r="BH17" s="24">
        <f>'Net zero Intermediate calcs'!BC32*'Net zero Intermediate calcs'!BC33*Constants!$H$24</f>
        <v>2211259.8611469739</v>
      </c>
      <c r="BI17" s="24">
        <f>'Net zero Intermediate calcs'!BD32*'Net zero Intermediate calcs'!BD33*Constants!$H$24</f>
        <v>2251539.049670612</v>
      </c>
      <c r="BJ17" s="24">
        <f>'Net zero Intermediate calcs'!BE32*'Net zero Intermediate calcs'!BE33*Constants!$H$24</f>
        <v>2291620.5530043561</v>
      </c>
      <c r="BK17" s="24">
        <f>'Net zero Intermediate calcs'!BF32*'Net zero Intermediate calcs'!BF33*Constants!$H$24</f>
        <v>2335062.8329973486</v>
      </c>
      <c r="BL17" s="24">
        <f>'Net zero Intermediate calcs'!BG32*'Net zero Intermediate calcs'!BG33*Constants!$H$24</f>
        <v>2379129.8437381336</v>
      </c>
      <c r="BM17" s="24">
        <f>'Net zero Intermediate calcs'!BH32*'Net zero Intermediate calcs'!BH33*Constants!$H$24</f>
        <v>2389248.3283654652</v>
      </c>
      <c r="BN17" s="24">
        <f>'Net zero Intermediate calcs'!BI32*'Net zero Intermediate calcs'!BI33*Constants!$H$24</f>
        <v>2396515.6568333516</v>
      </c>
      <c r="BO17" s="24">
        <f>'Net zero Intermediate calcs'!BJ32*'Net zero Intermediate calcs'!BJ33*Constants!$H$24</f>
        <v>2407543.8590259203</v>
      </c>
      <c r="BP17" s="24">
        <f>'Net zero Intermediate calcs'!BK32*'Net zero Intermediate calcs'!BK33*Constants!$H$24</f>
        <v>2416099.949450694</v>
      </c>
      <c r="BQ17" s="23">
        <v>1950275.6349015508</v>
      </c>
    </row>
    <row r="18" spans="1:72" s="23" customFormat="1" x14ac:dyDescent="0.25">
      <c r="A18" s="23" t="str">
        <f t="shared" si="1"/>
        <v>3A Livestock</v>
      </c>
      <c r="C18" s="23" t="str">
        <f>C17</f>
        <v>3A1h Swine</v>
      </c>
      <c r="D18" t="str">
        <f>'IPCC Categories'!F37</f>
        <v>Subsistence</v>
      </c>
      <c r="E18" s="23" t="str">
        <f t="shared" si="2"/>
        <v>Population</v>
      </c>
      <c r="F18" s="23" t="str">
        <f t="shared" si="2"/>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'Net zero Intermediate calcs'!Y32*'Net zero Intermediate calcs'!Y33*(1-Constants!$H$24)</f>
        <v>226723.6039114618</v>
      </c>
      <c r="AE18" s="24">
        <f>'Net zero Intermediate calcs'!Z32*'Net zero Intermediate calcs'!Z33*(1-Constants!$H$24)</f>
        <v>226322.89624283405</v>
      </c>
      <c r="AF18" s="24">
        <f>'Net zero Intermediate calcs'!AA32*'Net zero Intermediate calcs'!AA33*(1-Constants!$H$24)</f>
        <v>225053.10637717717</v>
      </c>
      <c r="AG18" s="24">
        <f>'Net zero Intermediate calcs'!AB32*'Net zero Intermediate calcs'!AB33*(1-Constants!$H$24)</f>
        <v>220087.02181952857</v>
      </c>
      <c r="AH18" s="24">
        <f>'Net zero Intermediate calcs'!AC32*'Net zero Intermediate calcs'!AC33*(1-Constants!$H$24)</f>
        <v>215390.78610858481</v>
      </c>
      <c r="AI18" s="24">
        <f>'Net zero Intermediate calcs'!AD32*'Net zero Intermediate calcs'!AD33*(1-Constants!$H$24)</f>
        <v>214632.80366480033</v>
      </c>
      <c r="AJ18" s="24">
        <f>'Net zero Intermediate calcs'!AE32*'Net zero Intermediate calcs'!AE33*(1-Constants!$H$24)</f>
        <v>212792.78997766777</v>
      </c>
      <c r="AK18" s="24">
        <f>'Net zero Intermediate calcs'!AF32*'Net zero Intermediate calcs'!AF33*(1-Constants!$H$24)</f>
        <v>207125.67362631494</v>
      </c>
      <c r="AL18" s="24">
        <f>'Net zero Intermediate calcs'!AG32*'Net zero Intermediate calcs'!AG33*(1-Constants!$H$24)</f>
        <v>184746.51753975186</v>
      </c>
      <c r="AM18" s="24">
        <f>'Net zero Intermediate calcs'!AH32*'Net zero Intermediate calcs'!AH33*(1-Constants!$H$24)</f>
        <v>188682.78417080906</v>
      </c>
      <c r="AN18" s="24">
        <f>'Net zero Intermediate calcs'!AI32*'Net zero Intermediate calcs'!AI33*(1-Constants!$H$24)</f>
        <v>190474.26815950195</v>
      </c>
      <c r="AO18" s="24">
        <f>'Net zero Intermediate calcs'!AJ32*'Net zero Intermediate calcs'!AJ33*(1-Constants!$H$24)</f>
        <v>191768.13376720677</v>
      </c>
      <c r="AP18" s="24">
        <f>'Net zero Intermediate calcs'!AK32*'Net zero Intermediate calcs'!AK33*(1-Constants!$H$24)</f>
        <v>193774.28949595738</v>
      </c>
      <c r="AQ18" s="24">
        <f>'Net zero Intermediate calcs'!AL32*'Net zero Intermediate calcs'!AL33*(1-Constants!$H$24)</f>
        <v>198274.88397811571</v>
      </c>
      <c r="AR18" s="24">
        <f>'Net zero Intermediate calcs'!AM32*'Net zero Intermediate calcs'!AM33*(1-Constants!$H$24)</f>
        <v>203342.98622419403</v>
      </c>
      <c r="AS18" s="24">
        <f>'Net zero Intermediate calcs'!AN32*'Net zero Intermediate calcs'!AN33*(1-Constants!$H$24)</f>
        <v>208921.82629654571</v>
      </c>
      <c r="AT18" s="24">
        <f>'Net zero Intermediate calcs'!AO32*'Net zero Intermediate calcs'!AO33*(1-Constants!$H$24)</f>
        <v>213372.70759158014</v>
      </c>
      <c r="AU18" s="24">
        <f>'Net zero Intermediate calcs'!AP32*'Net zero Intermediate calcs'!AP33*(1-Constants!$H$24)</f>
        <v>218831.64155654149</v>
      </c>
      <c r="AV18" s="24">
        <f>'Net zero Intermediate calcs'!AQ32*'Net zero Intermediate calcs'!AQ33*(1-Constants!$H$24)</f>
        <v>225519.23461263251</v>
      </c>
      <c r="AW18" s="24">
        <f>'Net zero Intermediate calcs'!AR32*'Net zero Intermediate calcs'!AR33*(1-Constants!$H$24)</f>
        <v>231867.62556368287</v>
      </c>
      <c r="AX18" s="24">
        <f>'Net zero Intermediate calcs'!AS32*'Net zero Intermediate calcs'!AS33*(1-Constants!$H$24)</f>
        <v>238474.51818130529</v>
      </c>
      <c r="AY18" s="24">
        <f>'Net zero Intermediate calcs'!AT32*'Net zero Intermediate calcs'!AT33*(1-Constants!$H$24)</f>
        <v>245118.95387178403</v>
      </c>
      <c r="AZ18" s="24">
        <f>'Net zero Intermediate calcs'!AU32*'Net zero Intermediate calcs'!AU33*(1-Constants!$H$24)</f>
        <v>252698.70870877319</v>
      </c>
      <c r="BA18" s="24">
        <f>'Net zero Intermediate calcs'!AV32*'Net zero Intermediate calcs'!AV33*(1-Constants!$H$24)</f>
        <v>258837.81734674287</v>
      </c>
      <c r="BB18" s="24">
        <f>'Net zero Intermediate calcs'!AW32*'Net zero Intermediate calcs'!AW33*(1-Constants!$H$24)</f>
        <v>265416.61153359176</v>
      </c>
      <c r="BC18" s="24">
        <f>'Net zero Intermediate calcs'!AX32*'Net zero Intermediate calcs'!AX33*(1-Constants!$H$24)</f>
        <v>271995.32905616274</v>
      </c>
      <c r="BD18" s="24">
        <f>'Net zero Intermediate calcs'!AY32*'Net zero Intermediate calcs'!AY33*(1-Constants!$H$24)</f>
        <v>277962.41573141771</v>
      </c>
      <c r="BE18" s="24">
        <f>'Net zero Intermediate calcs'!AZ32*'Net zero Intermediate calcs'!AZ33*(1-Constants!$H$24)</f>
        <v>283742.39976451441</v>
      </c>
      <c r="BF18" s="24">
        <f>'Net zero Intermediate calcs'!BA32*'Net zero Intermediate calcs'!BA33*(1-Constants!$H$24)</f>
        <v>289701.15283434227</v>
      </c>
      <c r="BG18" s="24">
        <f>'Net zero Intermediate calcs'!BB32*'Net zero Intermediate calcs'!BB33*(1-Constants!$H$24)</f>
        <v>296001.16666770243</v>
      </c>
      <c r="BH18" s="24">
        <f>'Net zero Intermediate calcs'!BC32*'Net zero Intermediate calcs'!BC33*(1-Constants!$H$24)</f>
        <v>301535.43561095098</v>
      </c>
      <c r="BI18" s="24">
        <f>'Net zero Intermediate calcs'!BD32*'Net zero Intermediate calcs'!BD33*(1-Constants!$H$24)</f>
        <v>307028.05222781072</v>
      </c>
      <c r="BJ18" s="24">
        <f>'Net zero Intermediate calcs'!BE32*'Net zero Intermediate calcs'!BE33*(1-Constants!$H$24)</f>
        <v>312493.71177332127</v>
      </c>
      <c r="BK18" s="24">
        <f>'Net zero Intermediate calcs'!BF32*'Net zero Intermediate calcs'!BF33*(1-Constants!$H$24)</f>
        <v>318417.65904509299</v>
      </c>
      <c r="BL18" s="24">
        <f>'Net zero Intermediate calcs'!BG32*'Net zero Intermediate calcs'!BG33*(1-Constants!$H$24)</f>
        <v>324426.79687338183</v>
      </c>
      <c r="BM18" s="24">
        <f>'Net zero Intermediate calcs'!BH32*'Net zero Intermediate calcs'!BH33*(1-Constants!$H$24)</f>
        <v>325806.59023165429</v>
      </c>
      <c r="BN18" s="24">
        <f>'Net zero Intermediate calcs'!BI32*'Net zero Intermediate calcs'!BI33*(1-Constants!$H$24)</f>
        <v>326797.58956818428</v>
      </c>
      <c r="BO18" s="24">
        <f>'Net zero Intermediate calcs'!BJ32*'Net zero Intermediate calcs'!BJ33*(1-Constants!$H$24)</f>
        <v>328301.43532171642</v>
      </c>
      <c r="BP18" s="24">
        <f>'Net zero Intermediate calcs'!BK32*'Net zero Intermediate calcs'!BK33*(1-Constants!$H$24)</f>
        <v>329468.17492509459</v>
      </c>
      <c r="BQ18" s="23">
        <v>265946.67748657509</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2"/>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'Net zero Intermediate calcs'!Y37*'Net zero Intermediate calcs'!Y38*Constants!$H$25</f>
        <v>23722316.120305818</v>
      </c>
      <c r="AE19" s="24">
        <f>'Net zero Intermediate calcs'!Z37*'Net zero Intermediate calcs'!Z38*Constants!$H$25</f>
        <v>24255517.547089841</v>
      </c>
      <c r="AF19" s="24">
        <f>'Net zero Intermediate calcs'!AA37*'Net zero Intermediate calcs'!AA38*Constants!$H$25</f>
        <v>24737792.39705459</v>
      </c>
      <c r="AG19" s="24">
        <f>'Net zero Intermediate calcs'!AB37*'Net zero Intermediate calcs'!AB38*Constants!$H$25</f>
        <v>24986769.935444243</v>
      </c>
      <c r="AH19" s="24">
        <f>'Net zero Intermediate calcs'!AC37*'Net zero Intermediate calcs'!AC38*Constants!$H$25</f>
        <v>25242611.383872338</v>
      </c>
      <c r="AI19" s="24">
        <f>'Net zero Intermediate calcs'!AD37*'Net zero Intermediate calcs'!AD38*Constants!$H$25</f>
        <v>25751990.995527692</v>
      </c>
      <c r="AJ19" s="24">
        <f>'Net zero Intermediate calcs'!AE37*'Net zero Intermediate calcs'!AE38*Constants!$H$25</f>
        <v>26187557.3575183</v>
      </c>
      <c r="AK19" s="24">
        <f>'Net zero Intermediate calcs'!AF37*'Net zero Intermediate calcs'!AF38*Constants!$H$25</f>
        <v>26352887.537919145</v>
      </c>
      <c r="AL19" s="24">
        <f>'Net zero Intermediate calcs'!AG37*'Net zero Intermediate calcs'!AG38*Constants!$H$25</f>
        <v>25306294.482290111</v>
      </c>
      <c r="AM19" s="24">
        <f>'Net zero Intermediate calcs'!AH37*'Net zero Intermediate calcs'!AH38*Constants!$H$25</f>
        <v>26059411.395958323</v>
      </c>
      <c r="AN19" s="24">
        <f>'Net zero Intermediate calcs'!AI37*'Net zero Intermediate calcs'!AI38*Constants!$H$25</f>
        <v>26668085.197670184</v>
      </c>
      <c r="AO19" s="24">
        <f>'Net zero Intermediate calcs'!AJ37*'Net zero Intermediate calcs'!AJ38*Constants!$H$25</f>
        <v>27248115.759416535</v>
      </c>
      <c r="AP19" s="24">
        <f>'Net zero Intermediate calcs'!AK37*'Net zero Intermediate calcs'!AK38*Constants!$H$25</f>
        <v>27892172.101899307</v>
      </c>
      <c r="AQ19" s="24">
        <f>'Net zero Intermediate calcs'!AL37*'Net zero Intermediate calcs'!AL38*Constants!$H$25</f>
        <v>28747098.466273185</v>
      </c>
      <c r="AR19" s="24">
        <f>'Net zero Intermediate calcs'!AM37*'Net zero Intermediate calcs'!AM38*Constants!$H$25</f>
        <v>29645035.599693645</v>
      </c>
      <c r="AS19" s="24">
        <f>'Net zero Intermediate calcs'!AN37*'Net zero Intermediate calcs'!AN38*Constants!$H$25</f>
        <v>30607560.322320882</v>
      </c>
      <c r="AT19" s="24">
        <f>'Net zero Intermediate calcs'!AO37*'Net zero Intermediate calcs'!AO38*Constants!$H$25</f>
        <v>31497897.745242074</v>
      </c>
      <c r="AU19" s="24">
        <f>'Net zero Intermediate calcs'!AP37*'Net zero Intermediate calcs'!AP38*Constants!$H$25</f>
        <v>32496773.134270821</v>
      </c>
      <c r="AV19" s="24">
        <f>'Net zero Intermediate calcs'!AQ37*'Net zero Intermediate calcs'!AQ38*Constants!$H$25</f>
        <v>33629741.281645209</v>
      </c>
      <c r="AW19" s="24">
        <f>'Net zero Intermediate calcs'!AR37*'Net zero Intermediate calcs'!AR38*Constants!$H$25</f>
        <v>34740233.640220329</v>
      </c>
      <c r="AX19" s="24">
        <f>'Net zero Intermediate calcs'!AS37*'Net zero Intermediate calcs'!AS38*Constants!$H$25</f>
        <v>35903284.562247403</v>
      </c>
      <c r="AY19" s="24">
        <f>'Net zero Intermediate calcs'!AT37*'Net zero Intermediate calcs'!AT38*Constants!$H$25</f>
        <v>37100091.569474109</v>
      </c>
      <c r="AZ19" s="24">
        <f>'Net zero Intermediate calcs'!AU37*'Net zero Intermediate calcs'!AU38*Constants!$H$25</f>
        <v>38418045.08595679</v>
      </c>
      <c r="BA19" s="24">
        <f>'Net zero Intermediate calcs'!AV37*'Net zero Intermediate calcs'!AV38*Constants!$H$25</f>
        <v>39629757.601917654</v>
      </c>
      <c r="BB19" s="24">
        <f>'Net zero Intermediate calcs'!AW37*'Net zero Intermediate calcs'!AW38*Constants!$H$25</f>
        <v>40897425.728926994</v>
      </c>
      <c r="BC19" s="24">
        <f>'Net zero Intermediate calcs'!AX37*'Net zero Intermediate calcs'!AX38*Constants!$H$25</f>
        <v>42197810.282211758</v>
      </c>
      <c r="BD19" s="24">
        <f>'Net zero Intermediate calcs'!AY37*'Net zero Intermediate calcs'!AY38*Constants!$H$25</f>
        <v>43468070.734643765</v>
      </c>
      <c r="BE19" s="24">
        <f>'Net zero Intermediate calcs'!AZ37*'Net zero Intermediate calcs'!AZ38*Constants!$H$25</f>
        <v>44750405.498853803</v>
      </c>
      <c r="BF19" s="24">
        <f>'Net zero Intermediate calcs'!BA37*'Net zero Intermediate calcs'!BA38*Constants!$H$25</f>
        <v>46084037.642377004</v>
      </c>
      <c r="BG19" s="24">
        <f>'Net zero Intermediate calcs'!BB37*'Net zero Intermediate calcs'!BB38*Constants!$H$25</f>
        <v>47471084.011199221</v>
      </c>
      <c r="BH19" s="24">
        <f>'Net zero Intermediate calcs'!BC37*'Net zero Intermediate calcs'!BC38*Constants!$H$25</f>
        <v>48807813.560112186</v>
      </c>
      <c r="BI19" s="24">
        <f>'Net zero Intermediate calcs'!BD37*'Net zero Intermediate calcs'!BD38*Constants!$H$25</f>
        <v>50173100.244788811</v>
      </c>
      <c r="BJ19" s="24">
        <f>'Net zero Intermediate calcs'!BE37*'Net zero Intermediate calcs'!BE38*Constants!$H$25</f>
        <v>51569300.435655385</v>
      </c>
      <c r="BK19" s="24">
        <f>'Net zero Intermediate calcs'!BF37*'Net zero Intermediate calcs'!BF38*Constants!$H$25</f>
        <v>53054754.472894639</v>
      </c>
      <c r="BL19" s="24">
        <f>'Net zero Intermediate calcs'!BG37*'Net zero Intermediate calcs'!BG38*Constants!$H$25</f>
        <v>54570197.843457237</v>
      </c>
      <c r="BM19" s="24">
        <f>'Net zero Intermediate calcs'!BH37*'Net zero Intermediate calcs'!BH38*Constants!$H$25</f>
        <v>55554881.961270951</v>
      </c>
      <c r="BN19" s="24">
        <f>'Net zero Intermediate calcs'!BI37*'Net zero Intermediate calcs'!BI38*Constants!$H$25</f>
        <v>56509893.628442757</v>
      </c>
      <c r="BO19" s="24">
        <f>'Net zero Intermediate calcs'!BJ37*'Net zero Intermediate calcs'!BJ38*Constants!$H$25</f>
        <v>57548305.395463832</v>
      </c>
      <c r="BP19" s="24">
        <f>'Net zero Intermediate calcs'!BK37*'Net zero Intermediate calcs'!BK38*Constants!$H$25</f>
        <v>58563792.567195043</v>
      </c>
      <c r="BQ19" s="23">
        <v>50062195.142061464</v>
      </c>
    </row>
    <row r="20" spans="1:72" s="23" customFormat="1" x14ac:dyDescent="0.25">
      <c r="A20" s="23" t="str">
        <f t="shared" si="1"/>
        <v>3A Livestock</v>
      </c>
      <c r="C20" s="23" t="str">
        <f>C19</f>
        <v>3A2i Poultry</v>
      </c>
      <c r="D20" t="str">
        <f>'IPCC Categories'!F51</f>
        <v>Commercial broilers</v>
      </c>
      <c r="E20" s="23" t="str">
        <f t="shared" si="2"/>
        <v>Population</v>
      </c>
      <c r="F20" s="23" t="str">
        <f t="shared" si="2"/>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'Net zero Intermediate calcs'!Y42*'Net zero Intermediate calcs'!Y43*Constants!$H$26</f>
        <v>94671432.457114488</v>
      </c>
      <c r="AE20" s="24">
        <f>'Net zero Intermediate calcs'!Z42*'Net zero Intermediate calcs'!Z43*Constants!$H$26</f>
        <v>96428528.046156064</v>
      </c>
      <c r="AF20" s="24">
        <f>'Net zero Intermediate calcs'!AA42*'Net zero Intermediate calcs'!AA43*Constants!$H$26</f>
        <v>97579368.002101943</v>
      </c>
      <c r="AG20" s="24">
        <f>'Net zero Intermediate calcs'!AB42*'Net zero Intermediate calcs'!AB43*Constants!$H$26</f>
        <v>96313578.260154381</v>
      </c>
      <c r="AH20" s="24">
        <f>'Net zero Intermediate calcs'!AC42*'Net zero Intermediate calcs'!AC43*Constants!$H$26</f>
        <v>95086019.997496322</v>
      </c>
      <c r="AI20" s="24">
        <f>'Net zero Intermediate calcs'!AD42*'Net zero Intermediate calcs'!AD43*Constants!$H$26</f>
        <v>96302421.111577123</v>
      </c>
      <c r="AJ20" s="24">
        <f>'Net zero Intermediate calcs'!AE42*'Net zero Intermediate calcs'!AE43*Constants!$H$26</f>
        <v>96771134.989491895</v>
      </c>
      <c r="AK20" s="24">
        <f>'Net zero Intermediate calcs'!AF42*'Net zero Intermediate calcs'!AF43*Constants!$H$26</f>
        <v>94622256.390508652</v>
      </c>
      <c r="AL20" s="24">
        <f>'Net zero Intermediate calcs'!AG42*'Net zero Intermediate calcs'!AG43*Constants!$H$26</f>
        <v>80990433.305591747</v>
      </c>
      <c r="AM20" s="24">
        <f>'Net zero Intermediate calcs'!AH42*'Net zero Intermediate calcs'!AH43*Constants!$H$26</f>
        <v>85302279.938270241</v>
      </c>
      <c r="AN20" s="24">
        <f>'Net zero Intermediate calcs'!AI42*'Net zero Intermediate calcs'!AI43*Constants!$H$26</f>
        <v>88182150.363974467</v>
      </c>
      <c r="AO20" s="24">
        <f>'Net zero Intermediate calcs'!AJ42*'Net zero Intermediate calcs'!AJ43*Constants!$H$26</f>
        <v>90738996.692622945</v>
      </c>
      <c r="AP20" s="24">
        <f>'Net zero Intermediate calcs'!AK42*'Net zero Intermediate calcs'!AK43*Constants!$H$26</f>
        <v>93829149.090297177</v>
      </c>
      <c r="AQ20" s="24">
        <f>'Net zero Intermediate calcs'!AL42*'Net zero Intermediate calcs'!AL43*Constants!$H$26</f>
        <v>98770159.024253681</v>
      </c>
      <c r="AR20" s="24">
        <f>'Net zero Intermediate calcs'!AM42*'Net zero Intermediate calcs'!AM43*Constants!$H$26</f>
        <v>104296252.1247326</v>
      </c>
      <c r="AS20" s="24">
        <f>'Net zero Intermediate calcs'!AN42*'Net zero Intermediate calcs'!AN43*Constants!$H$26</f>
        <v>110305117.53166522</v>
      </c>
      <c r="AT20" s="24">
        <f>'Net zero Intermediate calcs'!AO42*'Net zero Intermediate calcs'!AO43*Constants!$H$26</f>
        <v>115576612.60254088</v>
      </c>
      <c r="AU20" s="24">
        <f>'Net zero Intermediate calcs'!AP42*'Net zero Intermediate calcs'!AP43*Constants!$H$26</f>
        <v>121715392.80782023</v>
      </c>
      <c r="AV20" s="24">
        <f>'Net zero Intermediate calcs'!AQ42*'Net zero Intermediate calcs'!AQ43*Constants!$H$26</f>
        <v>128925086.59726988</v>
      </c>
      <c r="AW20" s="24">
        <f>'Net zero Intermediate calcs'!AR42*'Net zero Intermediate calcs'!AR43*Constants!$H$26</f>
        <v>136073420.19659978</v>
      </c>
      <c r="AX20" s="24">
        <f>'Net zero Intermediate calcs'!AS42*'Net zero Intermediate calcs'!AS43*Constants!$H$26</f>
        <v>143570759.03937021</v>
      </c>
      <c r="AY20" s="24">
        <f>'Net zero Intermediate calcs'!AT42*'Net zero Intermediate calcs'!AT43*Constants!$H$26</f>
        <v>151250840.25243026</v>
      </c>
      <c r="AZ20" s="24">
        <f>'Net zero Intermediate calcs'!AU42*'Net zero Intermediate calcs'!AU43*Constants!$H$26</f>
        <v>159850806.87627885</v>
      </c>
      <c r="BA20" s="24">
        <f>'Net zero Intermediate calcs'!AV42*'Net zero Intermediate calcs'!AV43*Constants!$H$26</f>
        <v>167441962.58805385</v>
      </c>
      <c r="BB20" s="24">
        <f>'Net zero Intermediate calcs'!AW42*'Net zero Intermediate calcs'!AW43*Constants!$H$26</f>
        <v>175614772.33147728</v>
      </c>
      <c r="BC20" s="24">
        <f>'Net zero Intermediate calcs'!AX42*'Net zero Intermediate calcs'!AX43*Constants!$H$26</f>
        <v>183956377.86124447</v>
      </c>
      <c r="BD20" s="24">
        <f>'Net zero Intermediate calcs'!AY42*'Net zero Intermediate calcs'!AY43*Constants!$H$26</f>
        <v>191946825.24416977</v>
      </c>
      <c r="BE20" s="24">
        <f>'Net zero Intermediate calcs'!AZ42*'Net zero Intermediate calcs'!AZ43*Constants!$H$26</f>
        <v>199939530.72225451</v>
      </c>
      <c r="BF20" s="24">
        <f>'Net zero Intermediate calcs'!BA42*'Net zero Intermediate calcs'!BA43*Constants!$H$26</f>
        <v>208254735.49640763</v>
      </c>
      <c r="BG20" s="24">
        <f>'Net zero Intermediate calcs'!BB42*'Net zero Intermediate calcs'!BB43*Constants!$H$26</f>
        <v>217102028.36221811</v>
      </c>
      <c r="BH20" s="24">
        <f>'Net zero Intermediate calcs'!BC42*'Net zero Intermediate calcs'!BC43*Constants!$H$26</f>
        <v>225445149.2664277</v>
      </c>
      <c r="BI20" s="24">
        <f>'Net zero Intermediate calcs'!BD42*'Net zero Intermediate calcs'!BD43*Constants!$H$26</f>
        <v>233924569.64263564</v>
      </c>
      <c r="BJ20" s="24">
        <f>'Net zero Intermediate calcs'!BE42*'Net zero Intermediate calcs'!BE43*Constants!$H$26</f>
        <v>242557542.43123046</v>
      </c>
      <c r="BK20" s="24">
        <f>'Net zero Intermediate calcs'!BF42*'Net zero Intermediate calcs'!BF43*Constants!$H$26</f>
        <v>251803333.3911933</v>
      </c>
      <c r="BL20" s="24">
        <f>'Net zero Intermediate calcs'!BG42*'Net zero Intermediate calcs'!BG43*Constants!$H$26</f>
        <v>261383779.85862985</v>
      </c>
      <c r="BM20" s="24">
        <f>'Net zero Intermediate calcs'!BH42*'Net zero Intermediate calcs'!BH43*Constants!$H$26</f>
        <v>266718605.0861516</v>
      </c>
      <c r="BN20" s="24">
        <f>'Net zero Intermediate calcs'!BI42*'Net zero Intermediate calcs'!BI43*Constants!$H$26</f>
        <v>271772596.52776754</v>
      </c>
      <c r="BO20" s="24">
        <f>'Net zero Intermediate calcs'!BJ42*'Net zero Intermediate calcs'!BJ43*Constants!$H$26</f>
        <v>277424598.95045537</v>
      </c>
      <c r="BP20" s="24">
        <f>'Net zero Intermediate calcs'!BK42*'Net zero Intermediate calcs'!BK43*Constants!$H$26</f>
        <v>282847803.84406728</v>
      </c>
      <c r="BQ20" s="23">
        <v>217498134.58556306</v>
      </c>
    </row>
    <row r="21" spans="1:72" s="23" customFormat="1" x14ac:dyDescent="0.25">
      <c r="A21" s="23" t="str">
        <f t="shared" si="1"/>
        <v>3A Livestock</v>
      </c>
      <c r="C21" s="23" t="str">
        <f>C20</f>
        <v>3A2i Poultry</v>
      </c>
      <c r="D21" t="str">
        <f>'IPCC Categories'!F52</f>
        <v>Subsistence layers</v>
      </c>
      <c r="E21" s="23" t="str">
        <f t="shared" si="2"/>
        <v>Population</v>
      </c>
      <c r="F21" s="23" t="str">
        <f t="shared" si="2"/>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'Net zero Intermediate calcs'!Y37*'Net zero Intermediate calcs'!Y38*(1-Constants!$H$25)</f>
        <v>988429.83834607655</v>
      </c>
      <c r="AE21" s="24">
        <f>'Net zero Intermediate calcs'!Z37*'Net zero Intermediate calcs'!Z38*(1-Constants!$H$25)</f>
        <v>1010646.5644620776</v>
      </c>
      <c r="AF21" s="24">
        <f>'Net zero Intermediate calcs'!AA37*'Net zero Intermediate calcs'!AA38*(1-Constants!$H$25)</f>
        <v>1030741.3498772755</v>
      </c>
      <c r="AG21" s="24">
        <f>'Net zero Intermediate calcs'!AB37*'Net zero Intermediate calcs'!AB38*(1-Constants!$H$25)</f>
        <v>1041115.4139768444</v>
      </c>
      <c r="AH21" s="24">
        <f>'Net zero Intermediate calcs'!AC37*'Net zero Intermediate calcs'!AC38*(1-Constants!$H$25)</f>
        <v>1051775.474328015</v>
      </c>
      <c r="AI21" s="24">
        <f>'Net zero Intermediate calcs'!AD37*'Net zero Intermediate calcs'!AD38*(1-Constants!$H$25)</f>
        <v>1072999.6248136547</v>
      </c>
      <c r="AJ21" s="24">
        <f>'Net zero Intermediate calcs'!AE37*'Net zero Intermediate calcs'!AE38*(1-Constants!$H$25)</f>
        <v>1091148.2232299303</v>
      </c>
      <c r="AK21" s="24">
        <f>'Net zero Intermediate calcs'!AF37*'Net zero Intermediate calcs'!AF38*(1-Constants!$H$25)</f>
        <v>1098036.980746632</v>
      </c>
      <c r="AL21" s="24">
        <f>'Net zero Intermediate calcs'!AG37*'Net zero Intermediate calcs'!AG38*(1-Constants!$H$25)</f>
        <v>1054428.9367620889</v>
      </c>
      <c r="AM21" s="24">
        <f>'Net zero Intermediate calcs'!AH37*'Net zero Intermediate calcs'!AH38*(1-Constants!$H$25)</f>
        <v>1085808.8081649311</v>
      </c>
      <c r="AN21" s="24">
        <f>'Net zero Intermediate calcs'!AI37*'Net zero Intermediate calcs'!AI38*(1-Constants!$H$25)</f>
        <v>1111170.216569592</v>
      </c>
      <c r="AO21" s="24">
        <f>'Net zero Intermediate calcs'!AJ37*'Net zero Intermediate calcs'!AJ38*(1-Constants!$H$25)</f>
        <v>1135338.1566423567</v>
      </c>
      <c r="AP21" s="24">
        <f>'Net zero Intermediate calcs'!AK37*'Net zero Intermediate calcs'!AK38*(1-Constants!$H$25)</f>
        <v>1162173.8375791388</v>
      </c>
      <c r="AQ21" s="24">
        <f>'Net zero Intermediate calcs'!AL37*'Net zero Intermediate calcs'!AL38*(1-Constants!$H$25)</f>
        <v>1197795.7694280506</v>
      </c>
      <c r="AR21" s="24">
        <f>'Net zero Intermediate calcs'!AM37*'Net zero Intermediate calcs'!AM38*(1-Constants!$H$25)</f>
        <v>1235209.8166539031</v>
      </c>
      <c r="AS21" s="24">
        <f>'Net zero Intermediate calcs'!AN37*'Net zero Intermediate calcs'!AN38*(1-Constants!$H$25)</f>
        <v>1275315.013430038</v>
      </c>
      <c r="AT21" s="24">
        <f>'Net zero Intermediate calcs'!AO37*'Net zero Intermediate calcs'!AO38*(1-Constants!$H$25)</f>
        <v>1312412.4060517543</v>
      </c>
      <c r="AU21" s="24">
        <f>'Net zero Intermediate calcs'!AP37*'Net zero Intermediate calcs'!AP38*(1-Constants!$H$25)</f>
        <v>1354032.2139279521</v>
      </c>
      <c r="AV21" s="24">
        <f>'Net zero Intermediate calcs'!AQ37*'Net zero Intermediate calcs'!AQ38*(1-Constants!$H$25)</f>
        <v>1401239.2200685516</v>
      </c>
      <c r="AW21" s="24">
        <f>'Net zero Intermediate calcs'!AR37*'Net zero Intermediate calcs'!AR38*(1-Constants!$H$25)</f>
        <v>1447509.7350091815</v>
      </c>
      <c r="AX21" s="24">
        <f>'Net zero Intermediate calcs'!AS37*'Net zero Intermediate calcs'!AS38*(1-Constants!$H$25)</f>
        <v>1495970.1900936433</v>
      </c>
      <c r="AY21" s="24">
        <f>'Net zero Intermediate calcs'!AT37*'Net zero Intermediate calcs'!AT38*(1-Constants!$H$25)</f>
        <v>1545837.1487280892</v>
      </c>
      <c r="AZ21" s="24">
        <f>'Net zero Intermediate calcs'!AU37*'Net zero Intermediate calcs'!AU38*(1-Constants!$H$25)</f>
        <v>1600751.8785815344</v>
      </c>
      <c r="BA21" s="24">
        <f>'Net zero Intermediate calcs'!AV37*'Net zero Intermediate calcs'!AV38*(1-Constants!$H$25)</f>
        <v>1651239.9000799039</v>
      </c>
      <c r="BB21" s="24">
        <f>'Net zero Intermediate calcs'!AW37*'Net zero Intermediate calcs'!AW38*(1-Constants!$H$25)</f>
        <v>1704059.4053719596</v>
      </c>
      <c r="BC21" s="24">
        <f>'Net zero Intermediate calcs'!AX37*'Net zero Intermediate calcs'!AX38*(1-Constants!$H$25)</f>
        <v>1758242.0950921581</v>
      </c>
      <c r="BD21" s="24">
        <f>'Net zero Intermediate calcs'!AY37*'Net zero Intermediate calcs'!AY38*(1-Constants!$H$25)</f>
        <v>1811169.6139434921</v>
      </c>
      <c r="BE21" s="24">
        <f>'Net zero Intermediate calcs'!AZ37*'Net zero Intermediate calcs'!AZ38*(1-Constants!$H$25)</f>
        <v>1864600.2291189104</v>
      </c>
      <c r="BF21" s="24">
        <f>'Net zero Intermediate calcs'!BA37*'Net zero Intermediate calcs'!BA38*(1-Constants!$H$25)</f>
        <v>1920168.2350990435</v>
      </c>
      <c r="BG21" s="24">
        <f>'Net zero Intermediate calcs'!BB37*'Net zero Intermediate calcs'!BB38*(1-Constants!$H$25)</f>
        <v>1977961.8337999692</v>
      </c>
      <c r="BH21" s="24">
        <f>'Net zero Intermediate calcs'!BC37*'Net zero Intermediate calcs'!BC38*(1-Constants!$H$25)</f>
        <v>2033658.8983380098</v>
      </c>
      <c r="BI21" s="24">
        <f>'Net zero Intermediate calcs'!BD37*'Net zero Intermediate calcs'!BD38*(1-Constants!$H$25)</f>
        <v>2090545.8435328689</v>
      </c>
      <c r="BJ21" s="24">
        <f>'Net zero Intermediate calcs'!BE37*'Net zero Intermediate calcs'!BE38*(1-Constants!$H$25)</f>
        <v>2148720.8514856431</v>
      </c>
      <c r="BK21" s="24">
        <f>'Net zero Intermediate calcs'!BF37*'Net zero Intermediate calcs'!BF38*(1-Constants!$H$25)</f>
        <v>2210614.7697039456</v>
      </c>
      <c r="BL21" s="24">
        <f>'Net zero Intermediate calcs'!BG37*'Net zero Intermediate calcs'!BG38*(1-Constants!$H$25)</f>
        <v>2273758.2434773869</v>
      </c>
      <c r="BM21" s="24">
        <f>'Net zero Intermediate calcs'!BH37*'Net zero Intermediate calcs'!BH38*(1-Constants!$H$25)</f>
        <v>2314786.7483862918</v>
      </c>
      <c r="BN21" s="24">
        <f>'Net zero Intermediate calcs'!BI37*'Net zero Intermediate calcs'!BI38*(1-Constants!$H$25)</f>
        <v>2354578.9011851172</v>
      </c>
      <c r="BO21" s="24">
        <f>'Net zero Intermediate calcs'!BJ37*'Net zero Intermediate calcs'!BJ38*(1-Constants!$H$25)</f>
        <v>2397846.0581443287</v>
      </c>
      <c r="BP21" s="24">
        <f>'Net zero Intermediate calcs'!BK37*'Net zero Intermediate calcs'!BK38*(1-Constants!$H$25)</f>
        <v>2440158.023633129</v>
      </c>
      <c r="BQ21" s="23">
        <v>2085924.7975858962</v>
      </c>
    </row>
    <row r="22" spans="1:72" s="23" customFormat="1" x14ac:dyDescent="0.25">
      <c r="A22" s="23" t="str">
        <f t="shared" si="1"/>
        <v>3A Livestock</v>
      </c>
      <c r="C22" s="23" t="str">
        <f>C21</f>
        <v>3A2i Poultry</v>
      </c>
      <c r="D22" t="str">
        <f>'IPCC Categories'!F53</f>
        <v>Subsistence broilers</v>
      </c>
      <c r="E22" s="23" t="str">
        <f t="shared" si="2"/>
        <v>Population</v>
      </c>
      <c r="F22" s="23" t="str">
        <f t="shared" si="2"/>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'Net zero Intermediate calcs'!Y42*'Net zero Intermediate calcs'!Y43*(1-Constants!$H$26)</f>
        <v>3944643.0190464407</v>
      </c>
      <c r="AE22" s="24">
        <f>'Net zero Intermediate calcs'!Z42*'Net zero Intermediate calcs'!Z43*(1-Constants!$H$26)</f>
        <v>4017855.3352565062</v>
      </c>
      <c r="AF22" s="24">
        <f>'Net zero Intermediate calcs'!AA42*'Net zero Intermediate calcs'!AA43*(1-Constants!$H$26)</f>
        <v>4065807.0000875848</v>
      </c>
      <c r="AG22" s="24">
        <f>'Net zero Intermediate calcs'!AB42*'Net zero Intermediate calcs'!AB43*(1-Constants!$H$26)</f>
        <v>4013065.7608397696</v>
      </c>
      <c r="AH22" s="24">
        <f>'Net zero Intermediate calcs'!AC42*'Net zero Intermediate calcs'!AC43*(1-Constants!$H$26)</f>
        <v>3961917.4998956835</v>
      </c>
      <c r="AI22" s="24">
        <f>'Net zero Intermediate calcs'!AD42*'Net zero Intermediate calcs'!AD43*(1-Constants!$H$26)</f>
        <v>4012600.879649051</v>
      </c>
      <c r="AJ22" s="24">
        <f>'Net zero Intermediate calcs'!AE42*'Net zero Intermediate calcs'!AE43*(1-Constants!$H$26)</f>
        <v>4032130.6245621657</v>
      </c>
      <c r="AK22" s="24">
        <f>'Net zero Intermediate calcs'!AF42*'Net zero Intermediate calcs'!AF43*(1-Constants!$H$26)</f>
        <v>3942594.0162711977</v>
      </c>
      <c r="AL22" s="24">
        <f>'Net zero Intermediate calcs'!AG42*'Net zero Intermediate calcs'!AG43*(1-Constants!$H$26)</f>
        <v>3374601.3877329929</v>
      </c>
      <c r="AM22" s="24">
        <f>'Net zero Intermediate calcs'!AH42*'Net zero Intermediate calcs'!AH43*(1-Constants!$H$26)</f>
        <v>3554261.6640945966</v>
      </c>
      <c r="AN22" s="24">
        <f>'Net zero Intermediate calcs'!AI42*'Net zero Intermediate calcs'!AI43*(1-Constants!$H$26)</f>
        <v>3674256.2651656065</v>
      </c>
      <c r="AO22" s="24">
        <f>'Net zero Intermediate calcs'!AJ42*'Net zero Intermediate calcs'!AJ43*(1-Constants!$H$26)</f>
        <v>3780791.5288592926</v>
      </c>
      <c r="AP22" s="24">
        <f>'Net zero Intermediate calcs'!AK42*'Net zero Intermediate calcs'!AK43*(1-Constants!$H$26)</f>
        <v>3909547.8787623858</v>
      </c>
      <c r="AQ22" s="24">
        <f>'Net zero Intermediate calcs'!AL42*'Net zero Intermediate calcs'!AL43*(1-Constants!$H$26)</f>
        <v>4115423.2926772404</v>
      </c>
      <c r="AR22" s="24">
        <f>'Net zero Intermediate calcs'!AM42*'Net zero Intermediate calcs'!AM43*(1-Constants!$H$26)</f>
        <v>4345677.1718638623</v>
      </c>
      <c r="AS22" s="24">
        <f>'Net zero Intermediate calcs'!AN42*'Net zero Intermediate calcs'!AN43*(1-Constants!$H$26)</f>
        <v>4596046.5638193889</v>
      </c>
      <c r="AT22" s="24">
        <f>'Net zero Intermediate calcs'!AO42*'Net zero Intermediate calcs'!AO43*(1-Constants!$H$26)</f>
        <v>4815692.191772541</v>
      </c>
      <c r="AU22" s="24">
        <f>'Net zero Intermediate calcs'!AP42*'Net zero Intermediate calcs'!AP43*(1-Constants!$H$26)</f>
        <v>5071474.7003258476</v>
      </c>
      <c r="AV22" s="24">
        <f>'Net zero Intermediate calcs'!AQ42*'Net zero Intermediate calcs'!AQ43*(1-Constants!$H$26)</f>
        <v>5371878.6082195826</v>
      </c>
      <c r="AW22" s="24">
        <f>'Net zero Intermediate calcs'!AR42*'Net zero Intermediate calcs'!AR43*(1-Constants!$H$26)</f>
        <v>5669725.8415249959</v>
      </c>
      <c r="AX22" s="24">
        <f>'Net zero Intermediate calcs'!AS42*'Net zero Intermediate calcs'!AS43*(1-Constants!$H$26)</f>
        <v>5982114.9599737637</v>
      </c>
      <c r="AY22" s="24">
        <f>'Net zero Intermediate calcs'!AT42*'Net zero Intermediate calcs'!AT43*(1-Constants!$H$26)</f>
        <v>6302118.3438512664</v>
      </c>
      <c r="AZ22" s="24">
        <f>'Net zero Intermediate calcs'!AU42*'Net zero Intermediate calcs'!AU43*(1-Constants!$H$26)</f>
        <v>6660450.2865116252</v>
      </c>
      <c r="BA22" s="24">
        <f>'Net zero Intermediate calcs'!AV42*'Net zero Intermediate calcs'!AV43*(1-Constants!$H$26)</f>
        <v>6976748.4411689164</v>
      </c>
      <c r="BB22" s="24">
        <f>'Net zero Intermediate calcs'!AW42*'Net zero Intermediate calcs'!AW43*(1-Constants!$H$26)</f>
        <v>7317282.1804782264</v>
      </c>
      <c r="BC22" s="24">
        <f>'Net zero Intermediate calcs'!AX42*'Net zero Intermediate calcs'!AX43*(1-Constants!$H$26)</f>
        <v>7664849.0775518604</v>
      </c>
      <c r="BD22" s="24">
        <f>'Net zero Intermediate calcs'!AY42*'Net zero Intermediate calcs'!AY43*(1-Constants!$H$26)</f>
        <v>7997784.3851737473</v>
      </c>
      <c r="BE22" s="24">
        <f>'Net zero Intermediate calcs'!AZ42*'Net zero Intermediate calcs'!AZ43*(1-Constants!$H$26)</f>
        <v>8330813.7800939456</v>
      </c>
      <c r="BF22" s="24">
        <f>'Net zero Intermediate calcs'!BA42*'Net zero Intermediate calcs'!BA43*(1-Constants!$H$26)</f>
        <v>8677280.6456836592</v>
      </c>
      <c r="BG22" s="24">
        <f>'Net zero Intermediate calcs'!BB42*'Net zero Intermediate calcs'!BB43*(1-Constants!$H$26)</f>
        <v>9045917.8484257627</v>
      </c>
      <c r="BH22" s="24">
        <f>'Net zero Intermediate calcs'!BC42*'Net zero Intermediate calcs'!BC43*(1-Constants!$H$26)</f>
        <v>9393547.8861011621</v>
      </c>
      <c r="BI22" s="24">
        <f>'Net zero Intermediate calcs'!BD42*'Net zero Intermediate calcs'!BD43*(1-Constants!$H$26)</f>
        <v>9746857.0684431605</v>
      </c>
      <c r="BJ22" s="24">
        <f>'Net zero Intermediate calcs'!BE42*'Net zero Intermediate calcs'!BE43*(1-Constants!$H$26)</f>
        <v>10106564.267967945</v>
      </c>
      <c r="BK22" s="24">
        <f>'Net zero Intermediate calcs'!BF42*'Net zero Intermediate calcs'!BF43*(1-Constants!$H$26)</f>
        <v>10491805.557966398</v>
      </c>
      <c r="BL22" s="24">
        <f>'Net zero Intermediate calcs'!BG42*'Net zero Intermediate calcs'!BG43*(1-Constants!$H$26)</f>
        <v>10890990.82744292</v>
      </c>
      <c r="BM22" s="24">
        <f>'Net zero Intermediate calcs'!BH42*'Net zero Intermediate calcs'!BH43*(1-Constants!$H$26)</f>
        <v>11113275.211922994</v>
      </c>
      <c r="BN22" s="24">
        <f>'Net zero Intermediate calcs'!BI42*'Net zero Intermediate calcs'!BI43*(1-Constants!$H$26)</f>
        <v>11323858.188656991</v>
      </c>
      <c r="BO22" s="24">
        <f>'Net zero Intermediate calcs'!BJ42*'Net zero Intermediate calcs'!BJ43*(1-Constants!$H$26)</f>
        <v>11559358.289602319</v>
      </c>
      <c r="BP22" s="24">
        <f>'Net zero Intermediate calcs'!BK42*'Net zero Intermediate calcs'!BK43*(1-Constants!$H$26)</f>
        <v>11785325.16016948</v>
      </c>
      <c r="BQ22" s="23">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3515409.2867776863</v>
      </c>
      <c r="AF41" s="22">
        <f>((Data!$AJ$42*LN('Intermediate calculations'!Z60))+Data!$AK$42)</f>
        <v>3529023.5614843424</v>
      </c>
      <c r="AG41" s="22">
        <f>((Data!$AJ$42*LN('Intermediate calculations'!AA60))+Data!$AK$42)</f>
        <v>3540610.1599060763</v>
      </c>
      <c r="AH41" s="22">
        <f>((Data!$AJ$42*LN('Intermediate calculations'!AB60))+Data!$AK$42)</f>
        <v>3544401.4110568538</v>
      </c>
      <c r="AI41" s="22">
        <f>((Data!$AJ$42*LN('Intermediate calculations'!AC60))+Data!$AK$42)</f>
        <v>3548238.7589823715</v>
      </c>
      <c r="AJ41" s="22">
        <f>((Data!$AJ$42*LN('Intermediate calculations'!AD60))+Data!$AK$42)</f>
        <v>3559937.2967489585</v>
      </c>
      <c r="AK41" s="22">
        <f>((Data!$AJ$42*LN('Intermediate calculations'!AE60))+Data!$AK$42)</f>
        <v>3569105.0779654514</v>
      </c>
      <c r="AL41" s="22">
        <f>((Data!$AJ$42*LN('Intermediate calculations'!AF60))+Data!$AK$42)</f>
        <v>3569722.3049658909</v>
      </c>
      <c r="AM41" s="22">
        <f>((Data!$AJ$42*LN('Intermediate calculations'!AG60))+Data!$AK$42)</f>
        <v>3531588.8379038274</v>
      </c>
      <c r="AN41" s="22">
        <f>((Data!$AJ$42*LN('Intermediate calculations'!AH60))+Data!$AK$42)</f>
        <v>3552446.4074528385</v>
      </c>
      <c r="AO41" s="22">
        <f>((Data!$AJ$42*LN('Intermediate calculations'!AI60))+Data!$AK$42)</f>
        <v>3568221.2142758686</v>
      </c>
      <c r="AP41" s="22">
        <f>((Data!$AJ$42*LN('Intermediate calculations'!AJ60))+Data!$AK$42)</f>
        <v>3582764.847653836</v>
      </c>
      <c r="AQ41" s="22">
        <f>((Data!$AJ$42*LN('Intermediate calculations'!AK60))+Data!$AK$42)</f>
        <v>3598923.6372989267</v>
      </c>
      <c r="AR41" s="22">
        <f>((Data!$AJ$42*LN('Intermediate calculations'!AL60))+Data!$AK$42)</f>
        <v>3620883.3121071253</v>
      </c>
      <c r="AS41" s="22">
        <f>((Data!$AJ$42*LN('Intermediate calculations'!AM60))+Data!$AK$42)</f>
        <v>3643877.6957010273</v>
      </c>
      <c r="AT41" s="22">
        <f>((Data!$AJ$42*LN('Intermediate calculations'!AN60))+Data!$AK$42)</f>
        <v>3667951.8945248518</v>
      </c>
      <c r="AU41" s="22">
        <f>((Data!$AJ$42*LN('Intermediate calculations'!AO60))+Data!$AK$42)</f>
        <v>3689348.2035207469</v>
      </c>
      <c r="AV41" s="22">
        <f>((Data!$AJ$42*LN('Intermediate calculations'!AP60))+Data!$AK$42)</f>
        <v>3712952.6816795133</v>
      </c>
      <c r="AW41" s="22">
        <f>((Data!$AJ$42*LN('Intermediate calculations'!AQ60))+Data!$AK$42)</f>
        <v>3739189.1473612245</v>
      </c>
      <c r="AX41" s="22">
        <f>((Data!$AJ$42*LN('Intermediate calculations'!AR60))+Data!$AK$42)</f>
        <v>3764319.6885661576</v>
      </c>
      <c r="AY41" s="22">
        <f>((Data!$AJ$42*LN('Intermediate calculations'!AS60))+Data!$AK$42)</f>
        <v>3789869.2314700112</v>
      </c>
      <c r="AZ41" s="22">
        <f>((Data!$AJ$42*LN('Intermediate calculations'!AT60))+Data!$AK$42)</f>
        <v>3815345.6315816585</v>
      </c>
      <c r="BA41" s="22">
        <f>((Data!$AJ$42*LN('Intermediate calculations'!AU60))+Data!$AK$42)</f>
        <v>3842641.084538091</v>
      </c>
      <c r="BB41" s="22">
        <f>((Data!$AJ$42*LN('Intermediate calculations'!AV60))+Data!$AK$42)</f>
        <v>3866739.0627323315</v>
      </c>
      <c r="BC41" s="22">
        <f>((Data!$AJ$42*LN('Intermediate calculations'!AW60))+Data!$AK$42)</f>
        <v>3891505.4136994649</v>
      </c>
      <c r="BD41" s="22">
        <f>((Data!$AJ$42*LN('Intermediate calculations'!AX60))+Data!$AK$42)</f>
        <v>3916138.6023290083</v>
      </c>
      <c r="BE41" s="22">
        <f>((Data!$AJ$42*LN('Intermediate calculations'!AY60))+Data!$AK$42)</f>
        <v>3939416.6652577445</v>
      </c>
      <c r="BF41" s="22">
        <f>((Data!$AJ$42*LN('Intermediate calculations'!AZ60))+Data!$AK$42)</f>
        <v>3962226.6064802278</v>
      </c>
      <c r="BG41" s="22">
        <f>((Data!$AJ$42*LN('Intermediate calculations'!BA60))+Data!$AK$42)</f>
        <v>3985301.4782181904</v>
      </c>
      <c r="BH41" s="22">
        <f>((Data!$AJ$42*LN('Intermediate calculations'!BB60))+Data!$AK$42)</f>
        <v>4008853.4358545057</v>
      </c>
      <c r="BI41" s="22">
        <f>((Data!$AJ$42*LN('Intermediate calculations'!BC60))+Data!$AK$42)</f>
        <v>4030838.3916717302</v>
      </c>
      <c r="BJ41" s="22">
        <f>((Data!$AJ$42*LN('Intermediate calculations'!BD60))+Data!$AK$42)</f>
        <v>4052681.0388052948</v>
      </c>
      <c r="BK41" s="22">
        <f>((Data!$AJ$42*LN('Intermediate calculations'!BE60))+Data!$AK$42)</f>
        <v>4074414.2086278833</v>
      </c>
      <c r="BL41" s="22">
        <f>((Data!$AJ$42*LN('Intermediate calculations'!BF60))+Data!$AK$42)</f>
        <v>4096946.9896070622</v>
      </c>
      <c r="BM41" s="22">
        <f>((Data!$AJ$42*LN('Intermediate calculations'!BG60))+Data!$AK$42)</f>
        <v>4119483.6964928079</v>
      </c>
      <c r="BN41" s="22">
        <f>((Data!$AJ$42*LN('Intermediate calculations'!BH60))+Data!$AK$42)</f>
        <v>4133465.8342644051</v>
      </c>
      <c r="BO41" s="22">
        <f>((Data!$AJ$42*LN('Intermediate calculations'!BI60))+Data!$AK$42)</f>
        <v>4146757.4514207542</v>
      </c>
      <c r="BP41" s="22">
        <f>((Data!$AJ$42*LN('Intermediate calculations'!BJ60))+Data!$AK$42)</f>
        <v>4161025.375052277</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1938588.3065742005</v>
      </c>
      <c r="AF45" s="22">
        <f t="shared" si="46"/>
        <v>1946095.9597649912</v>
      </c>
      <c r="AG45" s="22">
        <f t="shared" si="46"/>
        <v>1952485.4417231311</v>
      </c>
      <c r="AH45" s="22">
        <f t="shared" si="46"/>
        <v>1954576.1442697244</v>
      </c>
      <c r="AI45" s="22">
        <f t="shared" si="46"/>
        <v>1956692.2670906561</v>
      </c>
      <c r="AJ45" s="22">
        <f t="shared" si="46"/>
        <v>1963143.4785053902</v>
      </c>
      <c r="AK45" s="22">
        <f t="shared" si="46"/>
        <v>1968199.0928062261</v>
      </c>
      <c r="AL45" s="22">
        <f t="shared" si="46"/>
        <v>1968539.4654194678</v>
      </c>
      <c r="AM45" s="22">
        <f t="shared" si="46"/>
        <v>1947510.5930165588</v>
      </c>
      <c r="AN45" s="22">
        <f t="shared" si="46"/>
        <v>1959012.5938172492</v>
      </c>
      <c r="AO45" s="22">
        <f t="shared" si="46"/>
        <v>1967711.6821881579</v>
      </c>
      <c r="AP45" s="22">
        <f t="shared" si="46"/>
        <v>1975731.8344098849</v>
      </c>
      <c r="AQ45" s="22">
        <f t="shared" si="46"/>
        <v>1984642.6718398782</v>
      </c>
      <c r="AR45" s="22">
        <f t="shared" si="46"/>
        <v>1996752.4335565197</v>
      </c>
      <c r="AS45" s="22">
        <f t="shared" si="46"/>
        <v>2009432.7900998343</v>
      </c>
      <c r="AT45" s="22">
        <f t="shared" si="46"/>
        <v>2022708.6156219279</v>
      </c>
      <c r="AU45" s="22">
        <f t="shared" si="46"/>
        <v>2034507.7067204528</v>
      </c>
      <c r="AV45" s="22">
        <f t="shared" si="46"/>
        <v>2047524.5026632417</v>
      </c>
      <c r="AW45" s="22">
        <f t="shared" si="46"/>
        <v>2061992.7199964849</v>
      </c>
      <c r="AX45" s="22">
        <f t="shared" si="46"/>
        <v>2075851.0702890111</v>
      </c>
      <c r="AY45" s="22">
        <f t="shared" si="46"/>
        <v>2089940.4809582101</v>
      </c>
      <c r="AZ45" s="22">
        <f t="shared" si="46"/>
        <v>2103989.5567047545</v>
      </c>
      <c r="BA45" s="22">
        <f t="shared" si="46"/>
        <v>2119041.7573469421</v>
      </c>
      <c r="BB45" s="22">
        <f t="shared" si="46"/>
        <v>2132330.6961101023</v>
      </c>
      <c r="BC45" s="22">
        <f t="shared" si="46"/>
        <v>2145988.2120534042</v>
      </c>
      <c r="BD45" s="22">
        <f t="shared" si="46"/>
        <v>2159572.295025046</v>
      </c>
      <c r="BE45" s="22">
        <f t="shared" si="46"/>
        <v>2172409.0878170198</v>
      </c>
      <c r="BF45" s="22">
        <f t="shared" si="46"/>
        <v>2184987.7327827336</v>
      </c>
      <c r="BG45" s="22">
        <f t="shared" si="46"/>
        <v>2197712.4748761123</v>
      </c>
      <c r="BH45" s="22">
        <f t="shared" si="46"/>
        <v>2210700.3081399146</v>
      </c>
      <c r="BI45" s="22">
        <f t="shared" si="46"/>
        <v>2222824.0111830072</v>
      </c>
      <c r="BJ45" s="22">
        <f t="shared" si="46"/>
        <v>2234869.2374606472</v>
      </c>
      <c r="BK45" s="22">
        <f t="shared" si="46"/>
        <v>2246854.0919813793</v>
      </c>
      <c r="BL45" s="22">
        <f t="shared" si="46"/>
        <v>2259279.8956808606</v>
      </c>
      <c r="BM45" s="22">
        <f t="shared" si="46"/>
        <v>2271707.8643392255</v>
      </c>
      <c r="BN45" s="22">
        <f t="shared" si="46"/>
        <v>2279418.377276333</v>
      </c>
      <c r="BO45" s="22">
        <f t="shared" si="46"/>
        <v>2286748.0995057402</v>
      </c>
      <c r="BP45" s="22">
        <f t="shared" si="46"/>
        <v>2294616.2103442703</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640968.80340252805</v>
      </c>
      <c r="AF46" s="22">
        <f>((Data!$AJ$48*'Net zero Activity data'!AF47)+Data!$AK$48)</f>
        <v>640850.57741488342</v>
      </c>
      <c r="AG46" s="22">
        <f>((Data!$AJ$48*'Net zero Activity data'!AG47)+Data!$AK$48)</f>
        <v>640749.95971240813</v>
      </c>
      <c r="AH46" s="22">
        <f>((Data!$AJ$48*'Net zero Activity data'!AH47)+Data!$AK$48)</f>
        <v>640717.03659153939</v>
      </c>
      <c r="AI46" s="22">
        <f>((Data!$AJ$48*'Net zero Activity data'!AI47)+Data!$AK$48)</f>
        <v>640683.71316754469</v>
      </c>
      <c r="AJ46" s="22">
        <f>((Data!$AJ$48*'Net zero Activity data'!AJ47)+Data!$AK$48)</f>
        <v>640582.12338687305</v>
      </c>
      <c r="AK46" s="22">
        <f>((Data!$AJ$48*'Net zero Activity data'!AK47)+Data!$AK$48)</f>
        <v>640502.51062657672</v>
      </c>
      <c r="AL46" s="22">
        <f>((Data!$AJ$48*'Net zero Activity data'!AL47)+Data!$AK$48)</f>
        <v>640497.15064425673</v>
      </c>
      <c r="AM46" s="22">
        <f>((Data!$AJ$48*'Net zero Activity data'!AM47)+Data!$AK$48)</f>
        <v>640828.30062491039</v>
      </c>
      <c r="AN46" s="22">
        <f>((Data!$AJ$48*'Net zero Activity data'!AN47)+Data!$AK$48)</f>
        <v>640647.17406378768</v>
      </c>
      <c r="AO46" s="22">
        <f>((Data!$AJ$48*'Net zero Activity data'!AO47)+Data!$AK$48)</f>
        <v>640510.18607458216</v>
      </c>
      <c r="AP46" s="22">
        <f>((Data!$AJ$48*'Net zero Activity data'!AP47)+Data!$AK$48)</f>
        <v>640383.88956176036</v>
      </c>
      <c r="AQ46" s="22">
        <f>((Data!$AJ$48*'Net zero Activity data'!AQ47)+Data!$AK$48)</f>
        <v>640243.56707627396</v>
      </c>
      <c r="AR46" s="22">
        <f>((Data!$AJ$48*'Net zero Activity data'!AR47)+Data!$AK$48)</f>
        <v>640052.86986334913</v>
      </c>
      <c r="AS46" s="22">
        <f>((Data!$AJ$48*'Net zero Activity data'!AS47)+Data!$AK$48)</f>
        <v>639853.18726774678</v>
      </c>
      <c r="AT46" s="22">
        <f>((Data!$AJ$48*'Net zero Activity data'!AT47)+Data!$AK$48)</f>
        <v>639644.12758634449</v>
      </c>
      <c r="AU46" s="22">
        <f>((Data!$AJ$48*'Net zero Activity data'!AU47)+Data!$AK$48)</f>
        <v>639458.32262666116</v>
      </c>
      <c r="AV46" s="22">
        <f>((Data!$AJ$48*'Net zero Activity data'!AV47)+Data!$AK$48)</f>
        <v>639253.34198661346</v>
      </c>
      <c r="AW46" s="22">
        <f>((Data!$AJ$48*'Net zero Activity data'!AW47)+Data!$AK$48)</f>
        <v>639025.50523920252</v>
      </c>
      <c r="AX46" s="22">
        <f>((Data!$AJ$48*'Net zero Activity data'!AX47)+Data!$AK$48)</f>
        <v>638807.27230957441</v>
      </c>
      <c r="AY46" s="22">
        <f>((Data!$AJ$48*'Net zero Activity data'!AY47)+Data!$AK$48)</f>
        <v>638585.40078070038</v>
      </c>
      <c r="AZ46" s="22">
        <f>((Data!$AJ$48*'Net zero Activity data'!AZ47)+Data!$AK$48)</f>
        <v>638364.1644218252</v>
      </c>
      <c r="BA46" s="22">
        <f>((Data!$AJ$48*'Net zero Activity data'!BA47)+Data!$AK$48)</f>
        <v>638127.13145800505</v>
      </c>
      <c r="BB46" s="22">
        <f>((Data!$AJ$48*'Net zero Activity data'!BB47)+Data!$AK$48)</f>
        <v>637917.86527720303</v>
      </c>
      <c r="BC46" s="22">
        <f>((Data!$AJ$48*'Net zero Activity data'!BC47)+Data!$AK$48)</f>
        <v>637702.79496559768</v>
      </c>
      <c r="BD46" s="22">
        <f>((Data!$AJ$48*'Net zero Activity data'!BD47)+Data!$AK$48)</f>
        <v>637488.8810320748</v>
      </c>
      <c r="BE46" s="22">
        <f>((Data!$AJ$48*'Net zero Activity data'!BE47)+Data!$AK$48)</f>
        <v>637286.73497291992</v>
      </c>
      <c r="BF46" s="22">
        <f>((Data!$AJ$48*'Net zero Activity data'!BF47)+Data!$AK$48)</f>
        <v>637088.65406980552</v>
      </c>
      <c r="BG46" s="22">
        <f>((Data!$AJ$48*'Net zero Activity data'!BG47)+Data!$AK$48)</f>
        <v>636888.27251737076</v>
      </c>
      <c r="BH46" s="22">
        <f>((Data!$AJ$48*'Net zero Activity data'!BH47)+Data!$AK$48)</f>
        <v>636683.74796409765</v>
      </c>
      <c r="BI46" s="22">
        <f>((Data!$AJ$48*'Net zero Activity data'!BI47)+Data!$AK$48)</f>
        <v>636492.83121158474</v>
      </c>
      <c r="BJ46" s="22">
        <f>((Data!$AJ$48*'Net zero Activity data'!BJ47)+Data!$AK$48)</f>
        <v>636303.15026377223</v>
      </c>
      <c r="BK46" s="22">
        <f>((Data!$AJ$48*'Net zero Activity data'!BK47)+Data!$AK$48)</f>
        <v>636114.42001392157</v>
      </c>
      <c r="BL46" s="22">
        <f>((Data!$AJ$48*'Net zero Activity data'!BL47)+Data!$AK$48)</f>
        <v>635918.74596274795</v>
      </c>
      <c r="BM46" s="22">
        <f>((Data!$AJ$48*'Net zero Activity data'!BM47)+Data!$AK$48)</f>
        <v>635723.03781910951</v>
      </c>
      <c r="BN46" s="22">
        <f>((Data!$AJ$48*'Net zero Activity data'!BN47)+Data!$AK$48)</f>
        <v>635601.61731871206</v>
      </c>
      <c r="BO46" s="22">
        <f>((Data!$AJ$48*'Net zero Activity data'!BO47)+Data!$AK$48)</f>
        <v>635486.19328037277</v>
      </c>
      <c r="BP46" s="22">
        <f>((Data!$AJ$48*'Net zero Activity data'!BP47)+Data!$AK$48)</f>
        <v>635362.29102341668</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420360.56587981997</v>
      </c>
      <c r="AF47" s="22">
        <f>((Data!$AJ$49*'Net zero Activity data'!AF41)+Data!$AK$49)</f>
        <v>420273.60787048884</v>
      </c>
      <c r="AG47" s="22">
        <f>((Data!$AJ$49*'Net zero Activity data'!AG41)+Data!$AK$49)</f>
        <v>420199.60117124248</v>
      </c>
      <c r="AH47" s="22">
        <f>((Data!$AJ$49*'Net zero Activity data'!AH41)+Data!$AK$49)</f>
        <v>420175.38543738599</v>
      </c>
      <c r="AI47" s="22">
        <f>((Data!$AJ$49*'Net zero Activity data'!AI41)+Data!$AK$49)</f>
        <v>420150.87527111539</v>
      </c>
      <c r="AJ47" s="22">
        <f>((Data!$AJ$49*'Net zero Activity data'!AJ41)+Data!$AK$49)</f>
        <v>420076.1535853711</v>
      </c>
      <c r="AK47" s="22">
        <f>((Data!$AJ$49*'Net zero Activity data'!AK41)+Data!$AK$49)</f>
        <v>420017.59651775297</v>
      </c>
      <c r="AL47" s="22">
        <f>((Data!$AJ$49*'Net zero Activity data'!AL41)+Data!$AK$49)</f>
        <v>420013.65412402141</v>
      </c>
      <c r="AM47" s="22">
        <f>((Data!$AJ$49*'Net zero Activity data'!AM41)+Data!$AK$49)</f>
        <v>420257.22276473558</v>
      </c>
      <c r="AN47" s="22">
        <f>((Data!$AJ$49*'Net zero Activity data'!AN41)+Data!$AK$49)</f>
        <v>420123.99989634583</v>
      </c>
      <c r="AO47" s="22">
        <f>((Data!$AJ$49*'Net zero Activity data'!AO41)+Data!$AK$49)</f>
        <v>420023.24199124472</v>
      </c>
      <c r="AP47" s="22">
        <f>((Data!$AJ$49*'Net zero Activity data'!AP41)+Data!$AK$49)</f>
        <v>419930.34791982052</v>
      </c>
      <c r="AQ47" s="22">
        <f>((Data!$AJ$49*'Net zero Activity data'!AQ41)+Data!$AK$49)</f>
        <v>419827.13741386164</v>
      </c>
      <c r="AR47" s="22">
        <f>((Data!$AJ$49*'Net zero Activity data'!AR41)+Data!$AK$49)</f>
        <v>419686.87510477618</v>
      </c>
      <c r="AS47" s="22">
        <f>((Data!$AJ$49*'Net zero Activity data'!AS41)+Data!$AK$49)</f>
        <v>419540.00383427477</v>
      </c>
      <c r="AT47" s="22">
        <f>((Data!$AJ$49*'Net zero Activity data'!AT41)+Data!$AK$49)</f>
        <v>419386.23549544899</v>
      </c>
      <c r="AU47" s="22">
        <f>((Data!$AJ$49*'Net zero Activity data'!AU41)+Data!$AK$49)</f>
        <v>419249.57155429857</v>
      </c>
      <c r="AV47" s="22">
        <f>((Data!$AJ$49*'Net zero Activity data'!AV41)+Data!$AK$49)</f>
        <v>419098.80344683689</v>
      </c>
      <c r="AW47" s="22">
        <f>((Data!$AJ$49*'Net zero Activity data'!AW41)+Data!$AK$49)</f>
        <v>418931.22413198365</v>
      </c>
      <c r="AX47" s="22">
        <f>((Data!$AJ$49*'Net zero Activity data'!AX41)+Data!$AK$49)</f>
        <v>418770.70865218906</v>
      </c>
      <c r="AY47" s="22">
        <f>((Data!$AJ$49*'Net zero Activity data'!AY41)+Data!$AK$49)</f>
        <v>418607.51689661556</v>
      </c>
      <c r="AZ47" s="22">
        <f>((Data!$AJ$49*'Net zero Activity data'!AZ41)+Data!$AK$49)</f>
        <v>418444.79232359456</v>
      </c>
      <c r="BA47" s="22">
        <f>((Data!$AJ$49*'Net zero Activity data'!BA41)+Data!$AK$49)</f>
        <v>418270.4489741305</v>
      </c>
      <c r="BB47" s="22">
        <f>((Data!$AJ$49*'Net zero Activity data'!BB41)+Data!$AK$49)</f>
        <v>418116.52875011368</v>
      </c>
      <c r="BC47" s="22">
        <f>((Data!$AJ$49*'Net zero Activity data'!BC41)+Data!$AK$49)</f>
        <v>417958.33945065399</v>
      </c>
      <c r="BD47" s="22">
        <f>((Data!$AJ$49*'Net zero Activity data'!BD41)+Data!$AK$49)</f>
        <v>417801.00069461617</v>
      </c>
      <c r="BE47" s="22">
        <f>((Data!$AJ$49*'Net zero Activity data'!BE41)+Data!$AK$49)</f>
        <v>417652.31748842401</v>
      </c>
      <c r="BF47" s="22">
        <f>((Data!$AJ$49*'Net zero Activity data'!BF41)+Data!$AK$49)</f>
        <v>417506.62430061895</v>
      </c>
      <c r="BG47" s="22">
        <f>((Data!$AJ$49*'Net zero Activity data'!BG41)+Data!$AK$49)</f>
        <v>417359.23893084063</v>
      </c>
      <c r="BH47" s="22">
        <f>((Data!$AJ$49*'Net zero Activity data'!BH41)+Data!$AK$49)</f>
        <v>417208.80628598569</v>
      </c>
      <c r="BI47" s="22">
        <f>((Data!$AJ$49*'Net zero Activity data'!BI41)+Data!$AK$49)</f>
        <v>417068.38250034227</v>
      </c>
      <c r="BJ47" s="22">
        <f>((Data!$AJ$49*'Net zero Activity data'!BJ41)+Data!$AK$49)</f>
        <v>416928.86767827626</v>
      </c>
      <c r="BK47" s="22">
        <f>((Data!$AJ$49*'Net zero Activity data'!BK41)+Data!$AK$49)</f>
        <v>416790.05211704015</v>
      </c>
      <c r="BL47" s="22">
        <f>((Data!$AJ$49*'Net zero Activity data'!BL41)+Data!$AK$49)</f>
        <v>416646.1292257469</v>
      </c>
      <c r="BM47" s="22">
        <f>((Data!$AJ$49*'Net zero Activity data'!BM41)+Data!$AK$49)</f>
        <v>416502.18125863961</v>
      </c>
      <c r="BN47" s="22">
        <f>((Data!$AJ$49*'Net zero Activity data'!BN41)+Data!$AK$49)</f>
        <v>416412.87360964552</v>
      </c>
      <c r="BO47" s="22">
        <f>((Data!$AJ$49*'Net zero Activity data'!BO41)+Data!$AK$49)</f>
        <v>416327.97650027968</v>
      </c>
      <c r="BP47" s="22">
        <f>((Data!$AJ$49*'Net zero Activity data'!BP41)+Data!$AK$49)</f>
        <v>416236.8434606563</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2774.3797348068124</v>
      </c>
      <c r="AF48" s="22">
        <f t="shared" si="47"/>
        <v>2773.8058119452267</v>
      </c>
      <c r="AG48" s="22">
        <f t="shared" si="47"/>
        <v>2773.3173677302011</v>
      </c>
      <c r="AH48" s="22">
        <f t="shared" si="47"/>
        <v>2773.1575438867476</v>
      </c>
      <c r="AI48" s="22">
        <f t="shared" si="47"/>
        <v>2772.995776789362</v>
      </c>
      <c r="AJ48" s="22">
        <f t="shared" si="47"/>
        <v>2772.5026136634497</v>
      </c>
      <c r="AK48" s="22">
        <f t="shared" si="47"/>
        <v>2772.1161370171699</v>
      </c>
      <c r="AL48" s="22">
        <f t="shared" si="47"/>
        <v>2772.0901172185418</v>
      </c>
      <c r="AM48" s="22">
        <f t="shared" si="47"/>
        <v>2773.6976702472552</v>
      </c>
      <c r="AN48" s="22">
        <f t="shared" si="47"/>
        <v>2772.8183993158827</v>
      </c>
      <c r="AO48" s="22">
        <f t="shared" si="47"/>
        <v>2772.1533971422155</v>
      </c>
      <c r="AP48" s="22">
        <f t="shared" si="47"/>
        <v>2771.5402962708158</v>
      </c>
      <c r="AQ48" s="22">
        <f t="shared" si="47"/>
        <v>2770.8591069314871</v>
      </c>
      <c r="AR48" s="22">
        <f t="shared" si="47"/>
        <v>2769.933375691523</v>
      </c>
      <c r="AS48" s="22">
        <f t="shared" si="47"/>
        <v>2768.9640253062144</v>
      </c>
      <c r="AT48" s="22">
        <f t="shared" si="47"/>
        <v>2767.9491542699634</v>
      </c>
      <c r="AU48" s="22">
        <f t="shared" si="47"/>
        <v>2767.0471722583711</v>
      </c>
      <c r="AV48" s="22">
        <f t="shared" si="47"/>
        <v>2766.0521027491236</v>
      </c>
      <c r="AW48" s="22">
        <f t="shared" si="47"/>
        <v>2764.9460792710925</v>
      </c>
      <c r="AX48" s="22">
        <f t="shared" si="47"/>
        <v>2763.8866771044482</v>
      </c>
      <c r="AY48" s="22">
        <f t="shared" si="47"/>
        <v>2762.8096115176631</v>
      </c>
      <c r="AZ48" s="22">
        <f t="shared" si="47"/>
        <v>2761.7356293357243</v>
      </c>
      <c r="BA48" s="22">
        <f t="shared" si="47"/>
        <v>2760.584963229262</v>
      </c>
      <c r="BB48" s="22">
        <f t="shared" si="47"/>
        <v>2759.5690897507507</v>
      </c>
      <c r="BC48" s="22">
        <f t="shared" si="47"/>
        <v>2758.5250403743171</v>
      </c>
      <c r="BD48" s="22">
        <f t="shared" si="47"/>
        <v>2757.4866045844674</v>
      </c>
      <c r="BE48" s="22">
        <f t="shared" si="47"/>
        <v>2756.5052954235989</v>
      </c>
      <c r="BF48" s="22">
        <f t="shared" si="47"/>
        <v>2755.5437203840856</v>
      </c>
      <c r="BG48" s="22">
        <f t="shared" si="47"/>
        <v>2754.5709769435489</v>
      </c>
      <c r="BH48" s="22">
        <f t="shared" si="47"/>
        <v>2753.578121487506</v>
      </c>
      <c r="BI48" s="22">
        <f t="shared" si="47"/>
        <v>2752.6513245022593</v>
      </c>
      <c r="BJ48" s="22">
        <f t="shared" si="47"/>
        <v>2751.7305266766239</v>
      </c>
      <c r="BK48" s="22">
        <f t="shared" si="47"/>
        <v>2750.8143439724654</v>
      </c>
      <c r="BL48" s="22">
        <f t="shared" si="47"/>
        <v>2749.8644528899299</v>
      </c>
      <c r="BM48" s="22">
        <f t="shared" si="47"/>
        <v>2748.9143963070219</v>
      </c>
      <c r="BN48" s="22">
        <f t="shared" si="47"/>
        <v>2748.3249658236609</v>
      </c>
      <c r="BO48" s="22">
        <f t="shared" si="47"/>
        <v>2747.7646449018466</v>
      </c>
      <c r="BP48" s="22">
        <f t="shared" si="47"/>
        <v>2747.163166840332</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20306692.035354737</v>
      </c>
      <c r="AE50" s="22">
        <f>((AE5*Constants!$H63*Constants!$H81*(1-Constants!$H99))+(AE5*Constants!$H63*Constants!$H115))</f>
        <v>20443803.960096341</v>
      </c>
      <c r="AF50" s="22">
        <f>((AF5*Constants!$H63*Constants!$H81*(1-Constants!$H99))+(AF5*Constants!$H63*Constants!$H115))</f>
        <v>20563742.16288035</v>
      </c>
      <c r="AG50" s="22">
        <f>((AG5*Constants!$H63*Constants!$H81*(1-Constants!$H99))+(AG5*Constants!$H63*Constants!$H115))</f>
        <v>20579256.420816109</v>
      </c>
      <c r="AH50" s="22">
        <f>((AH5*Constants!$H63*Constants!$H81*(1-Constants!$H99))+(AH5*Constants!$H63*Constants!$H115))</f>
        <v>20605978.208970584</v>
      </c>
      <c r="AI50" s="22">
        <f>((AI5*Constants!$H63*Constants!$H81*(1-Constants!$H99))+(AI5*Constants!$H63*Constants!$H115))</f>
        <v>20759302.900500614</v>
      </c>
      <c r="AJ50" s="22">
        <f>((AJ5*Constants!$H63*Constants!$H81*(1-Constants!$H99))+(AJ5*Constants!$H63*Constants!$H115))</f>
        <v>20881906.511640951</v>
      </c>
      <c r="AK50" s="22">
        <f>((AK5*Constants!$H63*Constants!$H81*(1-Constants!$H99))+(AK5*Constants!$H63*Constants!$H115))</f>
        <v>20882981.507475685</v>
      </c>
      <c r="AL50" s="22">
        <f>((AL5*Constants!$H63*Constants!$H81*(1-Constants!$H99))+(AL5*Constants!$H63*Constants!$H115))</f>
        <v>20329712.963385038</v>
      </c>
      <c r="AM50" s="22">
        <f>((AM5*Constants!$H63*Constants!$H81*(1-Constants!$H99))+(AM5*Constants!$H63*Constants!$H115))</f>
        <v>20432217.982523303</v>
      </c>
      <c r="AN50" s="22">
        <f>((AN5*Constants!$H63*Constants!$H81*(1-Constants!$H99))+(AN5*Constants!$H63*Constants!$H115))</f>
        <v>20466531.899897084</v>
      </c>
      <c r="AO50" s="22">
        <f>((AO5*Constants!$H63*Constants!$H81*(1-Constants!$H99))+(AO5*Constants!$H63*Constants!$H115))</f>
        <v>20486446.78493518</v>
      </c>
      <c r="AP50" s="22">
        <f>((AP5*Constants!$H63*Constants!$H81*(1-Constants!$H99))+(AP5*Constants!$H63*Constants!$H115))</f>
        <v>20532785.644560393</v>
      </c>
      <c r="AQ50" s="22">
        <f>((AQ5*Constants!$H63*Constants!$H81*(1-Constants!$H99))+(AQ5*Constants!$H63*Constants!$H115))</f>
        <v>20667558.916039608</v>
      </c>
      <c r="AR50" s="22">
        <f>((AR5*Constants!$H63*Constants!$H81*(1-Constants!$H99))+(AR5*Constants!$H63*Constants!$H115))</f>
        <v>20809671.959050186</v>
      </c>
      <c r="AS50" s="22">
        <f>((AS5*Constants!$H63*Constants!$H81*(1-Constants!$H99))+(AS5*Constants!$H63*Constants!$H115))</f>
        <v>20973378.593385652</v>
      </c>
      <c r="AT50" s="22">
        <f>((AT5*Constants!$H63*Constants!$H81*(1-Constants!$H99))+(AT5*Constants!$H63*Constants!$H115))</f>
        <v>21100930.68913481</v>
      </c>
      <c r="AU50" s="22">
        <f>((AU5*Constants!$H63*Constants!$H81*(1-Constants!$H99))+(AU5*Constants!$H63*Constants!$H115))</f>
        <v>21267382.014817402</v>
      </c>
      <c r="AV50" s="22">
        <f>((AV5*Constants!$H63*Constants!$H81*(1-Constants!$H99))+(AV5*Constants!$H63*Constants!$H115))</f>
        <v>21481288.043780386</v>
      </c>
      <c r="AW50" s="22">
        <f>((AW5*Constants!$H63*Constants!$H81*(1-Constants!$H99))+(AW5*Constants!$H63*Constants!$H115))</f>
        <v>21828089.823835343</v>
      </c>
      <c r="AX50" s="22">
        <f>((AX5*Constants!$H63*Constants!$H81*(1-Constants!$H99))+(AX5*Constants!$H63*Constants!$H115))</f>
        <v>22193518.063222285</v>
      </c>
      <c r="AY50" s="22">
        <f>((AY5*Constants!$H63*Constants!$H81*(1-Constants!$H99))+(AY5*Constants!$H63*Constants!$H115))</f>
        <v>22569779.157998234</v>
      </c>
      <c r="AZ50" s="22">
        <f>((AZ5*Constants!$H63*Constants!$H81*(1-Constants!$H99))+(AZ5*Constants!$H63*Constants!$H115))</f>
        <v>22991115.078324731</v>
      </c>
      <c r="BA50" s="22">
        <f>((BA5*Constants!$H63*Constants!$H81*(1-Constants!$H99))+(BA5*Constants!$H63*Constants!$H115))</f>
        <v>23367648.850953799</v>
      </c>
      <c r="BB50" s="22">
        <f>((BB5*Constants!$H63*Constants!$H81*(1-Constants!$H99))+(BB5*Constants!$H63*Constants!$H115))</f>
        <v>23758996.41540993</v>
      </c>
      <c r="BC50" s="22">
        <f>((BC5*Constants!$H63*Constants!$H81*(1-Constants!$H99))+(BC5*Constants!$H63*Constants!$H115))</f>
        <v>24160143.344888341</v>
      </c>
      <c r="BD50" s="22">
        <f>((BD5*Constants!$H63*Constants!$H81*(1-Constants!$H99))+(BD5*Constants!$H63*Constants!$H115))</f>
        <v>24546699.009482194</v>
      </c>
      <c r="BE50" s="22">
        <f>((BE5*Constants!$H63*Constants!$H81*(1-Constants!$H99))+(BE5*Constants!$H63*Constants!$H115))</f>
        <v>24935072.261680882</v>
      </c>
      <c r="BF50" s="22">
        <f>((BF5*Constants!$H63*Constants!$H81*(1-Constants!$H99))+(BF5*Constants!$H63*Constants!$H115))</f>
        <v>25340190.782866891</v>
      </c>
      <c r="BG50" s="22">
        <f>((BG5*Constants!$H63*Constants!$H81*(1-Constants!$H99))+(BG5*Constants!$H63*Constants!$H115))</f>
        <v>25758585.207900394</v>
      </c>
      <c r="BH50" s="22">
        <f>((BH5*Constants!$H63*Constants!$H81*(1-Constants!$H99))+(BH5*Constants!$H63*Constants!$H115))</f>
        <v>26154814.635639042</v>
      </c>
      <c r="BI50" s="22">
        <f>((BI5*Constants!$H63*Constants!$H81*(1-Constants!$H99))+(BI5*Constants!$H63*Constants!$H115))</f>
        <v>26558841.885923892</v>
      </c>
      <c r="BJ50" s="22">
        <f>((BJ5*Constants!$H63*Constants!$H81*(1-Constants!$H99))+(BJ5*Constants!$H63*Constants!$H115))</f>
        <v>26971425.889832456</v>
      </c>
      <c r="BK50" s="22">
        <f>((BK5*Constants!$H63*Constants!$H81*(1-Constants!$H99))+(BK5*Constants!$H63*Constants!$H115))</f>
        <v>27414137.263382852</v>
      </c>
      <c r="BL50" s="22">
        <f>((BL5*Constants!$H63*Constants!$H81*(1-Constants!$H99))+(BL5*Constants!$H63*Constants!$H115))</f>
        <v>27860577.107672378</v>
      </c>
      <c r="BM50" s="22">
        <f>((BM5*Constants!$H63*Constants!$H81*(1-Constants!$H99))+(BM5*Constants!$H63*Constants!$H115))</f>
        <v>28108064.227408718</v>
      </c>
      <c r="BN50" s="22">
        <f>((BN5*Constants!$H63*Constants!$H81*(1-Constants!$H99))+(BN5*Constants!$H63*Constants!$H115))</f>
        <v>28343156.515560344</v>
      </c>
      <c r="BO50" s="22">
        <f>((BO5*Constants!$H63*Constants!$H81*(1-Constants!$H99))+(BO5*Constants!$H63*Constants!$H115))</f>
        <v>28607273.636978794</v>
      </c>
      <c r="BP50" s="22">
        <f>((BP5*Constants!$H63*Constants!$H81*(1-Constants!$H99))+(BP5*Constants!$H63*Constants!$H115))</f>
        <v>28861372.857795686</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59376173.827164091</v>
      </c>
      <c r="AE51" s="22">
        <f>((AE6*Constants!$H64*Constants!$H82*(1-Constants!$H100))+(AE6*Constants!$H64*Constants!$H116))</f>
        <v>59777085.086519398</v>
      </c>
      <c r="AF51" s="22">
        <f>((AF6*Constants!$H64*Constants!$H82*(1-Constants!$H100))+(AF6*Constants!$H64*Constants!$H116))</f>
        <v>60127780.884959757</v>
      </c>
      <c r="AG51" s="22">
        <f>((AG6*Constants!$H64*Constants!$H82*(1-Constants!$H100))+(AG6*Constants!$H64*Constants!$H116))</f>
        <v>60173144.121590778</v>
      </c>
      <c r="AH51" s="22">
        <f>((AH6*Constants!$H64*Constants!$H82*(1-Constants!$H100))+(AH6*Constants!$H64*Constants!$H116))</f>
        <v>60251277.848919205</v>
      </c>
      <c r="AI51" s="22">
        <f>((AI6*Constants!$H64*Constants!$H82*(1-Constants!$H100))+(AI6*Constants!$H64*Constants!$H116))</f>
        <v>60699594.764369212</v>
      </c>
      <c r="AJ51" s="22">
        <f>((AJ6*Constants!$H64*Constants!$H82*(1-Constants!$H100))+(AJ6*Constants!$H64*Constants!$H116))</f>
        <v>61058084.138917878</v>
      </c>
      <c r="AK51" s="22">
        <f>((AK6*Constants!$H64*Constants!$H82*(1-Constants!$H100))+(AK6*Constants!$H64*Constants!$H116))</f>
        <v>61061227.395310163</v>
      </c>
      <c r="AL51" s="22">
        <f>((AL6*Constants!$H64*Constants!$H82*(1-Constants!$H100))+(AL6*Constants!$H64*Constants!$H116))</f>
        <v>59443486.347687379</v>
      </c>
      <c r="AM51" s="22">
        <f>((AM6*Constants!$H64*Constants!$H82*(1-Constants!$H100))+(AM6*Constants!$H64*Constants!$H116))</f>
        <v>59743208.026822217</v>
      </c>
      <c r="AN51" s="22">
        <f>((AN6*Constants!$H64*Constants!$H82*(1-Constants!$H100))+(AN6*Constants!$H64*Constants!$H116))</f>
        <v>59843540.918025233</v>
      </c>
      <c r="AO51" s="22">
        <f>((AO6*Constants!$H64*Constants!$H82*(1-Constants!$H100))+(AO6*Constants!$H64*Constants!$H116))</f>
        <v>59901771.459647238</v>
      </c>
      <c r="AP51" s="22">
        <f>((AP6*Constants!$H64*Constants!$H82*(1-Constants!$H100))+(AP6*Constants!$H64*Constants!$H116))</f>
        <v>60037264.930433571</v>
      </c>
      <c r="AQ51" s="22">
        <f>((AQ6*Constants!$H64*Constants!$H82*(1-Constants!$H100))+(AQ6*Constants!$H64*Constants!$H116))</f>
        <v>60431338.036022253</v>
      </c>
      <c r="AR51" s="22">
        <f>((AR6*Constants!$H64*Constants!$H82*(1-Constants!$H100))+(AR6*Constants!$H64*Constants!$H116))</f>
        <v>60846872.418983907</v>
      </c>
      <c r="AS51" s="22">
        <f>((AS6*Constants!$H64*Constants!$H82*(1-Constants!$H100))+(AS6*Constants!$H64*Constants!$H116))</f>
        <v>61325545.83167167</v>
      </c>
      <c r="AT51" s="22">
        <f>((AT6*Constants!$H64*Constants!$H82*(1-Constants!$H100))+(AT6*Constants!$H64*Constants!$H116))</f>
        <v>61698504.430543169</v>
      </c>
      <c r="AU51" s="22">
        <f>((AU6*Constants!$H64*Constants!$H82*(1-Constants!$H100))+(AU6*Constants!$H64*Constants!$H116))</f>
        <v>62185203.240486428</v>
      </c>
      <c r="AV51" s="22">
        <f>((AV6*Constants!$H64*Constants!$H82*(1-Constants!$H100))+(AV6*Constants!$H64*Constants!$H116))</f>
        <v>62810658.215441093</v>
      </c>
      <c r="AW51" s="22">
        <f>((AW6*Constants!$H64*Constants!$H82*(1-Constants!$H100))+(AW6*Constants!$H64*Constants!$H116))</f>
        <v>63824696.481263101</v>
      </c>
      <c r="AX51" s="22">
        <f>((AX6*Constants!$H64*Constants!$H82*(1-Constants!$H100))+(AX6*Constants!$H64*Constants!$H116))</f>
        <v>64893197.969610751</v>
      </c>
      <c r="AY51" s="22">
        <f>((AY6*Constants!$H64*Constants!$H82*(1-Constants!$H100))+(AY6*Constants!$H64*Constants!$H116))</f>
        <v>65993374.410407662</v>
      </c>
      <c r="AZ51" s="22">
        <f>((AZ6*Constants!$H64*Constants!$H82*(1-Constants!$H100))+(AZ6*Constants!$H64*Constants!$H116))</f>
        <v>67225348.323311746</v>
      </c>
      <c r="BA51" s="22">
        <f>((BA6*Constants!$H64*Constants!$H82*(1-Constants!$H100))+(BA6*Constants!$H64*Constants!$H116))</f>
        <v>68326322.066179216</v>
      </c>
      <c r="BB51" s="22">
        <f>((BB6*Constants!$H64*Constants!$H82*(1-Constants!$H100))+(BB6*Constants!$H64*Constants!$H116))</f>
        <v>69470610.903254613</v>
      </c>
      <c r="BC51" s="22">
        <f>((BC6*Constants!$H64*Constants!$H82*(1-Constants!$H100))+(BC6*Constants!$H64*Constants!$H116))</f>
        <v>70643552.797162026</v>
      </c>
      <c r="BD51" s="22">
        <f>((BD6*Constants!$H64*Constants!$H82*(1-Constants!$H100))+(BD6*Constants!$H64*Constants!$H116))</f>
        <v>71773830.259135574</v>
      </c>
      <c r="BE51" s="22">
        <f>((BE6*Constants!$H64*Constants!$H82*(1-Constants!$H100))+(BE6*Constants!$H64*Constants!$H116))</f>
        <v>72909422.294126913</v>
      </c>
      <c r="BF51" s="22">
        <f>((BF6*Constants!$H64*Constants!$H82*(1-Constants!$H100))+(BF6*Constants!$H64*Constants!$H116))</f>
        <v>74093977.006074309</v>
      </c>
      <c r="BG51" s="22">
        <f>((BG6*Constants!$H64*Constants!$H82*(1-Constants!$H100))+(BG6*Constants!$H64*Constants!$H116))</f>
        <v>75317350.072738901</v>
      </c>
      <c r="BH51" s="22">
        <f>((BH6*Constants!$H64*Constants!$H82*(1-Constants!$H100))+(BH6*Constants!$H64*Constants!$H116))</f>
        <v>76475913.335326776</v>
      </c>
      <c r="BI51" s="22">
        <f>((BI6*Constants!$H64*Constants!$H82*(1-Constants!$H100))+(BI6*Constants!$H64*Constants!$H116))</f>
        <v>77657277.203063458</v>
      </c>
      <c r="BJ51" s="22">
        <f>((BJ6*Constants!$H64*Constants!$H82*(1-Constants!$H100))+(BJ6*Constants!$H64*Constants!$H116))</f>
        <v>78863660.768231586</v>
      </c>
      <c r="BK51" s="22">
        <f>((BK6*Constants!$H64*Constants!$H82*(1-Constants!$H100))+(BK6*Constants!$H64*Constants!$H116))</f>
        <v>80158135.881431937</v>
      </c>
      <c r="BL51" s="22">
        <f>((BL6*Constants!$H64*Constants!$H82*(1-Constants!$H100))+(BL6*Constants!$H64*Constants!$H116))</f>
        <v>81463512.934068352</v>
      </c>
      <c r="BM51" s="22">
        <f>((BM6*Constants!$H64*Constants!$H82*(1-Constants!$H100))+(BM6*Constants!$H64*Constants!$H116))</f>
        <v>82187158.036671251</v>
      </c>
      <c r="BN51" s="22">
        <f>((BN6*Constants!$H64*Constants!$H82*(1-Constants!$H100))+(BN6*Constants!$H64*Constants!$H116))</f>
        <v>82874561.014094353</v>
      </c>
      <c r="BO51" s="22">
        <f>((BO6*Constants!$H64*Constants!$H82*(1-Constants!$H100))+(BO6*Constants!$H64*Constants!$H116))</f>
        <v>83646831.755422786</v>
      </c>
      <c r="BP51" s="22">
        <f>((BP6*Constants!$H64*Constants!$H82*(1-Constants!$H100))+(BP6*Constants!$H64*Constants!$H116))</f>
        <v>84389810.448274508</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3176290.5139993029</v>
      </c>
      <c r="AE52" s="22">
        <f>((AE7*Constants!$H65*Constants!$H83*(1-Constants!$H101))+(AE7*Constants!$H65*Constants!$H117))</f>
        <v>3197737.005882604</v>
      </c>
      <c r="AF52" s="22">
        <f>((AF7*Constants!$H65*Constants!$H83*(1-Constants!$H101))+(AF7*Constants!$H65*Constants!$H117))</f>
        <v>3216497.2537410799</v>
      </c>
      <c r="AG52" s="22">
        <f>((AG7*Constants!$H65*Constants!$H83*(1-Constants!$H101))+(AG7*Constants!$H65*Constants!$H117))</f>
        <v>3218923.9311254267</v>
      </c>
      <c r="AH52" s="22">
        <f>((AH7*Constants!$H65*Constants!$H83*(1-Constants!$H101))+(AH7*Constants!$H65*Constants!$H117))</f>
        <v>3223103.6449894267</v>
      </c>
      <c r="AI52" s="22">
        <f>((AI7*Constants!$H65*Constants!$H83*(1-Constants!$H101))+(AI7*Constants!$H65*Constants!$H117))</f>
        <v>3247086.0721824337</v>
      </c>
      <c r="AJ52" s="22">
        <f>((AJ7*Constants!$H65*Constants!$H83*(1-Constants!$H101))+(AJ7*Constants!$H65*Constants!$H117))</f>
        <v>3266263.2324195178</v>
      </c>
      <c r="AK52" s="22">
        <f>((AK7*Constants!$H65*Constants!$H83*(1-Constants!$H101))+(AK7*Constants!$H65*Constants!$H117))</f>
        <v>3266431.378913614</v>
      </c>
      <c r="AL52" s="22">
        <f>((AL7*Constants!$H65*Constants!$H83*(1-Constants!$H101))+(AL7*Constants!$H65*Constants!$H117))</f>
        <v>3179891.3543133633</v>
      </c>
      <c r="AM52" s="22">
        <f>((AM7*Constants!$H65*Constants!$H83*(1-Constants!$H101))+(AM7*Constants!$H65*Constants!$H117))</f>
        <v>3195924.7742007249</v>
      </c>
      <c r="AN52" s="22">
        <f>((AN7*Constants!$H65*Constants!$H83*(1-Constants!$H101))+(AN7*Constants!$H65*Constants!$H117))</f>
        <v>3201292.0181645742</v>
      </c>
      <c r="AO52" s="22">
        <f>((AO7*Constants!$H65*Constants!$H83*(1-Constants!$H101))+(AO7*Constants!$H65*Constants!$H117))</f>
        <v>3204407.0238151131</v>
      </c>
      <c r="AP52" s="22">
        <f>((AP7*Constants!$H65*Constants!$H83*(1-Constants!$H101))+(AP7*Constants!$H65*Constants!$H117))</f>
        <v>3211655.1605377682</v>
      </c>
      <c r="AQ52" s="22">
        <f>((AQ7*Constants!$H65*Constants!$H83*(1-Constants!$H101))+(AQ7*Constants!$H65*Constants!$H117))</f>
        <v>3232735.8497507027</v>
      </c>
      <c r="AR52" s="22">
        <f>((AR7*Constants!$H65*Constants!$H83*(1-Constants!$H101))+(AR7*Constants!$H65*Constants!$H117))</f>
        <v>3254964.5962961363</v>
      </c>
      <c r="AS52" s="22">
        <f>((AS7*Constants!$H65*Constants!$H83*(1-Constants!$H101))+(AS7*Constants!$H65*Constants!$H117))</f>
        <v>3280570.9249297306</v>
      </c>
      <c r="AT52" s="22">
        <f>((AT7*Constants!$H65*Constants!$H83*(1-Constants!$H101))+(AT7*Constants!$H65*Constants!$H117))</f>
        <v>3300522.1070850231</v>
      </c>
      <c r="AU52" s="22">
        <f>((AU7*Constants!$H65*Constants!$H83*(1-Constants!$H101))+(AU7*Constants!$H65*Constants!$H117))</f>
        <v>3326557.7492215033</v>
      </c>
      <c r="AV52" s="22">
        <f>((AV7*Constants!$H65*Constants!$H83*(1-Constants!$H101))+(AV7*Constants!$H65*Constants!$H117))</f>
        <v>3360016.063825354</v>
      </c>
      <c r="AW52" s="22">
        <f>((AW7*Constants!$H65*Constants!$H83*(1-Constants!$H101))+(AW7*Constants!$H65*Constants!$H117))</f>
        <v>3414261.3935082387</v>
      </c>
      <c r="AX52" s="22">
        <f>((AX7*Constants!$H65*Constants!$H83*(1-Constants!$H101))+(AX7*Constants!$H65*Constants!$H117))</f>
        <v>3471420.1985116033</v>
      </c>
      <c r="AY52" s="22">
        <f>((AY7*Constants!$H65*Constants!$H83*(1-Constants!$H101))+(AY7*Constants!$H65*Constants!$H117))</f>
        <v>3530273.4348754128</v>
      </c>
      <c r="AZ52" s="22">
        <f>((AZ7*Constants!$H65*Constants!$H83*(1-Constants!$H101))+(AZ7*Constants!$H65*Constants!$H117))</f>
        <v>3596177.0928720087</v>
      </c>
      <c r="BA52" s="22">
        <f>((BA7*Constants!$H65*Constants!$H83*(1-Constants!$H101))+(BA7*Constants!$H65*Constants!$H117))</f>
        <v>3655072.9804010978</v>
      </c>
      <c r="BB52" s="22">
        <f>((BB7*Constants!$H65*Constants!$H83*(1-Constants!$H101))+(BB7*Constants!$H65*Constants!$H117))</f>
        <v>3716285.981243114</v>
      </c>
      <c r="BC52" s="22">
        <f>((BC7*Constants!$H65*Constants!$H83*(1-Constants!$H101))+(BC7*Constants!$H65*Constants!$H117))</f>
        <v>3779031.7590686632</v>
      </c>
      <c r="BD52" s="22">
        <f>((BD7*Constants!$H65*Constants!$H83*(1-Constants!$H101))+(BD7*Constants!$H65*Constants!$H117))</f>
        <v>3839495.2303442638</v>
      </c>
      <c r="BE52" s="22">
        <f>((BE7*Constants!$H65*Constants!$H83*(1-Constants!$H101))+(BE7*Constants!$H65*Constants!$H117))</f>
        <v>3900243.0013107043</v>
      </c>
      <c r="BF52" s="22">
        <f>((BF7*Constants!$H65*Constants!$H83*(1-Constants!$H101))+(BF7*Constants!$H65*Constants!$H117))</f>
        <v>3963609.9994238494</v>
      </c>
      <c r="BG52" s="22">
        <f>((BG7*Constants!$H65*Constants!$H83*(1-Constants!$H101))+(BG7*Constants!$H65*Constants!$H117))</f>
        <v>4029053.5606415197</v>
      </c>
      <c r="BH52" s="22">
        <f>((BH7*Constants!$H65*Constants!$H83*(1-Constants!$H101))+(BH7*Constants!$H65*Constants!$H117))</f>
        <v>4091030.162763739</v>
      </c>
      <c r="BI52" s="22">
        <f>((BI7*Constants!$H65*Constants!$H83*(1-Constants!$H101))+(BI7*Constants!$H65*Constants!$H117))</f>
        <v>4154226.4687028211</v>
      </c>
      <c r="BJ52" s="22">
        <f>((BJ7*Constants!$H65*Constants!$H83*(1-Constants!$H101))+(BJ7*Constants!$H65*Constants!$H117))</f>
        <v>4218761.1873837877</v>
      </c>
      <c r="BK52" s="22">
        <f>((BK7*Constants!$H65*Constants!$H83*(1-Constants!$H101))+(BK7*Constants!$H65*Constants!$H117))</f>
        <v>4288008.3071903754</v>
      </c>
      <c r="BL52" s="22">
        <f>((BL7*Constants!$H65*Constants!$H83*(1-Constants!$H101))+(BL7*Constants!$H65*Constants!$H117))</f>
        <v>4357838.6192874573</v>
      </c>
      <c r="BM52" s="22">
        <f>((BM7*Constants!$H65*Constants!$H83*(1-Constants!$H101))+(BM7*Constants!$H65*Constants!$H117))</f>
        <v>4396549.5520867016</v>
      </c>
      <c r="BN52" s="22">
        <f>((BN7*Constants!$H65*Constants!$H83*(1-Constants!$H101))+(BN7*Constants!$H65*Constants!$H117))</f>
        <v>4433321.7355358973</v>
      </c>
      <c r="BO52" s="22">
        <f>((BO7*Constants!$H65*Constants!$H83*(1-Constants!$H101))+(BO7*Constants!$H65*Constants!$H117))</f>
        <v>4474633.8658368671</v>
      </c>
      <c r="BP52" s="22">
        <f>((BP7*Constants!$H65*Constants!$H83*(1-Constants!$H101))+(BP7*Constants!$H65*Constants!$H117))</f>
        <v>4514379.0367041901</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25580123.432886433</v>
      </c>
      <c r="AE53" s="22">
        <f>((AE8*Constants!$H66*Constants!$H84*(1-Constants!$H102))+(AE8*Constants!$H66*Constants!$H118))</f>
        <v>25449889.470219385</v>
      </c>
      <c r="AF53" s="22">
        <f>((AF8*Constants!$H66*Constants!$H84*(1-Constants!$H102))+(AF8*Constants!$H66*Constants!$H118))</f>
        <v>25212188.635966018</v>
      </c>
      <c r="AG53" s="22">
        <f>((AG8*Constants!$H66*Constants!$H84*(1-Constants!$H102))+(AG8*Constants!$H66*Constants!$H118))</f>
        <v>24561534.291354593</v>
      </c>
      <c r="AH53" s="22">
        <f>((AH8*Constants!$H66*Constants!$H84*(1-Constants!$H102))+(AH8*Constants!$H66*Constants!$H118))</f>
        <v>23936844.980994303</v>
      </c>
      <c r="AI53" s="22">
        <f>((AI8*Constants!$H66*Constants!$H84*(1-Constants!$H102))+(AI8*Constants!$H66*Constants!$H118))</f>
        <v>23732363.350277517</v>
      </c>
      <c r="AJ53" s="22">
        <f>((AJ8*Constants!$H66*Constants!$H84*(1-Constants!$H102))+(AJ8*Constants!$H66*Constants!$H118))</f>
        <v>23402103.761308923</v>
      </c>
      <c r="AK53" s="22">
        <f>((AK8*Constants!$H66*Constants!$H84*(1-Constants!$H102))+(AK8*Constants!$H66*Constants!$H118))</f>
        <v>22660074.790887624</v>
      </c>
      <c r="AL53" s="22">
        <f>((AL8*Constants!$H66*Constants!$H84*(1-Constants!$H102))+(AL8*Constants!$H66*Constants!$H118))</f>
        <v>20170491.392031085</v>
      </c>
      <c r="AM53" s="22">
        <f>((AM8*Constants!$H66*Constants!$H84*(1-Constants!$H102))+(AM8*Constants!$H66*Constants!$H118))</f>
        <v>20139766.540919367</v>
      </c>
      <c r="AN53" s="22">
        <f>((AN8*Constants!$H66*Constants!$H84*(1-Constants!$H102))+(AN8*Constants!$H66*Constants!$H118))</f>
        <v>19877791.300504368</v>
      </c>
      <c r="AO53" s="22">
        <f>((AO8*Constants!$H66*Constants!$H84*(1-Constants!$H102))+(AO8*Constants!$H66*Constants!$H118))</f>
        <v>19560462.799094405</v>
      </c>
      <c r="AP53" s="22">
        <f>((AP8*Constants!$H66*Constants!$H84*(1-Constants!$H102))+(AP8*Constants!$H66*Constants!$H118))</f>
        <v>19307251.217964008</v>
      </c>
      <c r="AQ53" s="22">
        <f>((AQ8*Constants!$H66*Constants!$H84*(1-Constants!$H102))+(AQ8*Constants!$H66*Constants!$H118))</f>
        <v>19280571.770484317</v>
      </c>
      <c r="AR53" s="22">
        <f>((AR8*Constants!$H66*Constants!$H84*(1-Constants!$H102))+(AR8*Constants!$H66*Constants!$H118))</f>
        <v>19281852.64998148</v>
      </c>
      <c r="AS53" s="22">
        <f>((AS8*Constants!$H66*Constants!$H84*(1-Constants!$H102))+(AS8*Constants!$H66*Constants!$H118))</f>
        <v>19309700.703853101</v>
      </c>
      <c r="AT53" s="22">
        <f>((AT8*Constants!$H66*Constants!$H84*(1-Constants!$H102))+(AT8*Constants!$H66*Constants!$H118))</f>
        <v>19218497.434447758</v>
      </c>
      <c r="AU53" s="22">
        <f>((AU8*Constants!$H66*Constants!$H84*(1-Constants!$H102))+(AU8*Constants!$H66*Constants!$H118))</f>
        <v>19197387.036244985</v>
      </c>
      <c r="AV53" s="22">
        <f>((AV8*Constants!$H66*Constants!$H84*(1-Constants!$H102))+(AV8*Constants!$H66*Constants!$H118))</f>
        <v>19258636.348206993</v>
      </c>
      <c r="AW53" s="22">
        <f>((AW8*Constants!$H66*Constants!$H84*(1-Constants!$H102))+(AW8*Constants!$H66*Constants!$H118))</f>
        <v>19367710.785868987</v>
      </c>
      <c r="AX53" s="22">
        <f>((AX8*Constants!$H66*Constants!$H84*(1-Constants!$H102))+(AX8*Constants!$H66*Constants!$H118))</f>
        <v>19476129.147366863</v>
      </c>
      <c r="AY53" s="22">
        <f>((AY8*Constants!$H66*Constants!$H84*(1-Constants!$H102))+(AY8*Constants!$H66*Constants!$H118))</f>
        <v>19565604.153088439</v>
      </c>
      <c r="AZ53" s="22">
        <f>((AZ8*Constants!$H66*Constants!$H84*(1-Constants!$H102))+(AZ8*Constants!$H66*Constants!$H118))</f>
        <v>19704403.599230871</v>
      </c>
      <c r="BA53" s="22">
        <f>((BA8*Constants!$H66*Constants!$H84*(1-Constants!$H102))+(BA8*Constants!$H66*Constants!$H118))</f>
        <v>19711439.20149244</v>
      </c>
      <c r="BB53" s="22">
        <f>((BB8*Constants!$H66*Constants!$H84*(1-Constants!$H102))+(BB8*Constants!$H66*Constants!$H118))</f>
        <v>19727459.137110434</v>
      </c>
      <c r="BC53" s="22">
        <f>((BC8*Constants!$H66*Constants!$H84*(1-Constants!$H102))+(BC8*Constants!$H66*Constants!$H118))</f>
        <v>19722890.640627999</v>
      </c>
      <c r="BD53" s="22">
        <f>((BD8*Constants!$H66*Constants!$H84*(1-Constants!$H102))+(BD8*Constants!$H66*Constants!$H118))</f>
        <v>19655654.795073528</v>
      </c>
      <c r="BE53" s="22">
        <f>((BE8*Constants!$H66*Constants!$H84*(1-Constants!$H102))+(BE8*Constants!$H66*Constants!$H118))</f>
        <v>19557769.765968896</v>
      </c>
      <c r="BF53" s="22">
        <f>((BF8*Constants!$H66*Constants!$H84*(1-Constants!$H102))+(BF8*Constants!$H66*Constants!$H118))</f>
        <v>19454527.711674765</v>
      </c>
      <c r="BG53" s="22">
        <f>((BG8*Constants!$H66*Constants!$H84*(1-Constants!$H102))+(BG8*Constants!$H66*Constants!$H118))</f>
        <v>19595545.964520771</v>
      </c>
      <c r="BH53" s="22">
        <f>((BH8*Constants!$H66*Constants!$H84*(1-Constants!$H102))+(BH8*Constants!$H66*Constants!$H118))</f>
        <v>19675372.460820362</v>
      </c>
      <c r="BI53" s="22">
        <f>((BI8*Constants!$H66*Constants!$H84*(1-Constants!$H102))+(BI8*Constants!$H66*Constants!$H118))</f>
        <v>19741816.835007552</v>
      </c>
      <c r="BJ53" s="22">
        <f>((BJ8*Constants!$H66*Constants!$H84*(1-Constants!$H102))+(BJ8*Constants!$H66*Constants!$H118))</f>
        <v>19795917.136107363</v>
      </c>
      <c r="BK53" s="22">
        <f>((BK8*Constants!$H66*Constants!$H84*(1-Constants!$H102))+(BK8*Constants!$H66*Constants!$H118))</f>
        <v>19867518.593516011</v>
      </c>
      <c r="BL53" s="22">
        <f>((BL8*Constants!$H66*Constants!$H84*(1-Constants!$H102))+(BL8*Constants!$H66*Constants!$H118))</f>
        <v>19930566.914891161</v>
      </c>
      <c r="BM53" s="22">
        <f>((BM8*Constants!$H66*Constants!$H84*(1-Constants!$H102))+(BM8*Constants!$H66*Constants!$H118))</f>
        <v>19706670.755030002</v>
      </c>
      <c r="BN53" s="22">
        <f>((BN8*Constants!$H66*Constants!$H84*(1-Constants!$H102))+(BN8*Constants!$H66*Constants!$H118))</f>
        <v>19457010.89557644</v>
      </c>
      <c r="BO53" s="22">
        <f>((BO8*Constants!$H66*Constants!$H84*(1-Constants!$H102))+(BO8*Constants!$H66*Constants!$H118))</f>
        <v>19234685.010346912</v>
      </c>
      <c r="BP53" s="22">
        <f>((BP8*Constants!$H66*Constants!$H84*(1-Constants!$H102))+(BP8*Constants!$H66*Constants!$H118))</f>
        <v>18990062.002656356</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170127022.08485961</v>
      </c>
      <c r="AE54" s="22">
        <f>((AE9*Constants!$H67*Constants!$H85*(1-Constants!$H103))+(AE9*Constants!$H67*Constants!$H119))</f>
        <v>169260868.47535944</v>
      </c>
      <c r="AF54" s="22">
        <f>((AF9*Constants!$H67*Constants!$H85*(1-Constants!$H103))+(AF9*Constants!$H67*Constants!$H119))</f>
        <v>167679979.50175029</v>
      </c>
      <c r="AG54" s="22">
        <f>((AG9*Constants!$H67*Constants!$H85*(1-Constants!$H103))+(AG9*Constants!$H67*Constants!$H119))</f>
        <v>163352639.70818982</v>
      </c>
      <c r="AH54" s="22">
        <f>((AH9*Constants!$H67*Constants!$H85*(1-Constants!$H103))+(AH9*Constants!$H67*Constants!$H119))</f>
        <v>159197986.88258192</v>
      </c>
      <c r="AI54" s="22">
        <f>((AI9*Constants!$H67*Constants!$H85*(1-Constants!$H103))+(AI9*Constants!$H67*Constants!$H119))</f>
        <v>157838030.54788417</v>
      </c>
      <c r="AJ54" s="22">
        <f>((AJ9*Constants!$H67*Constants!$H85*(1-Constants!$H103))+(AJ9*Constants!$H67*Constants!$H119))</f>
        <v>155641556.3778666</v>
      </c>
      <c r="AK54" s="22">
        <f>((AK9*Constants!$H67*Constants!$H85*(1-Constants!$H103))+(AK9*Constants!$H67*Constants!$H119))</f>
        <v>150706506.73396328</v>
      </c>
      <c r="AL54" s="22">
        <f>((AL9*Constants!$H67*Constants!$H85*(1-Constants!$H103))+(AL9*Constants!$H67*Constants!$H119))</f>
        <v>134148908.37089805</v>
      </c>
      <c r="AM54" s="22">
        <f>((AM9*Constants!$H67*Constants!$H85*(1-Constants!$H103))+(AM9*Constants!$H67*Constants!$H119))</f>
        <v>133944565.04795232</v>
      </c>
      <c r="AN54" s="22">
        <f>((AN9*Constants!$H67*Constants!$H85*(1-Constants!$H103))+(AN9*Constants!$H67*Constants!$H119))</f>
        <v>132202233.05222517</v>
      </c>
      <c r="AO54" s="22">
        <f>((AO9*Constants!$H67*Constants!$H85*(1-Constants!$H103))+(AO9*Constants!$H67*Constants!$H119))</f>
        <v>130091760.32095908</v>
      </c>
      <c r="AP54" s="22">
        <f>((AP9*Constants!$H67*Constants!$H85*(1-Constants!$H103))+(AP9*Constants!$H67*Constants!$H119))</f>
        <v>128407713.23775651</v>
      </c>
      <c r="AQ54" s="22">
        <f>((AQ9*Constants!$H67*Constants!$H85*(1-Constants!$H103))+(AQ9*Constants!$H67*Constants!$H119))</f>
        <v>128230274.88557272</v>
      </c>
      <c r="AR54" s="22">
        <f>((AR9*Constants!$H67*Constants!$H85*(1-Constants!$H103))+(AR9*Constants!$H67*Constants!$H119))</f>
        <v>128238793.69569784</v>
      </c>
      <c r="AS54" s="22">
        <f>((AS9*Constants!$H67*Constants!$H85*(1-Constants!$H103))+(AS9*Constants!$H67*Constants!$H119))</f>
        <v>128424004.15758118</v>
      </c>
      <c r="AT54" s="22">
        <f>((AT9*Constants!$H67*Constants!$H85*(1-Constants!$H103))+(AT9*Constants!$H67*Constants!$H119))</f>
        <v>127817433.955954</v>
      </c>
      <c r="AU54" s="22">
        <f>((AU9*Constants!$H67*Constants!$H85*(1-Constants!$H103))+(AU9*Constants!$H67*Constants!$H119))</f>
        <v>127677033.96176764</v>
      </c>
      <c r="AV54" s="22">
        <f>((AV9*Constants!$H67*Constants!$H85*(1-Constants!$H103))+(AV9*Constants!$H67*Constants!$H119))</f>
        <v>128084387.86200127</v>
      </c>
      <c r="AW54" s="22">
        <f>((AW9*Constants!$H67*Constants!$H85*(1-Constants!$H103))+(AW9*Constants!$H67*Constants!$H119))</f>
        <v>128809814.74720378</v>
      </c>
      <c r="AX54" s="22">
        <f>((AX9*Constants!$H67*Constants!$H85*(1-Constants!$H103))+(AX9*Constants!$H67*Constants!$H119))</f>
        <v>129530878.23344326</v>
      </c>
      <c r="AY54" s="22">
        <f>((AY9*Constants!$H67*Constants!$H85*(1-Constants!$H103))+(AY9*Constants!$H67*Constants!$H119))</f>
        <v>130125954.18428358</v>
      </c>
      <c r="AZ54" s="22">
        <f>((AZ9*Constants!$H67*Constants!$H85*(1-Constants!$H103))+(AZ9*Constants!$H67*Constants!$H119))</f>
        <v>131049074.68842006</v>
      </c>
      <c r="BA54" s="22">
        <f>((BA9*Constants!$H67*Constants!$H85*(1-Constants!$H103))+(BA9*Constants!$H67*Constants!$H119))</f>
        <v>131095866.72460687</v>
      </c>
      <c r="BB54" s="22">
        <f>((BB9*Constants!$H67*Constants!$H85*(1-Constants!$H103))+(BB9*Constants!$H67*Constants!$H119))</f>
        <v>131202411.32154094</v>
      </c>
      <c r="BC54" s="22">
        <f>((BC9*Constants!$H67*Constants!$H85*(1-Constants!$H103))+(BC9*Constants!$H67*Constants!$H119))</f>
        <v>131172027.39067364</v>
      </c>
      <c r="BD54" s="22">
        <f>((BD9*Constants!$H67*Constants!$H85*(1-Constants!$H103))+(BD9*Constants!$H67*Constants!$H119))</f>
        <v>130724858.54836716</v>
      </c>
      <c r="BE54" s="22">
        <f>((BE9*Constants!$H67*Constants!$H85*(1-Constants!$H103))+(BE9*Constants!$H67*Constants!$H119))</f>
        <v>130073849.62919791</v>
      </c>
      <c r="BF54" s="22">
        <f>((BF9*Constants!$H67*Constants!$H85*(1-Constants!$H103))+(BF9*Constants!$H67*Constants!$H119))</f>
        <v>129387212.47136454</v>
      </c>
      <c r="BG54" s="22">
        <f>((BG9*Constants!$H67*Constants!$H85*(1-Constants!$H103))+(BG9*Constants!$H67*Constants!$H119))</f>
        <v>130325089.70558685</v>
      </c>
      <c r="BH54" s="22">
        <f>((BH9*Constants!$H67*Constants!$H85*(1-Constants!$H103))+(BH9*Constants!$H67*Constants!$H119))</f>
        <v>130855995.82629219</v>
      </c>
      <c r="BI54" s="22">
        <f>((BI9*Constants!$H67*Constants!$H85*(1-Constants!$H103))+(BI9*Constants!$H67*Constants!$H119))</f>
        <v>131297900.78990252</v>
      </c>
      <c r="BJ54" s="22">
        <f>((BJ9*Constants!$H67*Constants!$H85*(1-Constants!$H103))+(BJ9*Constants!$H67*Constants!$H119))</f>
        <v>131657708.40162706</v>
      </c>
      <c r="BK54" s="22">
        <f>((BK9*Constants!$H67*Constants!$H85*(1-Constants!$H103))+(BK9*Constants!$H67*Constants!$H119))</f>
        <v>132133911.83973122</v>
      </c>
      <c r="BL54" s="22">
        <f>((BL9*Constants!$H67*Constants!$H85*(1-Constants!$H103))+(BL9*Constants!$H67*Constants!$H119))</f>
        <v>132553230.50295602</v>
      </c>
      <c r="BM54" s="22">
        <f>((BM9*Constants!$H67*Constants!$H85*(1-Constants!$H103))+(BM9*Constants!$H67*Constants!$H119))</f>
        <v>131064152.97628374</v>
      </c>
      <c r="BN54" s="22">
        <f>((BN9*Constants!$H67*Constants!$H85*(1-Constants!$H103))+(BN9*Constants!$H67*Constants!$H119))</f>
        <v>129403727.50826767</v>
      </c>
      <c r="BO54" s="22">
        <f>((BO9*Constants!$H67*Constants!$H85*(1-Constants!$H103))+(BO9*Constants!$H67*Constants!$H119))</f>
        <v>127925093.4865939</v>
      </c>
      <c r="BP54" s="22">
        <f>((BP9*Constants!$H67*Constants!$H85*(1-Constants!$H103))+(BP9*Constants!$H67*Constants!$H119))</f>
        <v>126298166.86362334</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21926718.430943619</v>
      </c>
      <c r="AE55" s="22">
        <f>((AE10*Constants!$H68*Constants!$H86*(1-Constants!$H104))+(AE10*Constants!$H68*Constants!$H120))</f>
        <v>22744717.374636751</v>
      </c>
      <c r="AF55" s="22">
        <f>((AF10*Constants!$H68*Constants!$H86*(1-Constants!$H104))+(AF10*Constants!$H68*Constants!$H120))</f>
        <v>23479584.013781186</v>
      </c>
      <c r="AG55" s="22">
        <f>((AG10*Constants!$H68*Constants!$H86*(1-Constants!$H104))+(AG10*Constants!$H68*Constants!$H120))</f>
        <v>23824437.048752092</v>
      </c>
      <c r="AH55" s="22">
        <f>((AH10*Constants!$H68*Constants!$H86*(1-Constants!$H104))+(AH10*Constants!$H68*Constants!$H120))</f>
        <v>24174566.639240544</v>
      </c>
      <c r="AI55" s="22">
        <f>((AI10*Constants!$H68*Constants!$H86*(1-Constants!$H104))+(AI10*Constants!$H68*Constants!$H120))</f>
        <v>24947428.630137805</v>
      </c>
      <c r="AJ55" s="22">
        <f>((AJ10*Constants!$H68*Constants!$H86*(1-Constants!$H104))+(AJ10*Constants!$H68*Constants!$H120))</f>
        <v>25599341.300176006</v>
      </c>
      <c r="AK55" s="22">
        <f>((AK10*Constants!$H68*Constants!$H86*(1-Constants!$H104))+(AK10*Constants!$H68*Constants!$H120))</f>
        <v>25789649.083629292</v>
      </c>
      <c r="AL55" s="22">
        <f>((AL10*Constants!$H68*Constants!$H86*(1-Constants!$H104))+(AL10*Constants!$H68*Constants!$H120))</f>
        <v>23881124.824466091</v>
      </c>
      <c r="AM55" s="22">
        <f>((AM10*Constants!$H68*Constants!$H86*(1-Constants!$H104))+(AM10*Constants!$H68*Constants!$H120))</f>
        <v>24680589.724264488</v>
      </c>
      <c r="AN55" s="22">
        <f>((AN10*Constants!$H68*Constants!$H86*(1-Constants!$H104))+(AN10*Constants!$H68*Constants!$H120))</f>
        <v>25207164.444660399</v>
      </c>
      <c r="AO55" s="22">
        <f>((AO10*Constants!$H68*Constants!$H86*(1-Constants!$H104))+(AO10*Constants!$H68*Constants!$H120))</f>
        <v>25662226.710370582</v>
      </c>
      <c r="AP55" s="22">
        <f>((AP10*Constants!$H68*Constants!$H86*(1-Constants!$H104))+(AP10*Constants!$H68*Constants!$H120))</f>
        <v>26200583.149263147</v>
      </c>
      <c r="AQ55" s="22">
        <f>((AQ10*Constants!$H68*Constants!$H86*(1-Constants!$H104))+(AQ10*Constants!$H68*Constants!$H120))</f>
        <v>27059015.877852973</v>
      </c>
      <c r="AR55" s="22">
        <f>((AR10*Constants!$H68*Constants!$H86*(1-Constants!$H104))+(AR10*Constants!$H68*Constants!$H120))</f>
        <v>27981959.43575047</v>
      </c>
      <c r="AS55" s="22">
        <f>((AS10*Constants!$H68*Constants!$H86*(1-Constants!$H104))+(AS10*Constants!$H68*Constants!$H120))</f>
        <v>28972535.579769712</v>
      </c>
      <c r="AT55" s="22">
        <f>((AT10*Constants!$H68*Constants!$H86*(1-Constants!$H104))+(AT10*Constants!$H68*Constants!$H120))</f>
        <v>29810156.963261891</v>
      </c>
      <c r="AU55" s="22">
        <f>((AU10*Constants!$H68*Constants!$H86*(1-Constants!$H104))+(AU10*Constants!$H68*Constants!$H120))</f>
        <v>30780838.270410139</v>
      </c>
      <c r="AV55" s="22">
        <f>((AV10*Constants!$H68*Constants!$H86*(1-Constants!$H104))+(AV10*Constants!$H68*Constants!$H120))</f>
        <v>31917126.889679845</v>
      </c>
      <c r="AW55" s="22">
        <f>((AW10*Constants!$H68*Constants!$H86*(1-Constants!$H104))+(AW10*Constants!$H68*Constants!$H120))</f>
        <v>33178078.273255084</v>
      </c>
      <c r="AX55" s="22">
        <f>((AX10*Constants!$H68*Constants!$H86*(1-Constants!$H104))+(AX10*Constants!$H68*Constants!$H120))</f>
        <v>34488873.918271586</v>
      </c>
      <c r="AY55" s="22">
        <f>((AY10*Constants!$H68*Constants!$H86*(1-Constants!$H104))+(AY10*Constants!$H68*Constants!$H120))</f>
        <v>35818776.043119654</v>
      </c>
      <c r="AZ55" s="22">
        <f>((AZ10*Constants!$H68*Constants!$H86*(1-Constants!$H104))+(AZ10*Constants!$H68*Constants!$H120))</f>
        <v>37296524.834862597</v>
      </c>
      <c r="BA55" s="22">
        <f>((BA10*Constants!$H68*Constants!$H86*(1-Constants!$H104))+(BA10*Constants!$H68*Constants!$H120))</f>
        <v>38580355.930367731</v>
      </c>
      <c r="BB55" s="22">
        <f>((BB10*Constants!$H68*Constants!$H86*(1-Constants!$H104))+(BB10*Constants!$H68*Constants!$H120))</f>
        <v>39932437.981684558</v>
      </c>
      <c r="BC55" s="22">
        <f>((BC10*Constants!$H68*Constants!$H86*(1-Constants!$H104))+(BC10*Constants!$H68*Constants!$H120))</f>
        <v>41295690.728807405</v>
      </c>
      <c r="BD55" s="22">
        <f>((BD10*Constants!$H68*Constants!$H86*(1-Constants!$H104))+(BD10*Constants!$H68*Constants!$H120))</f>
        <v>42577752.511259645</v>
      </c>
      <c r="BE55" s="22">
        <f>((BE10*Constants!$H68*Constants!$H86*(1-Constants!$H104))+(BE10*Constants!$H68*Constants!$H120))</f>
        <v>43839552.254470974</v>
      </c>
      <c r="BF55" s="22">
        <f>((BF10*Constants!$H68*Constants!$H86*(1-Constants!$H104))+(BF10*Constants!$H68*Constants!$H120))</f>
        <v>45135543.692925103</v>
      </c>
      <c r="BG55" s="22">
        <f>((BG10*Constants!$H68*Constants!$H86*(1-Constants!$H104))+(BG10*Constants!$H68*Constants!$H120))</f>
        <v>46769732.237681463</v>
      </c>
      <c r="BH55" s="22">
        <f>((BH10*Constants!$H68*Constants!$H86*(1-Constants!$H104))+(BH10*Constants!$H68*Constants!$H120))</f>
        <v>48315122.463048764</v>
      </c>
      <c r="BI55" s="22">
        <f>((BI10*Constants!$H68*Constants!$H86*(1-Constants!$H104))+(BI10*Constants!$H68*Constants!$H120))</f>
        <v>49882509.268139593</v>
      </c>
      <c r="BJ55" s="22">
        <f>((BJ10*Constants!$H68*Constants!$H86*(1-Constants!$H104))+(BJ10*Constants!$H68*Constants!$H120))</f>
        <v>51474445.987532601</v>
      </c>
      <c r="BK55" s="22">
        <f>((BK10*Constants!$H68*Constants!$H86*(1-Constants!$H104))+(BK10*Constants!$H68*Constants!$H120))</f>
        <v>53170875.567917414</v>
      </c>
      <c r="BL55" s="22">
        <f>((BL10*Constants!$H68*Constants!$H86*(1-Constants!$H104))+(BL10*Constants!$H68*Constants!$H120))</f>
        <v>54907123.7292182</v>
      </c>
      <c r="BM55" s="22">
        <f>((BM10*Constants!$H68*Constants!$H86*(1-Constants!$H104))+(BM10*Constants!$H68*Constants!$H120))</f>
        <v>55894804.87417081</v>
      </c>
      <c r="BN55" s="22">
        <f>((BN10*Constants!$H68*Constants!$H86*(1-Constants!$H104))+(BN10*Constants!$H68*Constants!$H120))</f>
        <v>56827608.958125845</v>
      </c>
      <c r="BO55" s="22">
        <f>((BO10*Constants!$H68*Constants!$H86*(1-Constants!$H104))+(BO10*Constants!$H68*Constants!$H120))</f>
        <v>57859559.523319177</v>
      </c>
      <c r="BP55" s="22">
        <f>((BP10*Constants!$H68*Constants!$H86*(1-Constants!$H104))+(BP10*Constants!$H68*Constants!$H120))</f>
        <v>58845170.271622084</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3713267.9007940013</v>
      </c>
      <c r="AE56" s="22">
        <f>((AE11*Constants!$H69*Constants!$H87*(1-Constants!$H105))+(AE11*Constants!$H69*Constants!$H121))</f>
        <v>3715271.8806934743</v>
      </c>
      <c r="AF56" s="22">
        <f>((AF11*Constants!$H69*Constants!$H87*(1-Constants!$H105))+(AF11*Constants!$H69*Constants!$H121))</f>
        <v>3719878.8596233376</v>
      </c>
      <c r="AG56" s="22">
        <f>((AG11*Constants!$H69*Constants!$H87*(1-Constants!$H105))+(AG11*Constants!$H69*Constants!$H121))</f>
        <v>3726718.3490498737</v>
      </c>
      <c r="AH56" s="22">
        <f>((AH11*Constants!$H69*Constants!$H87*(1-Constants!$H105))+(AH11*Constants!$H69*Constants!$H121))</f>
        <v>3735949.7957982123</v>
      </c>
      <c r="AI56" s="22">
        <f>((AI11*Constants!$H69*Constants!$H87*(1-Constants!$H105))+(AI11*Constants!$H69*Constants!$H121))</f>
        <v>3747758.7266698419</v>
      </c>
      <c r="AJ56" s="22">
        <f>((AJ11*Constants!$H69*Constants!$H87*(1-Constants!$H105))+(AJ11*Constants!$H69*Constants!$H121))</f>
        <v>3760770.9400121542</v>
      </c>
      <c r="AK56" s="22">
        <f>((AK11*Constants!$H69*Constants!$H87*(1-Constants!$H105))+(AK11*Constants!$H69*Constants!$H121))</f>
        <v>3774784.3356520622</v>
      </c>
      <c r="AL56" s="22">
        <f>((AL11*Constants!$H69*Constants!$H87*(1-Constants!$H105))+(AL11*Constants!$H69*Constants!$H121))</f>
        <v>3788667.984339043</v>
      </c>
      <c r="AM56" s="22">
        <f>((AM11*Constants!$H69*Constants!$H87*(1-Constants!$H105))+(AM11*Constants!$H69*Constants!$H121))</f>
        <v>3793590.9228403405</v>
      </c>
      <c r="AN56" s="22">
        <f>((AN11*Constants!$H69*Constants!$H87*(1-Constants!$H105))+(AN11*Constants!$H69*Constants!$H121))</f>
        <v>3799281.3420466003</v>
      </c>
      <c r="AO56" s="22">
        <f>((AO11*Constants!$H69*Constants!$H87*(1-Constants!$H105))+(AO11*Constants!$H69*Constants!$H121))</f>
        <v>3805813.412089691</v>
      </c>
      <c r="AP56" s="22">
        <f>((AP11*Constants!$H69*Constants!$H87*(1-Constants!$H105))+(AP11*Constants!$H69*Constants!$H121))</f>
        <v>3813239.5125527373</v>
      </c>
      <c r="AQ56" s="22">
        <f>((AQ11*Constants!$H69*Constants!$H87*(1-Constants!$H105))+(AQ11*Constants!$H69*Constants!$H121))</f>
        <v>3821674.8373061824</v>
      </c>
      <c r="AR56" s="22">
        <f>((AR11*Constants!$H69*Constants!$H87*(1-Constants!$H105))+(AR11*Constants!$H69*Constants!$H121))</f>
        <v>3826692.2478229855</v>
      </c>
      <c r="AS56" s="22">
        <f>((AS11*Constants!$H69*Constants!$H87*(1-Constants!$H105))+(AS11*Constants!$H69*Constants!$H121))</f>
        <v>3832436.0873158765</v>
      </c>
      <c r="AT56" s="22">
        <f>((AT11*Constants!$H69*Constants!$H87*(1-Constants!$H105))+(AT11*Constants!$H69*Constants!$H121))</f>
        <v>3838724.7692484492</v>
      </c>
      <c r="AU56" s="22">
        <f>((AU11*Constants!$H69*Constants!$H87*(1-Constants!$H105))+(AU11*Constants!$H69*Constants!$H121))</f>
        <v>3845723.3642542548</v>
      </c>
      <c r="AV56" s="22">
        <f>((AV11*Constants!$H69*Constants!$H87*(1-Constants!$H105))+(AV11*Constants!$H69*Constants!$H121))</f>
        <v>3853430.5546693741</v>
      </c>
      <c r="AW56" s="22">
        <f>((AW11*Constants!$H69*Constants!$H87*(1-Constants!$H105))+(AW11*Constants!$H69*Constants!$H121))</f>
        <v>3858655.1155888517</v>
      </c>
      <c r="AX56" s="22">
        <f>((AX11*Constants!$H69*Constants!$H87*(1-Constants!$H105))+(AX11*Constants!$H69*Constants!$H121))</f>
        <v>3864424.3838435854</v>
      </c>
      <c r="AY56" s="22">
        <f>((AY11*Constants!$H69*Constants!$H87*(1-Constants!$H105))+(AY11*Constants!$H69*Constants!$H121))</f>
        <v>3870696.8456796166</v>
      </c>
      <c r="AZ56" s="22">
        <f>((AZ11*Constants!$H69*Constants!$H87*(1-Constants!$H105))+(AZ11*Constants!$H69*Constants!$H121))</f>
        <v>3877544.4345390727</v>
      </c>
      <c r="BA56" s="22">
        <f>((BA11*Constants!$H69*Constants!$H87*(1-Constants!$H105))+(BA11*Constants!$H69*Constants!$H121))</f>
        <v>3884710.9553921679</v>
      </c>
      <c r="BB56" s="22">
        <f>((BB11*Constants!$H69*Constants!$H87*(1-Constants!$H105))+(BB11*Constants!$H69*Constants!$H121))</f>
        <v>3889154.643967737</v>
      </c>
      <c r="BC56" s="22">
        <f>((BC11*Constants!$H69*Constants!$H87*(1-Constants!$H105))+(BC11*Constants!$H69*Constants!$H121))</f>
        <v>3894007.3147915322</v>
      </c>
      <c r="BD56" s="22">
        <f>((BD11*Constants!$H69*Constants!$H87*(1-Constants!$H105))+(BD11*Constants!$H69*Constants!$H121))</f>
        <v>3899189.453547434</v>
      </c>
      <c r="BE56" s="22">
        <f>((BE11*Constants!$H69*Constants!$H87*(1-Constants!$H105))+(BE11*Constants!$H69*Constants!$H121))</f>
        <v>3904731.4623523271</v>
      </c>
      <c r="BF56" s="22">
        <f>((BF11*Constants!$H69*Constants!$H87*(1-Constants!$H105))+(BF11*Constants!$H69*Constants!$H121))</f>
        <v>3910661.0245115715</v>
      </c>
      <c r="BG56" s="22">
        <f>((BG11*Constants!$H69*Constants!$H87*(1-Constants!$H105))+(BG11*Constants!$H69*Constants!$H121))</f>
        <v>3913994.0177712366</v>
      </c>
      <c r="BH56" s="22">
        <f>((BH11*Constants!$H69*Constants!$H87*(1-Constants!$H105))+(BH11*Constants!$H69*Constants!$H121))</f>
        <v>3917570.3272363669</v>
      </c>
      <c r="BI56" s="22">
        <f>((BI11*Constants!$H69*Constants!$H87*(1-Constants!$H105))+(BI11*Constants!$H69*Constants!$H121))</f>
        <v>3921459.8147163717</v>
      </c>
      <c r="BJ56" s="22">
        <f>((BJ11*Constants!$H69*Constants!$H87*(1-Constants!$H105))+(BJ11*Constants!$H69*Constants!$H121))</f>
        <v>3925654.8318305947</v>
      </c>
      <c r="BK56" s="22">
        <f>((BK11*Constants!$H69*Constants!$H87*(1-Constants!$H105))+(BK11*Constants!$H69*Constants!$H121))</f>
        <v>3930204.5451967255</v>
      </c>
      <c r="BL56" s="22">
        <f>((BL11*Constants!$H69*Constants!$H87*(1-Constants!$H105))+(BL11*Constants!$H69*Constants!$H121))</f>
        <v>3932038.0063460055</v>
      </c>
      <c r="BM56" s="22">
        <f>((BM11*Constants!$H69*Constants!$H87*(1-Constants!$H105))+(BM11*Constants!$H69*Constants!$H121))</f>
        <v>3933576.9439294124</v>
      </c>
      <c r="BN56" s="22">
        <f>((BN11*Constants!$H69*Constants!$H87*(1-Constants!$H105))+(BN11*Constants!$H69*Constants!$H121))</f>
        <v>3935316.5040928018</v>
      </c>
      <c r="BO56" s="22">
        <f>((BO11*Constants!$H69*Constants!$H87*(1-Constants!$H105))+(BO11*Constants!$H69*Constants!$H121))</f>
        <v>3937361.4006725471</v>
      </c>
      <c r="BP56" s="22">
        <f>((BP11*Constants!$H69*Constants!$H87*(1-Constants!$H105))+(BP11*Constants!$H69*Constants!$H121))</f>
        <v>3939598.8253309694</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3022095.3223658851</v>
      </c>
      <c r="AE57" s="22">
        <f>((AE12*Constants!$H70*Constants!$H88*(1-Constants!$H106))+(AE12*Constants!$H70*Constants!$H122))</f>
        <v>3023726.2896007076</v>
      </c>
      <c r="AF57" s="22">
        <f>((AF12*Constants!$H70*Constants!$H88*(1-Constants!$H106))+(AF12*Constants!$H70*Constants!$H122))</f>
        <v>3027475.7442175429</v>
      </c>
      <c r="AG57" s="22">
        <f>((AG12*Constants!$H70*Constants!$H88*(1-Constants!$H106))+(AG12*Constants!$H70*Constants!$H122))</f>
        <v>3033042.1589108878</v>
      </c>
      <c r="AH57" s="22">
        <f>((AH12*Constants!$H70*Constants!$H88*(1-Constants!$H106))+(AH12*Constants!$H70*Constants!$H122))</f>
        <v>3040555.3017226029</v>
      </c>
      <c r="AI57" s="22">
        <f>((AI12*Constants!$H70*Constants!$H88*(1-Constants!$H106))+(AI12*Constants!$H70*Constants!$H122))</f>
        <v>3050166.1662502238</v>
      </c>
      <c r="AJ57" s="22">
        <f>((AJ12*Constants!$H70*Constants!$H88*(1-Constants!$H106))+(AJ12*Constants!$H70*Constants!$H122))</f>
        <v>3060756.3391453763</v>
      </c>
      <c r="AK57" s="22">
        <f>((AK12*Constants!$H70*Constants!$H88*(1-Constants!$H106))+(AK12*Constants!$H70*Constants!$H122))</f>
        <v>3072161.3383388827</v>
      </c>
      <c r="AL57" s="22">
        <f>((AL12*Constants!$H70*Constants!$H88*(1-Constants!$H106))+(AL12*Constants!$H70*Constants!$H122))</f>
        <v>3083460.7411493626</v>
      </c>
      <c r="AM57" s="22">
        <f>((AM12*Constants!$H70*Constants!$H88*(1-Constants!$H106))+(AM12*Constants!$H70*Constants!$H122))</f>
        <v>3087467.3439085875</v>
      </c>
      <c r="AN57" s="22">
        <f>((AN12*Constants!$H70*Constants!$H88*(1-Constants!$H106))+(AN12*Constants!$H70*Constants!$H122))</f>
        <v>3092098.5716370968</v>
      </c>
      <c r="AO57" s="22">
        <f>((AO12*Constants!$H70*Constants!$H88*(1-Constants!$H106))+(AO12*Constants!$H70*Constants!$H122))</f>
        <v>3097414.7887401963</v>
      </c>
      <c r="AP57" s="22">
        <f>((AP12*Constants!$H70*Constants!$H88*(1-Constants!$H106))+(AP12*Constants!$H70*Constants!$H122))</f>
        <v>3103458.625078531</v>
      </c>
      <c r="AQ57" s="22">
        <f>((AQ12*Constants!$H70*Constants!$H88*(1-Constants!$H106))+(AQ12*Constants!$H70*Constants!$H122))</f>
        <v>3110323.832804204</v>
      </c>
      <c r="AR57" s="22">
        <f>((AR12*Constants!$H70*Constants!$H88*(1-Constants!$H106))+(AR12*Constants!$H70*Constants!$H122))</f>
        <v>3114407.3229423598</v>
      </c>
      <c r="AS57" s="22">
        <f>((AS12*Constants!$H70*Constants!$H88*(1-Constants!$H106))+(AS12*Constants!$H70*Constants!$H122))</f>
        <v>3119082.0275227036</v>
      </c>
      <c r="AT57" s="22">
        <f>((AT12*Constants!$H70*Constants!$H88*(1-Constants!$H106))+(AT12*Constants!$H70*Constants!$H122))</f>
        <v>3124200.1597878737</v>
      </c>
      <c r="AU57" s="22">
        <f>((AU12*Constants!$H70*Constants!$H88*(1-Constants!$H106))+(AU12*Constants!$H70*Constants!$H122))</f>
        <v>3129896.0647953348</v>
      </c>
      <c r="AV57" s="22">
        <f>((AV12*Constants!$H70*Constants!$H88*(1-Constants!$H106))+(AV12*Constants!$H70*Constants!$H122))</f>
        <v>3136168.6701457682</v>
      </c>
      <c r="AW57" s="22">
        <f>((AW12*Constants!$H70*Constants!$H88*(1-Constants!$H106))+(AW12*Constants!$H70*Constants!$H122))</f>
        <v>3140420.752553503</v>
      </c>
      <c r="AX57" s="22">
        <f>((AX12*Constants!$H70*Constants!$H88*(1-Constants!$H106))+(AX12*Constants!$H70*Constants!$H122))</f>
        <v>3145116.1526894248</v>
      </c>
      <c r="AY57" s="22">
        <f>((AY12*Constants!$H70*Constants!$H88*(1-Constants!$H106))+(AY12*Constants!$H70*Constants!$H122))</f>
        <v>3150221.0840008277</v>
      </c>
      <c r="AZ57" s="22">
        <f>((AZ12*Constants!$H70*Constants!$H88*(1-Constants!$H106))+(AZ12*Constants!$H70*Constants!$H122))</f>
        <v>3155794.0905316039</v>
      </c>
      <c r="BA57" s="22">
        <f>((BA12*Constants!$H70*Constants!$H88*(1-Constants!$H106))+(BA12*Constants!$H70*Constants!$H122))</f>
        <v>3161626.6643524007</v>
      </c>
      <c r="BB57" s="22">
        <f>((BB12*Constants!$H70*Constants!$H88*(1-Constants!$H106))+(BB12*Constants!$H70*Constants!$H122))</f>
        <v>3165243.2228170908</v>
      </c>
      <c r="BC57" s="22">
        <f>((BC12*Constants!$H70*Constants!$H88*(1-Constants!$H106))+(BC12*Constants!$H70*Constants!$H122))</f>
        <v>3169192.6372383977</v>
      </c>
      <c r="BD57" s="22">
        <f>((BD12*Constants!$H70*Constants!$H88*(1-Constants!$H106))+(BD12*Constants!$H70*Constants!$H122))</f>
        <v>3173410.1937714759</v>
      </c>
      <c r="BE57" s="22">
        <f>((BE12*Constants!$H70*Constants!$H88*(1-Constants!$H106))+(BE12*Constants!$H70*Constants!$H122))</f>
        <v>3177920.6356068728</v>
      </c>
      <c r="BF57" s="22">
        <f>((BF12*Constants!$H70*Constants!$H88*(1-Constants!$H106))+(BF12*Constants!$H70*Constants!$H122))</f>
        <v>3182746.493192127</v>
      </c>
      <c r="BG57" s="22">
        <f>((BG12*Constants!$H70*Constants!$H88*(1-Constants!$H106))+(BG12*Constants!$H70*Constants!$H122))</f>
        <v>3185459.0966477944</v>
      </c>
      <c r="BH57" s="22">
        <f>((BH12*Constants!$H70*Constants!$H88*(1-Constants!$H106))+(BH12*Constants!$H70*Constants!$H122))</f>
        <v>3188369.7264204514</v>
      </c>
      <c r="BI57" s="22">
        <f>((BI12*Constants!$H70*Constants!$H88*(1-Constants!$H106))+(BI12*Constants!$H70*Constants!$H122))</f>
        <v>3191535.2405265607</v>
      </c>
      <c r="BJ57" s="22">
        <f>((BJ12*Constants!$H70*Constants!$H88*(1-Constants!$H106))+(BJ12*Constants!$H70*Constants!$H122))</f>
        <v>3194949.4142239192</v>
      </c>
      <c r="BK57" s="22">
        <f>((BK12*Constants!$H70*Constants!$H88*(1-Constants!$H106))+(BK12*Constants!$H70*Constants!$H122))</f>
        <v>3198652.2624560506</v>
      </c>
      <c r="BL57" s="22">
        <f>((BL12*Constants!$H70*Constants!$H88*(1-Constants!$H106))+(BL12*Constants!$H70*Constants!$H122))</f>
        <v>3200144.4506070311</v>
      </c>
      <c r="BM57" s="22">
        <f>((BM12*Constants!$H70*Constants!$H88*(1-Constants!$H106))+(BM12*Constants!$H70*Constants!$H122))</f>
        <v>3201396.9366103262</v>
      </c>
      <c r="BN57" s="22">
        <f>((BN12*Constants!$H70*Constants!$H88*(1-Constants!$H106))+(BN12*Constants!$H70*Constants!$H122))</f>
        <v>3202812.7021228629</v>
      </c>
      <c r="BO57" s="22">
        <f>((BO12*Constants!$H70*Constants!$H88*(1-Constants!$H106))+(BO12*Constants!$H70*Constants!$H122))</f>
        <v>3204476.9699735735</v>
      </c>
      <c r="BP57" s="22">
        <f>((BP12*Constants!$H70*Constants!$H88*(1-Constants!$H106))+(BP12*Constants!$H70*Constants!$H122))</f>
        <v>3206297.9295097594</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458973.32091148273</v>
      </c>
      <c r="AE58" s="22">
        <f>((AE13*Constants!$H71*Constants!$H89*(1-Constants!$H107))+(AE13*Constants!$H71*Constants!$H123))</f>
        <v>460166.26888693759</v>
      </c>
      <c r="AF58" s="22">
        <f>((AF13*Constants!$H71*Constants!$H89*(1-Constants!$H107))+(AF13*Constants!$H71*Constants!$H123))</f>
        <v>461774.98249446077</v>
      </c>
      <c r="AG58" s="22">
        <f>((AG13*Constants!$H71*Constants!$H89*(1-Constants!$H107))+(AG13*Constants!$H71*Constants!$H123))</f>
        <v>463734.35482625524</v>
      </c>
      <c r="AH58" s="22">
        <f>((AH13*Constants!$H71*Constants!$H89*(1-Constants!$H107))+(AH13*Constants!$H71*Constants!$H123))</f>
        <v>466081.21022460121</v>
      </c>
      <c r="AI58" s="22">
        <f>((AI13*Constants!$H71*Constants!$H89*(1-Constants!$H107))+(AI13*Constants!$H71*Constants!$H123))</f>
        <v>468855.7350994841</v>
      </c>
      <c r="AJ58" s="22">
        <f>((AJ13*Constants!$H71*Constants!$H89*(1-Constants!$H107))+(AJ13*Constants!$H71*Constants!$H123))</f>
        <v>471796.18389731337</v>
      </c>
      <c r="AK58" s="22">
        <f>((AK13*Constants!$H71*Constants!$H89*(1-Constants!$H107))+(AK13*Constants!$H71*Constants!$H123))</f>
        <v>474868.15101145091</v>
      </c>
      <c r="AL58" s="22">
        <f>((AL13*Constants!$H71*Constants!$H89*(1-Constants!$H107))+(AL13*Constants!$H71*Constants!$H123))</f>
        <v>477858.89549143787</v>
      </c>
      <c r="AM58" s="22">
        <f>((AM13*Constants!$H71*Constants!$H89*(1-Constants!$H107))+(AM13*Constants!$H71*Constants!$H123))</f>
        <v>479230.62719130196</v>
      </c>
      <c r="AN58" s="22">
        <f>((AN13*Constants!$H71*Constants!$H89*(1-Constants!$H107))+(AN13*Constants!$H71*Constants!$H123))</f>
        <v>480709.89864241419</v>
      </c>
      <c r="AO58" s="22">
        <f>((AO13*Constants!$H71*Constants!$H89*(1-Constants!$H107))+(AO13*Constants!$H71*Constants!$H123))</f>
        <v>482313.18851062388</v>
      </c>
      <c r="AP58" s="22">
        <f>((AP13*Constants!$H71*Constants!$H89*(1-Constants!$H107))+(AP13*Constants!$H71*Constants!$H123))</f>
        <v>484052.36559662264</v>
      </c>
      <c r="AQ58" s="22">
        <f>((AQ13*Constants!$H71*Constants!$H89*(1-Constants!$H107))+(AQ13*Constants!$H71*Constants!$H123))</f>
        <v>485950.82673433551</v>
      </c>
      <c r="AR58" s="22">
        <f>((AR13*Constants!$H71*Constants!$H89*(1-Constants!$H107))+(AR13*Constants!$H71*Constants!$H123))</f>
        <v>487172.74138940341</v>
      </c>
      <c r="AS58" s="22">
        <f>((AS13*Constants!$H71*Constants!$H89*(1-Constants!$H107))+(AS13*Constants!$H71*Constants!$H123))</f>
        <v>488506.19906895497</v>
      </c>
      <c r="AT58" s="22">
        <f>((AT13*Constants!$H71*Constants!$H89*(1-Constants!$H107))+(AT13*Constants!$H71*Constants!$H123))</f>
        <v>489918.0301535363</v>
      </c>
      <c r="AU58" s="22">
        <f>((AU13*Constants!$H71*Constants!$H89*(1-Constants!$H107))+(AU13*Constants!$H71*Constants!$H123))</f>
        <v>491440.33285257657</v>
      </c>
      <c r="AV58" s="22">
        <f>((AV13*Constants!$H71*Constants!$H89*(1-Constants!$H107))+(AV13*Constants!$H71*Constants!$H123))</f>
        <v>493073.62035945919</v>
      </c>
      <c r="AW58" s="22">
        <f>((AW13*Constants!$H71*Constants!$H89*(1-Constants!$H107))+(AW13*Constants!$H71*Constants!$H123))</f>
        <v>494148.67089436267</v>
      </c>
      <c r="AX58" s="22">
        <f>((AX13*Constants!$H71*Constants!$H89*(1-Constants!$H107))+(AX13*Constants!$H71*Constants!$H123))</f>
        <v>495307.51095426286</v>
      </c>
      <c r="AY58" s="22">
        <f>((AY13*Constants!$H71*Constants!$H89*(1-Constants!$H107))+(AY13*Constants!$H71*Constants!$H123))</f>
        <v>496542.92628281424</v>
      </c>
      <c r="AZ58" s="22">
        <f>((AZ13*Constants!$H71*Constants!$H89*(1-Constants!$H107))+(AZ13*Constants!$H71*Constants!$H123))</f>
        <v>497868.80265311513</v>
      </c>
      <c r="BA58" s="22">
        <f>((BA13*Constants!$H71*Constants!$H89*(1-Constants!$H107))+(BA13*Constants!$H71*Constants!$H123))</f>
        <v>499237.89390708733</v>
      </c>
      <c r="BB58" s="22">
        <f>((BB13*Constants!$H71*Constants!$H89*(1-Constants!$H107))+(BB13*Constants!$H71*Constants!$H123))</f>
        <v>500086.6132232658</v>
      </c>
      <c r="BC58" s="22">
        <f>((BC13*Constants!$H71*Constants!$H89*(1-Constants!$H107))+(BC13*Constants!$H71*Constants!$H123))</f>
        <v>500998.2699570863</v>
      </c>
      <c r="BD58" s="22">
        <f>((BD13*Constants!$H71*Constants!$H89*(1-Constants!$H107))+(BD13*Constants!$H71*Constants!$H123))</f>
        <v>501958.47168903681</v>
      </c>
      <c r="BE58" s="22">
        <f>((BE13*Constants!$H71*Constants!$H89*(1-Constants!$H107))+(BE13*Constants!$H71*Constants!$H123))</f>
        <v>502973.16500038921</v>
      </c>
      <c r="BF58" s="22">
        <f>((BF13*Constants!$H71*Constants!$H89*(1-Constants!$H107))+(BF13*Constants!$H71*Constants!$H123))</f>
        <v>504047.71860202955</v>
      </c>
      <c r="BG58" s="22">
        <f>((BG13*Constants!$H71*Constants!$H89*(1-Constants!$H107))+(BG13*Constants!$H71*Constants!$H123))</f>
        <v>504633.627487802</v>
      </c>
      <c r="BH58" s="22">
        <f>((BH13*Constants!$H71*Constants!$H89*(1-Constants!$H107))+(BH13*Constants!$H71*Constants!$H123))</f>
        <v>505255.11010572268</v>
      </c>
      <c r="BI58" s="22">
        <f>((BI13*Constants!$H71*Constants!$H89*(1-Constants!$H107))+(BI13*Constants!$H71*Constants!$H123))</f>
        <v>505925.21064290236</v>
      </c>
      <c r="BJ58" s="22">
        <f>((BJ13*Constants!$H71*Constants!$H89*(1-Constants!$H107))+(BJ13*Constants!$H71*Constants!$H123))</f>
        <v>506642.68243668182</v>
      </c>
      <c r="BK58" s="22">
        <f>((BK13*Constants!$H71*Constants!$H89*(1-Constants!$H107))+(BK13*Constants!$H71*Constants!$H123))</f>
        <v>507416.64624108531</v>
      </c>
      <c r="BL58" s="22">
        <f>((BL13*Constants!$H71*Constants!$H89*(1-Constants!$H107))+(BL13*Constants!$H71*Constants!$H123))</f>
        <v>507686.99206874444</v>
      </c>
      <c r="BM58" s="22">
        <f>((BM13*Constants!$H71*Constants!$H89*(1-Constants!$H107))+(BM13*Constants!$H71*Constants!$H123))</f>
        <v>507897.4397909221</v>
      </c>
      <c r="BN58" s="22">
        <f>((BN13*Constants!$H71*Constants!$H89*(1-Constants!$H107))+(BN13*Constants!$H71*Constants!$H123))</f>
        <v>508138.58278737776</v>
      </c>
      <c r="BO58" s="22">
        <f>((BO13*Constants!$H71*Constants!$H89*(1-Constants!$H107))+(BO13*Constants!$H71*Constants!$H123))</f>
        <v>508429.55154698761</v>
      </c>
      <c r="BP58" s="22">
        <f>((BP13*Constants!$H71*Constants!$H89*(1-Constants!$H107))+(BP13*Constants!$H71*Constants!$H123))</f>
        <v>508749.90967612789</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5537999.351662349</v>
      </c>
      <c r="AE59" s="22">
        <f>((AE14*Constants!$H72*Constants!$H90*(1-Constants!$H108))+(AE14*Constants!$H72*Constants!$H124))</f>
        <v>5552393.5327914758</v>
      </c>
      <c r="AF59" s="22">
        <f>((AF14*Constants!$H72*Constants!$H90*(1-Constants!$H108))+(AF14*Constants!$H72*Constants!$H124))</f>
        <v>5571804.3667322816</v>
      </c>
      <c r="AG59" s="22">
        <f>((AG14*Constants!$H72*Constants!$H90*(1-Constants!$H108))+(AG14*Constants!$H72*Constants!$H124))</f>
        <v>5595446.2696681507</v>
      </c>
      <c r="AH59" s="22">
        <f>((AH14*Constants!$H72*Constants!$H90*(1-Constants!$H108))+(AH14*Constants!$H72*Constants!$H124))</f>
        <v>5623763.5663002841</v>
      </c>
      <c r="AI59" s="22">
        <f>((AI14*Constants!$H72*Constants!$H90*(1-Constants!$H108))+(AI14*Constants!$H72*Constants!$H124))</f>
        <v>5657241.1482385052</v>
      </c>
      <c r="AJ59" s="22">
        <f>((AJ14*Constants!$H72*Constants!$H90*(1-Constants!$H108))+(AJ14*Constants!$H72*Constants!$H124))</f>
        <v>5692720.7780863494</v>
      </c>
      <c r="AK59" s="22">
        <f>((AK14*Constants!$H72*Constants!$H90*(1-Constants!$H108))+(AK14*Constants!$H72*Constants!$H124))</f>
        <v>5729787.3157505346</v>
      </c>
      <c r="AL59" s="22">
        <f>((AL14*Constants!$H72*Constants!$H90*(1-Constants!$H108))+(AL14*Constants!$H72*Constants!$H124))</f>
        <v>5765873.8162866952</v>
      </c>
      <c r="AM59" s="22">
        <f>((AM14*Constants!$H72*Constants!$H90*(1-Constants!$H108))+(AM14*Constants!$H72*Constants!$H124))</f>
        <v>5782425.212453723</v>
      </c>
      <c r="AN59" s="22">
        <f>((AN14*Constants!$H72*Constants!$H90*(1-Constants!$H108))+(AN14*Constants!$H72*Constants!$H124))</f>
        <v>5800274.1896468261</v>
      </c>
      <c r="AO59" s="22">
        <f>((AO14*Constants!$H72*Constants!$H90*(1-Constants!$H108))+(AO14*Constants!$H72*Constants!$H124))</f>
        <v>5819619.5804269239</v>
      </c>
      <c r="AP59" s="22">
        <f>((AP14*Constants!$H72*Constants!$H90*(1-Constants!$H108))+(AP14*Constants!$H72*Constants!$H124))</f>
        <v>5840604.5944481306</v>
      </c>
      <c r="AQ59" s="22">
        <f>((AQ14*Constants!$H72*Constants!$H90*(1-Constants!$H108))+(AQ14*Constants!$H72*Constants!$H124))</f>
        <v>5863511.5392982829</v>
      </c>
      <c r="AR59" s="22">
        <f>((AR14*Constants!$H72*Constants!$H90*(1-Constants!$H108))+(AR14*Constants!$H72*Constants!$H124))</f>
        <v>5878255.2341041453</v>
      </c>
      <c r="AS59" s="22">
        <f>((AS14*Constants!$H72*Constants!$H90*(1-Constants!$H108))+(AS14*Constants!$H72*Constants!$H124))</f>
        <v>5894344.8136687297</v>
      </c>
      <c r="AT59" s="22">
        <f>((AT14*Constants!$H72*Constants!$H90*(1-Constants!$H108))+(AT14*Constants!$H72*Constants!$H124))</f>
        <v>5911380.0513935275</v>
      </c>
      <c r="AU59" s="22">
        <f>((AU14*Constants!$H72*Constants!$H90*(1-Constants!$H108))+(AU14*Constants!$H72*Constants!$H124))</f>
        <v>5929748.2461800501</v>
      </c>
      <c r="AV59" s="22">
        <f>((AV14*Constants!$H72*Constants!$H90*(1-Constants!$H108))+(AV14*Constants!$H72*Constants!$H124))</f>
        <v>5949455.5902501373</v>
      </c>
      <c r="AW59" s="22">
        <f>((AW14*Constants!$H72*Constants!$H90*(1-Constants!$H108))+(AW14*Constants!$H72*Constants!$H124))</f>
        <v>5962427.2138588419</v>
      </c>
      <c r="AX59" s="22">
        <f>((AX14*Constants!$H72*Constants!$H90*(1-Constants!$H108))+(AX14*Constants!$H72*Constants!$H124))</f>
        <v>5976409.8468529833</v>
      </c>
      <c r="AY59" s="22">
        <f>((AY14*Constants!$H72*Constants!$H90*(1-Constants!$H108))+(AY14*Constants!$H72*Constants!$H124))</f>
        <v>5991316.4415869946</v>
      </c>
      <c r="AZ59" s="22">
        <f>((AZ14*Constants!$H72*Constants!$H90*(1-Constants!$H108))+(AZ14*Constants!$H72*Constants!$H124))</f>
        <v>6007314.5446238527</v>
      </c>
      <c r="BA59" s="22">
        <f>((BA14*Constants!$H72*Constants!$H90*(1-Constants!$H108))+(BA14*Constants!$H72*Constants!$H124))</f>
        <v>6023834.0810139161</v>
      </c>
      <c r="BB59" s="22">
        <f>((BB14*Constants!$H72*Constants!$H90*(1-Constants!$H108))+(BB14*Constants!$H72*Constants!$H124))</f>
        <v>6034074.7786941305</v>
      </c>
      <c r="BC59" s="22">
        <f>((BC14*Constants!$H72*Constants!$H90*(1-Constants!$H108))+(BC14*Constants!$H72*Constants!$H124))</f>
        <v>6045074.8829938974</v>
      </c>
      <c r="BD59" s="22">
        <f>((BD14*Constants!$H72*Constants!$H90*(1-Constants!$H108))+(BD14*Constants!$H72*Constants!$H124))</f>
        <v>6056660.7341245199</v>
      </c>
      <c r="BE59" s="22">
        <f>((BE14*Constants!$H72*Constants!$H90*(1-Constants!$H108))+(BE14*Constants!$H72*Constants!$H124))</f>
        <v>6068904.0838888269</v>
      </c>
      <c r="BF59" s="22">
        <f>((BF14*Constants!$H72*Constants!$H90*(1-Constants!$H108))+(BF14*Constants!$H72*Constants!$H124))</f>
        <v>6081869.7114712605</v>
      </c>
      <c r="BG59" s="22">
        <f>((BG14*Constants!$H72*Constants!$H90*(1-Constants!$H108))+(BG14*Constants!$H72*Constants!$H124))</f>
        <v>6088939.3228881005</v>
      </c>
      <c r="BH59" s="22">
        <f>((BH14*Constants!$H72*Constants!$H90*(1-Constants!$H108))+(BH14*Constants!$H72*Constants!$H124))</f>
        <v>6096438.1690700082</v>
      </c>
      <c r="BI59" s="22">
        <f>((BI14*Constants!$H72*Constants!$H90*(1-Constants!$H108))+(BI14*Constants!$H72*Constants!$H124))</f>
        <v>6104523.6419534432</v>
      </c>
      <c r="BJ59" s="22">
        <f>((BJ14*Constants!$H72*Constants!$H90*(1-Constants!$H108))+(BJ14*Constants!$H72*Constants!$H124))</f>
        <v>6113180.6992327115</v>
      </c>
      <c r="BK59" s="22">
        <f>((BK14*Constants!$H72*Constants!$H90*(1-Constants!$H108))+(BK14*Constants!$H72*Constants!$H124))</f>
        <v>6122519.3924676124</v>
      </c>
      <c r="BL59" s="22">
        <f>((BL14*Constants!$H72*Constants!$H90*(1-Constants!$H108))+(BL14*Constants!$H72*Constants!$H124))</f>
        <v>6125781.4012818234</v>
      </c>
      <c r="BM59" s="22">
        <f>((BM14*Constants!$H72*Constants!$H90*(1-Constants!$H108))+(BM14*Constants!$H72*Constants!$H124))</f>
        <v>6128320.6759975385</v>
      </c>
      <c r="BN59" s="22">
        <f>((BN14*Constants!$H72*Constants!$H90*(1-Constants!$H108))+(BN14*Constants!$H72*Constants!$H124))</f>
        <v>6131230.3217158951</v>
      </c>
      <c r="BO59" s="22">
        <f>((BO14*Constants!$H72*Constants!$H90*(1-Constants!$H108))+(BO14*Constants!$H72*Constants!$H124))</f>
        <v>6134741.168051959</v>
      </c>
      <c r="BP59" s="22">
        <f>((BP14*Constants!$H72*Constants!$H90*(1-Constants!$H108))+(BP14*Constants!$H72*Constants!$H124))</f>
        <v>6138606.6282664118</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7962493.0176485498</v>
      </c>
      <c r="AE62" s="22">
        <f>((AE17*Constants!$H75*Constants!$H93*(1-Constants!$H111))+(AE17*Constants!$H75*Constants!$H127))</f>
        <v>7948420.2349363761</v>
      </c>
      <c r="AF62" s="22">
        <f>((AF17*Constants!$H75*Constants!$H93*(1-Constants!$H111))+(AF17*Constants!$H75*Constants!$H127))</f>
        <v>7903825.4386084108</v>
      </c>
      <c r="AG62" s="22">
        <f>((AG17*Constants!$H75*Constants!$H93*(1-Constants!$H111))+(AG17*Constants!$H75*Constants!$H127))</f>
        <v>7729417.4240341056</v>
      </c>
      <c r="AH62" s="22">
        <f>((AH17*Constants!$H75*Constants!$H93*(1-Constants!$H111))+(AH17*Constants!$H75*Constants!$H127))</f>
        <v>7564486.4534051092</v>
      </c>
      <c r="AI62" s="22">
        <f>((AI17*Constants!$H75*Constants!$H93*(1-Constants!$H111))+(AI17*Constants!$H75*Constants!$H127))</f>
        <v>7537866.2435460119</v>
      </c>
      <c r="AJ62" s="22">
        <f>((AJ17*Constants!$H75*Constants!$H93*(1-Constants!$H111))+(AJ17*Constants!$H75*Constants!$H127))</f>
        <v>7473245.2870888608</v>
      </c>
      <c r="AK62" s="22">
        <f>((AK17*Constants!$H75*Constants!$H93*(1-Constants!$H111))+(AK17*Constants!$H75*Constants!$H127))</f>
        <v>7274217.1594508123</v>
      </c>
      <c r="AL62" s="22">
        <f>((AL17*Constants!$H75*Constants!$H93*(1-Constants!$H111))+(AL17*Constants!$H75*Constants!$H127))</f>
        <v>6488265.1411964083</v>
      </c>
      <c r="AM62" s="22">
        <f>((AM17*Constants!$H75*Constants!$H93*(1-Constants!$H111))+(AM17*Constants!$H75*Constants!$H127))</f>
        <v>6626506.1316564735</v>
      </c>
      <c r="AN62" s="22">
        <f>((AN17*Constants!$H75*Constants!$H93*(1-Constants!$H111))+(AN17*Constants!$H75*Constants!$H127))</f>
        <v>6689422.7336560022</v>
      </c>
      <c r="AO62" s="22">
        <f>((AO17*Constants!$H75*Constants!$H93*(1-Constants!$H111))+(AO17*Constants!$H75*Constants!$H127))</f>
        <v>6734863.0658022249</v>
      </c>
      <c r="AP62" s="22">
        <f>((AP17*Constants!$H75*Constants!$H93*(1-Constants!$H111))+(AP17*Constants!$H75*Constants!$H127))</f>
        <v>6805318.9014845574</v>
      </c>
      <c r="AQ62" s="22">
        <f>((AQ17*Constants!$H75*Constants!$H93*(1-Constants!$H111))+(AQ17*Constants!$H75*Constants!$H127))</f>
        <v>6963378.9866332021</v>
      </c>
      <c r="AR62" s="22">
        <f>((AR17*Constants!$H75*Constants!$H93*(1-Constants!$H111))+(AR17*Constants!$H75*Constants!$H127))</f>
        <v>7141369.8444482815</v>
      </c>
      <c r="AS62" s="22">
        <f>((AS17*Constants!$H75*Constants!$H93*(1-Constants!$H111))+(AS17*Constants!$H75*Constants!$H127))</f>
        <v>7337297.7247232674</v>
      </c>
      <c r="AT62" s="22">
        <f>((AT17*Constants!$H75*Constants!$H93*(1-Constants!$H111))+(AT17*Constants!$H75*Constants!$H127))</f>
        <v>7493611.8915002467</v>
      </c>
      <c r="AU62" s="22">
        <f>((AU17*Constants!$H75*Constants!$H93*(1-Constants!$H111))+(AU17*Constants!$H75*Constants!$H127))</f>
        <v>7685328.6904127402</v>
      </c>
      <c r="AV62" s="22">
        <f>((AV17*Constants!$H75*Constants!$H93*(1-Constants!$H111))+(AV17*Constants!$H75*Constants!$H127))</f>
        <v>7920195.7800995912</v>
      </c>
      <c r="AW62" s="22">
        <f>((AW17*Constants!$H75*Constants!$H93*(1-Constants!$H111))+(AW17*Constants!$H75*Constants!$H127))</f>
        <v>8143150.1516293511</v>
      </c>
      <c r="AX62" s="22">
        <f>((AX17*Constants!$H75*Constants!$H93*(1-Constants!$H111))+(AX17*Constants!$H75*Constants!$H127))</f>
        <v>8375183.0561376791</v>
      </c>
      <c r="AY62" s="22">
        <f>((AY17*Constants!$H75*Constants!$H93*(1-Constants!$H111))+(AY17*Constants!$H75*Constants!$H127))</f>
        <v>8608534.4667491317</v>
      </c>
      <c r="AZ62" s="22">
        <f>((AZ17*Constants!$H75*Constants!$H93*(1-Constants!$H111))+(AZ17*Constants!$H75*Constants!$H127))</f>
        <v>8874734.1209703237</v>
      </c>
      <c r="BA62" s="22">
        <f>((BA17*Constants!$H75*Constants!$H93*(1-Constants!$H111))+(BA17*Constants!$H75*Constants!$H127))</f>
        <v>9090338.5345430225</v>
      </c>
      <c r="BB62" s="22">
        <f>((BB17*Constants!$H75*Constants!$H93*(1-Constants!$H111))+(BB17*Constants!$H75*Constants!$H127))</f>
        <v>9321384.6271139011</v>
      </c>
      <c r="BC62" s="22">
        <f>((BC17*Constants!$H75*Constants!$H93*(1-Constants!$H111))+(BC17*Constants!$H75*Constants!$H127))</f>
        <v>9552428.027248852</v>
      </c>
      <c r="BD62" s="22">
        <f>((BD17*Constants!$H75*Constants!$H93*(1-Constants!$H111))+(BD17*Constants!$H75*Constants!$H127))</f>
        <v>9761991.0598035753</v>
      </c>
      <c r="BE62" s="22">
        <f>((BE17*Constants!$H75*Constants!$H93*(1-Constants!$H111))+(BE17*Constants!$H75*Constants!$H127))</f>
        <v>9964983.0805356763</v>
      </c>
      <c r="BF62" s="22">
        <f>((BF17*Constants!$H75*Constants!$H93*(1-Constants!$H111))+(BF17*Constants!$H75*Constants!$H127))</f>
        <v>10174253.43833629</v>
      </c>
      <c r="BG62" s="22">
        <f>((BG17*Constants!$H75*Constants!$H93*(1-Constants!$H111))+(BG17*Constants!$H75*Constants!$H127))</f>
        <v>10395508.814017462</v>
      </c>
      <c r="BH62" s="22">
        <f>((BH17*Constants!$H75*Constants!$H93*(1-Constants!$H111))+(BH17*Constants!$H75*Constants!$H127))</f>
        <v>10589871.364092372</v>
      </c>
      <c r="BI62" s="22">
        <f>((BI17*Constants!$H75*Constants!$H93*(1-Constants!$H111))+(BI17*Constants!$H75*Constants!$H127))</f>
        <v>10782771.091804203</v>
      </c>
      <c r="BJ62" s="22">
        <f>((BJ17*Constants!$H75*Constants!$H93*(1-Constants!$H111))+(BJ17*Constants!$H75*Constants!$H127))</f>
        <v>10974724.091920447</v>
      </c>
      <c r="BK62" s="22">
        <f>((BK17*Constants!$H75*Constants!$H93*(1-Constants!$H111))+(BK17*Constants!$H75*Constants!$H127))</f>
        <v>11182772.076226573</v>
      </c>
      <c r="BL62" s="22">
        <f>((BL17*Constants!$H75*Constants!$H93*(1-Constants!$H111))+(BL17*Constants!$H75*Constants!$H127))</f>
        <v>11393811.937865872</v>
      </c>
      <c r="BM62" s="22">
        <f>((BM17*Constants!$H75*Constants!$H93*(1-Constants!$H111))+(BM17*Constants!$H75*Constants!$H127))</f>
        <v>11442270.037470413</v>
      </c>
      <c r="BN62" s="22">
        <f>((BN17*Constants!$H75*Constants!$H93*(1-Constants!$H111))+(BN17*Constants!$H75*Constants!$H127))</f>
        <v>11477073.75954205</v>
      </c>
      <c r="BO62" s="22">
        <f>((BO17*Constants!$H75*Constants!$H93*(1-Constants!$H111))+(BO17*Constants!$H75*Constants!$H127))</f>
        <v>11529888.557408424</v>
      </c>
      <c r="BP62" s="22">
        <f>((BP17*Constants!$H75*Constants!$H93*(1-Constants!$H111))+(BP17*Constants!$H75*Constants!$H127))</f>
        <v>11570864.246683992</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2020114.8852332842</v>
      </c>
      <c r="AE63" s="22">
        <f>((AE18*Constants!$H76*Constants!$H94*(1-Constants!$H112))+(AE18*Constants!$H76*Constants!$H128))</f>
        <v>2016544.5665189694</v>
      </c>
      <c r="AF63" s="22">
        <f>((AF18*Constants!$H76*Constants!$H94*(1-Constants!$H112))+(AF18*Constants!$H76*Constants!$H128))</f>
        <v>2005230.6963948268</v>
      </c>
      <c r="AG63" s="22">
        <f>((AG18*Constants!$H76*Constants!$H94*(1-Constants!$H112))+(AG18*Constants!$H76*Constants!$H128))</f>
        <v>1960982.7170792248</v>
      </c>
      <c r="AH63" s="22">
        <f>((AH18*Constants!$H76*Constants!$H94*(1-Constants!$H112))+(AH18*Constants!$H76*Constants!$H128))</f>
        <v>1919139.1000028732</v>
      </c>
      <c r="AI63" s="22">
        <f>((AI18*Constants!$H76*Constants!$H94*(1-Constants!$H112))+(AI18*Constants!$H76*Constants!$H128))</f>
        <v>1912385.4511060761</v>
      </c>
      <c r="AJ63" s="22">
        <f>((AJ18*Constants!$H76*Constants!$H94*(1-Constants!$H112))+(AJ18*Constants!$H76*Constants!$H128))</f>
        <v>1895990.8676825475</v>
      </c>
      <c r="AK63" s="22">
        <f>((AK18*Constants!$H76*Constants!$H94*(1-Constants!$H112))+(AK18*Constants!$H76*Constants!$H128))</f>
        <v>1845496.6716649709</v>
      </c>
      <c r="AL63" s="22">
        <f>((AL18*Constants!$H76*Constants!$H94*(1-Constants!$H112))+(AL18*Constants!$H76*Constants!$H128))</f>
        <v>1646097.6432908473</v>
      </c>
      <c r="AM63" s="22">
        <f>((AM18*Constants!$H76*Constants!$H94*(1-Constants!$H112))+(AM18*Constants!$H76*Constants!$H128))</f>
        <v>1681169.9104763623</v>
      </c>
      <c r="AN63" s="22">
        <f>((AN18*Constants!$H76*Constants!$H94*(1-Constants!$H112))+(AN18*Constants!$H76*Constants!$H128))</f>
        <v>1697132.0926655133</v>
      </c>
      <c r="AO63" s="22">
        <f>((AO18*Constants!$H76*Constants!$H94*(1-Constants!$H112))+(AO18*Constants!$H76*Constants!$H128))</f>
        <v>1708660.4784556255</v>
      </c>
      <c r="AP63" s="22">
        <f>((AP18*Constants!$H76*Constants!$H94*(1-Constants!$H112))+(AP18*Constants!$H76*Constants!$H128))</f>
        <v>1726535.3930204441</v>
      </c>
      <c r="AQ63" s="22">
        <f>((AQ18*Constants!$H76*Constants!$H94*(1-Constants!$H112))+(AQ18*Constants!$H76*Constants!$H128))</f>
        <v>1766635.8402123351</v>
      </c>
      <c r="AR63" s="22">
        <f>((AR18*Constants!$H76*Constants!$H94*(1-Constants!$H112))+(AR18*Constants!$H76*Constants!$H128))</f>
        <v>1811792.8005400528</v>
      </c>
      <c r="AS63" s="22">
        <f>((AS18*Constants!$H76*Constants!$H94*(1-Constants!$H112))+(AS18*Constants!$H76*Constants!$H128))</f>
        <v>1861500.4519625953</v>
      </c>
      <c r="AT63" s="22">
        <f>((AT18*Constants!$H76*Constants!$H94*(1-Constants!$H112))+(AT18*Constants!$H76*Constants!$H128))</f>
        <v>1901157.9529963944</v>
      </c>
      <c r="AU63" s="22">
        <f>((AU18*Constants!$H76*Constants!$H94*(1-Constants!$H112))+(AU18*Constants!$H76*Constants!$H128))</f>
        <v>1949797.2369962661</v>
      </c>
      <c r="AV63" s="22">
        <f>((AV18*Constants!$H76*Constants!$H94*(1-Constants!$H112))+(AV18*Constants!$H76*Constants!$H128))</f>
        <v>2009383.9145451458</v>
      </c>
      <c r="AW63" s="22">
        <f>((AW18*Constants!$H76*Constants!$H94*(1-Constants!$H112))+(AW18*Constants!$H76*Constants!$H128))</f>
        <v>2065948.2900060494</v>
      </c>
      <c r="AX63" s="22">
        <f>((AX18*Constants!$H76*Constants!$H94*(1-Constants!$H112))+(AX18*Constants!$H76*Constants!$H128))</f>
        <v>2124815.9239521339</v>
      </c>
      <c r="AY63" s="22">
        <f>((AY18*Constants!$H76*Constants!$H94*(1-Constants!$H112))+(AY18*Constants!$H76*Constants!$H128))</f>
        <v>2184018.0679316069</v>
      </c>
      <c r="AZ63" s="22">
        <f>((AZ18*Constants!$H76*Constants!$H94*(1-Constants!$H112))+(AZ18*Constants!$H76*Constants!$H128))</f>
        <v>2251553.9367536302</v>
      </c>
      <c r="BA63" s="22">
        <f>((BA18*Constants!$H76*Constants!$H94*(1-Constants!$H112))+(BA18*Constants!$H76*Constants!$H128))</f>
        <v>2306253.5998132811</v>
      </c>
      <c r="BB63" s="22">
        <f>((BB18*Constants!$H76*Constants!$H94*(1-Constants!$H112))+(BB18*Constants!$H76*Constants!$H128))</f>
        <v>2364870.8758024611</v>
      </c>
      <c r="BC63" s="22">
        <f>((BC18*Constants!$H76*Constants!$H94*(1-Constants!$H112))+(BC18*Constants!$H76*Constants!$H128))</f>
        <v>2423487.4687103634</v>
      </c>
      <c r="BD63" s="22">
        <f>((BD18*Constants!$H76*Constants!$H94*(1-Constants!$H112))+(BD18*Constants!$H76*Constants!$H128))</f>
        <v>2476654.4103353168</v>
      </c>
      <c r="BE63" s="22">
        <f>((BE18*Constants!$H76*Constants!$H94*(1-Constants!$H112))+(BE18*Constants!$H76*Constants!$H128))</f>
        <v>2528154.2611679151</v>
      </c>
      <c r="BF63" s="22">
        <f>((BF18*Constants!$H76*Constants!$H94*(1-Constants!$H112))+(BF18*Constants!$H76*Constants!$H128))</f>
        <v>2581246.9500901038</v>
      </c>
      <c r="BG63" s="22">
        <f>((BG18*Constants!$H76*Constants!$H94*(1-Constants!$H112))+(BG18*Constants!$H76*Constants!$H128))</f>
        <v>2637380.2838162049</v>
      </c>
      <c r="BH63" s="22">
        <f>((BH18*Constants!$H76*Constants!$H94*(1-Constants!$H112))+(BH18*Constants!$H76*Constants!$H128))</f>
        <v>2686690.8049894068</v>
      </c>
      <c r="BI63" s="22">
        <f>((BI18*Constants!$H76*Constants!$H94*(1-Constants!$H112))+(BI18*Constants!$H76*Constants!$H128))</f>
        <v>2735630.2025429625</v>
      </c>
      <c r="BJ63" s="22">
        <f>((BJ18*Constants!$H76*Constants!$H94*(1-Constants!$H112))+(BJ18*Constants!$H76*Constants!$H128))</f>
        <v>2784329.4116902156</v>
      </c>
      <c r="BK63" s="22">
        <f>((BK18*Constants!$H76*Constants!$H94*(1-Constants!$H112))+(BK18*Constants!$H76*Constants!$H128))</f>
        <v>2837111.9797889325</v>
      </c>
      <c r="BL63" s="22">
        <f>((BL18*Constants!$H76*Constants!$H94*(1-Constants!$H112))+(BL18*Constants!$H76*Constants!$H128))</f>
        <v>2890653.5985922627</v>
      </c>
      <c r="BM63" s="22">
        <f>((BM18*Constants!$H76*Constants!$H94*(1-Constants!$H112))+(BM18*Constants!$H76*Constants!$H128))</f>
        <v>2902947.6035106066</v>
      </c>
      <c r="BN63" s="22">
        <f>((BN18*Constants!$H76*Constants!$H94*(1-Constants!$H112))+(BN18*Constants!$H76*Constants!$H128))</f>
        <v>2911777.4407063951</v>
      </c>
      <c r="BO63" s="22">
        <f>((BO18*Constants!$H76*Constants!$H94*(1-Constants!$H112))+(BO18*Constants!$H76*Constants!$H128))</f>
        <v>2925176.7566108452</v>
      </c>
      <c r="BP63" s="22">
        <f>((BP18*Constants!$H76*Constants!$H94*(1-Constants!$H112))+(BP18*Constants!$H76*Constants!$H128))</f>
        <v>2935572.4454553812</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10020306.329217177</v>
      </c>
      <c r="AE64" s="22">
        <f>((AE19*Constants!$H77*Constants!$H95*(1-Constants!$H113))+(AE19*Constants!$H77*Constants!$H129))</f>
        <v>10245530.611890748</v>
      </c>
      <c r="AF64" s="22">
        <f>((AF19*Constants!$H77*Constants!$H95*(1-Constants!$H113))+(AF19*Constants!$H77*Constants!$H129))</f>
        <v>10449243.508515857</v>
      </c>
      <c r="AG64" s="22">
        <f>((AG19*Constants!$H77*Constants!$H95*(1-Constants!$H113))+(AG19*Constants!$H77*Constants!$H129))</f>
        <v>10554411.620731648</v>
      </c>
      <c r="AH64" s="22">
        <f>((AH19*Constants!$H77*Constants!$H95*(1-Constants!$H113))+(AH19*Constants!$H77*Constants!$H129))</f>
        <v>10662479.048547674</v>
      </c>
      <c r="AI64" s="22">
        <f>((AI19*Constants!$H77*Constants!$H95*(1-Constants!$H113))+(AI19*Constants!$H77*Constants!$H129))</f>
        <v>10877640.996510897</v>
      </c>
      <c r="AJ64" s="22">
        <f>((AJ19*Constants!$H77*Constants!$H95*(1-Constants!$H113))+(AJ19*Constants!$H77*Constants!$H129))</f>
        <v>11061624.227815729</v>
      </c>
      <c r="AK64" s="22">
        <f>((AK19*Constants!$H77*Constants!$H95*(1-Constants!$H113))+(AK19*Constants!$H77*Constants!$H129))</f>
        <v>11131459.696017046</v>
      </c>
      <c r="AL64" s="22">
        <f>((AL19*Constants!$H77*Constants!$H95*(1-Constants!$H113))+(AL19*Constants!$H77*Constants!$H129))</f>
        <v>10689378.789319342</v>
      </c>
      <c r="AM64" s="22">
        <f>((AM19*Constants!$H77*Constants!$H95*(1-Constants!$H113))+(AM19*Constants!$H77*Constants!$H129))</f>
        <v>11007495.373652793</v>
      </c>
      <c r="AN64" s="22">
        <f>((AN19*Constants!$H77*Constants!$H95*(1-Constants!$H113))+(AN19*Constants!$H77*Constants!$H129))</f>
        <v>11264599.187495885</v>
      </c>
      <c r="AO64" s="22">
        <f>((AO19*Constants!$H77*Constants!$H95*(1-Constants!$H113))+(AO19*Constants!$H77*Constants!$H129))</f>
        <v>11509604.096777543</v>
      </c>
      <c r="AP64" s="22">
        <f>((AP19*Constants!$H77*Constants!$H95*(1-Constants!$H113))+(AP19*Constants!$H77*Constants!$H129))</f>
        <v>11781653.495842265</v>
      </c>
      <c r="AQ64" s="22">
        <f>((AQ19*Constants!$H77*Constants!$H95*(1-Constants!$H113))+(AQ19*Constants!$H77*Constants!$H129))</f>
        <v>12142774.392153794</v>
      </c>
      <c r="AR64" s="22">
        <f>((AR19*Constants!$H77*Constants!$H95*(1-Constants!$H113))+(AR19*Constants!$H77*Constants!$H129))</f>
        <v>12522063.037310595</v>
      </c>
      <c r="AS64" s="22">
        <f>((AS19*Constants!$H77*Constants!$H95*(1-Constants!$H113))+(AS19*Constants!$H77*Constants!$H129))</f>
        <v>12928633.48014834</v>
      </c>
      <c r="AT64" s="22">
        <f>((AT19*Constants!$H77*Constants!$H95*(1-Constants!$H113))+(AT19*Constants!$H77*Constants!$H129))</f>
        <v>13304712.007590251</v>
      </c>
      <c r="AU64" s="22">
        <f>((AU19*Constants!$H77*Constants!$H95*(1-Constants!$H113))+(AU19*Constants!$H77*Constants!$H129))</f>
        <v>13726636.971915994</v>
      </c>
      <c r="AV64" s="22">
        <f>((AV19*Constants!$H77*Constants!$H95*(1-Constants!$H113))+(AV19*Constants!$H77*Constants!$H129))</f>
        <v>14205202.717366934</v>
      </c>
      <c r="AW64" s="22">
        <f>((AW19*Constants!$H77*Constants!$H95*(1-Constants!$H113))+(AW19*Constants!$H77*Constants!$H129))</f>
        <v>14674274.689629065</v>
      </c>
      <c r="AX64" s="22">
        <f>((AX19*Constants!$H77*Constants!$H95*(1-Constants!$H113))+(AX19*Constants!$H77*Constants!$H129))</f>
        <v>15165547.399093302</v>
      </c>
      <c r="AY64" s="22">
        <f>((AY19*Constants!$H77*Constants!$H95*(1-Constants!$H113))+(AY19*Constants!$H77*Constants!$H129))</f>
        <v>15671078.678945864</v>
      </c>
      <c r="AZ64" s="22">
        <f>((AZ19*Constants!$H77*Constants!$H95*(1-Constants!$H113))+(AZ19*Constants!$H77*Constants!$H129))</f>
        <v>16227782.244308148</v>
      </c>
      <c r="BA64" s="22">
        <f>((BA19*Constants!$H77*Constants!$H95*(1-Constants!$H113))+(BA19*Constants!$H77*Constants!$H129))</f>
        <v>16739609.611050015</v>
      </c>
      <c r="BB64" s="22">
        <f>((BB19*Constants!$H77*Constants!$H95*(1-Constants!$H113))+(BB19*Constants!$H77*Constants!$H129))</f>
        <v>17275072.62789876</v>
      </c>
      <c r="BC64" s="22">
        <f>((BC19*Constants!$H77*Constants!$H95*(1-Constants!$H113))+(BC19*Constants!$H77*Constants!$H129))</f>
        <v>17824355.063206244</v>
      </c>
      <c r="BD64" s="22">
        <f>((BD19*Constants!$H77*Constants!$H95*(1-Constants!$H113))+(BD19*Constants!$H77*Constants!$H129))</f>
        <v>18360913.078313526</v>
      </c>
      <c r="BE64" s="22">
        <f>((BE19*Constants!$H77*Constants!$H95*(1-Constants!$H113))+(BE19*Constants!$H77*Constants!$H129))</f>
        <v>18902571.282715846</v>
      </c>
      <c r="BF64" s="22">
        <f>((BF19*Constants!$H77*Constants!$H95*(1-Constants!$H113))+(BF19*Constants!$H77*Constants!$H129))</f>
        <v>19465897.500140045</v>
      </c>
      <c r="BG64" s="22">
        <f>((BG19*Constants!$H77*Constants!$H95*(1-Constants!$H113))+(BG19*Constants!$H77*Constants!$H129))</f>
        <v>20051785.886330549</v>
      </c>
      <c r="BH64" s="22">
        <f>((BH19*Constants!$H77*Constants!$H95*(1-Constants!$H113))+(BH19*Constants!$H77*Constants!$H129))</f>
        <v>20616420.447791386</v>
      </c>
      <c r="BI64" s="22">
        <f>((BI19*Constants!$H77*Constants!$H95*(1-Constants!$H113))+(BI19*Constants!$H77*Constants!$H129))</f>
        <v>21193117.54339879</v>
      </c>
      <c r="BJ64" s="22">
        <f>((BJ19*Constants!$H77*Constants!$H95*(1-Constants!$H113))+(BJ19*Constants!$H77*Constants!$H129))</f>
        <v>21782872.504020832</v>
      </c>
      <c r="BK64" s="22">
        <f>((BK19*Constants!$H77*Constants!$H95*(1-Constants!$H113))+(BK19*Constants!$H77*Constants!$H129))</f>
        <v>22410328.289350692</v>
      </c>
      <c r="BL64" s="22">
        <f>((BL19*Constants!$H77*Constants!$H95*(1-Constants!$H113))+(BL19*Constants!$H77*Constants!$H129))</f>
        <v>23050451.569076337</v>
      </c>
      <c r="BM64" s="22">
        <f>((BM19*Constants!$H77*Constants!$H95*(1-Constants!$H113))+(BM19*Constants!$H77*Constants!$H129))</f>
        <v>23466382.140440848</v>
      </c>
      <c r="BN64" s="22">
        <f>((BN19*Constants!$H77*Constants!$H95*(1-Constants!$H113))+(BN19*Constants!$H77*Constants!$H129))</f>
        <v>23869779.068654221</v>
      </c>
      <c r="BO64" s="22">
        <f>((BO19*Constants!$H77*Constants!$H95*(1-Constants!$H113))+(BO19*Constants!$H77*Constants!$H129))</f>
        <v>24308404.199043918</v>
      </c>
      <c r="BP64" s="22">
        <f>((BP19*Constants!$H77*Constants!$H95*(1-Constants!$H113))+(BP19*Constants!$H77*Constants!$H129))</f>
        <v>24737345.98038318</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50365202.067184903</v>
      </c>
      <c r="AE65" s="22">
        <f>((AE20*Constants!$H78*Constants!$H96*(1-Constants!$H114))+(AE20*Constants!$H78*Constants!$H130))</f>
        <v>51299976.920555025</v>
      </c>
      <c r="AF65" s="22">
        <f>((AF20*Constants!$H78*Constants!$H96*(1-Constants!$H114))+(AF20*Constants!$H78*Constants!$H130))</f>
        <v>51912223.777118228</v>
      </c>
      <c r="AG65" s="22">
        <f>((AG20*Constants!$H78*Constants!$H96*(1-Constants!$H114))+(AG20*Constants!$H78*Constants!$H130))</f>
        <v>51238823.634402134</v>
      </c>
      <c r="AH65" s="22">
        <f>((AH20*Constants!$H78*Constants!$H96*(1-Constants!$H114))+(AH20*Constants!$H78*Constants!$H130))</f>
        <v>50585762.638668038</v>
      </c>
      <c r="AI65" s="22">
        <f>((AI20*Constants!$H78*Constants!$H96*(1-Constants!$H114))+(AI20*Constants!$H78*Constants!$H130))</f>
        <v>51232888.031359024</v>
      </c>
      <c r="AJ65" s="22">
        <f>((AJ20*Constants!$H78*Constants!$H96*(1-Constants!$H114))+(AJ20*Constants!$H78*Constants!$H130))</f>
        <v>51482243.814409688</v>
      </c>
      <c r="AK65" s="22">
        <f>((AK20*Constants!$H78*Constants!$H96*(1-Constants!$H114))+(AK20*Constants!$H78*Constants!$H130))</f>
        <v>50339040.399750598</v>
      </c>
      <c r="AL65" s="22">
        <f>((AL20*Constants!$H78*Constants!$H96*(1-Constants!$H114))+(AL20*Constants!$H78*Constants!$H130))</f>
        <v>43086910.518574804</v>
      </c>
      <c r="AM65" s="22">
        <f>((AM20*Constants!$H78*Constants!$H96*(1-Constants!$H114))+(AM20*Constants!$H78*Constants!$H130))</f>
        <v>45380812.927159764</v>
      </c>
      <c r="AN65" s="22">
        <f>((AN20*Constants!$H78*Constants!$H96*(1-Constants!$H114))+(AN20*Constants!$H78*Constants!$H130))</f>
        <v>46912903.993634418</v>
      </c>
      <c r="AO65" s="22">
        <f>((AO20*Constants!$H78*Constants!$H96*(1-Constants!$H114))+(AO20*Constants!$H78*Constants!$H130))</f>
        <v>48273146.240475409</v>
      </c>
      <c r="AP65" s="22">
        <f>((AP20*Constants!$H78*Constants!$H96*(1-Constants!$H114))+(AP20*Constants!$H78*Constants!$H130))</f>
        <v>49917107.316038094</v>
      </c>
      <c r="AQ65" s="22">
        <f>((AQ20*Constants!$H78*Constants!$H96*(1-Constants!$H114))+(AQ20*Constants!$H78*Constants!$H130))</f>
        <v>52545724.60090296</v>
      </c>
      <c r="AR65" s="22">
        <f>((AR20*Constants!$H78*Constants!$H96*(1-Constants!$H114))+(AR20*Constants!$H78*Constants!$H130))</f>
        <v>55485606.130357735</v>
      </c>
      <c r="AS65" s="22">
        <f>((AS20*Constants!$H78*Constants!$H96*(1-Constants!$H114))+(AS20*Constants!$H78*Constants!$H130))</f>
        <v>58682322.526845902</v>
      </c>
      <c r="AT65" s="22">
        <f>((AT20*Constants!$H78*Constants!$H96*(1-Constants!$H114))+(AT20*Constants!$H78*Constants!$H130))</f>
        <v>61486757.904551744</v>
      </c>
      <c r="AU65" s="22">
        <f>((AU20*Constants!$H78*Constants!$H96*(1-Constants!$H114))+(AU20*Constants!$H78*Constants!$H130))</f>
        <v>64752588.973760359</v>
      </c>
      <c r="AV65" s="22">
        <f>((AV20*Constants!$H78*Constants!$H96*(1-Constants!$H114))+(AV20*Constants!$H78*Constants!$H130))</f>
        <v>68588146.069747582</v>
      </c>
      <c r="AW65" s="22">
        <f>((AW20*Constants!$H78*Constants!$H96*(1-Constants!$H114))+(AW20*Constants!$H78*Constants!$H130))</f>
        <v>72391059.544591084</v>
      </c>
      <c r="AX65" s="22">
        <f>((AX20*Constants!$H78*Constants!$H96*(1-Constants!$H114))+(AX20*Constants!$H78*Constants!$H130))</f>
        <v>76379643.808944955</v>
      </c>
      <c r="AY65" s="22">
        <f>((AY20*Constants!$H78*Constants!$H96*(1-Constants!$H114))+(AY20*Constants!$H78*Constants!$H130))</f>
        <v>80465447.014292896</v>
      </c>
      <c r="AZ65" s="22">
        <f>((AZ20*Constants!$H78*Constants!$H96*(1-Constants!$H114))+(AZ20*Constants!$H78*Constants!$H130))</f>
        <v>85040629.25818035</v>
      </c>
      <c r="BA65" s="22">
        <f>((BA20*Constants!$H78*Constants!$H96*(1-Constants!$H114))+(BA20*Constants!$H78*Constants!$H130))</f>
        <v>89079124.096844643</v>
      </c>
      <c r="BB65" s="22">
        <f>((BB20*Constants!$H78*Constants!$H96*(1-Constants!$H114))+(BB20*Constants!$H78*Constants!$H130))</f>
        <v>93427058.880345911</v>
      </c>
      <c r="BC65" s="22">
        <f>((BC20*Constants!$H78*Constants!$H96*(1-Constants!$H114))+(BC20*Constants!$H78*Constants!$H130))</f>
        <v>97864793.022182062</v>
      </c>
      <c r="BD65" s="22">
        <f>((BD20*Constants!$H78*Constants!$H96*(1-Constants!$H114))+(BD20*Constants!$H78*Constants!$H130))</f>
        <v>102115711.0298983</v>
      </c>
      <c r="BE65" s="22">
        <f>((BE20*Constants!$H78*Constants!$H96*(1-Constants!$H114))+(BE20*Constants!$H78*Constants!$H130))</f>
        <v>106367830.3442394</v>
      </c>
      <c r="BF65" s="22">
        <f>((BF20*Constants!$H78*Constants!$H96*(1-Constants!$H114))+(BF20*Constants!$H78*Constants!$H130))</f>
        <v>110791519.28408885</v>
      </c>
      <c r="BG65" s="22">
        <f>((BG20*Constants!$H78*Constants!$H96*(1-Constants!$H114))+(BG20*Constants!$H78*Constants!$H130))</f>
        <v>115498279.08870003</v>
      </c>
      <c r="BH65" s="22">
        <f>((BH20*Constants!$H78*Constants!$H96*(1-Constants!$H114))+(BH20*Constants!$H78*Constants!$H130))</f>
        <v>119936819.40973952</v>
      </c>
      <c r="BI65" s="22">
        <f>((BI20*Constants!$H78*Constants!$H96*(1-Constants!$H114))+(BI20*Constants!$H78*Constants!$H130))</f>
        <v>124447871.04988216</v>
      </c>
      <c r="BJ65" s="22">
        <f>((BJ20*Constants!$H78*Constants!$H96*(1-Constants!$H114))+(BJ20*Constants!$H78*Constants!$H130))</f>
        <v>129040612.57341461</v>
      </c>
      <c r="BK65" s="22">
        <f>((BK20*Constants!$H78*Constants!$H96*(1-Constants!$H114))+(BK20*Constants!$H78*Constants!$H130))</f>
        <v>133959373.36411482</v>
      </c>
      <c r="BL65" s="22">
        <f>((BL20*Constants!$H78*Constants!$H96*(1-Constants!$H114))+(BL20*Constants!$H78*Constants!$H130))</f>
        <v>139056170.88479108</v>
      </c>
      <c r="BM65" s="22">
        <f>((BM20*Constants!$H78*Constants!$H96*(1-Constants!$H114))+(BM20*Constants!$H78*Constants!$H130))</f>
        <v>141894297.90583265</v>
      </c>
      <c r="BN65" s="22">
        <f>((BN20*Constants!$H78*Constants!$H96*(1-Constants!$H114))+(BN20*Constants!$H78*Constants!$H130))</f>
        <v>144583021.35277233</v>
      </c>
      <c r="BO65" s="22">
        <f>((BO20*Constants!$H78*Constants!$H96*(1-Constants!$H114))+(BO20*Constants!$H78*Constants!$H130))</f>
        <v>147589886.64164224</v>
      </c>
      <c r="BP65" s="22">
        <f>((BP20*Constants!$H78*Constants!$H96*(1-Constants!$H114))+(BP20*Constants!$H78*Constants!$H130))</f>
        <v>150475031.64504376</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34321487.761366524</v>
      </c>
      <c r="AE67" s="22">
        <f>AE6*Constants!$H64*(1-Constants!$H82)</f>
        <v>34553228.373710632</v>
      </c>
      <c r="AF67" s="22">
        <f>AF6*Constants!$H64*(1-Constants!$H82)</f>
        <v>34755942.708069228</v>
      </c>
      <c r="AG67" s="22">
        <f>AG6*Constants!$H64*(1-Constants!$H82)</f>
        <v>34782164.232133396</v>
      </c>
      <c r="AH67" s="22">
        <f>AH6*Constants!$H64*(1-Constants!$H82)</f>
        <v>34827328.236369483</v>
      </c>
      <c r="AI67" s="22">
        <f>AI6*Constants!$H64*(1-Constants!$H82)</f>
        <v>35086470.962063126</v>
      </c>
      <c r="AJ67" s="22">
        <f>AJ6*Constants!$H64*(1-Constants!$H82)</f>
        <v>35293690.253709756</v>
      </c>
      <c r="AK67" s="22">
        <f>AK6*Constants!$H64*(1-Constants!$H82)</f>
        <v>35295507.164919175</v>
      </c>
      <c r="AL67" s="22">
        <f>AL6*Constants!$H64*(1-Constants!$H82)</f>
        <v>34360396.732767276</v>
      </c>
      <c r="AM67" s="22">
        <f>AM6*Constants!$H64*(1-Constants!$H82)</f>
        <v>34533646.258278735</v>
      </c>
      <c r="AN67" s="22">
        <f>AN6*Constants!$H64*(1-Constants!$H82)</f>
        <v>34591642.149147533</v>
      </c>
      <c r="AO67" s="22">
        <f>AO6*Constants!$H64*(1-Constants!$H82)</f>
        <v>34625301.421761408</v>
      </c>
      <c r="AP67" s="22">
        <f>AP6*Constants!$H64*(1-Constants!$H82)</f>
        <v>34703621.347071424</v>
      </c>
      <c r="AQ67" s="22">
        <f>AQ6*Constants!$H64*(1-Constants!$H82)</f>
        <v>34931409.269377023</v>
      </c>
      <c r="AR67" s="22">
        <f>AR6*Constants!$H64*(1-Constants!$H82)</f>
        <v>35171602.554325953</v>
      </c>
      <c r="AS67" s="22">
        <f>AS6*Constants!$H64*(1-Constants!$H82)</f>
        <v>35448292.388249516</v>
      </c>
      <c r="AT67" s="22">
        <f>AT6*Constants!$H64*(1-Constants!$H82)</f>
        <v>35663875.393377557</v>
      </c>
      <c r="AU67" s="22">
        <f>AU6*Constants!$H64*(1-Constants!$H82)</f>
        <v>35945204.185252272</v>
      </c>
      <c r="AV67" s="22">
        <f>AV6*Constants!$H64*(1-Constants!$H82)</f>
        <v>36306738.852856122</v>
      </c>
      <c r="AW67" s="22">
        <f>AW6*Constants!$H64*(1-Constants!$H82)</f>
        <v>36892888.13945844</v>
      </c>
      <c r="AX67" s="22">
        <f>AX6*Constants!$H64*(1-Constants!$H82)</f>
        <v>37510519.057578467</v>
      </c>
      <c r="AY67" s="22">
        <f>AY6*Constants!$H64*(1-Constants!$H82)</f>
        <v>38146459.196767434</v>
      </c>
      <c r="AZ67" s="22">
        <f>AZ6*Constants!$H64*(1-Constants!$H82)</f>
        <v>38858582.845844939</v>
      </c>
      <c r="BA67" s="22">
        <f>BA6*Constants!$H64*(1-Constants!$H82)</f>
        <v>39494983.853282787</v>
      </c>
      <c r="BB67" s="22">
        <f>BB6*Constants!$H64*(1-Constants!$H82)</f>
        <v>40156422.487430416</v>
      </c>
      <c r="BC67" s="22">
        <f>BC6*Constants!$H64*(1-Constants!$H82)</f>
        <v>40834423.582174577</v>
      </c>
      <c r="BD67" s="22">
        <f>BD6*Constants!$H64*(1-Constants!$H82)</f>
        <v>41487763.155569695</v>
      </c>
      <c r="BE67" s="22">
        <f>BE6*Constants!$H64*(1-Constants!$H82)</f>
        <v>42144174.736489542</v>
      </c>
      <c r="BF67" s="22">
        <f>BF6*Constants!$H64*(1-Constants!$H82)</f>
        <v>42828888.442817517</v>
      </c>
      <c r="BG67" s="22">
        <f>BG6*Constants!$H64*(1-Constants!$H82)</f>
        <v>43536040.504473351</v>
      </c>
      <c r="BH67" s="22">
        <f>BH6*Constants!$H64*(1-Constants!$H82)</f>
        <v>44205730.251633972</v>
      </c>
      <c r="BI67" s="22">
        <f>BI6*Constants!$H64*(1-Constants!$H82)</f>
        <v>44888599.539343044</v>
      </c>
      <c r="BJ67" s="22">
        <f>BJ6*Constants!$H64*(1-Constants!$H82)</f>
        <v>45585931.079902649</v>
      </c>
      <c r="BK67" s="22">
        <f>BK6*Constants!$H64*(1-Constants!$H82)</f>
        <v>46334182.590423085</v>
      </c>
      <c r="BL67" s="22">
        <f>BL6*Constants!$H64*(1-Constants!$H82)</f>
        <v>47088735.800039515</v>
      </c>
      <c r="BM67" s="22">
        <f>BM6*Constants!$H64*(1-Constants!$H82)</f>
        <v>47507027.76686199</v>
      </c>
      <c r="BN67" s="22">
        <f>BN6*Constants!$H64*(1-Constants!$H82)</f>
        <v>47904370.528378233</v>
      </c>
      <c r="BO67" s="22">
        <f>BO6*Constants!$H64*(1-Constants!$H82)</f>
        <v>48350769.800822422</v>
      </c>
      <c r="BP67" s="22">
        <f>BP6*Constants!$H64*(1-Constants!$H82)</f>
        <v>48780237.253337868</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23373167.996121902</v>
      </c>
      <c r="AE68" s="22">
        <f>AE7*Constants!$H65*(1-Constants!$H83)</f>
        <v>23530984.938717846</v>
      </c>
      <c r="AF68" s="22">
        <f>AF7*Constants!$H65*(1-Constants!$H83)</f>
        <v>23669034.787405312</v>
      </c>
      <c r="AG68" s="22">
        <f>AG7*Constants!$H65*(1-Constants!$H83)</f>
        <v>23686891.824702982</v>
      </c>
      <c r="AH68" s="22">
        <f>AH7*Constants!$H65*(1-Constants!$H83)</f>
        <v>23717648.820603836</v>
      </c>
      <c r="AI68" s="22">
        <f>AI7*Constants!$H65*(1-Constants!$H83)</f>
        <v>23894126.78987848</v>
      </c>
      <c r="AJ68" s="22">
        <f>AJ7*Constants!$H65*(1-Constants!$H83)</f>
        <v>24035244.545302413</v>
      </c>
      <c r="AK68" s="22">
        <f>AK7*Constants!$H65*(1-Constants!$H83)</f>
        <v>24036481.874267489</v>
      </c>
      <c r="AL68" s="22">
        <f>AL7*Constants!$H65*(1-Constants!$H83)</f>
        <v>23399665.271864407</v>
      </c>
      <c r="AM68" s="22">
        <f>AM7*Constants!$H65*(1-Constants!$H83)</f>
        <v>23517649.384126168</v>
      </c>
      <c r="AN68" s="22">
        <f>AN7*Constants!$H65*(1-Constants!$H83)</f>
        <v>23557144.982620798</v>
      </c>
      <c r="AO68" s="22">
        <f>AO7*Constants!$H65*(1-Constants!$H83)</f>
        <v>23580067.177570544</v>
      </c>
      <c r="AP68" s="22">
        <f>AP7*Constants!$H65*(1-Constants!$H83)</f>
        <v>23633403.582578465</v>
      </c>
      <c r="AQ68" s="22">
        <f>AQ7*Constants!$H65*(1-Constants!$H83)</f>
        <v>23788528.716213536</v>
      </c>
      <c r="AR68" s="22">
        <f>AR7*Constants!$H65*(1-Constants!$H83)</f>
        <v>23952101.986687291</v>
      </c>
      <c r="AS68" s="22">
        <f>AS7*Constants!$H65*(1-Constants!$H83)</f>
        <v>24140529.656725362</v>
      </c>
      <c r="AT68" s="22">
        <f>AT7*Constants!$H65*(1-Constants!$H83)</f>
        <v>24287343.158255395</v>
      </c>
      <c r="AU68" s="22">
        <f>AU7*Constants!$H65*(1-Constants!$H83)</f>
        <v>24478929.990398359</v>
      </c>
      <c r="AV68" s="22">
        <f>AV7*Constants!$H65*(1-Constants!$H83)</f>
        <v>24725137.572688505</v>
      </c>
      <c r="AW68" s="22">
        <f>AW7*Constants!$H65*(1-Constants!$H83)</f>
        <v>25124309.247349545</v>
      </c>
      <c r="AX68" s="22">
        <f>AX7*Constants!$H65*(1-Constants!$H83)</f>
        <v>25544920.128474228</v>
      </c>
      <c r="AY68" s="22">
        <f>AY7*Constants!$H65*(1-Constants!$H83)</f>
        <v>25977999.714420155</v>
      </c>
      <c r="AZ68" s="22">
        <f>AZ7*Constants!$H65*(1-Constants!$H83)</f>
        <v>26462960.791854441</v>
      </c>
      <c r="BA68" s="22">
        <f>BA7*Constants!$H65*(1-Constants!$H83)</f>
        <v>26896354.232231159</v>
      </c>
      <c r="BB68" s="22">
        <f>BB7*Constants!$H65*(1-Constants!$H83)</f>
        <v>27346798.467706878</v>
      </c>
      <c r="BC68" s="22">
        <f>BC7*Constants!$H65*(1-Constants!$H83)</f>
        <v>27808521.852170642</v>
      </c>
      <c r="BD68" s="22">
        <f>BD7*Constants!$H65*(1-Constants!$H83)</f>
        <v>28253450.571859416</v>
      </c>
      <c r="BE68" s="22">
        <f>BE7*Constants!$H65*(1-Constants!$H83)</f>
        <v>28700471.349691469</v>
      </c>
      <c r="BF68" s="22">
        <f>BF7*Constants!$H65*(1-Constants!$H83)</f>
        <v>29166766.068572089</v>
      </c>
      <c r="BG68" s="22">
        <f>BG7*Constants!$H65*(1-Constants!$H83)</f>
        <v>29648341.460956186</v>
      </c>
      <c r="BH68" s="22">
        <f>BH7*Constants!$H65*(1-Constants!$H83)</f>
        <v>30104404.760848582</v>
      </c>
      <c r="BI68" s="22">
        <f>BI7*Constants!$H65*(1-Constants!$H83)</f>
        <v>30569443.418030053</v>
      </c>
      <c r="BJ68" s="22">
        <f>BJ7*Constants!$H65*(1-Constants!$H83)</f>
        <v>31044330.968354747</v>
      </c>
      <c r="BK68" s="22">
        <f>BK7*Constants!$H65*(1-Constants!$H83)</f>
        <v>31553895.366621666</v>
      </c>
      <c r="BL68" s="22">
        <f>BL7*Constants!$H65*(1-Constants!$H83)</f>
        <v>32067751.265089728</v>
      </c>
      <c r="BM68" s="22">
        <f>BM7*Constants!$H65*(1-Constants!$H83)</f>
        <v>32352610.956486184</v>
      </c>
      <c r="BN68" s="22">
        <f>BN7*Constants!$H65*(1-Constants!$H83)</f>
        <v>32623204.095732782</v>
      </c>
      <c r="BO68" s="22">
        <f>BO7*Constants!$H65*(1-Constants!$H83)</f>
        <v>32927205.05457028</v>
      </c>
      <c r="BP68" s="22">
        <f>BP7*Constants!$H65*(1-Constants!$H83)</f>
        <v>33219675.328187302</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490931661.84327489</v>
      </c>
      <c r="AE69" s="22">
        <f>AE8*Constants!$H66*(1-Constants!$H84)</f>
        <v>488432222.15572554</v>
      </c>
      <c r="AF69" s="22">
        <f>AF8*Constants!$H66*(1-Constants!$H84)</f>
        <v>483870286.95288318</v>
      </c>
      <c r="AG69" s="22">
        <f>AG8*Constants!$H66*(1-Constants!$H84)</f>
        <v>471382981.34922951</v>
      </c>
      <c r="AH69" s="22">
        <f>AH8*Constants!$H66*(1-Constants!$H84)</f>
        <v>459393994.58473909</v>
      </c>
      <c r="AI69" s="22">
        <f>AI8*Constants!$H66*(1-Constants!$H84)</f>
        <v>455469599.65179068</v>
      </c>
      <c r="AJ69" s="22">
        <f>AJ8*Constants!$H66*(1-Constants!$H84)</f>
        <v>449131284.30794901</v>
      </c>
      <c r="AK69" s="22">
        <f>AK8*Constants!$H66*(1-Constants!$H84)</f>
        <v>434890324.2695604</v>
      </c>
      <c r="AL69" s="22">
        <f>AL8*Constants!$H66*(1-Constants!$H84)</f>
        <v>387110440.85716224</v>
      </c>
      <c r="AM69" s="22">
        <f>AM8*Constants!$H66*(1-Constants!$H84)</f>
        <v>386520771.99744236</v>
      </c>
      <c r="AN69" s="22">
        <f>AN8*Constants!$H66*(1-Constants!$H84)</f>
        <v>381492964.35311413</v>
      </c>
      <c r="AO69" s="22">
        <f>AO8*Constants!$H66*(1-Constants!$H84)</f>
        <v>375402821.3967613</v>
      </c>
      <c r="AP69" s="22">
        <f>AP8*Constants!$H66*(1-Constants!$H84)</f>
        <v>370543205.19324857</v>
      </c>
      <c r="AQ69" s="22">
        <f>AQ8*Constants!$H66*(1-Constants!$H84)</f>
        <v>370031175.39313334</v>
      </c>
      <c r="AR69" s="22">
        <f>AR8*Constants!$H66*(1-Constants!$H84)</f>
        <v>370055757.92893744</v>
      </c>
      <c r="AS69" s="22">
        <f>AS8*Constants!$H66*(1-Constants!$H84)</f>
        <v>370590215.52849388</v>
      </c>
      <c r="AT69" s="22">
        <f>AT8*Constants!$H66*(1-Constants!$H84)</f>
        <v>368839849.75202769</v>
      </c>
      <c r="AU69" s="22">
        <f>AU8*Constants!$H66*(1-Constants!$H84)</f>
        <v>368434700.69561076</v>
      </c>
      <c r="AV69" s="22">
        <f>AV8*Constants!$H66*(1-Constants!$H84)</f>
        <v>369610192.54134637</v>
      </c>
      <c r="AW69" s="22">
        <f>AW8*Constants!$H66*(1-Constants!$H84)</f>
        <v>371703540.33485931</v>
      </c>
      <c r="AX69" s="22">
        <f>AX8*Constants!$H66*(1-Constants!$H84)</f>
        <v>373784296.76764685</v>
      </c>
      <c r="AY69" s="22">
        <f>AY8*Constants!$H66*(1-Constants!$H84)</f>
        <v>375501493.84715188</v>
      </c>
      <c r="AZ69" s="22">
        <f>AZ8*Constants!$H66*(1-Constants!$H84)</f>
        <v>378165321.60140049</v>
      </c>
      <c r="BA69" s="22">
        <f>BA8*Constants!$H66*(1-Constants!$H84)</f>
        <v>378300348.3114711</v>
      </c>
      <c r="BB69" s="22">
        <f>BB8*Constants!$H66*(1-Constants!$H84)</f>
        <v>378607801.62131131</v>
      </c>
      <c r="BC69" s="22">
        <f>BC8*Constants!$H66*(1-Constants!$H84)</f>
        <v>378520123.40599185</v>
      </c>
      <c r="BD69" s="22">
        <f>BD8*Constants!$H66*(1-Constants!$H84)</f>
        <v>377229738.49131006</v>
      </c>
      <c r="BE69" s="22">
        <f>BE8*Constants!$H66*(1-Constants!$H84)</f>
        <v>375351136.92263538</v>
      </c>
      <c r="BF69" s="22">
        <f>BF8*Constants!$H66*(1-Constants!$H84)</f>
        <v>373369723.75941473</v>
      </c>
      <c r="BG69" s="22">
        <f>BG8*Constants!$H66*(1-Constants!$H84)</f>
        <v>376076134.67262083</v>
      </c>
      <c r="BH69" s="22">
        <f>BH8*Constants!$H66*(1-Constants!$H84)</f>
        <v>377608158.33897662</v>
      </c>
      <c r="BI69" s="22">
        <f>BI8*Constants!$H66*(1-Constants!$H84)</f>
        <v>378883353.39913476</v>
      </c>
      <c r="BJ69" s="22">
        <f>BJ8*Constants!$H66*(1-Constants!$H84)</f>
        <v>379921642.00610089</v>
      </c>
      <c r="BK69" s="22">
        <f>BK8*Constants!$H66*(1-Constants!$H84)</f>
        <v>381295811.39071125</v>
      </c>
      <c r="BL69" s="22">
        <f>BL8*Constants!$H66*(1-Constants!$H84)</f>
        <v>382505829.67972934</v>
      </c>
      <c r="BM69" s="22">
        <f>BM8*Constants!$H66*(1-Constants!$H84)</f>
        <v>378208832.67229295</v>
      </c>
      <c r="BN69" s="22">
        <f>BN8*Constants!$H66*(1-Constants!$H84)</f>
        <v>373417380.82419425</v>
      </c>
      <c r="BO69" s="22">
        <f>BO8*Constants!$H66*(1-Constants!$H84)</f>
        <v>369150520.40059727</v>
      </c>
      <c r="BP69" s="22">
        <f>BP8*Constants!$H66*(1-Constants!$H84)</f>
        <v>364455735.40451586</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101">
        <f>IF('Net zero activities &amp; levers'!$C$10="Off",AD9*Constants!$H67*(1-Constants!$H85),IF('Net zero activities &amp; levers'!$C$10="On",('Net zero supporting data'!B197*Constants!$H67*(1-Constants!$H85-'Net zero supporting data'!B199))+('Net zero supporting data'!B198*Constants!$H67*(1-Constants!$H85)),"ERROR"))</f>
        <v>308698225.55720496</v>
      </c>
      <c r="AE70" s="101">
        <f>IF('Net zero activities &amp; levers'!$C$10="Off",AE9*Constants!$H67*(1-Constants!$H85),IF('Net zero activities &amp; levers'!$C$10="On",('Net zero supporting data'!C197*Constants!$H67*(1-Constants!$H85-'Net zero supporting data'!C199))+('Net zero supporting data'!C198*Constants!$H67*(1-Constants!$H85)),"ERROR"))</f>
        <v>307126575.8625474</v>
      </c>
      <c r="AF70" s="101">
        <f>IF('Net zero activities &amp; levers'!$C$10="Off",AF9*Constants!$H67*(1-Constants!$H85),IF('Net zero activities &amp; levers'!$C$10="On",('Net zero supporting data'!D197*Constants!$H67*(1-Constants!$H85-'Net zero supporting data'!D199))+('Net zero supporting data'!D198*Constants!$H67*(1-Constants!$H85)),"ERROR"))</f>
        <v>304258027.3217243</v>
      </c>
      <c r="AG70" s="101">
        <f>IF('Net zero activities &amp; levers'!$C$10="Off",AG9*Constants!$H67*(1-Constants!$H85),IF('Net zero activities &amp; levers'!$C$10="On",('Net zero supporting data'!E197*Constants!$H67*(1-Constants!$H85-'Net zero supporting data'!E199))+('Net zero supporting data'!E198*Constants!$H67*(1-Constants!$H85)),"ERROR"))</f>
        <v>296405999.47050571</v>
      </c>
      <c r="AH70" s="101">
        <f>IF('Net zero activities &amp; levers'!$C$10="Off",AH9*Constants!$H67*(1-Constants!$H85),IF('Net zero activities &amp; levers'!$C$10="On",('Net zero supporting data'!F197*Constants!$H67*(1-Constants!$H85-'Net zero supporting data'!F199))+('Net zero supporting data'!F198*Constants!$H67*(1-Constants!$H85)),"ERROR"))</f>
        <v>288867314.90791076</v>
      </c>
      <c r="AI70" s="101">
        <f>IF('Net zero activities &amp; levers'!$C$10="Off",AI9*Constants!$H67*(1-Constants!$H85),IF('Net zero activities &amp; levers'!$C$10="On",('Net zero supporting data'!G197*Constants!$H67*(1-Constants!$H85-'Net zero supporting data'!G199))+('Net zero supporting data'!G198*Constants!$H67*(1-Constants!$H85)),"ERROR"))</f>
        <v>286399652.20382214</v>
      </c>
      <c r="AJ70" s="101">
        <f>IF('Net zero activities &amp; levers'!$C$10="Off",AJ9*Constants!$H67*(1-Constants!$H85),IF('Net zero activities &amp; levers'!$C$10="On",('Net zero supporting data'!H197*Constants!$H67*(1-Constants!$H85-'Net zero supporting data'!H199))+('Net zero supporting data'!H198*Constants!$H67*(1-Constants!$H85)),"ERROR"))</f>
        <v>282414114.3953225</v>
      </c>
      <c r="AK70" s="101">
        <f>IF('Net zero activities &amp; levers'!$C$10="Off",AK9*Constants!$H67*(1-Constants!$H85),IF('Net zero activities &amp; levers'!$C$10="On",('Net zero supporting data'!I197*Constants!$H67*(1-Constants!$H85-'Net zero supporting data'!I199))+('Net zero supporting data'!I198*Constants!$H67*(1-Constants!$H85)),"ERROR"))</f>
        <v>273459387.218885</v>
      </c>
      <c r="AL70" s="101">
        <f>IF('Net zero activities &amp; levers'!$C$10="Off",AL9*Constants!$H67*(1-Constants!$H85),IF('Net zero activities &amp; levers'!$C$10="On",('Net zero supporting data'!J197*Constants!$H67*(1-Constants!$H85-'Net zero supporting data'!J199))+('Net zero supporting data'!J198*Constants!$H67*(1-Constants!$H85)),"ERROR"))</f>
        <v>243415357.93106499</v>
      </c>
      <c r="AM70" s="101">
        <f>IF('Net zero activities &amp; levers'!$C$10="Off",AM9*Constants!$H67*(1-Constants!$H85),IF('Net zero activities &amp; levers'!$C$10="On",('Net zero supporting data'!K197*Constants!$H67*(1-Constants!$H85-'Net zero supporting data'!K199))+('Net zero supporting data'!K198*Constants!$H67*(1-Constants!$H85)),"ERROR"))</f>
        <v>239803979.3600437</v>
      </c>
      <c r="AN70" s="101">
        <f>IF('Net zero activities &amp; levers'!$C$10="Off",AN9*Constants!$H67*(1-Constants!$H85),IF('Net zero activities &amp; levers'!$C$10="On",('Net zero supporting data'!L197*Constants!$H67*(1-Constants!$H85-'Net zero supporting data'!L199))+('Net zero supporting data'!L198*Constants!$H67*(1-Constants!$H85)),"ERROR"))</f>
        <v>233486201.92288154</v>
      </c>
      <c r="AO70" s="101">
        <f>IF('Net zero activities &amp; levers'!$C$10="Off",AO9*Constants!$H67*(1-Constants!$H85),IF('Net zero activities &amp; levers'!$C$10="On",('Net zero supporting data'!M197*Constants!$H67*(1-Constants!$H85-'Net zero supporting data'!M199))+('Net zero supporting data'!M198*Constants!$H67*(1-Constants!$H85)),"ERROR"))</f>
        <v>226611453.4623158</v>
      </c>
      <c r="AP70" s="101">
        <f>IF('Net zero activities &amp; levers'!$C$10="Off",AP9*Constants!$H67*(1-Constants!$H85),IF('Net zero activities &amp; levers'!$C$10="On",('Net zero supporting data'!N197*Constants!$H67*(1-Constants!$H85-'Net zero supporting data'!N199))+('Net zero supporting data'!N198*Constants!$H67*(1-Constants!$H85)),"ERROR"))</f>
        <v>220571313.86808175</v>
      </c>
      <c r="AQ70" s="101">
        <f>IF('Net zero activities &amp; levers'!$C$10="Off",AQ9*Constants!$H67*(1-Constants!$H85),IF('Net zero activities &amp; levers'!$C$10="On",('Net zero supporting data'!O197*Constants!$H67*(1-Constants!$H85-'Net zero supporting data'!O199))+('Net zero supporting data'!O198*Constants!$H67*(1-Constants!$H85)),"ERROR"))</f>
        <v>217164175.2094377</v>
      </c>
      <c r="AR70" s="101">
        <f>IF('Net zero activities &amp; levers'!$C$10="Off",AR9*Constants!$H67*(1-Constants!$H85),IF('Net zero activities &amp; levers'!$C$10="On",('Net zero supporting data'!P197*Constants!$H67*(1-Constants!$H85-'Net zero supporting data'!P199))+('Net zero supporting data'!P198*Constants!$H67*(1-Constants!$H85)),"ERROR"))</f>
        <v>214076050.76620528</v>
      </c>
      <c r="AS70" s="101">
        <f>IF('Net zero activities &amp; levers'!$C$10="Off",AS9*Constants!$H67*(1-Constants!$H85),IF('Net zero activities &amp; levers'!$C$10="On",('Net zero supporting data'!Q197*Constants!$H67*(1-Constants!$H85-'Net zero supporting data'!Q199))+('Net zero supporting data'!Q198*Constants!$H67*(1-Constants!$H85)),"ERROR"))</f>
        <v>211278200.38827872</v>
      </c>
      <c r="AT70" s="101">
        <f>IF('Net zero activities &amp; levers'!$C$10="Off",AT9*Constants!$H67*(1-Constants!$H85),IF('Net zero activities &amp; levers'!$C$10="On",('Net zero supporting data'!R197*Constants!$H67*(1-Constants!$H85-'Net zero supporting data'!R199))+('Net zero supporting data'!R198*Constants!$H67*(1-Constants!$H85)),"ERROR"))</f>
        <v>207187937.29957059</v>
      </c>
      <c r="AU70" s="101">
        <f>IF('Net zero activities &amp; levers'!$C$10="Off",AU9*Constants!$H67*(1-Constants!$H85),IF('Net zero activities &amp; levers'!$C$10="On",('Net zero supporting data'!S197*Constants!$H67*(1-Constants!$H85-'Net zero supporting data'!S199))+('Net zero supporting data'!S198*Constants!$H67*(1-Constants!$H85)),"ERROR"))</f>
        <v>203871392.93895155</v>
      </c>
      <c r="AV70" s="101">
        <f>IF('Net zero activities &amp; levers'!$C$10="Off",AV9*Constants!$H67*(1-Constants!$H85),IF('Net zero activities &amp; levers'!$C$10="On",('Net zero supporting data'!T197*Constants!$H67*(1-Constants!$H85-'Net zero supporting data'!T199))+('Net zero supporting data'!T198*Constants!$H67*(1-Constants!$H85)),"ERROR"))</f>
        <v>201423029.29911488</v>
      </c>
      <c r="AW70" s="101">
        <f>IF('Net zero activities &amp; levers'!$C$10="Off",AW9*Constants!$H67*(1-Constants!$H85),IF('Net zero activities &amp; levers'!$C$10="On",('Net zero supporting data'!U197*Constants!$H67*(1-Constants!$H85-'Net zero supporting data'!U199))+('Net zero supporting data'!U198*Constants!$H67*(1-Constants!$H85)),"ERROR"))</f>
        <v>201525032.74965751</v>
      </c>
      <c r="AX70" s="101">
        <f>IF('Net zero activities &amp; levers'!$C$10="Off",AX9*Constants!$H67*(1-Constants!$H85),IF('Net zero activities &amp; levers'!$C$10="On",('Net zero supporting data'!V197*Constants!$H67*(1-Constants!$H85-'Net zero supporting data'!V199))+('Net zero supporting data'!V198*Constants!$H67*(1-Constants!$H85)),"ERROR"))</f>
        <v>201608544.3472141</v>
      </c>
      <c r="AY70" s="101">
        <f>IF('Net zero activities &amp; levers'!$C$10="Off",AY9*Constants!$H67*(1-Constants!$H85),IF('Net zero activities &amp; levers'!$C$10="On",('Net zero supporting data'!W197*Constants!$H67*(1-Constants!$H85-'Net zero supporting data'!W199))+('Net zero supporting data'!W198*Constants!$H67*(1-Constants!$H85)),"ERROR"))</f>
        <v>201485348.41437459</v>
      </c>
      <c r="AZ70" s="101">
        <f>IF('Net zero activities &amp; levers'!$C$10="Off",AZ9*Constants!$H67*(1-Constants!$H85),IF('Net zero activities &amp; levers'!$C$10="On",('Net zero supporting data'!X197*Constants!$H67*(1-Constants!$H85-'Net zero supporting data'!X199))+('Net zero supporting data'!X198*Constants!$H67*(1-Constants!$H85)),"ERROR"))</f>
        <v>201857848.91522765</v>
      </c>
      <c r="BA70" s="101">
        <f>IF('Net zero activities &amp; levers'!$C$10="Off",BA9*Constants!$H67*(1-Constants!$H85),IF('Net zero activities &amp; levers'!$C$10="On",('Net zero supporting data'!Y197*Constants!$H67*(1-Constants!$H85-'Net zero supporting data'!Y199))+('Net zero supporting data'!Y198*Constants!$H67*(1-Constants!$H85)),"ERROR"))</f>
        <v>200872699.01351053</v>
      </c>
      <c r="BB70" s="101">
        <f>IF('Net zero activities &amp; levers'!$C$10="Off",BB9*Constants!$H67*(1-Constants!$H85),IF('Net zero activities &amp; levers'!$C$10="On",('Net zero supporting data'!Z197*Constants!$H67*(1-Constants!$H85-'Net zero supporting data'!Z199))+('Net zero supporting data'!Z198*Constants!$H67*(1-Constants!$H85)),"ERROR"))</f>
        <v>199977868.86912289</v>
      </c>
      <c r="BC70" s="101">
        <f>IF('Net zero activities &amp; levers'!$C$10="Off",BC9*Constants!$H67*(1-Constants!$H85),IF('Net zero activities &amp; levers'!$C$10="On",('Net zero supporting data'!AA197*Constants!$H67*(1-Constants!$H85-'Net zero supporting data'!AA199))+('Net zero supporting data'!AA198*Constants!$H67*(1-Constants!$H85)),"ERROR"))</f>
        <v>198873718.94715035</v>
      </c>
      <c r="BD70" s="101">
        <f>IF('Net zero activities &amp; levers'!$C$10="Off",BD9*Constants!$H67*(1-Constants!$H85),IF('Net zero activities &amp; levers'!$C$10="On",('Net zero supporting data'!AB197*Constants!$H67*(1-Constants!$H85-'Net zero supporting data'!AB199))+('Net zero supporting data'!AB198*Constants!$H67*(1-Constants!$H85)),"ERROR"))</f>
        <v>197141520.5527795</v>
      </c>
      <c r="BE70" s="101">
        <f>IF('Net zero activities &amp; levers'!$C$10="Off",BE9*Constants!$H67*(1-Constants!$H85),IF('Net zero activities &amp; levers'!$C$10="On",('Net zero supporting data'!AC197*Constants!$H67*(1-Constants!$H85-'Net zero supporting data'!AC199))+('Net zero supporting data'!AC198*Constants!$H67*(1-Constants!$H85)),"ERROR"))</f>
        <v>195110774.44379681</v>
      </c>
      <c r="BF70" s="101">
        <f>IF('Net zero activities &amp; levers'!$C$10="Off",BF9*Constants!$H67*(1-Constants!$H85),IF('Net zero activities &amp; levers'!$C$10="On",('Net zero supporting data'!AD197*Constants!$H67*(1-Constants!$H85-'Net zero supporting data'!AD199))+('Net zero supporting data'!AD198*Constants!$H67*(1-Constants!$H85)),"ERROR"))</f>
        <v>193037373.44518098</v>
      </c>
      <c r="BG70" s="101">
        <f>IF('Net zero activities &amp; levers'!$C$10="Off",BG9*Constants!$H67*(1-Constants!$H85),IF('Net zero activities &amp; levers'!$C$10="On",('Net zero supporting data'!AE197*Constants!$H67*(1-Constants!$H85-'Net zero supporting data'!AE199))+('Net zero supporting data'!AE198*Constants!$H67*(1-Constants!$H85)),"ERROR"))</f>
        <v>193385616.98248366</v>
      </c>
      <c r="BH70" s="101">
        <f>IF('Net zero activities &amp; levers'!$C$10="Off",BH9*Constants!$H67*(1-Constants!$H85),IF('Net zero activities &amp; levers'!$C$10="On",('Net zero supporting data'!AF197*Constants!$H67*(1-Constants!$H85-'Net zero supporting data'!AF199))+('Net zero supporting data'!AF198*Constants!$H67*(1-Constants!$H85)),"ERROR"))</f>
        <v>193118122.87267312</v>
      </c>
      <c r="BI70" s="101">
        <f>IF('Net zero activities &amp; levers'!$C$10="Off",BI9*Constants!$H67*(1-Constants!$H85),IF('Net zero activities &amp; levers'!$C$10="On",('Net zero supporting data'!AG197*Constants!$H67*(1-Constants!$H85-'Net zero supporting data'!AG199))+('Net zero supporting data'!AG198*Constants!$H67*(1-Constants!$H85)),"ERROR"))</f>
        <v>192711435.03034079</v>
      </c>
      <c r="BJ70" s="101">
        <f>IF('Net zero activities &amp; levers'!$C$10="Off",BJ9*Constants!$H67*(1-Constants!$H85),IF('Net zero activities &amp; levers'!$C$10="On",('Net zero supporting data'!AH197*Constants!$H67*(1-Constants!$H85-'Net zero supporting data'!AH199))+('Net zero supporting data'!AH198*Constants!$H67*(1-Constants!$H85)),"ERROR"))</f>
        <v>192177784.03785884</v>
      </c>
      <c r="BK70" s="101">
        <f>IF('Net zero activities &amp; levers'!$C$10="Off",BK9*Constants!$H67*(1-Constants!$H85),IF('Net zero activities &amp; levers'!$C$10="On",('Net zero supporting data'!AI197*Constants!$H67*(1-Constants!$H85-'Net zero supporting data'!AI199))+('Net zero supporting data'!AI198*Constants!$H67*(1-Constants!$H85)),"ERROR"))</f>
        <v>191807291.38025495</v>
      </c>
      <c r="BL70" s="101">
        <f>IF('Net zero activities &amp; levers'!$C$10="Off",BL9*Constants!$H67*(1-Constants!$H85),IF('Net zero activities &amp; levers'!$C$10="On",('Net zero supporting data'!AJ197*Constants!$H67*(1-Constants!$H85-'Net zero supporting data'!AJ199))+('Net zero supporting data'!AJ198*Constants!$H67*(1-Constants!$H85)),"ERROR"))</f>
        <v>191347002.09700909</v>
      </c>
      <c r="BM70" s="101">
        <f>IF('Net zero activities &amp; levers'!$C$10="Off",BM9*Constants!$H67*(1-Constants!$H85),IF('Net zero activities &amp; levers'!$C$10="On",('Net zero supporting data'!AK197*Constants!$H67*(1-Constants!$H85-'Net zero supporting data'!AK199))+('Net zero supporting data'!AK198*Constants!$H67*(1-Constants!$H85)),"ERROR"))</f>
        <v>188140477.65950406</v>
      </c>
      <c r="BN70" s="101">
        <f>IF('Net zero activities &amp; levers'!$C$10="Off",BN9*Constants!$H67*(1-Constants!$H85),IF('Net zero activities &amp; levers'!$C$10="On",('Net zero supporting data'!AL197*Constants!$H67*(1-Constants!$H85-'Net zero supporting data'!AL199))+('Net zero supporting data'!AL198*Constants!$H67*(1-Constants!$H85)),"ERROR"))</f>
        <v>184713385.23357558</v>
      </c>
      <c r="BO70" s="101">
        <f>IF('Net zero activities &amp; levers'!$C$10="Off",BO9*Constants!$H67*(1-Constants!$H85),IF('Net zero activities &amp; levers'!$C$10="On",('Net zero supporting data'!AM197*Constants!$H67*(1-Constants!$H85-'Net zero supporting data'!AM199))+('Net zero supporting data'!AM198*Constants!$H67*(1-Constants!$H85)),"ERROR"))</f>
        <v>181571100.43258488</v>
      </c>
      <c r="BP70" s="101">
        <f>IF('Net zero activities &amp; levers'!$C$10="Off",BP9*Constants!$H67*(1-Constants!$H85),IF('Net zero activities &amp; levers'!$C$10="On",('Net zero supporting data'!AN197*Constants!$H67*(1-Constants!$H85-'Net zero supporting data'!AN199))+('Net zero supporting data'!AN198*Constants!$H67*(1-Constants!$H85)),"ERROR"))</f>
        <v>178243380.65430713</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369089881.70542783</v>
      </c>
      <c r="AE72" s="22">
        <f>AE11*Constants!$H69*(1-Constants!$H87)</f>
        <v>369289072.4785682</v>
      </c>
      <c r="AF72" s="22">
        <f>AF11*Constants!$H69*(1-Constants!$H87)</f>
        <v>369746995.08304256</v>
      </c>
      <c r="AG72" s="22">
        <f>AG11*Constants!$H69*(1-Constants!$H87)</f>
        <v>370426823.85134286</v>
      </c>
      <c r="AH72" s="22">
        <f>AH11*Constants!$H69*(1-Constants!$H87)</f>
        <v>371344407.41367775</v>
      </c>
      <c r="AI72" s="22">
        <f>AI11*Constants!$H69*(1-Constants!$H87)</f>
        <v>372518186.68706262</v>
      </c>
      <c r="AJ72" s="22">
        <f>AJ11*Constants!$H69*(1-Constants!$H87)</f>
        <v>373811569.33855748</v>
      </c>
      <c r="AK72" s="22">
        <f>AK11*Constants!$H69*(1-Constants!$H87)</f>
        <v>375204467.09794593</v>
      </c>
      <c r="AL72" s="22">
        <f>AL11*Constants!$H69*(1-Constants!$H87)</f>
        <v>376584468.32285666</v>
      </c>
      <c r="AM72" s="22">
        <f>AM11*Constants!$H69*(1-Constants!$H87)</f>
        <v>377073796.54738319</v>
      </c>
      <c r="AN72" s="22">
        <f>AN11*Constants!$H69*(1-Constants!$H87)</f>
        <v>377639410.50463194</v>
      </c>
      <c r="AO72" s="22">
        <f>AO11*Constants!$H69*(1-Constants!$H87)</f>
        <v>378288682.52698737</v>
      </c>
      <c r="AP72" s="22">
        <f>AP11*Constants!$H69*(1-Constants!$H87)</f>
        <v>379026819.01879615</v>
      </c>
      <c r="AQ72" s="22">
        <f>AQ11*Constants!$H69*(1-Constants!$H87)</f>
        <v>379865269.97320491</v>
      </c>
      <c r="AR72" s="22">
        <f>AR11*Constants!$H69*(1-Constants!$H87)</f>
        <v>380363988.48842931</v>
      </c>
      <c r="AS72" s="22">
        <f>AS11*Constants!$H69*(1-Constants!$H87)</f>
        <v>380934912.29344553</v>
      </c>
      <c r="AT72" s="22">
        <f>AT11*Constants!$H69*(1-Constants!$H87)</f>
        <v>381559992.12409282</v>
      </c>
      <c r="AU72" s="22">
        <f>AU11*Constants!$H69*(1-Constants!$H87)</f>
        <v>382255635.6035856</v>
      </c>
      <c r="AV72" s="22">
        <f>AV11*Constants!$H69*(1-Constants!$H87)</f>
        <v>383021711.75930524</v>
      </c>
      <c r="AW72" s="22">
        <f>AW11*Constants!$H69*(1-Constants!$H87)</f>
        <v>383541020.52539796</v>
      </c>
      <c r="AX72" s="22">
        <f>AX11*Constants!$H69*(1-Constants!$H87)</f>
        <v>384114471.88806725</v>
      </c>
      <c r="AY72" s="22">
        <f>AY11*Constants!$H69*(1-Constants!$H87)</f>
        <v>384737939.48020285</v>
      </c>
      <c r="AZ72" s="22">
        <f>AZ11*Constants!$H69*(1-Constants!$H87)</f>
        <v>385418573.31261867</v>
      </c>
      <c r="BA72" s="22">
        <f>BA11*Constants!$H69*(1-Constants!$H87)</f>
        <v>386130908.21669137</v>
      </c>
      <c r="BB72" s="22">
        <f>BB11*Constants!$H69*(1-Constants!$H87)</f>
        <v>386572600.15341967</v>
      </c>
      <c r="BC72" s="22">
        <f>BC11*Constants!$H69*(1-Constants!$H87)</f>
        <v>387054943.94012219</v>
      </c>
      <c r="BD72" s="22">
        <f>BD11*Constants!$H69*(1-Constants!$H87)</f>
        <v>387570036.04537743</v>
      </c>
      <c r="BE72" s="22">
        <f>BE11*Constants!$H69*(1-Constants!$H87)</f>
        <v>388120898.3663457</v>
      </c>
      <c r="BF72" s="22">
        <f>BF11*Constants!$H69*(1-Constants!$H87)</f>
        <v>388710282.55687308</v>
      </c>
      <c r="BG72" s="22">
        <f>BG11*Constants!$H69*(1-Constants!$H87)</f>
        <v>389041574.05557472</v>
      </c>
      <c r="BH72" s="22">
        <f>BH11*Constants!$H69*(1-Constants!$H87)</f>
        <v>389397050.59879547</v>
      </c>
      <c r="BI72" s="22">
        <f>BI11*Constants!$H69*(1-Constants!$H87)</f>
        <v>389783656.282049</v>
      </c>
      <c r="BJ72" s="22">
        <f>BJ11*Constants!$H69*(1-Constants!$H87)</f>
        <v>390200630.87472779</v>
      </c>
      <c r="BK72" s="22">
        <f>BK11*Constants!$H69*(1-Constants!$H87)</f>
        <v>390652861.42015642</v>
      </c>
      <c r="BL72" s="22">
        <f>BL11*Constants!$H69*(1-Constants!$H87)</f>
        <v>390835103.04041618</v>
      </c>
      <c r="BM72" s="22">
        <f>BM11*Constants!$H69*(1-Constants!$H87)</f>
        <v>390988069.72792351</v>
      </c>
      <c r="BN72" s="22">
        <f>BN11*Constants!$H69*(1-Constants!$H87)</f>
        <v>391160977.81645322</v>
      </c>
      <c r="BO72" s="22">
        <f>BO11*Constants!$H69*(1-Constants!$H87)</f>
        <v>391364235.60901821</v>
      </c>
      <c r="BP72" s="22">
        <f>BP11*Constants!$H69*(1-Constants!$H87)</f>
        <v>391586630.22868067</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41201328.883680604</v>
      </c>
      <c r="AE73" s="22">
        <f>AE12*Constants!$H70*(1-Constants!$H88)</f>
        <v>41223564.455451988</v>
      </c>
      <c r="AF73" s="22">
        <f>AF12*Constants!$H70*(1-Constants!$H88)</f>
        <v>41274682.139152892</v>
      </c>
      <c r="AG73" s="22">
        <f>AG12*Constants!$H70*(1-Constants!$H88)</f>
        <v>41350571.102941073</v>
      </c>
      <c r="AH73" s="22">
        <f>AH12*Constants!$H70*(1-Constants!$H88)</f>
        <v>41453000.521908969</v>
      </c>
      <c r="AI73" s="22">
        <f>AI12*Constants!$H70*(1-Constants!$H88)</f>
        <v>41584028.946898885</v>
      </c>
      <c r="AJ73" s="22">
        <f>AJ12*Constants!$H70*(1-Constants!$H88)</f>
        <v>41728408.640404597</v>
      </c>
      <c r="AK73" s="22">
        <f>AK12*Constants!$H70*(1-Constants!$H88)</f>
        <v>41883897.1583253</v>
      </c>
      <c r="AL73" s="22">
        <f>AL12*Constants!$H70*(1-Constants!$H88)</f>
        <v>42037946.042203426</v>
      </c>
      <c r="AM73" s="22">
        <f>AM12*Constants!$H70*(1-Constants!$H88)</f>
        <v>42092569.52041319</v>
      </c>
      <c r="AN73" s="22">
        <f>AN12*Constants!$H70*(1-Constants!$H88)</f>
        <v>42155708.738877073</v>
      </c>
      <c r="AO73" s="22">
        <f>AO12*Constants!$H70*(1-Constants!$H88)</f>
        <v>42228186.667571388</v>
      </c>
      <c r="AP73" s="22">
        <f>AP12*Constants!$H70*(1-Constants!$H88)</f>
        <v>42310584.49495028</v>
      </c>
      <c r="AQ73" s="22">
        <f>AQ12*Constants!$H70*(1-Constants!$H88)</f>
        <v>42404180.378331877</v>
      </c>
      <c r="AR73" s="22">
        <f>AR12*Constants!$H70*(1-Constants!$H88)</f>
        <v>42459852.090249851</v>
      </c>
      <c r="AS73" s="22">
        <f>AS12*Constants!$H70*(1-Constants!$H88)</f>
        <v>42523584.04450801</v>
      </c>
      <c r="AT73" s="22">
        <f>AT12*Constants!$H70*(1-Constants!$H88)</f>
        <v>42593361.410286911</v>
      </c>
      <c r="AU73" s="22">
        <f>AU12*Constants!$H70*(1-Constants!$H88)</f>
        <v>42671015.762803793</v>
      </c>
      <c r="AV73" s="22">
        <f>AV12*Constants!$H70*(1-Constants!$H88)</f>
        <v>42756532.481647208</v>
      </c>
      <c r="AW73" s="22">
        <f>AW12*Constants!$H70*(1-Constants!$H88)</f>
        <v>42814502.673528656</v>
      </c>
      <c r="AX73" s="22">
        <f>AX12*Constants!$H70*(1-Constants!$H88)</f>
        <v>42878516.777851857</v>
      </c>
      <c r="AY73" s="22">
        <f>AY12*Constants!$H70*(1-Constants!$H88)</f>
        <v>42948114.170208447</v>
      </c>
      <c r="AZ73" s="22">
        <f>AZ12*Constants!$H70*(1-Constants!$H88)</f>
        <v>43024093.002922982</v>
      </c>
      <c r="BA73" s="22">
        <f>BA12*Constants!$H70*(1-Constants!$H88)</f>
        <v>43103610.611269251</v>
      </c>
      <c r="BB73" s="22">
        <f>BB12*Constants!$H70*(1-Constants!$H88)</f>
        <v>43152916.473208152</v>
      </c>
      <c r="BC73" s="22">
        <f>BC12*Constants!$H70*(1-Constants!$H88)</f>
        <v>43206760.281927869</v>
      </c>
      <c r="BD73" s="22">
        <f>BD12*Constants!$H70*(1-Constants!$H88)</f>
        <v>43264259.769954883</v>
      </c>
      <c r="BE73" s="22">
        <f>BE12*Constants!$H70*(1-Constants!$H88)</f>
        <v>43325752.270239554</v>
      </c>
      <c r="BF73" s="22">
        <f>BF12*Constants!$H70*(1-Constants!$H88)</f>
        <v>43391544.948598959</v>
      </c>
      <c r="BG73" s="22">
        <f>BG12*Constants!$H70*(1-Constants!$H88)</f>
        <v>43428526.861869797</v>
      </c>
      <c r="BH73" s="22">
        <f>BH12*Constants!$H70*(1-Constants!$H88)</f>
        <v>43468208.540218711</v>
      </c>
      <c r="BI73" s="22">
        <f>BI12*Constants!$H70*(1-Constants!$H88)</f>
        <v>43511365.149742737</v>
      </c>
      <c r="BJ73" s="22">
        <f>BJ12*Constants!$H70*(1-Constants!$H88)</f>
        <v>43557911.826258801</v>
      </c>
      <c r="BK73" s="22">
        <f>BK12*Constants!$H70*(1-Constants!$H88)</f>
        <v>43608394.108101249</v>
      </c>
      <c r="BL73" s="22">
        <f>BL12*Constants!$H70*(1-Constants!$H88)</f>
        <v>43628737.653954975</v>
      </c>
      <c r="BM73" s="22">
        <f>BM12*Constants!$H70*(1-Constants!$H88)</f>
        <v>43645813.252915092</v>
      </c>
      <c r="BN73" s="22">
        <f>BN12*Constants!$H70*(1-Constants!$H88)</f>
        <v>43665114.901037328</v>
      </c>
      <c r="BO73" s="22">
        <f>BO12*Constants!$H70*(1-Constants!$H88)</f>
        <v>43687804.472263031</v>
      </c>
      <c r="BP73" s="22">
        <f>BP12*Constants!$H70*(1-Constants!$H88)</f>
        <v>43712630.278444268</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45620842.138791963</v>
      </c>
      <c r="AE74" s="22">
        <f>AE13*Constants!$H71*(1-Constants!$H89)</f>
        <v>45739418.292978734</v>
      </c>
      <c r="AF74" s="22">
        <f>AF13*Constants!$H71*(1-Constants!$H89)</f>
        <v>45899320.549148209</v>
      </c>
      <c r="AG74" s="22">
        <f>AG13*Constants!$H71*(1-Constants!$H89)</f>
        <v>46094077.437549464</v>
      </c>
      <c r="AH74" s="22">
        <f>AH13*Constants!$H71*(1-Constants!$H89)</f>
        <v>46327349.209071808</v>
      </c>
      <c r="AI74" s="22">
        <f>AI13*Constants!$H71*(1-Constants!$H89)</f>
        <v>46603130.296033055</v>
      </c>
      <c r="AJ74" s="22">
        <f>AJ13*Constants!$H71*(1-Constants!$H89)</f>
        <v>46895403.821118496</v>
      </c>
      <c r="AK74" s="22">
        <f>AK13*Constants!$H71*(1-Constants!$H89)</f>
        <v>47200749.949933372</v>
      </c>
      <c r="AL74" s="22">
        <f>AL13*Constants!$H71*(1-Constants!$H89)</f>
        <v>47498022.744630873</v>
      </c>
      <c r="AM74" s="22">
        <f>AM13*Constants!$H71*(1-Constants!$H89)</f>
        <v>47634369.57021977</v>
      </c>
      <c r="AN74" s="22">
        <f>AN13*Constants!$H71*(1-Constants!$H89)</f>
        <v>47781405.587950803</v>
      </c>
      <c r="AO74" s="22">
        <f>AO13*Constants!$H71*(1-Constants!$H89)</f>
        <v>47940768.73750177</v>
      </c>
      <c r="AP74" s="22">
        <f>AP13*Constants!$H71*(1-Constants!$H89)</f>
        <v>48113638.74906189</v>
      </c>
      <c r="AQ74" s="22">
        <f>AQ13*Constants!$H71*(1-Constants!$H89)</f>
        <v>48302341.2115454</v>
      </c>
      <c r="AR74" s="22">
        <f>AR13*Constants!$H71*(1-Constants!$H89)</f>
        <v>48423796.583886482</v>
      </c>
      <c r="AS74" s="22">
        <f>AS13*Constants!$H71*(1-Constants!$H89)</f>
        <v>48556339.064082876</v>
      </c>
      <c r="AT74" s="22">
        <f>AT13*Constants!$H71*(1-Constants!$H89)</f>
        <v>48696671.671887644</v>
      </c>
      <c r="AU74" s="22">
        <f>AU13*Constants!$H71*(1-Constants!$H89)</f>
        <v>48847984.891972974</v>
      </c>
      <c r="AV74" s="22">
        <f>AV13*Constants!$H71*(1-Constants!$H89)</f>
        <v>49010329.734524556</v>
      </c>
      <c r="AW74" s="22">
        <f>AW13*Constants!$H71*(1-Constants!$H89)</f>
        <v>49117187.16721075</v>
      </c>
      <c r="AX74" s="22">
        <f>AX13*Constants!$H71*(1-Constants!$H89)</f>
        <v>49232373.076779142</v>
      </c>
      <c r="AY74" s="22">
        <f>AY13*Constants!$H71*(1-Constants!$H89)</f>
        <v>49355170.38353274</v>
      </c>
      <c r="AZ74" s="22">
        <f>AZ13*Constants!$H71*(1-Constants!$H89)</f>
        <v>49486959.299857825</v>
      </c>
      <c r="BA74" s="22">
        <f>BA13*Constants!$H71*(1-Constants!$H89)</f>
        <v>49623043.6714876</v>
      </c>
      <c r="BB74" s="22">
        <f>BB13*Constants!$H71*(1-Constants!$H89)</f>
        <v>49707404.326408952</v>
      </c>
      <c r="BC74" s="22">
        <f>BC13*Constants!$H71*(1-Constants!$H89)</f>
        <v>49798020.808987498</v>
      </c>
      <c r="BD74" s="22">
        <f>BD13*Constants!$H71*(1-Constants!$H89)</f>
        <v>49893462.547404259</v>
      </c>
      <c r="BE74" s="22">
        <f>BE13*Constants!$H71*(1-Constants!$H89)</f>
        <v>49994320.617508568</v>
      </c>
      <c r="BF74" s="22">
        <f>BF13*Constants!$H71*(1-Constants!$H89)</f>
        <v>50101128.65622583</v>
      </c>
      <c r="BG74" s="22">
        <f>BG13*Constants!$H71*(1-Constants!$H89)</f>
        <v>50159366.587642968</v>
      </c>
      <c r="BH74" s="22">
        <f>BH13*Constants!$H71*(1-Constants!$H89)</f>
        <v>50221140.462315805</v>
      </c>
      <c r="BI74" s="22">
        <f>BI13*Constants!$H71*(1-Constants!$H89)</f>
        <v>50287746.841011375</v>
      </c>
      <c r="BJ74" s="22">
        <f>BJ13*Constants!$H71*(1-Constants!$H89)</f>
        <v>50359061.808465362</v>
      </c>
      <c r="BK74" s="22">
        <f>BK13*Constants!$H71*(1-Constants!$H89)</f>
        <v>50435991.945650041</v>
      </c>
      <c r="BL74" s="22">
        <f>BL13*Constants!$H71*(1-Constants!$H89)</f>
        <v>50462863.669483639</v>
      </c>
      <c r="BM74" s="22">
        <f>BM13*Constants!$H71*(1-Constants!$H89)</f>
        <v>50483781.665965147</v>
      </c>
      <c r="BN74" s="22">
        <f>BN13*Constants!$H71*(1-Constants!$H89)</f>
        <v>50507750.698745377</v>
      </c>
      <c r="BO74" s="22">
        <f>BO13*Constants!$H71*(1-Constants!$H89)</f>
        <v>50536672.292321056</v>
      </c>
      <c r="BP74" s="22">
        <f>BP13*Constants!$H71*(1-Constants!$H89)</f>
        <v>50568515.118410304</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75501567.060704887</v>
      </c>
      <c r="AE75" s="22">
        <f>AE14*Constants!$H72*(1-Constants!$H90)</f>
        <v>75697808.18729122</v>
      </c>
      <c r="AF75" s="22">
        <f>AF14*Constants!$H72*(1-Constants!$H90)</f>
        <v>75962443.173217341</v>
      </c>
      <c r="AG75" s="22">
        <f>AG14*Constants!$H72*(1-Constants!$H90)</f>
        <v>76284761.867498055</v>
      </c>
      <c r="AH75" s="22">
        <f>AH14*Constants!$H72*(1-Constants!$H90)</f>
        <v>76670821.91100584</v>
      </c>
      <c r="AI75" s="22">
        <f>AI14*Constants!$H72*(1-Constants!$H90)</f>
        <v>77127234.008089259</v>
      </c>
      <c r="AJ75" s="22">
        <f>AJ14*Constants!$H72*(1-Constants!$H90)</f>
        <v>77610940.755263567</v>
      </c>
      <c r="AK75" s="22">
        <f>AK14*Constants!$H72*(1-Constants!$H90)</f>
        <v>78116282.396071181</v>
      </c>
      <c r="AL75" s="22">
        <f>AL14*Constants!$H72*(1-Constants!$H90)</f>
        <v>78608262.832905158</v>
      </c>
      <c r="AM75" s="22">
        <f>AM14*Constants!$H72*(1-Constants!$H90)</f>
        <v>78833914.059693038</v>
      </c>
      <c r="AN75" s="22">
        <f>AN14*Constants!$H72*(1-Constants!$H90)</f>
        <v>79077255.682350621</v>
      </c>
      <c r="AO75" s="22">
        <f>AO14*Constants!$H72*(1-Constants!$H90)</f>
        <v>79340998.45777379</v>
      </c>
      <c r="AP75" s="22">
        <f>AP14*Constants!$H72*(1-Constants!$H90)</f>
        <v>79627094.815462291</v>
      </c>
      <c r="AQ75" s="22">
        <f>AQ14*Constants!$H72*(1-Constants!$H90)</f>
        <v>79939393.557830423</v>
      </c>
      <c r="AR75" s="22">
        <f>AR14*Constants!$H72*(1-Constants!$H90)</f>
        <v>80140399.731977627</v>
      </c>
      <c r="AS75" s="22">
        <f>AS14*Constants!$H72*(1-Constants!$H90)</f>
        <v>80359754.84441717</v>
      </c>
      <c r="AT75" s="22">
        <f>AT14*Constants!$H72*(1-Constants!$H90)</f>
        <v>80592002.459810585</v>
      </c>
      <c r="AU75" s="22">
        <f>AU14*Constants!$H72*(1-Constants!$H90)</f>
        <v>80842422.765483335</v>
      </c>
      <c r="AV75" s="22">
        <f>AV14*Constants!$H72*(1-Constants!$H90)</f>
        <v>81111100.182256505</v>
      </c>
      <c r="AW75" s="22">
        <f>AW14*Constants!$H72*(1-Constants!$H90)</f>
        <v>81287947.062797353</v>
      </c>
      <c r="AX75" s="22">
        <f>AX14*Constants!$H72*(1-Constants!$H90)</f>
        <v>81478577.403405026</v>
      </c>
      <c r="AY75" s="22">
        <f>AY14*Constants!$H72*(1-Constants!$H90)</f>
        <v>81681804.451746747</v>
      </c>
      <c r="AZ75" s="22">
        <f>AZ14*Constants!$H72*(1-Constants!$H90)</f>
        <v>81899912.431286111</v>
      </c>
      <c r="BA75" s="22">
        <f>BA14*Constants!$H72*(1-Constants!$H90)</f>
        <v>82125129.302102774</v>
      </c>
      <c r="BB75" s="22">
        <f>BB14*Constants!$H72*(1-Constants!$H90)</f>
        <v>82264744.472411349</v>
      </c>
      <c r="BC75" s="22">
        <f>BC14*Constants!$H72*(1-Constants!$H90)</f>
        <v>82414712.910420343</v>
      </c>
      <c r="BD75" s="22">
        <f>BD14*Constants!$H72*(1-Constants!$H90)</f>
        <v>82572667.048828006</v>
      </c>
      <c r="BE75" s="22">
        <f>BE14*Constants!$H72*(1-Constants!$H90)</f>
        <v>82739585.106158584</v>
      </c>
      <c r="BF75" s="22">
        <f>BF14*Constants!$H72*(1-Constants!$H90)</f>
        <v>82916350.240684181</v>
      </c>
      <c r="BG75" s="22">
        <f>BG14*Constants!$H72*(1-Constants!$H90)</f>
        <v>83012732.83421436</v>
      </c>
      <c r="BH75" s="22">
        <f>BH14*Constants!$H72*(1-Constants!$H90)</f>
        <v>83114967.342008442</v>
      </c>
      <c r="BI75" s="22">
        <f>BI14*Constants!$H72*(1-Constants!$H90)</f>
        <v>83225199.54579933</v>
      </c>
      <c r="BJ75" s="22">
        <f>BJ14*Constants!$H72*(1-Constants!$H90)</f>
        <v>83343224.36834158</v>
      </c>
      <c r="BK75" s="22">
        <f>BK14*Constants!$H72*(1-Constants!$H90)</f>
        <v>83470542.182729289</v>
      </c>
      <c r="BL75" s="22">
        <f>BL14*Constants!$H72*(1-Constants!$H90)</f>
        <v>83515014.339838669</v>
      </c>
      <c r="BM75" s="22">
        <f>BM14*Constants!$H72*(1-Constants!$H90)</f>
        <v>83549633.19911617</v>
      </c>
      <c r="BN75" s="22">
        <f>BN14*Constants!$H72*(1-Constants!$H90)</f>
        <v>83589301.461493537</v>
      </c>
      <c r="BO75" s="22">
        <f>BO14*Constants!$H72*(1-Constants!$H90)</f>
        <v>83637166.111387819</v>
      </c>
      <c r="BP75" s="22">
        <f>BP14*Constants!$H72*(1-Constants!$H90)</f>
        <v>83689865.341754198</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12206614.485582067</v>
      </c>
      <c r="AE76" s="22">
        <f>AE15*Constants!$H73*(1-Constants!$H91)</f>
        <v>12288824.885681525</v>
      </c>
      <c r="AF76" s="22">
        <f>AF15*Constants!$H73*(1-Constants!$H91)</f>
        <v>12338564.712281439</v>
      </c>
      <c r="AG76" s="22">
        <f>AG15*Constants!$H73*(1-Constants!$H91)</f>
        <v>12273120.262884431</v>
      </c>
      <c r="AH76" s="22">
        <f>AH15*Constants!$H73*(1-Constants!$H91)</f>
        <v>12206240.973741442</v>
      </c>
      <c r="AI76" s="22">
        <f>AI15*Constants!$H73*(1-Constants!$H91)</f>
        <v>12247680.920602001</v>
      </c>
      <c r="AJ76" s="22">
        <f>AJ15*Constants!$H73*(1-Constants!$H91)</f>
        <v>12253034.337857204</v>
      </c>
      <c r="AK76" s="22">
        <f>AK15*Constants!$H73*(1-Constants!$H91)</f>
        <v>12138761.974807283</v>
      </c>
      <c r="AL76" s="22">
        <f>AL15*Constants!$H73*(1-Constants!$H91)</f>
        <v>11510990.707137149</v>
      </c>
      <c r="AM76" s="22">
        <f>AM15*Constants!$H73*(1-Constants!$H91)</f>
        <v>11702551.519655393</v>
      </c>
      <c r="AN76" s="22">
        <f>AN15*Constants!$H73*(1-Constants!$H91)</f>
        <v>11828440.270767068</v>
      </c>
      <c r="AO76" s="22">
        <f>AO15*Constants!$H73*(1-Constants!$H91)</f>
        <v>11938283.179706464</v>
      </c>
      <c r="AP76" s="22">
        <f>AP15*Constants!$H73*(1-Constants!$H91)</f>
        <v>12070117.706026463</v>
      </c>
      <c r="AQ76" s="22">
        <f>AQ15*Constants!$H73*(1-Constants!$H91)</f>
        <v>12281961.223487321</v>
      </c>
      <c r="AR76" s="22">
        <f>AR15*Constants!$H73*(1-Constants!$H91)</f>
        <v>12524159.76712832</v>
      </c>
      <c r="AS76" s="22">
        <f>AS15*Constants!$H73*(1-Constants!$H91)</f>
        <v>12785891.164138207</v>
      </c>
      <c r="AT76" s="22">
        <f>AT15*Constants!$H73*(1-Constants!$H91)</f>
        <v>13013298.02635044</v>
      </c>
      <c r="AU76" s="22">
        <f>AU15*Constants!$H73*(1-Constants!$H91)</f>
        <v>13276914.876288114</v>
      </c>
      <c r="AV76" s="22">
        <f>AV15*Constants!$H73*(1-Constants!$H91)</f>
        <v>13585351.309727853</v>
      </c>
      <c r="AW76" s="22">
        <f>AW15*Constants!$H73*(1-Constants!$H91)</f>
        <v>13895325.726289913</v>
      </c>
      <c r="AX76" s="22">
        <f>AX15*Constants!$H73*(1-Constants!$H91)</f>
        <v>14218825.185645172</v>
      </c>
      <c r="AY76" s="22">
        <f>AY15*Constants!$H73*(1-Constants!$H91)</f>
        <v>14548440.16734408</v>
      </c>
      <c r="AZ76" s="22">
        <f>AZ15*Constants!$H73*(1-Constants!$H91)</f>
        <v>14916154.221886791</v>
      </c>
      <c r="BA76" s="22">
        <f>BA15*Constants!$H73*(1-Constants!$H91)</f>
        <v>15237802.73781155</v>
      </c>
      <c r="BB76" s="22">
        <f>BB15*Constants!$H73*(1-Constants!$H91)</f>
        <v>15591267.930191036</v>
      </c>
      <c r="BC76" s="22">
        <f>BC15*Constants!$H73*(1-Constants!$H91)</f>
        <v>15950598.633868814</v>
      </c>
      <c r="BD76" s="22">
        <f>BD15*Constants!$H73*(1-Constants!$H91)</f>
        <v>16293133.462278379</v>
      </c>
      <c r="BE76" s="22">
        <f>BE15*Constants!$H73*(1-Constants!$H91)</f>
        <v>16634156.806120386</v>
      </c>
      <c r="BF76" s="22">
        <f>BF15*Constants!$H73*(1-Constants!$H91)</f>
        <v>16987463.924982347</v>
      </c>
      <c r="BG76" s="22">
        <f>BG15*Constants!$H73*(1-Constants!$H91)</f>
        <v>17371934.88497879</v>
      </c>
      <c r="BH76" s="22">
        <f>BH15*Constants!$H73*(1-Constants!$H91)</f>
        <v>17733513.444077395</v>
      </c>
      <c r="BI76" s="22">
        <f>BI15*Constants!$H73*(1-Constants!$H91)</f>
        <v>18099859.59617136</v>
      </c>
      <c r="BJ76" s="22">
        <f>BJ15*Constants!$H73*(1-Constants!$H91)</f>
        <v>18471649.599740617</v>
      </c>
      <c r="BK76" s="22">
        <f>BK15*Constants!$H73*(1-Constants!$H91)</f>
        <v>18868667.754018646</v>
      </c>
      <c r="BL76" s="22">
        <f>BL15*Constants!$H73*(1-Constants!$H91)</f>
        <v>19290806.323431011</v>
      </c>
      <c r="BM76" s="22">
        <f>BM15*Constants!$H73*(1-Constants!$H91)</f>
        <v>19528691.933975082</v>
      </c>
      <c r="BN76" s="22">
        <f>BN15*Constants!$H73*(1-Constants!$H91)</f>
        <v>19753692.366402764</v>
      </c>
      <c r="BO76" s="22">
        <f>BO15*Constants!$H73*(1-Constants!$H91)</f>
        <v>20003832.502783023</v>
      </c>
      <c r="BP76" s="22">
        <f>BP15*Constants!$H73*(1-Constants!$H91)</f>
        <v>20243299.37085842</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100578742.33032477</v>
      </c>
      <c r="AF82" s="22">
        <f>((AF41*Constants!$H$45*Constants!$H$48)*(1+Constants!$H$51))*Constants!$H$54*Constants!$H$42*Constants!$H$57*Constants!$H$58*ttokg</f>
        <v>100968257.89338747</v>
      </c>
      <c r="AG82" s="22">
        <f>((AG41*Constants!$H$45*Constants!$H$48)*(1+Constants!$H$51))*Constants!$H$54*Constants!$H$42*Constants!$H$57*Constants!$H$58*ttokg</f>
        <v>101299759.97524396</v>
      </c>
      <c r="AH82" s="22">
        <f>((AH41*Constants!$H$45*Constants!$H$48)*(1+Constants!$H$51))*Constants!$H$54*Constants!$H$42*Constants!$H$57*Constants!$H$58*ttokg</f>
        <v>101408230.77949364</v>
      </c>
      <c r="AI82" s="22">
        <f>((AI41*Constants!$H$45*Constants!$H$48)*(1+Constants!$H$51))*Constants!$H$54*Constants!$H$42*Constants!$H$57*Constants!$H$58*ttokg</f>
        <v>101518020.450268</v>
      </c>
      <c r="AJ82" s="22">
        <f>((AJ41*Constants!$H$45*Constants!$H$48)*(1+Constants!$H$51))*Constants!$H$54*Constants!$H$42*Constants!$H$57*Constants!$H$58*ttokg</f>
        <v>101852725.20857102</v>
      </c>
      <c r="AK82" s="22">
        <f>((AK41*Constants!$H$45*Constants!$H$48)*(1+Constants!$H$51))*Constants!$H$54*Constants!$H$42*Constants!$H$57*Constants!$H$58*ttokg</f>
        <v>102115022.94675548</v>
      </c>
      <c r="AL82" s="22">
        <f>((AL41*Constants!$H$45*Constants!$H$48)*(1+Constants!$H$51))*Constants!$H$54*Constants!$H$42*Constants!$H$57*Constants!$H$58*ttokg</f>
        <v>102132682.3173642</v>
      </c>
      <c r="AM82" s="22">
        <f>((AM41*Constants!$H$45*Constants!$H$48)*(1+Constants!$H$51))*Constants!$H$54*Constants!$H$42*Constants!$H$57*Constants!$H$58*ttokg</f>
        <v>101041652.55527557</v>
      </c>
      <c r="AN82" s="22">
        <f>((AN41*Constants!$H$45*Constants!$H$48)*(1+Constants!$H$51))*Constants!$H$54*Constants!$H$42*Constants!$H$57*Constants!$H$58*ttokg</f>
        <v>101638404.7232798</v>
      </c>
      <c r="AO82" s="22">
        <f>((AO41*Constants!$H$45*Constants!$H$48)*(1+Constants!$H$51))*Constants!$H$54*Constants!$H$42*Constants!$H$57*Constants!$H$58*ttokg</f>
        <v>102089734.88182831</v>
      </c>
      <c r="AP82" s="22">
        <f>((AP41*Constants!$H$45*Constants!$H$48)*(1+Constants!$H$51))*Constants!$H$54*Constants!$H$42*Constants!$H$57*Constants!$H$58*ttokg</f>
        <v>102505840.15855132</v>
      </c>
      <c r="AQ82" s="22">
        <f>((AQ41*Constants!$H$45*Constants!$H$48)*(1+Constants!$H$51))*Constants!$H$54*Constants!$H$42*Constants!$H$57*Constants!$H$58*ttokg</f>
        <v>102968156.38050488</v>
      </c>
      <c r="AR82" s="22">
        <f>((AR41*Constants!$H$45*Constants!$H$48)*(1+Constants!$H$51))*Constants!$H$54*Constants!$H$42*Constants!$H$57*Constants!$H$58*ttokg</f>
        <v>103596440.68370077</v>
      </c>
      <c r="AS82" s="22">
        <f>((AS41*Constants!$H$45*Constants!$H$48)*(1+Constants!$H$51))*Constants!$H$54*Constants!$H$42*Constants!$H$57*Constants!$H$58*ttokg</f>
        <v>104254328.85371687</v>
      </c>
      <c r="AT82" s="22">
        <f>((AT41*Constants!$H$45*Constants!$H$48)*(1+Constants!$H$51))*Constants!$H$54*Constants!$H$42*Constants!$H$57*Constants!$H$58*ttokg</f>
        <v>104943111.42290951</v>
      </c>
      <c r="AU82" s="22">
        <f>((AU41*Constants!$H$45*Constants!$H$48)*(1+Constants!$H$51))*Constants!$H$54*Constants!$H$42*Constants!$H$57*Constants!$H$58*ttokg</f>
        <v>105555277.36825544</v>
      </c>
      <c r="AV82" s="22">
        <f>((AV41*Constants!$H$45*Constants!$H$48)*(1+Constants!$H$51))*Constants!$H$54*Constants!$H$42*Constants!$H$57*Constants!$H$58*ttokg</f>
        <v>106230620.84404986</v>
      </c>
      <c r="AW82" s="22">
        <f>((AW41*Constants!$H$45*Constants!$H$48)*(1+Constants!$H$51))*Constants!$H$54*Constants!$H$42*Constants!$H$57*Constants!$H$58*ttokg</f>
        <v>106981267.64110547</v>
      </c>
      <c r="AX82" s="22">
        <f>((AX41*Constants!$H$45*Constants!$H$48)*(1+Constants!$H$51))*Constants!$H$54*Constants!$H$42*Constants!$H$57*Constants!$H$58*ttokg</f>
        <v>107700273.03202239</v>
      </c>
      <c r="AY82" s="22">
        <f>((AY41*Constants!$H$45*Constants!$H$48)*(1+Constants!$H$51))*Constants!$H$54*Constants!$H$42*Constants!$H$57*Constants!$H$58*ttokg</f>
        <v>108431266.40512682</v>
      </c>
      <c r="AZ82" s="22">
        <f>((AZ41*Constants!$H$45*Constants!$H$48)*(1+Constants!$H$51))*Constants!$H$54*Constants!$H$42*Constants!$H$57*Constants!$H$58*ttokg</f>
        <v>109160167.10296915</v>
      </c>
      <c r="BA82" s="22">
        <f>((BA41*Constants!$H$45*Constants!$H$48)*(1+Constants!$H$51))*Constants!$H$54*Constants!$H$42*Constants!$H$57*Constants!$H$58*ttokg</f>
        <v>109941112.39432411</v>
      </c>
      <c r="BB82" s="22">
        <f>((BB41*Constants!$H$45*Constants!$H$48)*(1+Constants!$H$51))*Constants!$H$54*Constants!$H$42*Constants!$H$57*Constants!$H$58*ttokg</f>
        <v>110630575.31080344</v>
      </c>
      <c r="BC82" s="22">
        <f>((BC41*Constants!$H$45*Constants!$H$48)*(1+Constants!$H$51))*Constants!$H$54*Constants!$H$42*Constants!$H$57*Constants!$H$58*ttokg</f>
        <v>111339160.92038092</v>
      </c>
      <c r="BD82" s="22">
        <f>((BD41*Constants!$H$45*Constants!$H$48)*(1+Constants!$H$51))*Constants!$H$54*Constants!$H$42*Constants!$H$57*Constants!$H$58*ttokg</f>
        <v>112043936.64628683</v>
      </c>
      <c r="BE82" s="22">
        <f>((BE41*Constants!$H$45*Constants!$H$48)*(1+Constants!$H$51))*Constants!$H$54*Constants!$H$42*Constants!$H$57*Constants!$H$58*ttokg</f>
        <v>112709941.11468957</v>
      </c>
      <c r="BF82" s="22">
        <f>((BF41*Constants!$H$45*Constants!$H$48)*(1+Constants!$H$51))*Constants!$H$54*Constants!$H$42*Constants!$H$57*Constants!$H$58*ttokg</f>
        <v>113362552.23721662</v>
      </c>
      <c r="BG82" s="22">
        <f>((BG41*Constants!$H$45*Constants!$H$48)*(1+Constants!$H$51))*Constants!$H$54*Constants!$H$42*Constants!$H$57*Constants!$H$58*ttokg</f>
        <v>114022743.23903453</v>
      </c>
      <c r="BH82" s="22">
        <f>((BH41*Constants!$H$45*Constants!$H$48)*(1+Constants!$H$51))*Constants!$H$54*Constants!$H$42*Constants!$H$57*Constants!$H$58*ttokg</f>
        <v>114696584.05961479</v>
      </c>
      <c r="BI82" s="22">
        <f>((BI41*Constants!$H$45*Constants!$H$48)*(1+Constants!$H$51))*Constants!$H$54*Constants!$H$42*Constants!$H$57*Constants!$H$58*ttokg</f>
        <v>115325591.67320937</v>
      </c>
      <c r="BJ82" s="22">
        <f>((BJ41*Constants!$H$45*Constants!$H$48)*(1+Constants!$H$51))*Constants!$H$54*Constants!$H$42*Constants!$H$57*Constants!$H$58*ttokg</f>
        <v>115950527.71867128</v>
      </c>
      <c r="BK82" s="22">
        <f>((BK41*Constants!$H$45*Constants!$H$48)*(1+Constants!$H$51))*Constants!$H$54*Constants!$H$42*Constants!$H$57*Constants!$H$58*ttokg</f>
        <v>116572331.52849481</v>
      </c>
      <c r="BL82" s="22">
        <f>((BL41*Constants!$H$45*Constants!$H$48)*(1+Constants!$H$51))*Constants!$H$54*Constants!$H$42*Constants!$H$57*Constants!$H$58*ttokg</f>
        <v>117217012.8691895</v>
      </c>
      <c r="BM82" s="22">
        <f>((BM41*Constants!$H$45*Constants!$H$48)*(1+Constants!$H$51))*Constants!$H$54*Constants!$H$42*Constants!$H$57*Constants!$H$58*ttokg</f>
        <v>117861806.53329037</v>
      </c>
      <c r="BN82" s="22">
        <f>((BN41*Constants!$H$45*Constants!$H$48)*(1+Constants!$H$51))*Constants!$H$54*Constants!$H$42*Constants!$H$57*Constants!$H$58*ttokg</f>
        <v>118261846.96028872</v>
      </c>
      <c r="BO82" s="22">
        <f>((BO41*Constants!$H$45*Constants!$H$48)*(1+Constants!$H$51))*Constants!$H$54*Constants!$H$42*Constants!$H$57*Constants!$H$58*ttokg</f>
        <v>118642131.02625793</v>
      </c>
      <c r="BP82" s="22">
        <f>((BP41*Constants!$H$45*Constants!$H$48)*(1+Constants!$H$51))*Constants!$H$54*Constants!$H$42*Constants!$H$57*Constants!$H$58*ttokg</f>
        <v>119050348.02105318</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188070579.83220795</v>
      </c>
      <c r="AF85" s="22">
        <f>SUM(AF82:AF84)/Constants!$H$41</f>
        <v>188719772.43731242</v>
      </c>
      <c r="AG85" s="22">
        <f>SUM(AG82:AG84)/Constants!$H$41</f>
        <v>189272275.90707326</v>
      </c>
      <c r="AH85" s="22">
        <f>SUM(AH82:AH84)/Constants!$H$41</f>
        <v>189453060.58082277</v>
      </c>
      <c r="AI85" s="22">
        <f>SUM(AI82:AI84)/Constants!$H$41</f>
        <v>189636043.36544666</v>
      </c>
      <c r="AJ85" s="22">
        <f>SUM(AJ82:AJ84)/Constants!$H$41</f>
        <v>190193884.62928501</v>
      </c>
      <c r="AK85" s="22">
        <f>SUM(AK82:AK84)/Constants!$H$41</f>
        <v>190631047.52625915</v>
      </c>
      <c r="AL85" s="22">
        <f>SUM(AL82:AL84)/Constants!$H$41</f>
        <v>190660479.81060702</v>
      </c>
      <c r="AM85" s="22">
        <f>SUM(AM82:AM84)/Constants!$H$41</f>
        <v>188842096.87379265</v>
      </c>
      <c r="AN85" s="22">
        <f>SUM(AN82:AN84)/Constants!$H$41</f>
        <v>189836683.82046634</v>
      </c>
      <c r="AO85" s="22">
        <f>SUM(AO82:AO84)/Constants!$H$41</f>
        <v>190588900.7513805</v>
      </c>
      <c r="AP85" s="22">
        <f>SUM(AP82:AP84)/Constants!$H$41</f>
        <v>191282409.54591888</v>
      </c>
      <c r="AQ85" s="22">
        <f>SUM(AQ82:AQ84)/Constants!$H$41</f>
        <v>192052936.58250812</v>
      </c>
      <c r="AR85" s="22">
        <f>SUM(AR82:AR84)/Constants!$H$41</f>
        <v>193100077.0878346</v>
      </c>
      <c r="AS85" s="22">
        <f>SUM(AS82:AS84)/Constants!$H$41</f>
        <v>194196557.37119478</v>
      </c>
      <c r="AT85" s="22">
        <f>SUM(AT82:AT84)/Constants!$H$41</f>
        <v>195344528.31984919</v>
      </c>
      <c r="AU85" s="22">
        <f>SUM(AU82:AU84)/Constants!$H$41</f>
        <v>196364804.89542571</v>
      </c>
      <c r="AV85" s="22">
        <f>SUM(AV82:AV84)/Constants!$H$41</f>
        <v>197490377.35508311</v>
      </c>
      <c r="AW85" s="22">
        <f>SUM(AW82:AW84)/Constants!$H$41</f>
        <v>198741455.35017577</v>
      </c>
      <c r="AX85" s="22">
        <f>SUM(AX82:AX84)/Constants!$H$41</f>
        <v>199939797.66837063</v>
      </c>
      <c r="AY85" s="22">
        <f>SUM(AY82:AY84)/Constants!$H$41</f>
        <v>201158119.95687807</v>
      </c>
      <c r="AZ85" s="22">
        <f>SUM(AZ82:AZ84)/Constants!$H$41</f>
        <v>202372954.45328194</v>
      </c>
      <c r="BA85" s="22">
        <f>SUM(BA82:BA84)/Constants!$H$41</f>
        <v>203674529.93887353</v>
      </c>
      <c r="BB85" s="22">
        <f>SUM(BB82:BB84)/Constants!$H$41</f>
        <v>204823634.79967239</v>
      </c>
      <c r="BC85" s="22">
        <f>SUM(BC82:BC84)/Constants!$H$41</f>
        <v>206004610.81563485</v>
      </c>
      <c r="BD85" s="22">
        <f>SUM(BD82:BD84)/Constants!$H$41</f>
        <v>207179237.02547807</v>
      </c>
      <c r="BE85" s="22">
        <f>SUM(BE82:BE84)/Constants!$H$41</f>
        <v>208289244.47281596</v>
      </c>
      <c r="BF85" s="22">
        <f>SUM(BF82:BF84)/Constants!$H$41</f>
        <v>209376929.6770277</v>
      </c>
      <c r="BG85" s="22">
        <f>SUM(BG82:BG84)/Constants!$H$41</f>
        <v>210477248.01339087</v>
      </c>
      <c r="BH85" s="22">
        <f>SUM(BH82:BH84)/Constants!$H$41</f>
        <v>211600316.04769135</v>
      </c>
      <c r="BI85" s="22">
        <f>SUM(BI82:BI84)/Constants!$H$41</f>
        <v>212648662.07034895</v>
      </c>
      <c r="BJ85" s="22">
        <f>SUM(BJ82:BJ84)/Constants!$H$41</f>
        <v>213690222.14611882</v>
      </c>
      <c r="BK85" s="22">
        <f>SUM(BK82:BK84)/Constants!$H$41</f>
        <v>214726561.82915801</v>
      </c>
      <c r="BL85" s="22">
        <f>SUM(BL82:BL84)/Constants!$H$41</f>
        <v>215801030.73031583</v>
      </c>
      <c r="BM85" s="22">
        <f>SUM(BM82:BM84)/Constants!$H$41</f>
        <v>216875686.83715063</v>
      </c>
      <c r="BN85" s="22">
        <f>SUM(BN82:BN84)/Constants!$H$41</f>
        <v>217542420.88214788</v>
      </c>
      <c r="BO85" s="22">
        <f>SUM(BO82:BO84)/Constants!$H$41</f>
        <v>218176227.6587632</v>
      </c>
      <c r="BP85" s="22">
        <f>SUM(BP82:BP84)/Constants!$H$41</f>
        <v>218856589.31675532</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13" t="str">
        <f>IF(AND('Net zero activities &amp; levers'!$C$8="Off",'Net zero activities &amp; levers'!$C$7="Off"),"Off",IF(AND('Net zero activities &amp; levers'!$C$8="On",'Net zero activities &amp; levers'!$C$7="Off"),"PQ",IF(AND('Net zero activities &amp; levers'!$C$8="Off",'Net zero activities &amp; levers'!$C$7="On"),"GS","PQGS")))</f>
        <v>PQGS</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38.888634300416797</v>
      </c>
      <c r="D4" s="22">
        <f>(Drivers!E5*1000000)/Drivers!E4</f>
        <v>39.079963325259669</v>
      </c>
      <c r="E4" s="22">
        <f>(Drivers!F5*1000000)/Drivers!F4</f>
        <v>39.259748848773555</v>
      </c>
      <c r="F4" s="22">
        <f>(Drivers!G5*1000000)/Drivers!G4</f>
        <v>39.456905876727333</v>
      </c>
      <c r="G4" s="22">
        <f>(Drivers!H5*1000000)/Drivers!H4</f>
        <v>39.708548338086537</v>
      </c>
      <c r="H4" s="22">
        <f>(Drivers!I5*1000000)/Drivers!I4</f>
        <v>40.039380829432609</v>
      </c>
      <c r="I4" s="22">
        <f>(Drivers!J5*1000000)/Drivers!J4</f>
        <v>40.925694285299514</v>
      </c>
      <c r="J4" s="22">
        <f>(Drivers!K5*1000000)/Drivers!K4</f>
        <v>41.260636741320013</v>
      </c>
      <c r="K4" s="22">
        <f>(Drivers!L5*1000000)/Drivers!L4</f>
        <v>40.888585957822002</v>
      </c>
      <c r="L4" s="22">
        <f>(Drivers!M5*1000000)/Drivers!M4</f>
        <v>41.371018903319886</v>
      </c>
      <c r="M4" s="22">
        <f>(Drivers!N5*1000000)/Drivers!N4</f>
        <v>42.587032708560614</v>
      </c>
      <c r="N4" s="22">
        <f>(Drivers!O5*1000000)/Drivers!O4</f>
        <v>43.241658061091897</v>
      </c>
      <c r="O4" s="22">
        <f>(Drivers!P5*1000000)/Drivers!P4</f>
        <v>44.321282935143849</v>
      </c>
      <c r="P4" s="22">
        <f>(Drivers!Q5*1000000)/Drivers!Q4</f>
        <v>45.087519699622248</v>
      </c>
      <c r="Q4" s="22">
        <f>(Drivers!R5*1000000)/Drivers!R4</f>
        <v>46.545129592940249</v>
      </c>
      <c r="R4" s="22">
        <f>(Drivers!S5*1000000)/Drivers!S4</f>
        <v>48.414826700289169</v>
      </c>
      <c r="S4" s="22">
        <f>(Drivers!T5*1000000)/Drivers!T4</f>
        <v>50.448798407481377</v>
      </c>
      <c r="T4" s="22">
        <f>(Drivers!U5*1000000)/Drivers!U4</f>
        <v>52.583198043553097</v>
      </c>
      <c r="U4" s="22">
        <f>(Drivers!V5*1000000)/Drivers!V4</f>
        <v>53.838243463793447</v>
      </c>
      <c r="V4" s="22">
        <f>(Drivers!W5*1000000)/Drivers!W4</f>
        <v>52.381590470556326</v>
      </c>
      <c r="W4" s="22">
        <f>(Drivers!X5*1000000)/Drivers!X4</f>
        <v>53.214703803416278</v>
      </c>
      <c r="X4" s="22">
        <f>(Drivers!Y5*1000000)/Drivers!Y4</f>
        <v>54.207584899968928</v>
      </c>
      <c r="Y4" s="22">
        <f>(Drivers!Z5*1000000)/Drivers!Z4</f>
        <v>55.188632360107675</v>
      </c>
      <c r="Z4" s="22">
        <f>(Drivers!AA5*1000000)/Drivers!AA4</f>
        <v>55.731226947537017</v>
      </c>
      <c r="AA4" s="22">
        <f>(Drivers!AB5*1000000)/Drivers!AB4</f>
        <v>56.059513401077403</v>
      </c>
      <c r="AB4" s="22">
        <f>(Drivers!AC5*1000000)/Drivers!AC4</f>
        <v>55.627575301066337</v>
      </c>
      <c r="AC4" s="22">
        <f>(Drivers!AD5*1000000)/Drivers!AD4</f>
        <v>55.186167154941195</v>
      </c>
      <c r="AD4" s="22">
        <f>(Drivers!AE5*1000000)/Drivers!AE4</f>
        <v>55.459673801821602</v>
      </c>
      <c r="AE4" s="22">
        <f>(Drivers!AF5*1000000)/Drivers!AF4</f>
        <v>55.495006742950814</v>
      </c>
      <c r="AF4" s="22">
        <f>(Drivers!AG5*1000000)/Drivers!AG4</f>
        <v>54.74080088081373</v>
      </c>
      <c r="AG4" s="22">
        <f>(Drivers!AH5*1000000)/Drivers!AH4</f>
        <v>50.597465103717653</v>
      </c>
      <c r="AH4" s="22">
        <f>(Drivers!AI5*1000000)/Drivers!AI4</f>
        <v>51.861780323084297</v>
      </c>
      <c r="AI4" s="22">
        <f>(Drivers!AJ5*1000000)/Drivers!AJ4</f>
        <v>52.692655186712194</v>
      </c>
      <c r="AJ4" s="22">
        <f>(Drivers!AK5*1000000)/Drivers!AK4</f>
        <v>53.417626331310757</v>
      </c>
      <c r="AK4" s="22">
        <f>(Drivers!AL5*1000000)/Drivers!AL4</f>
        <v>54.287743741407319</v>
      </c>
      <c r="AL4" s="22">
        <f>(Drivers!AM5*1000000)/Drivers!AM4</f>
        <v>55.68592628056529</v>
      </c>
      <c r="AM4" s="22">
        <f>(Drivers!AN5*1000000)/Drivers!AN4</f>
        <v>57.284454188273898</v>
      </c>
      <c r="AN4" s="22">
        <f>(Drivers!AO5*1000000)/Drivers!AO4</f>
        <v>59.011900341145974</v>
      </c>
      <c r="AO4" s="22">
        <f>(Drivers!AP5*1000000)/Drivers!AP4</f>
        <v>60.512802081453394</v>
      </c>
      <c r="AP4" s="22">
        <f>(Drivers!AQ5*1000000)/Drivers!AQ4</f>
        <v>62.252692360035013</v>
      </c>
      <c r="AQ4" s="22">
        <f>(Drivers!AR5*1000000)/Drivers!AR4</f>
        <v>64.288395131800442</v>
      </c>
      <c r="AR4" s="22">
        <f>(Drivers!AS5*1000000)/Drivers!AS4</f>
        <v>66.334248703424748</v>
      </c>
      <c r="AS4" s="22">
        <f>(Drivers!AT5*1000000)/Drivers!AT4</f>
        <v>68.469368535831904</v>
      </c>
      <c r="AT4" s="22">
        <f>(Drivers!AU5*1000000)/Drivers!AU4</f>
        <v>70.644851258079669</v>
      </c>
      <c r="AU4" s="22">
        <f>(Drivers!AV5*1000000)/Drivers!AV4</f>
        <v>73.071790617031709</v>
      </c>
      <c r="AV4" s="22">
        <f>(Drivers!AW5*1000000)/Drivers!AW4</f>
        <v>75.194694088907681</v>
      </c>
      <c r="AW4" s="22">
        <f>(Drivers!AX5*1000000)/Drivers!AX4</f>
        <v>77.527589926876502</v>
      </c>
      <c r="AX4" s="22">
        <f>(Drivers!AY5*1000000)/Drivers!AY4</f>
        <v>79.899198563701788</v>
      </c>
      <c r="AY4" s="22">
        <f>(Drivers!AZ5*1000000)/Drivers!AZ4</f>
        <v>82.159953208810151</v>
      </c>
      <c r="AZ4" s="22">
        <f>(Drivers!BA5*1000000)/Drivers!BA4</f>
        <v>84.410731946437835</v>
      </c>
      <c r="BA4" s="22">
        <f>(Drivers!BB5*1000000)/Drivers!BB4</f>
        <v>86.742584487756588</v>
      </c>
      <c r="BB4" s="22">
        <f>(Drivers!BC5*1000000)/Drivers!BC4</f>
        <v>89.280120634831064</v>
      </c>
      <c r="BC4" s="22">
        <f>(Drivers!BD5*1000000)/Drivers!BD4</f>
        <v>91.666565280034717</v>
      </c>
      <c r="BD4" s="22">
        <f>(Drivers!BE5*1000000)/Drivers!BE4</f>
        <v>94.084476383876435</v>
      </c>
      <c r="BE4" s="22">
        <f>(Drivers!BF5*1000000)/Drivers!BF4</f>
        <v>96.538317301241605</v>
      </c>
      <c r="BF4" s="22">
        <f>(Drivers!BG5*1000000)/Drivers!BG4</f>
        <v>99.158665838188597</v>
      </c>
      <c r="BG4" s="22">
        <f>(Drivers!BH5*1000000)/Drivers!BH4</f>
        <v>101.94481093213302</v>
      </c>
      <c r="BH4" s="22">
        <f>(Drivers!BI5*1000000)/Drivers!BI4</f>
        <v>103.51487316942148</v>
      </c>
      <c r="BI4" s="22">
        <f>(Drivers!BJ5*1000000)/Drivers!BJ4</f>
        <v>104.99989229907933</v>
      </c>
      <c r="BJ4" s="22">
        <f>(Drivers!BK5*1000000)/Drivers!BK4</f>
        <v>106.65083529333023</v>
      </c>
      <c r="BK4" s="22">
        <f>(Drivers!BL5*1000000)/Drivers!BL4</f>
        <v>108.23133394470732</v>
      </c>
      <c r="BL4">
        <v>89.344659551365254</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100">
        <f>IF('Net zero activities &amp; levers'!$C$12="Off",((Data!$AJ$5*'Intermediate calculations'!Y4)+Data!$AK$5)*Drivers!Z4,'Net zero supporting data'!B205)</f>
        <v>922747.3207158983</v>
      </c>
      <c r="Z5" s="100">
        <f>IF('Net zero activities &amp; levers'!$C$12="Off",((Data!$AJ$5*'Intermediate calculations'!Z4)+Data!$AK$5)*Drivers!AA4,'Net zero supporting data'!C205)</f>
        <v>946929.78710430325</v>
      </c>
      <c r="AA5" s="100">
        <f>IF('Net zero activities &amp; levers'!$C$12="Off",((Data!$AJ$5*'Intermediate calculations'!AA4)+Data!$AK$5)*Drivers!AB4,'Net zero supporting data'!D205)</f>
        <v>967753.43855981517</v>
      </c>
      <c r="AB5" s="100">
        <f>IF('Net zero activities &amp; levers'!$C$12="Off",((Data!$AJ$5*'Intermediate calculations'!AB4)+Data!$AK$5)*Drivers!AC4,'Net zero supporting data'!E205)</f>
        <v>974224.96445503132</v>
      </c>
      <c r="AC5" s="100">
        <f>IF('Net zero activities &amp; levers'!$C$12="Off",((Data!$AJ$5*'Intermediate calculations'!AC4)+Data!$AK$5)*Drivers!AD4,'Net zero supporting data'!F205)</f>
        <v>980795.51892939687</v>
      </c>
      <c r="AD5" s="100">
        <f>IF('Net zero activities &amp; levers'!$C$12="Off",((Data!$AJ$5*'Intermediate calculations'!AD4)+Data!$AK$5)*Drivers!AE4,'Net zero supporting data'!G205)</f>
        <v>1002305.7050279677</v>
      </c>
      <c r="AE5" s="100">
        <f>IF('Net zero activities &amp; levers'!$C$12="Off",((Data!$AJ$5*'Intermediate calculations'!AE4)+Data!$AK$5)*Drivers!AF4,'Net zero supporting data'!H205)</f>
        <v>1019250.3297235784</v>
      </c>
      <c r="AF5" s="100">
        <f>IF('Net zero activities &amp; levers'!$C$12="Off",((Data!$AJ$5*'Intermediate calculations'!AF4)+Data!$AK$5)*Drivers!AG4,'Net zero supporting data'!I205)</f>
        <v>1019775.3408088246</v>
      </c>
      <c r="AG5" s="100">
        <f>IF('Net zero activities &amp; levers'!$C$12="Off",((Data!$AJ$5*'Intermediate calculations'!AG4)+Data!$AK$5)*Drivers!AH4,'Net zero supporting data'!J205)</f>
        <v>947181.8859397734</v>
      </c>
      <c r="AH5" s="100">
        <f>IF('Net zero activities &amp; levers'!$C$12="Off",((Data!$AJ$5*'Intermediate calculations'!AH4)+Data!$AK$5)*Drivers!AI4,'Net zero supporting data'!K205)</f>
        <v>970800.87564342248</v>
      </c>
      <c r="AI5" s="100">
        <f>IF('Net zero activities &amp; levers'!$C$12="Off",((Data!$AJ$5*'Intermediate calculations'!AI4)+Data!$AK$5)*Drivers!AJ4,'Net zero supporting data'!L205)</f>
        <v>984754.70838670584</v>
      </c>
      <c r="AJ5" s="100">
        <f>IF('Net zero activities &amp; levers'!$C$12="Off",((Data!$AJ$5*'Intermediate calculations'!AJ4)+Data!$AK$5)*Drivers!AK4,'Net zero supporting data'!M205)</f>
        <v>996095.98180571548</v>
      </c>
      <c r="AK5" s="100">
        <f>IF('Net zero activities &amp; levers'!$C$12="Off",((Data!$AJ$5*'Intermediate calculations'!AK4)+Data!$AK$5)*Drivers!AL4,'Net zero supporting data'!N205)</f>
        <v>1010149.3057157442</v>
      </c>
      <c r="AL5" s="100">
        <f>IF('Net zero activities &amp; levers'!$C$12="Off",((Data!$AJ$5*'Intermediate calculations'!AL4)+Data!$AK$5)*Drivers!AM4,'Net zero supporting data'!O205)</f>
        <v>1034920.8649849799</v>
      </c>
      <c r="AM5" s="100">
        <f>IF('Net zero activities &amp; levers'!$C$12="Off",((Data!$AJ$5*'Intermediate calculations'!AM4)+Data!$AK$5)*Drivers!AN4,'Net zero supporting data'!P205)</f>
        <v>1061608.37663488</v>
      </c>
      <c r="AN5" s="100">
        <f>IF('Net zero activities &amp; levers'!$C$12="Off",((Data!$AJ$5*'Intermediate calculations'!AN4)+Data!$AK$5)*Drivers!AO4,'Net zero supporting data'!Q205)</f>
        <v>1090286.5999875015</v>
      </c>
      <c r="AO5" s="100">
        <f>IF('Net zero activities &amp; levers'!$C$12="Off",((Data!$AJ$5*'Intermediate calculations'!AO4)+Data!$AK$5)*Drivers!AP4,'Net zero supporting data'!R205)</f>
        <v>1113537.2808151557</v>
      </c>
      <c r="AP5" s="100">
        <f>IF('Net zero activities &amp; levers'!$C$12="Off",((Data!$AJ$5*'Intermediate calculations'!AP4)+Data!$AK$5)*Drivers!AQ4,'Net zero supporting data'!S205)</f>
        <v>1140968.7280320448</v>
      </c>
      <c r="AQ5" s="100">
        <f>IF('Net zero activities &amp; levers'!$C$12="Off",((Data!$AJ$5*'Intermediate calculations'!AQ4)+Data!$AK$5)*Drivers!AR4,'Net zero supporting data'!T205)</f>
        <v>1173596.4614552942</v>
      </c>
      <c r="AR5" s="100">
        <f>IF('Net zero activities &amp; levers'!$C$12="Off",((Data!$AJ$5*'Intermediate calculations'!AR4)+Data!$AK$5)*Drivers!AS4,'Net zero supporting data'!U205)</f>
        <v>1211128.8581757166</v>
      </c>
      <c r="AS5" s="100">
        <f>IF('Net zero activities &amp; levers'!$C$12="Off",((Data!$AJ$5*'Intermediate calculations'!AS4)+Data!$AK$5)*Drivers!AT4,'Net zero supporting data'!V205)</f>
        <v>1250023.2059560118</v>
      </c>
      <c r="AT5" s="100">
        <f>IF('Net zero activities &amp; levers'!$C$12="Off",((Data!$AJ$5*'Intermediate calculations'!AT4)+Data!$AK$5)*Drivers!AU4,'Net zero supporting data'!W205)</f>
        <v>1289257.6251007575</v>
      </c>
      <c r="AU5" s="100">
        <f>IF('Net zero activities &amp; levers'!$C$12="Off",((Data!$AJ$5*'Intermediate calculations'!AU4)+Data!$AK$5)*Drivers!AV4,'Net zero supporting data'!X205)</f>
        <v>1333032.8613254772</v>
      </c>
      <c r="AV5" s="100">
        <f>IF('Net zero activities &amp; levers'!$C$12="Off",((Data!$AJ$5*'Intermediate calculations'!AV4)+Data!$AK$5)*Drivers!AW4,'Net zero supporting data'!Y205)</f>
        <v>1370182.2246440765</v>
      </c>
      <c r="AW5" s="100">
        <f>IF('Net zero activities &amp; levers'!$C$12="Off",((Data!$AJ$5*'Intermediate calculations'!AW4)+Data!$AK$5)*Drivers!AX4,'Net zero supporting data'!Z205)</f>
        <v>1409277.2110859216</v>
      </c>
      <c r="AX5" s="100">
        <f>IF('Net zero activities &amp; levers'!$C$12="Off",((Data!$AJ$5*'Intermediate calculations'!AX4)+Data!$AK$5)*Drivers!AY4,'Net zero supporting data'!AA205)</f>
        <v>1448454.4621297615</v>
      </c>
      <c r="AY5" s="100">
        <f>IF('Net zero activities &amp; levers'!$C$12="Off",((Data!$AJ$5*'Intermediate calculations'!AY4)+Data!$AK$5)*Drivers!AZ4,'Net zero supporting data'!AB205)</f>
        <v>1484743.6254240694</v>
      </c>
      <c r="AZ5" s="100">
        <f>IF('Net zero activities &amp; levers'!$C$12="Off",((Data!$AJ$5*'Intermediate calculations'!AZ4)+Data!$AK$5)*Drivers!BA4,'Net zero supporting data'!AC205)</f>
        <v>1520130.3118330671</v>
      </c>
      <c r="BA5" s="100">
        <f>IF('Net zero activities &amp; levers'!$C$12="Off",((Data!$AJ$5*'Intermediate calculations'!BA4)+Data!$AK$5)*Drivers!BB4,'Net zero supporting data'!AD205)</f>
        <v>1556364.1234566639</v>
      </c>
      <c r="BB5" s="100">
        <f>IF('Net zero activities &amp; levers'!$C$12="Off",((Data!$AJ$5*'Intermediate calculations'!BB4)+Data!$AK$5)*Drivers!BC4,'Net zero supporting data'!AE205)</f>
        <v>1604810.3331392002</v>
      </c>
      <c r="BC5" s="100">
        <f>IF('Net zero activities &amp; levers'!$C$12="Off",((Data!$AJ$5*'Intermediate calculations'!BC4)+Data!$AK$5)*Drivers!BD4,'Net zero supporting data'!AF205)</f>
        <v>1650204.4285975173</v>
      </c>
      <c r="BD5" s="100">
        <f>IF('Net zero activities &amp; levers'!$C$12="Off",((Data!$AJ$5*'Intermediate calculations'!BD4)+Data!$AK$5)*Drivers!BE4,'Net zero supporting data'!AG205)</f>
        <v>1696081.0795214726</v>
      </c>
      <c r="BE5" s="100">
        <f>IF('Net zero activities &amp; levers'!$C$12="Off",((Data!$AJ$5*'Intermediate calculations'!BE4)+Data!$AK$5)*Drivers!BF4,'Net zero supporting data'!AH205)</f>
        <v>1742518.3111137189</v>
      </c>
      <c r="BF5" s="100">
        <f>IF('Net zero activities &amp; levers'!$C$12="Off",((Data!$AJ$5*'Intermediate calculations'!BF4)+Data!$AK$5)*Drivers!BG4,'Net zero supporting data'!AI205)</f>
        <v>1792033.8687331674</v>
      </c>
      <c r="BG5" s="100">
        <f>IF('Net zero activities &amp; levers'!$C$12="Off",((Data!$AJ$5*'Intermediate calculations'!BG4)+Data!$AK$5)*Drivers!BH4,'Net zero supporting data'!AJ205)</f>
        <v>1842571.6235034969</v>
      </c>
      <c r="BH5" s="100">
        <f>IF('Net zero activities &amp; levers'!$C$12="Off",((Data!$AJ$5*'Intermediate calculations'!BH4)+Data!$AK$5)*Drivers!BI4,'Net zero supporting data'!AK205)</f>
        <v>1869384.0495638195</v>
      </c>
      <c r="BI5" s="100">
        <f>IF('Net zero activities &amp; levers'!$C$12="Off",((Data!$AJ$5*'Intermediate calculations'!BI4)+Data!$AK$5)*Drivers!BJ4,'Net zero supporting data'!AL205)</f>
        <v>1894360.4349683383</v>
      </c>
      <c r="BJ5" s="100">
        <f>IF('Net zero activities &amp; levers'!$C$12="Off",((Data!$AJ$5*'Intermediate calculations'!BJ4)+Data!$AK$5)*Drivers!BK4,'Net zero supporting data'!AM205)</f>
        <v>1922324.8113703979</v>
      </c>
      <c r="BK5" s="100">
        <f>IF('Net zero activities &amp; levers'!$C$12="Off",((Data!$AJ$5*'Intermediate calculations'!BK4)+Data!$AK$5)*Drivers!BL4,'Net zero supporting data'!AN205)</f>
        <v>1948723.3634344698</v>
      </c>
      <c r="BL5" s="85">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9.2506176688849348E-2</v>
      </c>
      <c r="AP6" s="22"/>
      <c r="AQ6" s="22">
        <f>(AQ8-AD8)/AD8</f>
        <v>0.18714551981719149</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17.634776625652883</v>
      </c>
      <c r="Z7" s="51">
        <f>Z5*ttokg/Drivers!AA4</f>
        <v>17.831479662149498</v>
      </c>
      <c r="AA7" s="51">
        <f>AA5*ttokg/Drivers!AB4</f>
        <v>17.950491063568073</v>
      </c>
      <c r="AB7" s="51">
        <f>AB5*ttokg/Drivers!AC4</f>
        <v>17.793903552709754</v>
      </c>
      <c r="AC7" s="51">
        <f>AC5*ttokg/Drivers!AD4</f>
        <v>17.633882931994549</v>
      </c>
      <c r="AD7" s="51">
        <f>AD5*ttokg/Drivers!AE4</f>
        <v>17.733035391657424</v>
      </c>
      <c r="AE7" s="51">
        <f>AE5*ttokg/Drivers!AF4</f>
        <v>17.745844396703717</v>
      </c>
      <c r="AF7" s="51">
        <f>AF5*ttokg/Drivers!AG4</f>
        <v>17.472427398703839</v>
      </c>
      <c r="AG7" s="51">
        <f>AG5*ttokg/Drivers!AH4</f>
        <v>15.97037273862858</v>
      </c>
      <c r="AH7" s="51">
        <f>AH5*ttokg/Drivers!AI4</f>
        <v>16.182285386953815</v>
      </c>
      <c r="AI7" s="51">
        <f>AI5*ttokg/Drivers!AJ4</f>
        <v>16.228029583802467</v>
      </c>
      <c r="AJ7" s="51">
        <f>AJ5*ttokg/Drivers!AK4</f>
        <v>16.228072568912815</v>
      </c>
      <c r="AK7" s="51">
        <f>AK5*ttokg/Drivers!AL4</f>
        <v>16.269692724616512</v>
      </c>
      <c r="AL7" s="51">
        <f>AL5*ttokg/Drivers!AM4</f>
        <v>16.478927842364747</v>
      </c>
      <c r="AM7" s="51">
        <f>AM5*ttokg/Drivers!AN4</f>
        <v>16.739049886816606</v>
      </c>
      <c r="AN7" s="51">
        <f>AN5*ttokg/Drivers!AO4</f>
        <v>17.023615406581065</v>
      </c>
      <c r="AO7" s="51">
        <f>AO5*ttokg/Drivers!AP4</f>
        <v>17.21712149588901</v>
      </c>
      <c r="AP7" s="51">
        <f>AP5*ttokg/Drivers!AQ4</f>
        <v>17.469246846984291</v>
      </c>
      <c r="AQ7" s="51">
        <f>AQ5*ttokg/Drivers!AR4</f>
        <v>17.793602705304302</v>
      </c>
      <c r="AR7" s="51">
        <f>AR5*ttokg/Drivers!AS4</f>
        <v>18.207268201130258</v>
      </c>
      <c r="AS7" s="51">
        <f>AS5*ttokg/Drivers!AT4</f>
        <v>18.632960008929441</v>
      </c>
      <c r="AT7" s="51">
        <f>AT5*ttokg/Drivers!AU4</f>
        <v>19.055169845703599</v>
      </c>
      <c r="AU7" s="51">
        <f>AU5*ttokg/Drivers!AV4</f>
        <v>19.535445077181489</v>
      </c>
      <c r="AV7" s="51">
        <f>AV5*ttokg/Drivers!AW4</f>
        <v>19.909947870251308</v>
      </c>
      <c r="AW7" s="51">
        <f>AW5*ttokg/Drivers!AX4</f>
        <v>20.329199020310146</v>
      </c>
      <c r="AX7" s="51">
        <f>AX5*ttokg/Drivers!AY4</f>
        <v>20.742482340223159</v>
      </c>
      <c r="AY7" s="51">
        <f>AY5*ttokg/Drivers!AZ4</f>
        <v>21.107626318297012</v>
      </c>
      <c r="AZ7" s="51">
        <f>AZ5*ttokg/Drivers!BA4</f>
        <v>21.453630246519992</v>
      </c>
      <c r="BA7" s="51">
        <f>BA5*ttokg/Drivers!BB4</f>
        <v>21.805358332987936</v>
      </c>
      <c r="BB7" s="51">
        <f>BB5*ttokg/Drivers!BC4</f>
        <v>22.345326179608957</v>
      </c>
      <c r="BC7" s="51">
        <f>BC5*ttokg/Drivers!BD4</f>
        <v>22.835562002336435</v>
      </c>
      <c r="BD7" s="51">
        <f>BD5*ttokg/Drivers!BE4</f>
        <v>23.325530790831017</v>
      </c>
      <c r="BE7" s="51">
        <f>BE5*ttokg/Drivers!BF4</f>
        <v>23.816242625691135</v>
      </c>
      <c r="BF7" s="51">
        <f>BF5*ttokg/Drivers!BG4</f>
        <v>24.34182178647459</v>
      </c>
      <c r="BG7" s="51">
        <f>BG5*ttokg/Drivers!BH4</f>
        <v>24.901177231340323</v>
      </c>
      <c r="BH7" s="51">
        <f>BH5*ttokg/Drivers!BI4</f>
        <v>25.13521875431406</v>
      </c>
      <c r="BI7" s="51">
        <f>BI5*ttokg/Drivers!BJ4</f>
        <v>25.341679079335901</v>
      </c>
      <c r="BJ7" s="51">
        <f>BJ5*ttokg/Drivers!BK4</f>
        <v>25.585162480112043</v>
      </c>
      <c r="BK7" s="51">
        <f>BK5*ttokg/Drivers!BL4</f>
        <v>25.804784444368952</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101">
        <f>IF('Net zero activities &amp; levers'!$C$14="Off",((Data!$AJ$14*'Net zero Intermediate calcs'!Y5)+Data!$AK$14),IF('Net zero activities &amp; levers'!$C$14="On",((Data!$AJ$14*'Net zero Intermediate calcs'!Y5)+Data!$AK$14)*(1-'Net zero supporting data'!B213),"ERROR"))</f>
        <v>922563.26417698385</v>
      </c>
      <c r="Z8" s="101">
        <f>IF('Net zero activities &amp; levers'!$C$14="Off",((Data!$AJ$14*'Net zero Intermediate calcs'!Z5)+Data!$AK$14),IF('Net zero activities &amp; levers'!$C$14="On",((Data!$AJ$14*'Net zero Intermediate calcs'!Z5)+Data!$AK$14)*(1-'Net zero supporting data'!C213),"ERROR"))</f>
        <v>950193.34704133216</v>
      </c>
      <c r="AA8" s="101">
        <f>IF('Net zero activities &amp; levers'!$C$14="Off",((Data!$AJ$14*'Net zero Intermediate calcs'!AA5)+Data!$AK$14),IF('Net zero activities &amp; levers'!$C$14="On",((Data!$AJ$14*'Net zero Intermediate calcs'!AA5)+Data!$AK$14)*(1-'Net zero supporting data'!D213),"ERROR"))</f>
        <v>973985.75952784228</v>
      </c>
      <c r="AB8" s="101">
        <f>IF('Net zero activities &amp; levers'!$C$14="Off",((Data!$AJ$14*'Net zero Intermediate calcs'!AB5)+Data!$AK$14),IF('Net zero activities &amp; levers'!$C$14="On",((Data!$AJ$14*'Net zero Intermediate calcs'!AB5)+Data!$AK$14)*(1-'Net zero supporting data'!E213),"ERROR"))</f>
        <v>981379.91006119433</v>
      </c>
      <c r="AC8" s="101">
        <f>IF('Net zero activities &amp; levers'!$C$14="Off",((Data!$AJ$14*'Net zero Intermediate calcs'!AC5)+Data!$AK$14),IF('Net zero activities &amp; levers'!$C$14="On",((Data!$AJ$14*'Net zero Intermediate calcs'!AC5)+Data!$AK$14)*(1-'Net zero supporting data'!F213),"ERROR"))</f>
        <v>988887.2073598057</v>
      </c>
      <c r="AD8" s="101">
        <f>IF('Net zero activities &amp; levers'!$C$14="Off",((Data!$AJ$14*'Net zero Intermediate calcs'!AD5)+Data!$AK$14),IF('Net zero activities &amp; levers'!$C$14="On",((Data!$AJ$14*'Net zero Intermediate calcs'!AD5)+Data!$AK$14)*(1-'Net zero supporting data'!G213),"ERROR"))</f>
        <v>1013464.0315259311</v>
      </c>
      <c r="AE8" s="101">
        <f>IF('Net zero activities &amp; levers'!$C$14="Off",((Data!$AJ$14*'Net zero Intermediate calcs'!AE5)+Data!$AK$14),IF('Net zero activities &amp; levers'!$C$14="On",((Data!$AJ$14*'Net zero Intermediate calcs'!AE5)+Data!$AK$14)*(1-'Net zero supporting data'!H213),"ERROR"))</f>
        <v>1032824.3968801235</v>
      </c>
      <c r="AF8" s="101">
        <f>IF('Net zero activities &amp; levers'!$C$14="Off",((Data!$AJ$14*'Net zero Intermediate calcs'!AF5)+Data!$AK$14),IF('Net zero activities &amp; levers'!$C$14="On",((Data!$AJ$14*'Net zero Intermediate calcs'!AF5)+Data!$AK$14)*(1-'Net zero supporting data'!I213),"ERROR"))</f>
        <v>1033424.2571076564</v>
      </c>
      <c r="AG8" s="101">
        <f>IF('Net zero activities &amp; levers'!$C$14="Off",((Data!$AJ$14*'Net zero Intermediate calcs'!AG5)+Data!$AK$14),IF('Net zero activities &amp; levers'!$C$14="On",((Data!$AJ$14*'Net zero Intermediate calcs'!AG5)+Data!$AK$14)*(1-'Net zero supporting data'!J213),"ERROR"))</f>
        <v>950481.38679716876</v>
      </c>
      <c r="AH8" s="101">
        <f>IF('Net zero activities &amp; levers'!$C$14="Off",((Data!$AJ$14*'Net zero Intermediate calcs'!AH5)+Data!$AK$14),IF('Net zero activities &amp; levers'!$C$14="On",((Data!$AJ$14*'Net zero Intermediate calcs'!AH5)+Data!$AK$14)*(1-'Net zero supporting data'!K213),"ERROR"))</f>
        <v>976978.92608767713</v>
      </c>
      <c r="AI8" s="101">
        <f>IF('Net zero activities &amp; levers'!$C$14="Off",((Data!$AJ$14*'Net zero Intermediate calcs'!AI5)+Data!$AK$14),IF('Net zero activities &amp; levers'!$C$14="On",((Data!$AJ$14*'Net zero Intermediate calcs'!AI5)+Data!$AK$14)*(1-'Net zero supporting data'!L213),"ERROR"))</f>
        <v>992417.43488181534</v>
      </c>
      <c r="AJ8" s="101">
        <f>IF('Net zero activities &amp; levers'!$C$14="Off",((Data!$AJ$14*'Net zero Intermediate calcs'!AJ5)+Data!$AK$14),IF('Net zero activities &amp; levers'!$C$14="On",((Data!$AJ$14*'Net zero Intermediate calcs'!AJ5)+Data!$AK$14)*(1-'Net zero supporting data'!M213),"ERROR"))</f>
        <v>1004859.4545187725</v>
      </c>
      <c r="AK8" s="101">
        <f>IF('Net zero activities &amp; levers'!$C$14="Off",((Data!$AJ$14*'Net zero Intermediate calcs'!AK5)+Data!$AK$14),IF('Net zero activities &amp; levers'!$C$14="On",((Data!$AJ$14*'Net zero Intermediate calcs'!AK5)+Data!$AK$14)*(1-'Net zero supporting data'!N213),"ERROR"))</f>
        <v>1020381.0174049207</v>
      </c>
      <c r="AL8" s="101">
        <f>IF('Net zero activities &amp; levers'!$C$14="Off",((Data!$AJ$14*'Net zero Intermediate calcs'!AL5)+Data!$AK$14),IF('Net zero activities &amp; levers'!$C$14="On",((Data!$AJ$14*'Net zero Intermediate calcs'!AL5)+Data!$AK$14)*(1-'Net zero supporting data'!O213),"ERROR"))</f>
        <v>1048102.2073913029</v>
      </c>
      <c r="AM8" s="101">
        <f>IF('Net zero activities &amp; levers'!$C$14="Off",((Data!$AJ$14*'Net zero Intermediate calcs'!AM5)+Data!$AK$14),IF('Net zero activities &amp; levers'!$C$14="On",((Data!$AJ$14*'Net zero Intermediate calcs'!AM5)+Data!$AK$14)*(1-'Net zero supporting data'!P213),"ERROR"))</f>
        <v>1077977.6304571722</v>
      </c>
      <c r="AN8" s="101">
        <f>IF('Net zero activities &amp; levers'!$C$14="Off",((Data!$AJ$14*'Net zero Intermediate calcs'!AN5)+Data!$AK$14),IF('Net zero activities &amp; levers'!$C$14="On",((Data!$AJ$14*'Net zero Intermediate calcs'!AN5)+Data!$AK$14)*(1-'Net zero supporting data'!Q213),"ERROR"))</f>
        <v>1110089.1215041082</v>
      </c>
      <c r="AO8" s="101">
        <f>IF('Net zero activities &amp; levers'!$C$14="Off",((Data!$AJ$14*'Net zero Intermediate calcs'!AO5)+Data!$AK$14),IF('Net zero activities &amp; levers'!$C$14="On",((Data!$AJ$14*'Net zero Intermediate calcs'!AO5)+Data!$AK$14)*(1-'Net zero supporting data'!R213),"ERROR"))</f>
        <v>1135991.3212739804</v>
      </c>
      <c r="AP8" s="101">
        <f>IF('Net zero activities &amp; levers'!$C$14="Off",((Data!$AJ$14*'Net zero Intermediate calcs'!AP5)+Data!$AK$14),IF('Net zero activities &amp; levers'!$C$14="On",((Data!$AJ$14*'Net zero Intermediate calcs'!AP5)+Data!$AK$14)*(1-'Net zero supporting data'!S213),"ERROR"))</f>
        <v>1166622.2647769563</v>
      </c>
      <c r="AQ8" s="101">
        <f>IF('Net zero activities &amp; levers'!$C$14="Off",((Data!$AJ$14*'Net zero Intermediate calcs'!AQ5)+Data!$AK$14),IF('Net zero activities &amp; levers'!$C$14="On",((Data!$AJ$14*'Net zero Intermediate calcs'!AQ5)+Data!$AK$14)*(1-'Net zero supporting data'!T213),"ERROR"))</f>
        <v>1203129.284521878</v>
      </c>
      <c r="AR8" s="101">
        <f>IF('Net zero activities &amp; levers'!$C$14="Off",((Data!$AJ$14*'Net zero Intermediate calcs'!AR5)+Data!$AK$14),IF('Net zero activities &amp; levers'!$C$14="On",((Data!$AJ$14*'Net zero Intermediate calcs'!AR5)+Data!$AK$14)*(1-'Net zero supporting data'!U213),"ERROR"))</f>
        <v>1245422.5204816614</v>
      </c>
      <c r="AS8" s="101">
        <f>IF('Net zero activities &amp; levers'!$C$14="Off",((Data!$AJ$14*'Net zero Intermediate calcs'!AS5)+Data!$AK$14),IF('Net zero activities &amp; levers'!$C$14="On",((Data!$AJ$14*'Net zero Intermediate calcs'!AS5)+Data!$AK$14)*(1-'Net zero supporting data'!V213),"ERROR"))</f>
        <v>1289237.4322505186</v>
      </c>
      <c r="AT8" s="101">
        <f>IF('Net zero activities &amp; levers'!$C$14="Off",((Data!$AJ$14*'Net zero Intermediate calcs'!AT5)+Data!$AK$14),IF('Net zero activities &amp; levers'!$C$14="On",((Data!$AJ$14*'Net zero Intermediate calcs'!AT5)+Data!$AK$14)*(1-'Net zero supporting data'!W213),"ERROR"))</f>
        <v>1333411.9421608036</v>
      </c>
      <c r="AU8" s="101">
        <f>IF('Net zero activities &amp; levers'!$C$14="Off",((Data!$AJ$14*'Net zero Intermediate calcs'!AU5)+Data!$AK$14),IF('Net zero activities &amp; levers'!$C$14="On",((Data!$AJ$14*'Net zero Intermediate calcs'!AU5)+Data!$AK$14)*(1-'Net zero supporting data'!X213),"ERROR"))</f>
        <v>1382715.5753170184</v>
      </c>
      <c r="AV8" s="101">
        <f>IF('Net zero activities &amp; levers'!$C$14="Off",((Data!$AJ$14*'Net zero Intermediate calcs'!AV5)+Data!$AK$14),IF('Net zero activities &amp; levers'!$C$14="On",((Data!$AJ$14*'Net zero Intermediate calcs'!AV5)+Data!$AK$14)*(1-'Net zero supporting data'!Y213),"ERROR"))</f>
        <v>1424467.9047583444</v>
      </c>
      <c r="AW8" s="101">
        <f>IF('Net zero activities &amp; levers'!$C$14="Off",((Data!$AJ$14*'Net zero Intermediate calcs'!AW5)+Data!$AK$14),IF('Net zero activities &amp; levers'!$C$14="On",((Data!$AJ$14*'Net zero Intermediate calcs'!AW5)+Data!$AK$14)*(1-'Net zero supporting data'!Z213),"ERROR"))</f>
        <v>1468402.6547488028</v>
      </c>
      <c r="AX8" s="101">
        <f>IF('Net zero activities &amp; levers'!$C$14="Off",((Data!$AJ$14*'Net zero Intermediate calcs'!AX5)+Data!$AK$14),IF('Net zero activities &amp; levers'!$C$14="On",((Data!$AJ$14*'Net zero Intermediate calcs'!AX5)+Data!$AK$14)*(1-'Net zero supporting data'!AA213),"ERROR"))</f>
        <v>1512403.9290123826</v>
      </c>
      <c r="AY8" s="101">
        <f>IF('Net zero activities &amp; levers'!$C$14="Off",((Data!$AJ$14*'Net zero Intermediate calcs'!AY5)+Data!$AK$14),IF('Net zero activities &amp; levers'!$C$14="On",((Data!$AJ$14*'Net zero Intermediate calcs'!AY5)+Data!$AK$14)*(1-'Net zero supporting data'!AB213),"ERROR"))</f>
        <v>1553102.9313321626</v>
      </c>
      <c r="AZ8" s="101">
        <f>IF('Net zero activities &amp; levers'!$C$14="Off",((Data!$AJ$14*'Net zero Intermediate calcs'!AZ5)+Data!$AK$14),IF('Net zero activities &amp; levers'!$C$14="On",((Data!$AJ$14*'Net zero Intermediate calcs'!AZ5)+Data!$AK$14)*(1-'Net zero supporting data'!AC213),"ERROR"))</f>
        <v>1592753.855642244</v>
      </c>
      <c r="BA8" s="101">
        <f>IF('Net zero activities &amp; levers'!$C$14="Off",((Data!$AJ$14*'Net zero Intermediate calcs'!BA5)+Data!$AK$14),IF('Net zero activities &amp; levers'!$C$14="On",((Data!$AJ$14*'Net zero Intermediate calcs'!BA5)+Data!$AK$14)*(1-'Net zero supporting data'!AD213),"ERROR"))</f>
        <v>1633340.6749163326</v>
      </c>
      <c r="BB8" s="101">
        <f>IF('Net zero activities &amp; levers'!$C$14="Off",((Data!$AJ$14*'Net zero Intermediate calcs'!BB5)+Data!$AK$14),IF('Net zero activities &amp; levers'!$C$14="On",((Data!$AJ$14*'Net zero Intermediate calcs'!BB5)+Data!$AK$14)*(1-'Net zero supporting data'!AE213),"ERROR"))</f>
        <v>1687910.5075362611</v>
      </c>
      <c r="BC8" s="101">
        <f>IF('Net zero activities &amp; levers'!$C$14="Off",((Data!$AJ$14*'Net zero Intermediate calcs'!BC5)+Data!$AK$14),IF('Net zero activities &amp; levers'!$C$14="On",((Data!$AJ$14*'Net zero Intermediate calcs'!BC5)+Data!$AK$14)*(1-'Net zero supporting data'!AF213),"ERROR"))</f>
        <v>1739000.2474612941</v>
      </c>
      <c r="BD8" s="101">
        <f>IF('Net zero activities &amp; levers'!$C$14="Off",((Data!$AJ$14*'Net zero Intermediate calcs'!BD5)+Data!$AK$14),IF('Net zero activities &amp; levers'!$C$14="On",((Data!$AJ$14*'Net zero Intermediate calcs'!BD5)+Data!$AK$14)*(1-'Net zero supporting data'!AG213),"ERROR"))</f>
        <v>1790615.851292921</v>
      </c>
      <c r="BE8" s="101">
        <f>IF('Net zero activities &amp; levers'!$C$14="Off",((Data!$AJ$14*'Net zero Intermediate calcs'!BE5)+Data!$AK$14),IF('Net zero activities &amp; levers'!$C$14="On",((Data!$AJ$14*'Net zero Intermediate calcs'!BE5)+Data!$AK$14)*(1-'Net zero supporting data'!AH213),"ERROR"))</f>
        <v>1842845.3527137008</v>
      </c>
      <c r="BF8" s="101">
        <f>IF('Net zero activities &amp; levers'!$C$14="Off",((Data!$AJ$14*'Net zero Intermediate calcs'!BF5)+Data!$AK$14),IF('Net zero activities &amp; levers'!$C$14="On",((Data!$AJ$14*'Net zero Intermediate calcs'!BF5)+Data!$AK$14)*(1-'Net zero supporting data'!AI213),"ERROR"))</f>
        <v>1898539.1694122455</v>
      </c>
      <c r="BG8" s="101">
        <f>IF('Net zero activities &amp; levers'!$C$14="Off",((Data!$AJ$14*'Net zero Intermediate calcs'!BG5)+Data!$AK$14),IF('Net zero activities &amp; levers'!$C$14="On",((Data!$AJ$14*'Net zero Intermediate calcs'!BG5)+Data!$AK$14)*(1-'Net zero supporting data'!AJ213),"ERROR"))</f>
        <v>1955367.5397477765</v>
      </c>
      <c r="BH8" s="101">
        <f>IF('Net zero activities &amp; levers'!$C$14="Off",((Data!$AJ$14*'Net zero Intermediate calcs'!BH5)+Data!$AK$14),IF('Net zero activities &amp; levers'!$C$14="On",((Data!$AJ$14*'Net zero Intermediate calcs'!BH5)+Data!$AK$14)*(1-'Net zero supporting data'!AK213),"ERROR"))</f>
        <v>1985319.8535041334</v>
      </c>
      <c r="BI8" s="101">
        <f>IF('Net zero activities &amp; levers'!$C$14="Off",((Data!$AJ$14*'Net zero Intermediate calcs'!BI5)+Data!$AK$14),IF('Net zero activities &amp; levers'!$C$14="On",((Data!$AJ$14*'Net zero Intermediate calcs'!BI5)+Data!$AK$14)*(1-'Net zero supporting data'!AL213),"ERROR"))</f>
        <v>2013182.2530681351</v>
      </c>
      <c r="BJ8" s="101">
        <f>IF('Net zero activities &amp; levers'!$C$14="Off",((Data!$AJ$14*'Net zero Intermediate calcs'!BJ5)+Data!$AK$14),IF('Net zero activities &amp; levers'!$C$14="On",((Data!$AJ$14*'Net zero Intermediate calcs'!BJ5)+Data!$AK$14)*(1-'Net zero supporting data'!AM213),"ERROR"))</f>
        <v>2044413.760026363</v>
      </c>
      <c r="BK8" s="101">
        <f>IF('Net zero activities &amp; levers'!$C$14="Off",((Data!$AJ$14*'Net zero Intermediate calcs'!BK5)+Data!$AK$14),IF('Net zero activities &amp; levers'!$C$14="On",((Data!$AJ$14*'Net zero Intermediate calcs'!BK5)+Data!$AK$14)*(1-'Net zero supporting data'!AN213),"ERROR"))</f>
        <v>2073861.3182272757</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645794.28492388863</v>
      </c>
      <c r="Z9" s="22">
        <f t="shared" si="1"/>
        <v>669886.30966413917</v>
      </c>
      <c r="AA9" s="22">
        <f t="shared" si="1"/>
        <v>691529.88926476799</v>
      </c>
      <c r="AB9" s="22">
        <f t="shared" si="1"/>
        <v>701686.63569375395</v>
      </c>
      <c r="AC9" s="22">
        <f t="shared" si="1"/>
        <v>711998.78929906012</v>
      </c>
      <c r="AD9" s="22">
        <f t="shared" si="1"/>
        <v>734761.42285630002</v>
      </c>
      <c r="AE9" s="22">
        <f t="shared" si="1"/>
        <v>753961.80972249014</v>
      </c>
      <c r="AF9" s="22">
        <f t="shared" si="1"/>
        <v>759566.82897412742</v>
      </c>
      <c r="AG9" s="22">
        <f t="shared" si="1"/>
        <v>703356.22622990492</v>
      </c>
      <c r="AH9" s="22">
        <f t="shared" si="1"/>
        <v>724918.36315705639</v>
      </c>
      <c r="AI9" s="22">
        <f t="shared" si="1"/>
        <v>738358.57155207056</v>
      </c>
      <c r="AJ9" s="22">
        <f t="shared" si="1"/>
        <v>749625.15307100432</v>
      </c>
      <c r="AK9" s="22">
        <f t="shared" si="1"/>
        <v>763245.00101888063</v>
      </c>
      <c r="AL9" s="22">
        <f t="shared" si="1"/>
        <v>786076.65554347716</v>
      </c>
      <c r="AM9" s="22">
        <f t="shared" si="1"/>
        <v>810639.17810379353</v>
      </c>
      <c r="AN9" s="22">
        <f t="shared" si="1"/>
        <v>837007.19761409762</v>
      </c>
      <c r="AO9" s="22">
        <f t="shared" si="1"/>
        <v>858809.43888312916</v>
      </c>
      <c r="AP9" s="22">
        <f t="shared" si="1"/>
        <v>884299.67670093291</v>
      </c>
      <c r="AQ9" s="22">
        <f t="shared" si="1"/>
        <v>914378.25623662723</v>
      </c>
      <c r="AR9" s="22">
        <f t="shared" si="1"/>
        <v>951502.80564798939</v>
      </c>
      <c r="AS9" s="22">
        <f t="shared" si="1"/>
        <v>990134.34796839824</v>
      </c>
      <c r="AT9" s="22">
        <f t="shared" si="1"/>
        <v>1029394.0193481405</v>
      </c>
      <c r="AU9" s="22">
        <f t="shared" si="1"/>
        <v>1072987.2864460063</v>
      </c>
      <c r="AV9" s="22">
        <f t="shared" si="1"/>
        <v>1111084.9657115086</v>
      </c>
      <c r="AW9" s="22">
        <f t="shared" si="1"/>
        <v>1151227.6813230615</v>
      </c>
      <c r="AX9" s="22">
        <f t="shared" si="1"/>
        <v>1191774.2960617575</v>
      </c>
      <c r="AY9" s="22">
        <f t="shared" si="1"/>
        <v>1230057.5216150729</v>
      </c>
      <c r="AZ9" s="22">
        <f t="shared" si="1"/>
        <v>1267832.0690912262</v>
      </c>
      <c r="BA9" s="22">
        <f t="shared" si="1"/>
        <v>1306672.5399330661</v>
      </c>
      <c r="BB9" s="22">
        <f t="shared" si="1"/>
        <v>1355392.1375516178</v>
      </c>
      <c r="BC9" s="22">
        <f t="shared" si="1"/>
        <v>1401634.199453803</v>
      </c>
      <c r="BD9" s="22">
        <f t="shared" si="1"/>
        <v>1448608.2236959732</v>
      </c>
      <c r="BE9" s="22">
        <f t="shared" si="1"/>
        <v>1496390.4264035253</v>
      </c>
      <c r="BF9" s="22">
        <f t="shared" si="1"/>
        <v>1547309.4230709802</v>
      </c>
      <c r="BG9" s="22">
        <f t="shared" si="1"/>
        <v>1599490.6475136813</v>
      </c>
      <c r="BH9" s="22">
        <f t="shared" si="1"/>
        <v>1629947.5997268937</v>
      </c>
      <c r="BI9" s="22">
        <f t="shared" si="1"/>
        <v>1658862.1765281435</v>
      </c>
      <c r="BJ9" s="22">
        <f t="shared" si="1"/>
        <v>1690730.1795418023</v>
      </c>
      <c r="BK9" s="22">
        <f t="shared" si="1"/>
        <v>1721304.8941286388</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276768.97925309523</v>
      </c>
      <c r="Z10" s="22">
        <f t="shared" si="2"/>
        <v>280307.03737719299</v>
      </c>
      <c r="AA10" s="22">
        <f t="shared" si="2"/>
        <v>282455.87026307429</v>
      </c>
      <c r="AB10" s="22">
        <f t="shared" si="2"/>
        <v>279693.27436744038</v>
      </c>
      <c r="AC10" s="22">
        <f t="shared" si="2"/>
        <v>276888.41806074558</v>
      </c>
      <c r="AD10" s="22">
        <f t="shared" si="2"/>
        <v>278702.60866963107</v>
      </c>
      <c r="AE10" s="22">
        <f t="shared" si="2"/>
        <v>278862.58715763339</v>
      </c>
      <c r="AF10" s="22">
        <f t="shared" si="2"/>
        <v>273857.42813352903</v>
      </c>
      <c r="AG10" s="22">
        <f t="shared" si="2"/>
        <v>247125.16056726384</v>
      </c>
      <c r="AH10" s="22">
        <f t="shared" si="2"/>
        <v>252060.56293062074</v>
      </c>
      <c r="AI10" s="22">
        <f t="shared" si="2"/>
        <v>254058.86332974478</v>
      </c>
      <c r="AJ10" s="22">
        <f t="shared" si="2"/>
        <v>255234.30144776823</v>
      </c>
      <c r="AK10" s="22">
        <f t="shared" si="2"/>
        <v>257136.01638604002</v>
      </c>
      <c r="AL10" s="22">
        <f t="shared" si="2"/>
        <v>262025.55184782576</v>
      </c>
      <c r="AM10" s="22">
        <f t="shared" si="2"/>
        <v>267338.45235337864</v>
      </c>
      <c r="AN10" s="22">
        <f t="shared" si="2"/>
        <v>273081.92389001057</v>
      </c>
      <c r="AO10" s="22">
        <f t="shared" si="2"/>
        <v>277181.88239085127</v>
      </c>
      <c r="AP10" s="22">
        <f t="shared" si="2"/>
        <v>282322.58807602338</v>
      </c>
      <c r="AQ10" s="22">
        <f t="shared" si="2"/>
        <v>288751.02828525077</v>
      </c>
      <c r="AR10" s="22">
        <f t="shared" si="2"/>
        <v>293919.71483367204</v>
      </c>
      <c r="AS10" s="22">
        <f t="shared" si="2"/>
        <v>299103.08428212034</v>
      </c>
      <c r="AT10" s="22">
        <f t="shared" si="2"/>
        <v>304017.92281266314</v>
      </c>
      <c r="AU10" s="22">
        <f t="shared" si="2"/>
        <v>309728.28887101216</v>
      </c>
      <c r="AV10" s="22">
        <f t="shared" si="2"/>
        <v>313382.93904683576</v>
      </c>
      <c r="AW10" s="22">
        <f t="shared" si="2"/>
        <v>317174.97342574131</v>
      </c>
      <c r="AX10" s="22">
        <f t="shared" si="2"/>
        <v>320629.63295062515</v>
      </c>
      <c r="AY10" s="22">
        <f t="shared" si="2"/>
        <v>323045.40971708973</v>
      </c>
      <c r="AZ10" s="22">
        <f t="shared" si="2"/>
        <v>324921.78655101778</v>
      </c>
      <c r="BA10" s="22">
        <f t="shared" si="2"/>
        <v>326668.13498326647</v>
      </c>
      <c r="BB10" s="22">
        <f t="shared" si="2"/>
        <v>332518.3699846433</v>
      </c>
      <c r="BC10" s="22">
        <f t="shared" si="2"/>
        <v>337366.04800749104</v>
      </c>
      <c r="BD10" s="22">
        <f t="shared" si="2"/>
        <v>342007.62759694783</v>
      </c>
      <c r="BE10" s="22">
        <f t="shared" si="2"/>
        <v>346454.92631017556</v>
      </c>
      <c r="BF10" s="22">
        <f t="shared" si="2"/>
        <v>351229.74634126527</v>
      </c>
      <c r="BG10" s="22">
        <f t="shared" si="2"/>
        <v>355876.89223409514</v>
      </c>
      <c r="BH10" s="22">
        <f t="shared" si="2"/>
        <v>355372.2537772397</v>
      </c>
      <c r="BI10" s="22">
        <f t="shared" si="2"/>
        <v>354320.07653999166</v>
      </c>
      <c r="BJ10" s="22">
        <f t="shared" si="2"/>
        <v>353683.58048456069</v>
      </c>
      <c r="BK10" s="22">
        <f t="shared" si="2"/>
        <v>352556.42409863696</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101">
        <f>IF($Y$1="Off",((Data!$AJ$15*LN('Net zero Intermediate calcs'!Y2))+Data!$AK$15),IF($Y$1="PQ",'Net zero supporting data'!B100,IF($Y$1="GS",'Net zero supporting data'!B64,'Net zero supporting data'!B83)))</f>
        <v>40.795969839954637</v>
      </c>
      <c r="Z11" s="101">
        <f>IF($Y$1="Off",((Data!$AJ$15*LN('Net zero Intermediate calcs'!Z2))+Data!$AK$15),IF($Y$1="PQ",'Net zero supporting data'!C100,IF($Y$1="GS",'Net zero supporting data'!C64,'Net zero supporting data'!C83)))</f>
        <v>40.075960285152689</v>
      </c>
      <c r="AA11" s="101">
        <f>IF($Y$1="Off",((Data!$AJ$15*LN('Net zero Intermediate calcs'!AA2))+Data!$AK$15),IF($Y$1="PQ",'Net zero supporting data'!D100,IF($Y$1="GS",'Net zero supporting data'!D64,'Net zero supporting data'!D83)))</f>
        <v>39.399615271435337</v>
      </c>
      <c r="AB11" s="101">
        <f>IF($Y$1="Off",((Data!$AJ$15*LN('Net zero Intermediate calcs'!AB2))+Data!$AK$15),IF($Y$1="PQ",'Net zero supporting data'!E100,IF($Y$1="GS",'Net zero supporting data'!E64,'Net zero supporting data'!E83)))</f>
        <v>38.76194023059638</v>
      </c>
      <c r="AC11" s="101">
        <f>IF($Y$1="Off",((Data!$AJ$15*LN('Net zero Intermediate calcs'!AC2))+Data!$AK$15),IF($Y$1="PQ",'Net zero supporting data'!F100,IF($Y$1="GS",'Net zero supporting data'!F64,'Net zero supporting data'!F83)))</f>
        <v>38.158751387251051</v>
      </c>
      <c r="AD11" s="101">
        <f>IF($Y$1="Off",((Data!$AJ$15*LN('Net zero Intermediate calcs'!AD2))+Data!$AK$15),IF($Y$1="PQ",'Net zero supporting data'!G100,IF($Y$1="GS",'Net zero supporting data'!G64,'Net zero supporting data'!G83)))</f>
        <v>37.586509237828665</v>
      </c>
      <c r="AE11" s="101">
        <f>IF($Y$1="Off",((Data!$AJ$15*LN('Net zero Intermediate calcs'!AE2))+Data!$AK$15),IF($Y$1="PQ",'Net zero supporting data'!H100,IF($Y$1="GS",'Net zero supporting data'!H64,'Net zero supporting data'!H83)))</f>
        <v>37.042192699997493</v>
      </c>
      <c r="AF11" s="101">
        <f>IF($Y$1="Off",((Data!$AJ$15*LN('Net zero Intermediate calcs'!AF2))+Data!$AK$15),IF($Y$1="PQ",'Net zero supporting data'!I100,IF($Y$1="GS",'Net zero supporting data'!I64,'Net zero supporting data'!I83)))</f>
        <v>36.523202565791273</v>
      </c>
      <c r="AG11" s="101">
        <f>IF($Y$1="Off",((Data!$AJ$15*LN('Net zero Intermediate calcs'!AG2))+Data!$AK$15),IF($Y$1="PQ",'Net zero supporting data'!J100,IF($Y$1="GS",'Net zero supporting data'!J64,'Net zero supporting data'!J83)))</f>
        <v>36.027286433617057</v>
      </c>
      <c r="AH11" s="101">
        <f>IF($Y$1="Off",((Data!$AJ$15*LN('Net zero Intermediate calcs'!AH2))+Data!$AK$15),IF($Y$1="PQ",'Net zero supporting data'!K100,IF($Y$1="GS",'Net zero supporting data'!K64,'Net zero supporting data'!K83)))</f>
        <v>35.268059791442646</v>
      </c>
      <c r="AI11" s="101">
        <f>IF($Y$1="Off",((Data!$AJ$15*LN('Net zero Intermediate calcs'!AI2))+Data!$AK$15),IF($Y$1="PQ",'Net zero supporting data'!L100,IF($Y$1="GS",'Net zero supporting data'!L64,'Net zero supporting data'!L83)))</f>
        <v>34.535505259456571</v>
      </c>
      <c r="AJ11" s="101">
        <f>IF($Y$1="Off",((Data!$AJ$15*LN('Net zero Intermediate calcs'!AJ2))+Data!$AK$15),IF($Y$1="PQ",'Net zero supporting data'!M100,IF($Y$1="GS",'Net zero supporting data'!M64,'Net zero supporting data'!M83)))</f>
        <v>33.827673063285062</v>
      </c>
      <c r="AK11" s="101">
        <f>IF($Y$1="Off",((Data!$AJ$15*LN('Net zero Intermediate calcs'!AK2))+Data!$AK$15),IF($Y$1="PQ",'Net zero supporting data'!N100,IF($Y$1="GS",'Net zero supporting data'!N64,'Net zero supporting data'!N83)))</f>
        <v>33.14282886754885</v>
      </c>
      <c r="AL11" s="101">
        <f>IF($Y$1="Off",((Data!$AJ$15*LN('Net zero Intermediate calcs'!AL2))+Data!$AK$15),IF($Y$1="PQ",'Net zero supporting data'!O100,IF($Y$1="GS",'Net zero supporting data'!O64,'Net zero supporting data'!O83)))</f>
        <v>32.47942281395666</v>
      </c>
      <c r="AM11" s="101">
        <f>IF($Y$1="Off",((Data!$AJ$15*LN('Net zero Intermediate calcs'!AM2))+Data!$AK$15),IF($Y$1="PQ",'Net zero supporting data'!P100,IF($Y$1="GS",'Net zero supporting data'!P64,'Net zero supporting data'!P83)))</f>
        <v>31.836063953521773</v>
      </c>
      <c r="AN11" s="101">
        <f>IF($Y$1="Off",((Data!$AJ$15*LN('Net zero Intermediate calcs'!AN2))+Data!$AK$15),IF($Y$1="PQ",'Net zero supporting data'!Q100,IF($Y$1="GS",'Net zero supporting data'!Q64,'Net zero supporting data'!Q83)))</f>
        <v>31.211498980602183</v>
      </c>
      <c r="AO11" s="101">
        <f>IF($Y$1="Off",((Data!$AJ$15*LN('Net zero Intermediate calcs'!AO2))+Data!$AK$15),IF($Y$1="PQ",'Net zero supporting data'!R100,IF($Y$1="GS",'Net zero supporting data'!R64,'Net zero supporting data'!R83)))</f>
        <v>30.604594426435614</v>
      </c>
      <c r="AP11" s="101">
        <f>IF($Y$1="Off",((Data!$AJ$15*LN('Net zero Intermediate calcs'!AP2))+Data!$AK$15),IF($Y$1="PQ",'Net zero supporting data'!S100,IF($Y$1="GS",'Net zero supporting data'!S64,'Net zero supporting data'!S83)))</f>
        <v>30.014321656447635</v>
      </c>
      <c r="AQ11" s="101">
        <f>IF($Y$1="Off",((Data!$AJ$15*LN('Net zero Intermediate calcs'!AQ2))+Data!$AK$15),IF($Y$1="PQ",'Net zero supporting data'!T100,IF($Y$1="GS",'Net zero supporting data'!T64,'Net zero supporting data'!T83)))</f>
        <v>29.439744156380275</v>
      </c>
      <c r="AR11" s="101">
        <f>IF($Y$1="Off",((Data!$AJ$15*LN('Net zero Intermediate calcs'!AR2))+Data!$AK$15),IF($Y$1="PQ",'Net zero supporting data'!U100,IF($Y$1="GS",'Net zero supporting data'!U64,'Net zero supporting data'!U83)))</f>
        <v>29.085840080597983</v>
      </c>
      <c r="AS11" s="101">
        <f>IF($Y$1="Off",((Data!$AJ$15*LN('Net zero Intermediate calcs'!AS2))+Data!$AK$15),IF($Y$1="PQ",'Net zero supporting data'!V100,IF($Y$1="GS",'Net zero supporting data'!V64,'Net zero supporting data'!V83)))</f>
        <v>28.741788723352062</v>
      </c>
      <c r="AT11" s="101">
        <f>IF($Y$1="Off",((Data!$AJ$15*LN('Net zero Intermediate calcs'!AT2))+Data!$AK$15),IF($Y$1="PQ",'Net zero supporting data'!W100,IF($Y$1="GS",'Net zero supporting data'!W64,'Net zero supporting data'!W83)))</f>
        <v>28.407048558672031</v>
      </c>
      <c r="AU11" s="101">
        <f>IF($Y$1="Off",((Data!$AJ$15*LN('Net zero Intermediate calcs'!AU2))+Data!$AK$15),IF($Y$1="PQ",'Net zero supporting data'!X100,IF($Y$1="GS",'Net zero supporting data'!X64,'Net zero supporting data'!X83)))</f>
        <v>28.081122206477136</v>
      </c>
      <c r="AV11" s="101">
        <f>IF($Y$1="Off",((Data!$AJ$15*LN('Net zero Intermediate calcs'!AV2))+Data!$AK$15),IF($Y$1="PQ",'Net zero supporting data'!Y100,IF($Y$1="GS",'Net zero supporting data'!Y64,'Net zero supporting data'!Y83)))</f>
        <v>27.763551742204051</v>
      </c>
      <c r="AW11" s="101">
        <f>IF($Y$1="Off",((Data!$AJ$15*LN('Net zero Intermediate calcs'!AW2))+Data!$AK$15),IF($Y$1="PQ",'Net zero supporting data'!Z100,IF($Y$1="GS",'Net zero supporting data'!Z64,'Net zero supporting data'!Z83)))</f>
        <v>27.45391461423446</v>
      </c>
      <c r="AX11" s="101">
        <f>IF($Y$1="Off",((Data!$AJ$15*LN('Net zero Intermediate calcs'!AX2))+Data!$AK$15),IF($Y$1="PQ",'Net zero supporting data'!AA100,IF($Y$1="GS",'Net zero supporting data'!AA64,'Net zero supporting data'!AA83)))</f>
        <v>27.151820076919073</v>
      </c>
      <c r="AY11" s="101">
        <f>IF($Y$1="Off",((Data!$AJ$15*LN('Net zero Intermediate calcs'!AY2))+Data!$AK$15),IF($Y$1="PQ",'Net zero supporting data'!AB100,IF($Y$1="GS",'Net zero supporting data'!AB64,'Net zero supporting data'!AB83)))</f>
        <v>26.8569060629186</v>
      </c>
      <c r="AZ11" s="101">
        <f>IF($Y$1="Off",((Data!$AJ$15*LN('Net zero Intermediate calcs'!AZ2))+Data!$AK$15),IF($Y$1="PQ",'Net zero supporting data'!AC100,IF($Y$1="GS",'Net zero supporting data'!AC64,'Net zero supporting data'!AC83)))</f>
        <v>26.568836431438047</v>
      </c>
      <c r="BA11" s="101">
        <f>IF($Y$1="Off",((Data!$AJ$15*LN('Net zero Intermediate calcs'!BA2))+Data!$AK$15),IF($Y$1="PQ",'Net zero supporting data'!AD100,IF($Y$1="GS",'Net zero supporting data'!AD64,'Net zero supporting data'!AD83)))</f>
        <v>26.287298539367189</v>
      </c>
      <c r="BB11" s="101">
        <f>IF($Y$1="Off",((Data!$AJ$15*LN('Net zero Intermediate calcs'!BB2))+Data!$AK$15),IF($Y$1="PQ",'Net zero supporting data'!AE100,IF($Y$1="GS",'Net zero supporting data'!AE64,'Net zero supporting data'!AE83)))</f>
        <v>26.012001090859165</v>
      </c>
      <c r="BC11" s="101">
        <f>IF($Y$1="Off",((Data!$AJ$15*LN('Net zero Intermediate calcs'!BC2))+Data!$AK$15),IF($Y$1="PQ",'Net zero supporting data'!AF100,IF($Y$1="GS",'Net zero supporting data'!AF64,'Net zero supporting data'!AF83)))</f>
        <v>25.742672227866628</v>
      </c>
      <c r="BD11" s="101">
        <f>IF($Y$1="Off",((Data!$AJ$15*LN('Net zero Intermediate calcs'!BD2))+Data!$AK$15),IF($Y$1="PQ",'Net zero supporting data'!AG100,IF($Y$1="GS",'Net zero supporting data'!AG64,'Net zero supporting data'!AG83)))</f>
        <v>25.479057829915334</v>
      </c>
      <c r="BE11" s="101">
        <f>IF($Y$1="Off",((Data!$AJ$15*LN('Net zero Intermediate calcs'!BE2))+Data!$AK$15),IF($Y$1="PQ",'Net zero supporting data'!AH100,IF($Y$1="GS",'Net zero supporting data'!AH64,'Net zero supporting data'!AH83)))</f>
        <v>25.220919996164682</v>
      </c>
      <c r="BF11" s="101">
        <f>IF($Y$1="Off",((Data!$AJ$15*LN('Net zero Intermediate calcs'!BF2))+Data!$AK$15),IF($Y$1="PQ",'Net zero supporting data'!AI100,IF($Y$1="GS",'Net zero supporting data'!AI64,'Net zero supporting data'!AI83)))</f>
        <v>24.968035686771785</v>
      </c>
      <c r="BG11" s="101">
        <f>IF($Y$1="Off",((Data!$AJ$15*LN('Net zero Intermediate calcs'!BG2))+Data!$AK$15),IF($Y$1="PQ",'Net zero supporting data'!AJ100,IF($Y$1="GS",'Net zero supporting data'!AJ64,'Net zero supporting data'!AJ83)))</f>
        <v>24.720195503888963</v>
      </c>
      <c r="BH11" s="101">
        <f>IF($Y$1="Off",((Data!$AJ$15*LN('Net zero Intermediate calcs'!BH2))+Data!$AK$15),IF($Y$1="PQ",'Net zero supporting data'!AK100,IF($Y$1="GS",'Net zero supporting data'!AK64,'Net zero supporting data'!AK83)))</f>
        <v>24.477202595402424</v>
      </c>
      <c r="BI11" s="101">
        <f>IF($Y$1="Off",((Data!$AJ$15*LN('Net zero Intermediate calcs'!BI2))+Data!$AK$15),IF($Y$1="PQ",'Net zero supporting data'!AL100,IF($Y$1="GS",'Net zero supporting data'!AL64,'Net zero supporting data'!AL83)))</f>
        <v>24.238871666858714</v>
      </c>
      <c r="BJ11" s="101">
        <f>IF($Y$1="Off",((Data!$AJ$15*LN('Net zero Intermediate calcs'!BJ2))+Data!$AK$15),IF($Y$1="PQ",'Net zero supporting data'!AM100,IF($Y$1="GS",'Net zero supporting data'!AM64,'Net zero supporting data'!AM83)))</f>
        <v>24.00502808900055</v>
      </c>
      <c r="BK11" s="101">
        <f>IF($Y$1="Off",((Data!$AJ$15*LN('Net zero Intermediate calcs'!BK2))+Data!$AK$15),IF($Y$1="PQ",'Net zero supporting data'!AN100,IF($Y$1="GS",'Net zero supporting data'!AN64,'Net zero supporting data'!AN83)))</f>
        <v>23.775507090008769</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1954947.2316851625</v>
      </c>
      <c r="Z12" s="22">
        <f>((Data!$AJ$6*'Net zero Intermediate calcs'!Z4)+Data!$AK$6)*Drivers!AA4</f>
        <v>1994965.5739095975</v>
      </c>
      <c r="AA12" s="22">
        <f>((Data!$AJ$6*'Net zero Intermediate calcs'!AA4)+Data!$AK$6)*Drivers!AB4</f>
        <v>2032023.5879034807</v>
      </c>
      <c r="AB12" s="22">
        <f>((Data!$AJ$6*'Net zero Intermediate calcs'!AB4)+Data!$AK$6)*Drivers!AC4</f>
        <v>2054654.7452131729</v>
      </c>
      <c r="AC12" s="22">
        <f>((Data!$AJ$6*'Net zero Intermediate calcs'!AC4)+Data!$AK$6)*Drivers!AD4</f>
        <v>2077982.440421666</v>
      </c>
      <c r="AD12" s="22">
        <f>((Data!$AJ$6*'Net zero Intermediate calcs'!AD4)+Data!$AK$6)*Drivers!AE4</f>
        <v>2117538.1425148984</v>
      </c>
      <c r="AE12" s="22">
        <f>((Data!$AJ$6*'Net zero Intermediate calcs'!AE4)+Data!$AK$6)*Drivers!AF4</f>
        <v>2152550.9933751053</v>
      </c>
      <c r="AF12" s="22">
        <f>((Data!$AJ$6*'Net zero Intermediate calcs'!AF4)+Data!$AK$6)*Drivers!AG4</f>
        <v>2170685.6033910401</v>
      </c>
      <c r="AG12" s="22">
        <f>((Data!$AJ$6*'Net zero Intermediate calcs'!AG4)+Data!$AK$6)*Drivers!AH4</f>
        <v>2112697.5344339008</v>
      </c>
      <c r="AH12" s="22">
        <f>((Data!$AJ$6*'Net zero Intermediate calcs'!AH4)+Data!$AK$6)*Drivers!AI4</f>
        <v>2165756.9465722474</v>
      </c>
      <c r="AI12" s="22">
        <f>((Data!$AJ$6*'Net zero Intermediate calcs'!AI4)+Data!$AK$6)*Drivers!AJ4</f>
        <v>2209794.1357682804</v>
      </c>
      <c r="AJ12" s="22">
        <f>((Data!$AJ$6*'Net zero Intermediate calcs'!AJ4)+Data!$AK$6)*Drivers!AK4</f>
        <v>2252095.7365848664</v>
      </c>
      <c r="AK12" s="22">
        <f>((Data!$AJ$6*'Net zero Intermediate calcs'!AK4)+Data!$AK$6)*Drivers!AL4</f>
        <v>2298492.4338421756</v>
      </c>
      <c r="AL12" s="22">
        <f>((Data!$AJ$6*'Net zero Intermediate calcs'!AL4)+Data!$AK$6)*Drivers!AM4</f>
        <v>2358222.4131576382</v>
      </c>
      <c r="AM12" s="22">
        <f>((Data!$AJ$6*'Net zero Intermediate calcs'!AM4)+Data!$AK$6)*Drivers!AN4</f>
        <v>2419848.2425787644</v>
      </c>
      <c r="AN12" s="22">
        <f>((Data!$AJ$6*'Net zero Intermediate calcs'!AN4)+Data!$AK$6)*Drivers!AO4</f>
        <v>2485586.8733863868</v>
      </c>
      <c r="AO12" s="22">
        <f>((Data!$AJ$6*'Net zero Intermediate calcs'!AO4)+Data!$AK$6)*Drivers!AP4</f>
        <v>2546834.8810890182</v>
      </c>
      <c r="AP12" s="22">
        <f>((Data!$AJ$6*'Net zero Intermediate calcs'!AP4)+Data!$AK$6)*Drivers!AQ4</f>
        <v>2614961.2032565763</v>
      </c>
      <c r="AQ12" s="22">
        <f>((Data!$AJ$6*'Net zero Intermediate calcs'!AQ4)+Data!$AK$6)*Drivers!AR4</f>
        <v>2691573.3833803767</v>
      </c>
      <c r="AR12" s="22">
        <f>((Data!$AJ$6*'Net zero Intermediate calcs'!AR4)+Data!$AK$6)*Drivers!AS4</f>
        <v>2766097.983129926</v>
      </c>
      <c r="AS12" s="22">
        <f>((Data!$AJ$6*'Net zero Intermediate calcs'!AS4)+Data!$AK$6)*Drivers!AT4</f>
        <v>2843967.2121689562</v>
      </c>
      <c r="AT12" s="22">
        <f>((Data!$AJ$6*'Net zero Intermediate calcs'!AT4)+Data!$AK$6)*Drivers!AU4</f>
        <v>2923998.639520776</v>
      </c>
      <c r="AU12" s="22">
        <f>((Data!$AJ$6*'Net zero Intermediate calcs'!AU4)+Data!$AK$6)*Drivers!AV4</f>
        <v>3011689.0903966683</v>
      </c>
      <c r="AV12" s="22">
        <f>((Data!$AJ$6*'Net zero Intermediate calcs'!AV4)+Data!$AK$6)*Drivers!AW4</f>
        <v>3092736.9387697573</v>
      </c>
      <c r="AW12" s="22">
        <f>((Data!$AJ$6*'Net zero Intermediate calcs'!AW4)+Data!$AK$6)*Drivers!AX4</f>
        <v>3176644.515058056</v>
      </c>
      <c r="AX12" s="22">
        <f>((Data!$AJ$6*'Net zero Intermediate calcs'!AX4)+Data!$AK$6)*Drivers!AY4</f>
        <v>3262639.0199772469</v>
      </c>
      <c r="AY12" s="22">
        <f>((Data!$AJ$6*'Net zero Intermediate calcs'!AY4)+Data!$AK$6)*Drivers!AZ4</f>
        <v>3346768.4512107838</v>
      </c>
      <c r="AZ12" s="22">
        <f>((Data!$AJ$6*'Net zero Intermediate calcs'!AZ4)+Data!$AK$6)*Drivers!BA4</f>
        <v>3431687.0788458847</v>
      </c>
      <c r="BA12" s="22">
        <f>((Data!$AJ$6*'Net zero Intermediate calcs'!BA4)+Data!$AK$6)*Drivers!BB4</f>
        <v>3519861.8788828966</v>
      </c>
      <c r="BB12" s="22">
        <f>((Data!$AJ$6*'Net zero Intermediate calcs'!BB4)+Data!$AK$6)*Drivers!BC4</f>
        <v>3610761.9935679962</v>
      </c>
      <c r="BC12" s="22">
        <f>((Data!$AJ$6*'Net zero Intermediate calcs'!BC4)+Data!$AK$6)*Drivers!BD4</f>
        <v>3698519.2123694308</v>
      </c>
      <c r="BD12" s="22">
        <f>((Data!$AJ$6*'Net zero Intermediate calcs'!BD4)+Data!$AK$6)*Drivers!BE4</f>
        <v>3788094.0238350825</v>
      </c>
      <c r="BE12" s="22">
        <f>((Data!$AJ$6*'Net zero Intermediate calcs'!BE4)+Data!$AK$6)*Drivers!BF4</f>
        <v>3879634.714817767</v>
      </c>
      <c r="BF12" s="22">
        <f>((Data!$AJ$6*'Net zero Intermediate calcs'!BF4)+Data!$AK$6)*Drivers!BG4</f>
        <v>3976810.1387036</v>
      </c>
      <c r="BG12" s="22">
        <f>((Data!$AJ$6*'Net zero Intermediate calcs'!BG4)+Data!$AK$6)*Drivers!BH4</f>
        <v>4075210.991251884</v>
      </c>
      <c r="BH12" s="22">
        <f>((Data!$AJ$6*'Net zero Intermediate calcs'!BH4)+Data!$AK$6)*Drivers!BI4</f>
        <v>4140250.1875814218</v>
      </c>
      <c r="BI12" s="22">
        <f>((Data!$AJ$6*'Net zero Intermediate calcs'!BI4)+Data!$AK$6)*Drivers!BJ4</f>
        <v>4203438.9276189627</v>
      </c>
      <c r="BJ12" s="22">
        <f>((Data!$AJ$6*'Net zero Intermediate calcs'!BJ4)+Data!$AK$6)*Drivers!BK4</f>
        <v>4271887.6032368336</v>
      </c>
      <c r="BK12" s="22">
        <f>((Data!$AJ$6*'Net zero Intermediate calcs'!BK4)+Data!$AK$6)*Drivers!BL4</f>
        <v>4338910.2859498346</v>
      </c>
      <c r="BL12">
        <v>3795265.5831033587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37.361319802001063</v>
      </c>
      <c r="Z13" s="51">
        <f>Z12*ttokg/Drivers!AA4</f>
        <v>37.566869837984136</v>
      </c>
      <c r="AA13" s="51">
        <f>AA12*ttokg/Drivers!AB4</f>
        <v>37.691233946844257</v>
      </c>
      <c r="AB13" s="51">
        <f>AB12*ttokg/Drivers!AC4</f>
        <v>37.527603689453805</v>
      </c>
      <c r="AC13" s="51">
        <f>AC12*ttokg/Drivers!AD4</f>
        <v>37.360385913196403</v>
      </c>
      <c r="AD13" s="51">
        <f>AD12*ttokg/Drivers!AE4</f>
        <v>37.463997896084443</v>
      </c>
      <c r="AE13" s="51">
        <f>AE12*ttokg/Drivers!AF4</f>
        <v>37.477383004393225</v>
      </c>
      <c r="AF13" s="51">
        <f>AF12*ttokg/Drivers!AG4</f>
        <v>37.191668687124803</v>
      </c>
      <c r="AG13" s="51">
        <f>AG12*ttokg/Drivers!AH4</f>
        <v>35.62205697738225</v>
      </c>
      <c r="AH13" s="51">
        <f>AH12*ttokg/Drivers!AI4</f>
        <v>36.101015015032402</v>
      </c>
      <c r="AI13" s="51">
        <f>AI12*ttokg/Drivers!AJ4</f>
        <v>36.415773698721601</v>
      </c>
      <c r="AJ13" s="51">
        <f>AJ12*ttokg/Drivers!AK4</f>
        <v>36.690413085680689</v>
      </c>
      <c r="AK13" s="51">
        <f>AK12*ttokg/Drivers!AL4</f>
        <v>37.020037945748292</v>
      </c>
      <c r="AL13" s="51">
        <f>AL12*ttokg/Drivers!AM4</f>
        <v>37.549708675779755</v>
      </c>
      <c r="AM13" s="51">
        <f>AM12*ttokg/Drivers!AN4</f>
        <v>38.155275846116169</v>
      </c>
      <c r="AN13" s="51">
        <f>AN12*ttokg/Drivers!AO4</f>
        <v>38.80968086066656</v>
      </c>
      <c r="AO13" s="51">
        <f>AO12*ttokg/Drivers!AP4</f>
        <v>39.37826450280879</v>
      </c>
      <c r="AP13" s="51">
        <f>AP12*ttokg/Drivers!AQ4</f>
        <v>40.037383700925766</v>
      </c>
      <c r="AQ13" s="51">
        <f>AQ12*ttokg/Drivers!AR4</f>
        <v>40.808564961633969</v>
      </c>
      <c r="AR13" s="51">
        <f>AR12*ttokg/Drivers!AS4</f>
        <v>41.583591629805852</v>
      </c>
      <c r="AS13" s="51">
        <f>AS12*ttokg/Drivers!AT4</f>
        <v>42.392434859257705</v>
      </c>
      <c r="AT13" s="51">
        <f>AT12*ttokg/Drivers!AU4</f>
        <v>43.216568682555007</v>
      </c>
      <c r="AU13" s="51">
        <f>AU12*ttokg/Drivers!AV4</f>
        <v>44.135961326932012</v>
      </c>
      <c r="AV13" s="51">
        <f>AV12*ttokg/Drivers!AW4</f>
        <v>44.940176656649989</v>
      </c>
      <c r="AW13" s="51">
        <f>AW12*ttokg/Drivers!AX4</f>
        <v>45.823942979699936</v>
      </c>
      <c r="AX13" s="51">
        <f>AX12*ttokg/Drivers!AY4</f>
        <v>46.722374795886587</v>
      </c>
      <c r="AY13" s="51">
        <f>AY12*ttokg/Drivers!AZ4</f>
        <v>47.578812013317211</v>
      </c>
      <c r="AZ13" s="51">
        <f>AZ12*ttokg/Drivers!BA4</f>
        <v>48.43147007741841</v>
      </c>
      <c r="BA13" s="51">
        <f>BA12*ttokg/Drivers!BB4</f>
        <v>49.31484117045882</v>
      </c>
      <c r="BB13" s="51">
        <f>BB12*ttokg/Drivers!BC4</f>
        <v>50.276130977662092</v>
      </c>
      <c r="BC13" s="51">
        <f>BC12*ttokg/Drivers!BD4</f>
        <v>51.180183089603013</v>
      </c>
      <c r="BD13" s="51">
        <f>BD12*ttokg/Drivers!BE4</f>
        <v>52.09615557792651</v>
      </c>
      <c r="BE13" s="51">
        <f>BE12*ttokg/Drivers!BF4</f>
        <v>53.025739286549133</v>
      </c>
      <c r="BF13" s="51">
        <f>BF12*ttokg/Drivers!BG4</f>
        <v>54.018400747861193</v>
      </c>
      <c r="BG13" s="51">
        <f>BG12*ttokg/Drivers!BH4</f>
        <v>55.07387059142814</v>
      </c>
      <c r="BH13" s="51">
        <f>BH12*ttokg/Drivers!BI4</f>
        <v>55.668654168056278</v>
      </c>
      <c r="BI13" s="51">
        <f>BI12*ttokg/Drivers!BJ4</f>
        <v>56.231221032172783</v>
      </c>
      <c r="BJ13" s="51">
        <f>BJ12*ttokg/Drivers!BK4</f>
        <v>56.856644506229188</v>
      </c>
      <c r="BK13" s="51">
        <f>BK12*ttokg/Drivers!BL4</f>
        <v>57.455381688995594</v>
      </c>
      <c r="BL13">
        <v>50.256436652233361</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((Data!$AJ$6*LN('Net zero Intermediate calcs'!Y4))+Data!$AK$6)</f>
        <v>1.7973706349476766E-2</v>
      </c>
      <c r="Z14" s="22">
        <f>((Data!$AJ$6*LN('Net zero Intermediate calcs'!Z4))+Data!$AK$6)</f>
        <v>1.7977412659182793E-2</v>
      </c>
      <c r="AA14" s="22">
        <f>((Data!$AJ$6*LN('Net zero Intermediate calcs'!AA4))+Data!$AK$6)</f>
        <v>1.7979637610300706E-2</v>
      </c>
      <c r="AB14" s="22">
        <f>((Data!$AJ$6*LN('Net zero Intermediate calcs'!AB4))+Data!$AK$6)</f>
        <v>1.797670744039313E-2</v>
      </c>
      <c r="AC14" s="22">
        <f>((Data!$AJ$6*LN('Net zero Intermediate calcs'!AC4))+Data!$AK$6)</f>
        <v>1.7973689427338582E-2</v>
      </c>
      <c r="AD14" s="22">
        <f>((Data!$AJ$6*LN('Net zero Intermediate calcs'!AD4))+Data!$AK$6)</f>
        <v>1.7975562289310215E-2</v>
      </c>
      <c r="AE14" s="22">
        <f>((Data!$AJ$6*LN('Net zero Intermediate calcs'!AE4))+Data!$AK$6)</f>
        <v>1.7975803560948248E-2</v>
      </c>
      <c r="AF14" s="22">
        <f>((Data!$AJ$6*LN('Net zero Intermediate calcs'!AF4))+Data!$AK$6)</f>
        <v>1.7970619786608404E-2</v>
      </c>
      <c r="AG14" s="22">
        <f>((Data!$AJ$6*LN('Net zero Intermediate calcs'!AG4))+Data!$AK$6)</f>
        <v>1.7940803045012072E-2</v>
      </c>
      <c r="AH14" s="22">
        <f>((Data!$AJ$6*LN('Net zero Intermediate calcs'!AH4))+Data!$AK$6)</f>
        <v>1.7950152759581176E-2</v>
      </c>
      <c r="AI14" s="22">
        <f>((Data!$AJ$6*LN('Net zero Intermediate calcs'!AI4))+Data!$AK$6)</f>
        <v>1.7956173839572161E-2</v>
      </c>
      <c r="AJ14" s="22">
        <f>((Data!$AJ$6*LN('Net zero Intermediate calcs'!AJ4))+Data!$AK$6)</f>
        <v>1.7961350409768675E-2</v>
      </c>
      <c r="AK14" s="22">
        <f>((Data!$AJ$6*LN('Net zero Intermediate calcs'!AK4))+Data!$AK$6)</f>
        <v>1.7967471405056574E-2</v>
      </c>
      <c r="AL14" s="22">
        <f>((Data!$AJ$6*LN('Net zero Intermediate calcs'!AL4))+Data!$AK$6)</f>
        <v>1.7977104606739288E-2</v>
      </c>
      <c r="AM14" s="22">
        <f>((Data!$AJ$6*LN('Net zero Intermediate calcs'!AM4))+Data!$AK$6)</f>
        <v>1.7987826135490208E-2</v>
      </c>
      <c r="AN14" s="22">
        <f>((Data!$AJ$6*LN('Net zero Intermediate calcs'!AN4))+Data!$AK$6)</f>
        <v>1.7999081056627793E-2</v>
      </c>
      <c r="AO14" s="22">
        <f>((Data!$AJ$6*LN('Net zero Intermediate calcs'!AO4))+Data!$AK$6)</f>
        <v>1.8008595634268501E-2</v>
      </c>
      <c r="AP14" s="22">
        <f>((Data!$AJ$6*LN('Net zero Intermediate calcs'!AP4))+Data!$AK$6)</f>
        <v>1.8019334210876228E-2</v>
      </c>
      <c r="AQ14" s="22">
        <f>((Data!$AJ$6*LN('Net zero Intermediate calcs'!AQ4))+Data!$AK$6)</f>
        <v>1.8031523892722168E-2</v>
      </c>
      <c r="AR14" s="22">
        <f>((Data!$AJ$6*LN('Net zero Intermediate calcs'!AR4))+Data!$AK$6)</f>
        <v>1.8043391514264991E-2</v>
      </c>
      <c r="AS14" s="22">
        <f>((Data!$AJ$6*LN('Net zero Intermediate calcs'!AS4))+Data!$AK$6)</f>
        <v>1.8055392837274399E-2</v>
      </c>
      <c r="AT14" s="22">
        <f>((Data!$AJ$6*LN('Net zero Intermediate calcs'!AT4))+Data!$AK$6)</f>
        <v>1.8067242107824975E-2</v>
      </c>
      <c r="AU14" s="22">
        <f>((Data!$AJ$6*LN('Net zero Intermediate calcs'!AU4))+Data!$AK$6)</f>
        <v>1.8080037843123481E-2</v>
      </c>
      <c r="AV14" s="22">
        <f>((Data!$AJ$6*LN('Net zero Intermediate calcs'!AV4))+Data!$AK$6)</f>
        <v>1.8090886826228485E-2</v>
      </c>
      <c r="AW14" s="22">
        <f>((Data!$AJ$6*LN('Net zero Intermediate calcs'!AW4))+Data!$AK$6)</f>
        <v>1.8102461234995228E-2</v>
      </c>
      <c r="AX14" s="22">
        <f>((Data!$AJ$6*LN('Net zero Intermediate calcs'!AX4))+Data!$AK$6)</f>
        <v>1.8113876062169229E-2</v>
      </c>
      <c r="AY14" s="22">
        <f>((Data!$AJ$6*LN('Net zero Intermediate calcs'!AY4))+Data!$AK$6)</f>
        <v>1.8124446187594921E-2</v>
      </c>
      <c r="AZ14" s="22">
        <f>((Data!$AJ$6*LN('Net zero Intermediate calcs'!AZ4))+Data!$AK$6)</f>
        <v>1.8134684603359204E-2</v>
      </c>
      <c r="BA14" s="22">
        <f>((Data!$AJ$6*LN('Net zero Intermediate calcs'!BA4))+Data!$AK$6)</f>
        <v>1.8145007812695711E-2</v>
      </c>
      <c r="BB14" s="22">
        <f>((Data!$AJ$6*LN('Net zero Intermediate calcs'!BB4))+Data!$AK$6)</f>
        <v>1.8155930908174214E-2</v>
      </c>
      <c r="BC14" s="22">
        <f>((Data!$AJ$6*LN('Net zero Intermediate calcs'!BC4))+Data!$AK$6)</f>
        <v>1.8165923957010929E-2</v>
      </c>
      <c r="BD14" s="22">
        <f>((Data!$AJ$6*LN('Net zero Intermediate calcs'!BD4))+Data!$AK$6)</f>
        <v>1.8175786881275219E-2</v>
      </c>
      <c r="BE14" s="22">
        <f>((Data!$AJ$6*LN('Net zero Intermediate calcs'!BE4))+Data!$AK$6)</f>
        <v>1.8185540542337505E-2</v>
      </c>
      <c r="BF14" s="22">
        <f>((Data!$AJ$6*LN('Net zero Intermediate calcs'!BF4))+Data!$AK$6)</f>
        <v>1.8195686031303959E-2</v>
      </c>
      <c r="BG14" s="22">
        <f>((Data!$AJ$6*LN('Net zero Intermediate calcs'!BG4))+Data!$AK$6)</f>
        <v>1.8206183486620935E-2</v>
      </c>
      <c r="BH14" s="22">
        <f>((Data!$AJ$6*LN('Net zero Intermediate calcs'!BH4))+Data!$AK$6)</f>
        <v>1.8211973383137386E-2</v>
      </c>
      <c r="BI14" s="22">
        <f>((Data!$AJ$6*LN('Net zero Intermediate calcs'!BI4))+Data!$AK$6)</f>
        <v>1.821736941707789E-2</v>
      </c>
      <c r="BJ14" s="22">
        <f>((Data!$AJ$6*LN('Net zero Intermediate calcs'!BJ4))+Data!$AK$6)</f>
        <v>1.8223279495122566E-2</v>
      </c>
      <c r="BK14" s="22">
        <f>((Data!$AJ$6*LN('Net zero Intermediate calcs'!BK4))+Data!$AK$6)</f>
        <v>1.8228852297949572E-2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2858592.3579480099</v>
      </c>
      <c r="Z15" s="22">
        <f>((Data!$AJ$17*'Net zero Intermediate calcs'!Z12)+Data!$AK$17)</f>
        <v>2902378.5252225883</v>
      </c>
      <c r="AA15" s="22">
        <f>((Data!$AJ$17*'Net zero Intermediate calcs'!AA12)+Data!$AK$17)</f>
        <v>2942925.6421046332</v>
      </c>
      <c r="AB15" s="22">
        <f>((Data!$AJ$17*'Net zero Intermediate calcs'!AB12)+Data!$AK$17)</f>
        <v>2967687.5783693101</v>
      </c>
      <c r="AC15" s="22">
        <f>((Data!$AJ$17*'Net zero Intermediate calcs'!AC12)+Data!$AK$17)</f>
        <v>2993211.6332839532</v>
      </c>
      <c r="AD15" s="22">
        <f>((Data!$AJ$17*'Net zero Intermediate calcs'!AD12)+Data!$AK$17)</f>
        <v>3036491.6017245287</v>
      </c>
      <c r="AE15" s="22">
        <f>((Data!$AJ$17*'Net zero Intermediate calcs'!AE12)+Data!$AK$17)</f>
        <v>3074800.9983488796</v>
      </c>
      <c r="AF15" s="22">
        <f>((Data!$AJ$17*'Net zero Intermediate calcs'!AF12)+Data!$AK$17)</f>
        <v>3094643.0263660252</v>
      </c>
      <c r="AG15" s="22">
        <f>((Data!$AJ$17*'Net zero Intermediate calcs'!AG12)+Data!$AK$17)</f>
        <v>3031195.2385229608</v>
      </c>
      <c r="AH15" s="22">
        <f>((Data!$AJ$17*'Net zero Intermediate calcs'!AH12)+Data!$AK$17)</f>
        <v>3089250.3244220931</v>
      </c>
      <c r="AI15" s="22">
        <f>((Data!$AJ$17*'Net zero Intermediate calcs'!AI12)+Data!$AK$17)</f>
        <v>3137433.7229653345</v>
      </c>
      <c r="AJ15" s="22">
        <f>((Data!$AJ$17*'Net zero Intermediate calcs'!AJ12)+Data!$AK$17)</f>
        <v>3183718.1232273355</v>
      </c>
      <c r="AK15" s="22">
        <f>((Data!$AJ$17*'Net zero Intermediate calcs'!AK12)+Data!$AK$17)</f>
        <v>3234483.1833016155</v>
      </c>
      <c r="AL15" s="22">
        <f>((Data!$AJ$17*'Net zero Intermediate calcs'!AL12)+Data!$AK$17)</f>
        <v>3299836.8866346097</v>
      </c>
      <c r="AM15" s="22">
        <f>((Data!$AJ$17*'Net zero Intermediate calcs'!AM12)+Data!$AK$17)</f>
        <v>3367264.9390095649</v>
      </c>
      <c r="AN15" s="22">
        <f>((Data!$AJ$17*'Net zero Intermediate calcs'!AN12)+Data!$AK$17)</f>
        <v>3439193.0231066309</v>
      </c>
      <c r="AO15" s="22">
        <f>((Data!$AJ$17*'Net zero Intermediate calcs'!AO12)+Data!$AK$17)</f>
        <v>3506207.6809218312</v>
      </c>
      <c r="AP15" s="22">
        <f>((Data!$AJ$17*'Net zero Intermediate calcs'!AP12)+Data!$AK$17)</f>
        <v>3580748.263375273</v>
      </c>
      <c r="AQ15" s="22">
        <f>((Data!$AJ$17*'Net zero Intermediate calcs'!AQ12)+Data!$AK$17)</f>
        <v>3664573.6681198655</v>
      </c>
      <c r="AR15" s="22">
        <f>((Data!$AJ$17*'Net zero Intermediate calcs'!AR12)+Data!$AK$17)</f>
        <v>3746114.9416789766</v>
      </c>
      <c r="AS15" s="22">
        <f>((Data!$AJ$17*'Net zero Intermediate calcs'!AS12)+Data!$AK$17)</f>
        <v>3831315.7495766003</v>
      </c>
      <c r="AT15" s="22">
        <f>((Data!$AJ$17*'Net zero Intermediate calcs'!AT12)+Data!$AK$17)</f>
        <v>3918882.3320601294</v>
      </c>
      <c r="AU15" s="22">
        <f>((Data!$AJ$17*'Net zero Intermediate calcs'!AU12)+Data!$AK$17)</f>
        <v>4014829.0539133549</v>
      </c>
      <c r="AV15" s="22">
        <f>((Data!$AJ$17*'Net zero Intermediate calcs'!AV12)+Data!$AK$17)</f>
        <v>4103507.75594969</v>
      </c>
      <c r="AW15" s="22">
        <f>((Data!$AJ$17*'Net zero Intermediate calcs'!AW12)+Data!$AK$17)</f>
        <v>4195315.4362968439</v>
      </c>
      <c r="AX15" s="22">
        <f>((Data!$AJ$17*'Net zero Intermediate calcs'!AX12)+Data!$AK$17)</f>
        <v>4289406.5347228833</v>
      </c>
      <c r="AY15" s="22">
        <f>((Data!$AJ$17*'Net zero Intermediate calcs'!AY12)+Data!$AK$17)</f>
        <v>4381456.9582023844</v>
      </c>
      <c r="AZ15" s="22">
        <f>((Data!$AJ$17*'Net zero Intermediate calcs'!AZ12)+Data!$AK$17)</f>
        <v>4474370.8828598587</v>
      </c>
      <c r="BA15" s="22">
        <f>((Data!$AJ$17*'Net zero Intermediate calcs'!BA12)+Data!$AK$17)</f>
        <v>4570847.5565354042</v>
      </c>
      <c r="BB15" s="22">
        <f>((Data!$AJ$17*'Net zero Intermediate calcs'!BB12)+Data!$AK$17)</f>
        <v>4670306.1399159497</v>
      </c>
      <c r="BC15" s="22">
        <f>((Data!$AJ$17*'Net zero Intermediate calcs'!BC12)+Data!$AK$17)</f>
        <v>4766325.9160586298</v>
      </c>
      <c r="BD15" s="22">
        <f>((Data!$AJ$17*'Net zero Intermediate calcs'!BD12)+Data!$AK$17)</f>
        <v>4864334.4156718152</v>
      </c>
      <c r="BE15" s="22">
        <f>((Data!$AJ$17*'Net zero Intermediate calcs'!BE12)+Data!$AK$17)</f>
        <v>4964493.8871791316</v>
      </c>
      <c r="BF15" s="22">
        <f>((Data!$AJ$17*'Net zero Intermediate calcs'!BF12)+Data!$AK$17)</f>
        <v>5070818.6155094607</v>
      </c>
      <c r="BG15" s="22">
        <f>((Data!$AJ$17*'Net zero Intermediate calcs'!BG12)+Data!$AK$17)</f>
        <v>5178484.1496157059</v>
      </c>
      <c r="BH15" s="22">
        <f>((Data!$AJ$17*'Net zero Intermediate calcs'!BH12)+Data!$AK$17)</f>
        <v>5249646.9457634799</v>
      </c>
      <c r="BI15" s="22">
        <f>((Data!$AJ$17*'Net zero Intermediate calcs'!BI12)+Data!$AK$17)</f>
        <v>5318785.0606218269</v>
      </c>
      <c r="BJ15" s="22">
        <f>((Data!$AJ$17*'Net zero Intermediate calcs'!BJ12)+Data!$AK$17)</f>
        <v>5393678.3468933767</v>
      </c>
      <c r="BK15" s="22">
        <f>((Data!$AJ$17*'Net zero Intermediate calcs'!BK12)+Data!$AK$17)</f>
        <v>5467011.3795313602</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101">
        <f>IF($Y$1="Off",((Data!$AJ$18*LN('Net zero Intermediate calcs'!Y2))+Data!$AK$18),IF($Y$1="PQ",('Net zero supporting data'!B99),IF($Y$1="GS",('Net zero supporting data'!B63),'Net zero supporting data'!B82)))</f>
        <v>0.59036032260533733</v>
      </c>
      <c r="Z16" s="101">
        <f>IF($Y$1="Off",((Data!$AJ$18*LN('Net zero Intermediate calcs'!Z2))+Data!$AK$18),IF($Y$1="PQ",('Net zero supporting data'!C99),IF($Y$1="GS",('Net zero supporting data'!C63),'Net zero supporting data'!C82)))</f>
        <v>0.58537997662592556</v>
      </c>
      <c r="AA16" s="101">
        <f>IF($Y$1="Off",((Data!$AJ$18*LN('Net zero Intermediate calcs'!AA2))+Data!$AK$18),IF($Y$1="PQ",('Net zero supporting data'!D99),IF($Y$1="GS",('Net zero supporting data'!D63),'Net zero supporting data'!D82)))</f>
        <v>0.58070166069623075</v>
      </c>
      <c r="AB16" s="101">
        <f>IF($Y$1="Off",((Data!$AJ$18*LN('Net zero Intermediate calcs'!AB2))+Data!$AK$18),IF($Y$1="PQ",('Net zero supporting data'!E99),IF($Y$1="GS",('Net zero supporting data'!E63),'Net zero supporting data'!E82)))</f>
        <v>0.57629082711126922</v>
      </c>
      <c r="AC16" s="101">
        <f>IF($Y$1="Off",((Data!$AJ$18*LN('Net zero Intermediate calcs'!AC2))+Data!$AK$18),IF($Y$1="PQ",('Net zero supporting data'!F99),IF($Y$1="GS",('Net zero supporting data'!F63),'Net zero supporting data'!F82)))</f>
        <v>0.57211853646492172</v>
      </c>
      <c r="AD16" s="101">
        <f>IF($Y$1="Off",((Data!$AJ$18*LN('Net zero Intermediate calcs'!AD2))+Data!$AK$18),IF($Y$1="PQ",('Net zero supporting data'!G99),IF($Y$1="GS",('Net zero supporting data'!G63),'Net zero supporting data'!G82)))</f>
        <v>0.56816030581489985</v>
      </c>
      <c r="AE16" s="101">
        <f>IF($Y$1="Off",((Data!$AJ$18*LN('Net zero Intermediate calcs'!AE2))+Data!$AK$18),IF($Y$1="PQ",('Net zero supporting data'!H99),IF($Y$1="GS",('Net zero supporting data'!H63),'Net zero supporting data'!H82)))</f>
        <v>0.56439523816734538</v>
      </c>
      <c r="AF16" s="101">
        <f>IF($Y$1="Off",((Data!$AJ$18*LN('Net zero Intermediate calcs'!AF2))+Data!$AK$18),IF($Y$1="PQ",('Net zero supporting data'!I99),IF($Y$1="GS",('Net zero supporting data'!I63),'Net zero supporting data'!I82)))</f>
        <v>0.56080535465675874</v>
      </c>
      <c r="AG16" s="101">
        <f>IF($Y$1="Off",((Data!$AJ$18*LN('Net zero Intermediate calcs'!AG2))+Data!$AK$18),IF($Y$1="PQ",('Net zero supporting data'!J99),IF($Y$1="GS",('Net zero supporting data'!J63),'Net zero supporting data'!J82)))</f>
        <v>0.5573750752965374</v>
      </c>
      <c r="AH16" s="101">
        <f>IF($Y$1="Off",((Data!$AJ$18*LN('Net zero Intermediate calcs'!AH2))+Data!$AK$18),IF($Y$1="PQ",('Net zero supporting data'!K99),IF($Y$1="GS",('Net zero supporting data'!K63),'Net zero supporting data'!K82)))</f>
        <v>0.54965808383826509</v>
      </c>
      <c r="AI16" s="101">
        <f>IF($Y$1="Off",((Data!$AJ$18*LN('Net zero Intermediate calcs'!AI2))+Data!$AK$18),IF($Y$1="PQ",('Net zero supporting data'!L99),IF($Y$1="GS",('Net zero supporting data'!L63),'Net zero supporting data'!L82)))</f>
        <v>0.54212558484381212</v>
      </c>
      <c r="AJ16" s="101">
        <f>IF($Y$1="Off",((Data!$AJ$18*LN('Net zero Intermediate calcs'!AJ2))+Data!$AK$18),IF($Y$1="PQ",('Net zero supporting data'!M99),IF($Y$1="GS",('Net zero supporting data'!M63),'Net zero supporting data'!M82)))</f>
        <v>0.53476409161581684</v>
      </c>
      <c r="AK16" s="101">
        <f>IF($Y$1="Off",((Data!$AJ$18*LN('Net zero Intermediate calcs'!AK2))+Data!$AK$18),IF($Y$1="PQ",('Net zero supporting data'!N99),IF($Y$1="GS",('Net zero supporting data'!N63),'Net zero supporting data'!N82)))</f>
        <v>0.52756160766037774</v>
      </c>
      <c r="AL16" s="101">
        <f>IF($Y$1="Off",((Data!$AJ$18*LN('Net zero Intermediate calcs'!AL2))+Data!$AK$18),IF($Y$1="PQ",('Net zero supporting data'!O99),IF($Y$1="GS",('Net zero supporting data'!O63),'Net zero supporting data'!O82)))</f>
        <v>0.52050741252183164</v>
      </c>
      <c r="AM16" s="101">
        <f>IF($Y$1="Off",((Data!$AJ$18*LN('Net zero Intermediate calcs'!AM2))+Data!$AK$18),IF($Y$1="PQ",('Net zero supporting data'!P99),IF($Y$1="GS",('Net zero supporting data'!P63),'Net zero supporting data'!P82)))</f>
        <v>0.51359188492897778</v>
      </c>
      <c r="AN16" s="101">
        <f>IF($Y$1="Off",((Data!$AJ$18*LN('Net zero Intermediate calcs'!AN2))+Data!$AK$18),IF($Y$1="PQ",('Net zero supporting data'!Q99),IF($Y$1="GS",('Net zero supporting data'!Q63),'Net zero supporting data'!Q82)))</f>
        <v>0.50680635569725696</v>
      </c>
      <c r="AO16" s="101">
        <f>IF($Y$1="Off",((Data!$AJ$18*LN('Net zero Intermediate calcs'!AO2))+Data!$AK$18),IF($Y$1="PQ",('Net zero supporting data'!R99),IF($Y$1="GS",('Net zero supporting data'!R63),'Net zero supporting data'!R82)))</f>
        <v>0.50014298456044559</v>
      </c>
      <c r="AP16" s="101">
        <f>IF($Y$1="Off",((Data!$AJ$18*LN('Net zero Intermediate calcs'!AP2))+Data!$AK$18),IF($Y$1="PQ",('Net zero supporting data'!S99),IF($Y$1="GS",('Net zero supporting data'!S63),'Net zero supporting data'!S82)))</f>
        <v>0.49359465639620581</v>
      </c>
      <c r="AQ16" s="101">
        <f>IF($Y$1="Off",((Data!$AJ$18*LN('Net zero Intermediate calcs'!AQ2))+Data!$AK$18),IF($Y$1="PQ",('Net zero supporting data'!T99),IF($Y$1="GS",('Net zero supporting data'!T63),'Net zero supporting data'!T82)))</f>
        <v>0.48715489328353184</v>
      </c>
      <c r="AR16" s="101">
        <f>IF($Y$1="Off",((Data!$AJ$18*LN('Net zero Intermediate calcs'!AR2))+Data!$AK$18),IF($Y$1="PQ",('Net zero supporting data'!U99),IF($Y$1="GS",('Net zero supporting data'!U63),'Net zero supporting data'!U82)))</f>
        <v>0.48424466067624239</v>
      </c>
      <c r="AS16" s="101">
        <f>IF($Y$1="Off",((Data!$AJ$18*LN('Net zero Intermediate calcs'!AS2))+Data!$AK$18),IF($Y$1="PQ",('Net zero supporting data'!V99),IF($Y$1="GS",('Net zero supporting data'!V63),'Net zero supporting data'!V82)))</f>
        <v>0.48140257986891394</v>
      </c>
      <c r="AT16" s="101">
        <f>IF($Y$1="Off",((Data!$AJ$18*LN('Net zero Intermediate calcs'!AT2))+Data!$AK$18),IF($Y$1="PQ",('Net zero supporting data'!W99),IF($Y$1="GS",('Net zero supporting data'!W63),'Net zero supporting data'!W82)))</f>
        <v>0.47862490509640809</v>
      </c>
      <c r="AU16" s="101">
        <f>IF($Y$1="Off",((Data!$AJ$18*LN('Net zero Intermediate calcs'!AU2))+Data!$AK$18),IF($Y$1="PQ",('Net zero supporting data'!X99),IF($Y$1="GS",('Net zero supporting data'!X63),'Net zero supporting data'!X82)))</f>
        <v>0.47590819595315087</v>
      </c>
      <c r="AV16" s="101">
        <f>IF($Y$1="Off",((Data!$AJ$18*LN('Net zero Intermediate calcs'!AV2))+Data!$AK$18),IF($Y$1="PQ",('Net zero supporting data'!Y99),IF($Y$1="GS",('Net zero supporting data'!Y63),'Net zero supporting data'!Y82)))</f>
        <v>0.4732492849495688</v>
      </c>
      <c r="AW16" s="101">
        <f>IF($Y$1="Off",((Data!$AJ$18*LN('Net zero Intermediate calcs'!AW2))+Data!$AK$18),IF($Y$1="PQ",('Net zero supporting data'!Z99),IF($Y$1="GS",('Net zero supporting data'!Z63),'Net zero supporting data'!Z82)))</f>
        <v>0.47064524927270812</v>
      </c>
      <c r="AX16" s="101">
        <f>IF($Y$1="Off",((Data!$AJ$18*LN('Net zero Intermediate calcs'!AX2))+Data!$AK$18),IF($Y$1="PQ",('Net zero supporting data'!AA99),IF($Y$1="GS",('Net zero supporting data'!AA63),'Net zero supporting data'!AA82)))</f>
        <v>0.46809338611326562</v>
      </c>
      <c r="AY16" s="101">
        <f>IF($Y$1="Off",((Data!$AJ$18*LN('Net zero Intermediate calcs'!AY2))+Data!$AK$18),IF($Y$1="PQ",('Net zero supporting data'!AB99),IF($Y$1="GS",('Net zero supporting data'!AB63),'Net zero supporting data'!AB82)))</f>
        <v>0.46559119103139651</v>
      </c>
      <c r="AZ16" s="101">
        <f>IF($Y$1="Off",((Data!$AJ$18*LN('Net zero Intermediate calcs'!AZ2))+Data!$AK$18),IF($Y$1="PQ",('Net zero supporting data'!AC99),IF($Y$1="GS",('Net zero supporting data'!AC63),'Net zero supporting data'!AC82)))</f>
        <v>0.46313633892259948</v>
      </c>
      <c r="BA16" s="101">
        <f>IF($Y$1="Off",((Data!$AJ$18*LN('Net zero Intermediate calcs'!BA2))+Data!$AK$18),IF($Y$1="PQ",('Net zero supporting data'!AD99),IF($Y$1="GS",('Net zero supporting data'!AD63),'Net zero supporting data'!AD82)))</f>
        <v>0.46072666721716049</v>
      </c>
      <c r="BB16" s="101">
        <f>IF($Y$1="Off",((Data!$AJ$18*LN('Net zero Intermediate calcs'!BB2))+Data!$AK$18),IF($Y$1="PQ",('Net zero supporting data'!AE99),IF($Y$1="GS",('Net zero supporting data'!AE63),'Net zero supporting data'!AE82)))</f>
        <v>0.45836016100556898</v>
      </c>
      <c r="BC16" s="101">
        <f>IF($Y$1="Off",((Data!$AJ$18*LN('Net zero Intermediate calcs'!BC2))+Data!$AK$18),IF($Y$1="PQ",('Net zero supporting data'!AF99),IF($Y$1="GS",('Net zero supporting data'!AF63),'Net zero supporting data'!AF82)))</f>
        <v>0.45603493983065041</v>
      </c>
      <c r="BD16" s="101">
        <f>IF($Y$1="Off",((Data!$AJ$18*LN('Net zero Intermediate calcs'!BD2))+Data!$AK$18),IF($Y$1="PQ",('Net zero supporting data'!AG99),IF($Y$1="GS",('Net zero supporting data'!AG63),'Net zero supporting data'!AG82)))</f>
        <v>0.453749245927006</v>
      </c>
      <c r="BE16" s="101">
        <f>IF($Y$1="Off",((Data!$AJ$18*LN('Net zero Intermediate calcs'!BE2))+Data!$AK$18),IF($Y$1="PQ",('Net zero supporting data'!AH99),IF($Y$1="GS",('Net zero supporting data'!AH63),'Net zero supporting data'!AH82)))</f>
        <v>0.45150143372134133</v>
      </c>
      <c r="BF16" s="101">
        <f>IF($Y$1="Off",((Data!$AJ$18*LN('Net zero Intermediate calcs'!BF2))+Data!$AK$18),IF($Y$1="PQ",('Net zero supporting data'!AI99),IF($Y$1="GS",('Net zero supporting data'!AI63),'Net zero supporting data'!AI82)))</f>
        <v>0.44928996043470693</v>
      </c>
      <c r="BG16" s="101">
        <f>IF($Y$1="Off",((Data!$AJ$18*LN('Net zero Intermediate calcs'!BG2))+Data!$AK$18),IF($Y$1="PQ",('Net zero supporting data'!AJ99),IF($Y$1="GS",('Net zero supporting data'!AJ63),'Net zero supporting data'!AJ82)))</f>
        <v>0.44711337765058967</v>
      </c>
      <c r="BH16" s="101">
        <f>IF($Y$1="Off",((Data!$AJ$18*LN('Net zero Intermediate calcs'!BH2))+Data!$AK$18),IF($Y$1="PQ",('Net zero supporting data'!AK99),IF($Y$1="GS",('Net zero supporting data'!AK63),'Net zero supporting data'!AK82)))</f>
        <v>0.44497032373201256</v>
      </c>
      <c r="BI16" s="101">
        <f>IF($Y$1="Off",((Data!$AJ$18*LN('Net zero Intermediate calcs'!BI2))+Data!$AK$18),IF($Y$1="PQ",('Net zero supporting data'!AL99),IF($Y$1="GS",('Net zero supporting data'!AL63),'Net zero supporting data'!AL82)))</f>
        <v>0.44285951698697568</v>
      </c>
      <c r="BJ16" s="101">
        <f>IF($Y$1="Off",((Data!$AJ$18*LN('Net zero Intermediate calcs'!BJ2))+Data!$AK$18),IF($Y$1="PQ",('Net zero supporting data'!AM99),IF($Y$1="GS",('Net zero supporting data'!AM63),'Net zero supporting data'!AM82)))</f>
        <v>0.44077974949523197</v>
      </c>
      <c r="BK16" s="101">
        <f>IF($Y$1="Off",((Data!$AJ$18*LN('Net zero Intermediate calcs'!BK2))+Data!$AK$18),IF($Y$1="PQ",('Net zero supporting data'!AN99),IF($Y$1="GS",('Net zero supporting data'!AN63),'Net zero supporting data'!AN82)))</f>
        <v>0.43872988152097986</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163459.89246766997</v>
      </c>
      <c r="Z18" s="22">
        <f t="shared" si="3"/>
        <v>165060.86789352147</v>
      </c>
      <c r="AA18" s="22">
        <f t="shared" si="3"/>
        <v>166717.6249808867</v>
      </c>
      <c r="AB18" s="22">
        <f t="shared" si="3"/>
        <v>168422.43716144172</v>
      </c>
      <c r="AC18" s="22">
        <f t="shared" si="3"/>
        <v>170190.83332314037</v>
      </c>
      <c r="AD18" s="22">
        <f t="shared" si="3"/>
        <v>172038.81534912848</v>
      </c>
      <c r="AE18" s="22">
        <f t="shared" si="3"/>
        <v>173907.06077521536</v>
      </c>
      <c r="AF18" s="22">
        <f t="shared" si="3"/>
        <v>175790.3355834824</v>
      </c>
      <c r="AG18" s="22">
        <f t="shared" si="3"/>
        <v>177637.55554350026</v>
      </c>
      <c r="AH18" s="22">
        <f t="shared" si="3"/>
        <v>179023.39235458418</v>
      </c>
      <c r="AI18" s="22">
        <f t="shared" si="3"/>
        <v>180416.67199803007</v>
      </c>
      <c r="AJ18" s="22">
        <f t="shared" si="3"/>
        <v>181823.91078769517</v>
      </c>
      <c r="AK18" s="22">
        <f t="shared" si="3"/>
        <v>183250.35612776226</v>
      </c>
      <c r="AL18" s="22">
        <f t="shared" si="3"/>
        <v>184704.21689076463</v>
      </c>
      <c r="AM18" s="22">
        <f t="shared" si="3"/>
        <v>185965.36669898496</v>
      </c>
      <c r="AN18" s="22">
        <f t="shared" si="3"/>
        <v>187241.85181033518</v>
      </c>
      <c r="AO18" s="22">
        <f t="shared" si="3"/>
        <v>188526.30662956255</v>
      </c>
      <c r="AP18" s="22">
        <f t="shared" si="3"/>
        <v>189828.7273391755</v>
      </c>
      <c r="AQ18" s="22">
        <f t="shared" si="3"/>
        <v>191150.62332520052</v>
      </c>
      <c r="AR18" s="22">
        <f t="shared" si="3"/>
        <v>192327.16105252871</v>
      </c>
      <c r="AS18" s="22">
        <f t="shared" si="3"/>
        <v>193516.02820453717</v>
      </c>
      <c r="AT18" s="22">
        <f t="shared" si="3"/>
        <v>194716.27661829654</v>
      </c>
      <c r="AU18" s="22">
        <f t="shared" si="3"/>
        <v>195932.76007866365</v>
      </c>
      <c r="AV18" s="22">
        <f t="shared" si="3"/>
        <v>197153.13800745818</v>
      </c>
      <c r="AW18" s="22">
        <f t="shared" si="3"/>
        <v>198218.28387737391</v>
      </c>
      <c r="AX18" s="22">
        <f t="shared" si="3"/>
        <v>199292.44468551656</v>
      </c>
      <c r="AY18" s="22">
        <f t="shared" si="3"/>
        <v>200372.24104038556</v>
      </c>
      <c r="AZ18" s="22">
        <f t="shared" si="3"/>
        <v>201460.03009825404</v>
      </c>
      <c r="BA18" s="22">
        <f t="shared" si="3"/>
        <v>202558.0059877804</v>
      </c>
      <c r="BB18" s="22">
        <f t="shared" si="3"/>
        <v>203506.88115722928</v>
      </c>
      <c r="BC18" s="22">
        <f t="shared" si="3"/>
        <v>204458.37402069132</v>
      </c>
      <c r="BD18" s="22">
        <f t="shared" si="3"/>
        <v>205416.82277109436</v>
      </c>
      <c r="BE18" s="22">
        <f t="shared" si="3"/>
        <v>206382.38863929766</v>
      </c>
      <c r="BF18" s="22">
        <f t="shared" si="3"/>
        <v>207358.28757673368</v>
      </c>
      <c r="BG18" s="22">
        <f t="shared" si="3"/>
        <v>208177.53571813941</v>
      </c>
      <c r="BH18" s="22">
        <f t="shared" si="3"/>
        <v>208971.53644079671</v>
      </c>
      <c r="BI18" s="22">
        <f t="shared" si="3"/>
        <v>209767.64896846443</v>
      </c>
      <c r="BJ18" s="22">
        <f t="shared" si="3"/>
        <v>210572.05940670011</v>
      </c>
      <c r="BK18" s="22">
        <f t="shared" si="3"/>
        <v>211378.98696363621</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101">
        <f>IF('Net zero activities &amp; levers'!$C$12="Off",(((Data!$AJ$7*'Intermediate calculations'!Y4)+Data!$AK$7)*Drivers!Z4),IF('Net zero activities &amp; levers'!$C$12="PB",(((Data!$AJ$7*'Intermediate calculations'!Y4)+Data!$AK$7)*Drivers!Z4),IF('Net zero activities &amp; levers'!$C$12="MS",'Net zero supporting data'!B206,"ERROR")))</f>
        <v>168454.70578324009</v>
      </c>
      <c r="Z19" s="101">
        <f>IF('Net zero activities &amp; levers'!$C$12="Off",(((Data!$AJ$7*'Intermediate calculations'!Z4)+Data!$AK$7)*Drivers!AA4),IF('Net zero activities &amp; levers'!$C$12="PB",(((Data!$AJ$7*'Intermediate calculations'!Z4)+Data!$AK$7)*Drivers!AA4),IF('Net zero activities &amp; levers'!$C$12="MS",'Net zero supporting data'!C206,"ERROR")))</f>
        <v>170977.41273547855</v>
      </c>
      <c r="AA19" s="101">
        <f>IF('Net zero activities &amp; levers'!$C$12="Off",(((Data!$AJ$7*'Intermediate calculations'!AA4)+Data!$AK$7)*Drivers!AB4),IF('Net zero activities &amp; levers'!$C$12="PB",(((Data!$AJ$7*'Intermediate calculations'!AA4)+Data!$AK$7)*Drivers!AB4),IF('Net zero activities &amp; levers'!$C$12="MS",'Net zero supporting data'!D206,"ERROR")))</f>
        <v>173588.01659296342</v>
      </c>
      <c r="AB19" s="101">
        <f>IF('Net zero activities &amp; levers'!$C$12="Off",(((Data!$AJ$7*'Intermediate calculations'!AB4)+Data!$AK$7)*Drivers!AC4),IF('Net zero activities &amp; levers'!$C$12="PB",(((Data!$AJ$7*'Intermediate calculations'!AB4)+Data!$AK$7)*Drivers!AC4),IF('Net zero activities &amp; levers'!$C$12="MS",'Net zero supporting data'!E206,"ERROR")))</f>
        <v>176274.34236080549</v>
      </c>
      <c r="AC19" s="101">
        <f>IF('Net zero activities &amp; levers'!$C$12="Off",(((Data!$AJ$7*'Intermediate calculations'!AC4)+Data!$AK$7)*Drivers!AD4),IF('Net zero activities &amp; levers'!$C$12="PB",(((Data!$AJ$7*'Intermediate calculations'!AC4)+Data!$AK$7)*Drivers!AD4),IF('Net zero activities &amp; levers'!$C$12="MS",'Net zero supporting data'!F206,"ERROR")))</f>
        <v>179060.85939248081</v>
      </c>
      <c r="AD19" s="101">
        <f>IF('Net zero activities &amp; levers'!$C$12="Off",(((Data!$AJ$7*'Intermediate calculations'!AD4)+Data!$AK$7)*Drivers!AE4),IF('Net zero activities &amp; levers'!$C$12="PB",(((Data!$AJ$7*'Intermediate calculations'!AD4)+Data!$AK$7)*Drivers!AE4),IF('Net zero activities &amp; levers'!$C$12="MS",'Net zero supporting data'!G206,"ERROR")))</f>
        <v>181972.78235475381</v>
      </c>
      <c r="AE19" s="101">
        <f>IF('Net zero activities &amp; levers'!$C$12="Off",(((Data!$AJ$7*'Intermediate calculations'!AE4)+Data!$AK$7)*Drivers!AF4),IF('Net zero activities &amp; levers'!$C$12="PB",(((Data!$AJ$7*'Intermediate calculations'!AE4)+Data!$AK$7)*Drivers!AF4),IF('Net zero activities &amp; levers'!$C$12="MS",'Net zero supporting data'!H206,"ERROR")))</f>
        <v>184916.6349890753</v>
      </c>
      <c r="AF19" s="101">
        <f>IF('Net zero activities &amp; levers'!$C$12="Off",(((Data!$AJ$7*'Intermediate calculations'!AF4)+Data!$AK$7)*Drivers!AG4),IF('Net zero activities &amp; levers'!$C$12="PB",(((Data!$AJ$7*'Intermediate calculations'!AF4)+Data!$AK$7)*Drivers!AG4),IF('Net zero activities &amp; levers'!$C$12="MS",'Net zero supporting data'!I206,"ERROR")))</f>
        <v>187884.16989003346</v>
      </c>
      <c r="AG19" s="101">
        <f>IF('Net zero activities &amp; levers'!$C$12="Off",(((Data!$AJ$7*'Intermediate calculations'!AG4)+Data!$AK$7)*Drivers!AH4),IF('Net zero activities &amp; levers'!$C$12="PB",(((Data!$AJ$7*'Intermediate calculations'!AG4)+Data!$AK$7)*Drivers!AH4),IF('Net zero activities &amp; levers'!$C$12="MS",'Net zero supporting data'!J206,"ERROR")))</f>
        <v>190794.8920411696</v>
      </c>
      <c r="AH19" s="101">
        <f>IF('Net zero activities &amp; levers'!$C$12="Off",(((Data!$AJ$7*'Intermediate calculations'!AH4)+Data!$AK$7)*Drivers!AI4),IF('Net zero activities &amp; levers'!$C$12="PB",(((Data!$AJ$7*'Intermediate calculations'!AH4)+Data!$AK$7)*Drivers!AI4),IF('Net zero activities &amp; levers'!$C$12="MS",'Net zero supporting data'!K206,"ERROR")))</f>
        <v>193031.14446138102</v>
      </c>
      <c r="AI19" s="101">
        <f>IF('Net zero activities &amp; levers'!$C$12="Off",(((Data!$AJ$7*'Intermediate calculations'!AI4)+Data!$AK$7)*Drivers!AJ4),IF('Net zero activities &amp; levers'!$C$12="PB",(((Data!$AJ$7*'Intermediate calculations'!AI4)+Data!$AK$7)*Drivers!AJ4),IF('Net zero activities &amp; levers'!$C$12="MS",'Net zero supporting data'!L206,"ERROR")))</f>
        <v>195279.93382859294</v>
      </c>
      <c r="AJ19" s="101">
        <f>IF('Net zero activities &amp; levers'!$C$12="Off",(((Data!$AJ$7*'Intermediate calculations'!AJ4)+Data!$AK$7)*Drivers!AK4),IF('Net zero activities &amp; levers'!$C$12="PB",(((Data!$AJ$7*'Intermediate calculations'!AJ4)+Data!$AK$7)*Drivers!AK4),IF('Net zero activities &amp; levers'!$C$12="MS",'Net zero supporting data'!M206,"ERROR")))</f>
        <v>197551.5404153314</v>
      </c>
      <c r="AK19" s="101">
        <f>IF('Net zero activities &amp; levers'!$C$12="Off",(((Data!$AJ$7*'Intermediate calculations'!AK4)+Data!$AK$7)*Drivers!AL4),IF('Net zero activities &amp; levers'!$C$12="PB",(((Data!$AJ$7*'Intermediate calculations'!AK4)+Data!$AK$7)*Drivers!AL4),IF('Net zero activities &amp; levers'!$C$12="MS",'Net zero supporting data'!N206,"ERROR")))</f>
        <v>199854.25099618206</v>
      </c>
      <c r="AL19" s="101">
        <f>IF('Net zero activities &amp; levers'!$C$12="Off",(((Data!$AJ$7*'Intermediate calculations'!AL4)+Data!$AK$7)*Drivers!AM4),IF('Net zero activities &amp; levers'!$C$12="PB",(((Data!$AJ$7*'Intermediate calculations'!AL4)+Data!$AK$7)*Drivers!AM4),IF('Net zero activities &amp; levers'!$C$12="MS",'Net zero supporting data'!O206,"ERROR")))</f>
        <v>202201.0289927698</v>
      </c>
      <c r="AM19" s="101">
        <f>IF('Net zero activities &amp; levers'!$C$12="Off",(((Data!$AJ$7*'Intermediate calculations'!AM4)+Data!$AK$7)*Drivers!AN4),IF('Net zero activities &amp; levers'!$C$12="PB",(((Data!$AJ$7*'Intermediate calculations'!AM4)+Data!$AK$7)*Drivers!AN4),IF('Net zero activities &amp; levers'!$C$12="MS",'Net zero supporting data'!P206,"ERROR")))</f>
        <v>204244.66343490922</v>
      </c>
      <c r="AN19" s="101">
        <f>IF('Net zero activities &amp; levers'!$C$12="Off",(((Data!$AJ$7*'Intermediate calculations'!AN4)+Data!$AK$7)*Drivers!AO4),IF('Net zero activities &amp; levers'!$C$12="PB",(((Data!$AJ$7*'Intermediate calculations'!AN4)+Data!$AK$7)*Drivers!AO4),IF('Net zero activities &amp; levers'!$C$12="MS",'Net zero supporting data'!Q206,"ERROR")))</f>
        <v>206313.22882109997</v>
      </c>
      <c r="AO19" s="101">
        <f>IF('Net zero activities &amp; levers'!$C$12="Off",(((Data!$AJ$7*'Intermediate calculations'!AO4)+Data!$AK$7)*Drivers!AP4),IF('Net zero activities &amp; levers'!$C$12="PB",(((Data!$AJ$7*'Intermediate calculations'!AO4)+Data!$AK$7)*Drivers!AP4),IF('Net zero activities &amp; levers'!$C$12="MS",'Net zero supporting data'!R206,"ERROR")))</f>
        <v>208395.11570018117</v>
      </c>
      <c r="AP19" s="101">
        <f>IF('Net zero activities &amp; levers'!$C$12="Off",(((Data!$AJ$7*'Intermediate calculations'!AP4)+Data!$AK$7)*Drivers!AQ4),IF('Net zero activities &amp; levers'!$C$12="PB",(((Data!$AJ$7*'Intermediate calculations'!AP4)+Data!$AK$7)*Drivers!AQ4),IF('Net zero activities &amp; levers'!$C$12="MS",'Net zero supporting data'!S206,"ERROR")))</f>
        <v>210506.10811164466</v>
      </c>
      <c r="AQ19" s="101">
        <f>IF('Net zero activities &amp; levers'!$C$12="Off",(((Data!$AJ$7*'Intermediate calculations'!AQ4)+Data!$AK$7)*Drivers!AR4),IF('Net zero activities &amp; levers'!$C$12="PB",(((Data!$AJ$7*'Intermediate calculations'!AQ4)+Data!$AK$7)*Drivers!AR4),IF('Net zero activities &amp; levers'!$C$12="MS",'Net zero supporting data'!T206,"ERROR")))</f>
        <v>212648.60446340963</v>
      </c>
      <c r="AR19" s="101">
        <f>IF('Net zero activities &amp; levers'!$C$12="Off",(((Data!$AJ$7*'Intermediate calculations'!AR4)+Data!$AK$7)*Drivers!AS4),IF('Net zero activities &amp; levers'!$C$12="PB",(((Data!$AJ$7*'Intermediate calculations'!AR4)+Data!$AK$7)*Drivers!AS4),IF('Net zero activities &amp; levers'!$C$12="MS",'Net zero supporting data'!U206,"ERROR")))</f>
        <v>214534.11048659729</v>
      </c>
      <c r="AS19" s="101">
        <f>IF('Net zero activities &amp; levers'!$C$12="Off",(((Data!$AJ$7*'Intermediate calculations'!AS4)+Data!$AK$7)*Drivers!AT4),IF('Net zero activities &amp; levers'!$C$12="PB",(((Data!$AJ$7*'Intermediate calculations'!AS4)+Data!$AK$7)*Drivers!AT4),IF('Net zero activities &amp; levers'!$C$12="MS",'Net zero supporting data'!V206,"ERROR")))</f>
        <v>216439.42273312007</v>
      </c>
      <c r="AT19" s="101">
        <f>IF('Net zero activities &amp; levers'!$C$12="Off",(((Data!$AJ$7*'Intermediate calculations'!AT4)+Data!$AK$7)*Drivers!AU4),IF('Net zero activities &amp; levers'!$C$12="PB",(((Data!$AJ$7*'Intermediate calculations'!AT4)+Data!$AK$7)*Drivers!AU4),IF('Net zero activities &amp; levers'!$C$12="MS",'Net zero supporting data'!W206,"ERROR")))</f>
        <v>218363.04941127216</v>
      </c>
      <c r="AU19" s="101">
        <f>IF('Net zero activities &amp; levers'!$C$12="Off",(((Data!$AJ$7*'Intermediate calculations'!AU4)+Data!$AK$7)*Drivers!AV4),IF('Net zero activities &amp; levers'!$C$12="PB",(((Data!$AJ$7*'Intermediate calculations'!AU4)+Data!$AK$7)*Drivers!AV4),IF('Net zero activities &amp; levers'!$C$12="MS",'Net zero supporting data'!X206,"ERROR")))</f>
        <v>220312.66027910609</v>
      </c>
      <c r="AV19" s="101">
        <f>IF('Net zero activities &amp; levers'!$C$12="Off",(((Data!$AJ$7*'Intermediate calculations'!AV4)+Data!$AK$7)*Drivers!AW4),IF('Net zero activities &amp; levers'!$C$12="PB",(((Data!$AJ$7*'Intermediate calculations'!AV4)+Data!$AK$7)*Drivers!AW4),IF('Net zero activities &amp; levers'!$C$12="MS",'Net zero supporting data'!Y206,"ERROR")))</f>
        <v>222268.77310676177</v>
      </c>
      <c r="AW19" s="101">
        <f>IF('Net zero activities &amp; levers'!$C$12="Off",(((Data!$AJ$7*'Intermediate calculations'!AW4)+Data!$AK$7)*Drivers!AX4),IF('Net zero activities &amp; levers'!$C$12="PB",(((Data!$AJ$7*'Intermediate calculations'!AW4)+Data!$AK$7)*Drivers!AX4),IF('Net zero activities &amp; levers'!$C$12="MS",'Net zero supporting data'!Z206,"ERROR")))</f>
        <v>223980.06128631614</v>
      </c>
      <c r="AX19" s="101">
        <f>IF('Net zero activities &amp; levers'!$C$12="Off",(((Data!$AJ$7*'Intermediate calculations'!AX4)+Data!$AK$7)*Drivers!AY4),IF('Net zero activities &amp; levers'!$C$12="PB",(((Data!$AJ$7*'Intermediate calculations'!AX4)+Data!$AK$7)*Drivers!AY4),IF('Net zero activities &amp; levers'!$C$12="MS",'Net zero supporting data'!AA206,"ERROR")))</f>
        <v>225705.89774887849</v>
      </c>
      <c r="AY19" s="101">
        <f>IF('Net zero activities &amp; levers'!$C$12="Off",(((Data!$AJ$7*'Intermediate calculations'!AY4)+Data!$AK$7)*Drivers!AZ4),IF('Net zero activities &amp; levers'!$C$12="PB",(((Data!$AJ$7*'Intermediate calculations'!AY4)+Data!$AK$7)*Drivers!AZ4),IF('Net zero activities &amp; levers'!$C$12="MS",'Net zero supporting data'!AB206,"ERROR")))</f>
        <v>227440.94797293443</v>
      </c>
      <c r="AZ19" s="101">
        <f>IF('Net zero activities &amp; levers'!$C$12="Off",(((Data!$AJ$7*'Intermediate calculations'!AZ4)+Data!$AK$7)*Drivers!BA4),IF('Net zero activities &amp; levers'!$C$12="PB",(((Data!$AJ$7*'Intermediate calculations'!AZ4)+Data!$AK$7)*Drivers!BA4),IF('Net zero activities &amp; levers'!$C$12="MS",'Net zero supporting data'!AC206,"ERROR")))</f>
        <v>229188.93840910084</v>
      </c>
      <c r="BA19" s="101">
        <f>IF('Net zero activities &amp; levers'!$C$12="Off",(((Data!$AJ$7*'Intermediate calculations'!BA4)+Data!$AK$7)*Drivers!BB4),IF('Net zero activities &amp; levers'!$C$12="PB",(((Data!$AJ$7*'Intermediate calculations'!BA4)+Data!$AK$7)*Drivers!BB4),IF('Net zero activities &amp; levers'!$C$12="MS",'Net zero supporting data'!AD206,"ERROR")))</f>
        <v>230953.33926955404</v>
      </c>
      <c r="BB19" s="101">
        <f>IF('Net zero activities &amp; levers'!$C$12="Off",(((Data!$AJ$7*'Intermediate calculations'!BB4)+Data!$AK$7)*Drivers!BC4),IF('Net zero activities &amp; levers'!$C$12="PB",(((Data!$AJ$7*'Intermediate calculations'!BB4)+Data!$AK$7)*Drivers!BC4),IF('Net zero activities &amp; levers'!$C$12="MS",'Net zero supporting data'!AE206,"ERROR")))</f>
        <v>232482.45884647712</v>
      </c>
      <c r="BC19" s="101">
        <f>IF('Net zero activities &amp; levers'!$C$12="Off",(((Data!$AJ$7*'Intermediate calculations'!BC4)+Data!$AK$7)*Drivers!BD4),IF('Net zero activities &amp; levers'!$C$12="PB",(((Data!$AJ$7*'Intermediate calculations'!BC4)+Data!$AK$7)*Drivers!BD4),IF('Net zero activities &amp; levers'!$C$12="MS",'Net zero supporting data'!AF206,"ERROR")))</f>
        <v>234015.99097010941</v>
      </c>
      <c r="BD19" s="101">
        <f>IF('Net zero activities &amp; levers'!$C$12="Off",(((Data!$AJ$7*'Intermediate calculations'!BD4)+Data!$AK$7)*Drivers!BE4),IF('Net zero activities &amp; levers'!$C$12="PB",(((Data!$AJ$7*'Intermediate calculations'!BD4)+Data!$AK$7)*Drivers!BE4),IF('Net zero activities &amp; levers'!$C$12="MS",'Net zero supporting data'!AG206,"ERROR")))</f>
        <v>235560.7930103793</v>
      </c>
      <c r="BE19" s="101">
        <f>IF('Net zero activities &amp; levers'!$C$12="Off",(((Data!$AJ$7*'Intermediate calculations'!BE4)+Data!$AK$7)*Drivers!BF4),IF('Net zero activities &amp; levers'!$C$12="PB",(((Data!$AJ$7*'Intermediate calculations'!BE4)+Data!$AK$7)*Drivers!BF4),IF('Net zero activities &amp; levers'!$C$12="MS",'Net zero supporting data'!AH206,"ERROR")))</f>
        <v>237117.12285332981</v>
      </c>
      <c r="BF19" s="101">
        <f>IF('Net zero activities &amp; levers'!$C$12="Off",(((Data!$AJ$7*'Intermediate calculations'!BF4)+Data!$AK$7)*Drivers!BG4),IF('Net zero activities &amp; levers'!$C$12="PB",(((Data!$AJ$7*'Intermediate calculations'!BF4)+Data!$AK$7)*Drivers!BG4),IF('Net zero activities &amp; levers'!$C$12="MS",'Net zero supporting data'!AI206,"ERROR")))</f>
        <v>238690.06709700651</v>
      </c>
      <c r="BG19" s="101">
        <f>IF('Net zero activities &amp; levers'!$C$12="Off",(((Data!$AJ$7*'Intermediate calculations'!BG4)+Data!$AK$7)*Drivers!BH4),IF('Net zero activities &amp; levers'!$C$12="PB",(((Data!$AJ$7*'Intermediate calculations'!BG4)+Data!$AK$7)*Drivers!BH4),IF('Net zero activities &amp; levers'!$C$12="MS",'Net zero supporting data'!AJ206,"ERROR")))</f>
        <v>240015.65381638758</v>
      </c>
      <c r="BH19" s="101">
        <f>IF('Net zero activities &amp; levers'!$C$12="Off",(((Data!$AJ$7*'Intermediate calculations'!BH4)+Data!$AK$7)*Drivers!BI4),IF('Net zero activities &amp; levers'!$C$12="PB",(((Data!$AJ$7*'Intermediate calculations'!BH4)+Data!$AK$7)*Drivers!BI4),IF('Net zero activities &amp; levers'!$C$12="MS",'Net zero supporting data'!AK206,"ERROR")))</f>
        <v>241301.56380359654</v>
      </c>
      <c r="BI19" s="101">
        <f>IF('Net zero activities &amp; levers'!$C$12="Off",(((Data!$AJ$7*'Intermediate calculations'!BI4)+Data!$AK$7)*Drivers!BJ4),IF('Net zero activities &amp; levers'!$C$12="PB",(((Data!$AJ$7*'Intermediate calculations'!BI4)+Data!$AK$7)*Drivers!BJ4),IF('Net zero activities &amp; levers'!$C$12="MS",'Net zero supporting data'!AL206,"ERROR")))</f>
        <v>242591.04494838192</v>
      </c>
      <c r="BJ19" s="101">
        <f>IF('Net zero activities &amp; levers'!$C$12="Off",(((Data!$AJ$7*'Intermediate calculations'!BJ4)+Data!$AK$7)*Drivers!BK4),IF('Net zero activities &amp; levers'!$C$12="PB",(((Data!$AJ$7*'Intermediate calculations'!BJ4)+Data!$AK$7)*Drivers!BK4),IF('Net zero activities &amp; levers'!$C$12="MS",'Net zero supporting data'!AM206,"ERROR")))</f>
        <v>243893.88016993122</v>
      </c>
      <c r="BK19" s="101">
        <f>IF('Net zero activities &amp; levers'!$C$12="Off",(((Data!$AJ$7*'Intermediate calculations'!BK4)+Data!$AK$7)*Drivers!BL4),IF('Net zero activities &amp; levers'!$C$12="PB",(((Data!$AJ$7*'Intermediate calculations'!BK4)+Data!$AK$7)*Drivers!BL4),IF('Net zero activities &amp; levers'!$C$12="MS",'Net zero supporting data'!AN206,"ERROR")))</f>
        <v>245200.93122079491</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3.2193657367899781E-3</v>
      </c>
      <c r="Z20" s="22">
        <f>Z19/Drivers!AA4</f>
        <v>3.2196476437843925E-3</v>
      </c>
      <c r="AA20" s="22">
        <f>AA19/Drivers!AB4</f>
        <v>3.2198182062071821E-3</v>
      </c>
      <c r="AB20" s="22">
        <f>AB19/Drivers!AC4</f>
        <v>3.2195937911938958E-3</v>
      </c>
      <c r="AC20" s="22">
        <f>AC19/Drivers!AD4</f>
        <v>3.2193644559836538E-3</v>
      </c>
      <c r="AD20" s="22">
        <f>AD19/Drivers!AE4</f>
        <v>3.2195065573583466E-3</v>
      </c>
      <c r="AE20" s="22">
        <f>AE19/Drivers!AF4</f>
        <v>3.2195249147166176E-3</v>
      </c>
      <c r="AF20" s="22">
        <f>AF19/Drivers!AG4</f>
        <v>3.2191330643135904E-3</v>
      </c>
      <c r="AG20" s="22">
        <f>AG19/Drivers!AH4</f>
        <v>3.2169803791176235E-3</v>
      </c>
      <c r="AH20" s="22">
        <f>AH19/Drivers!AI4</f>
        <v>3.2176372586953808E-3</v>
      </c>
      <c r="AI20" s="22">
        <f>AI19/Drivers!AJ4</f>
        <v>3.2180689427574161E-3</v>
      </c>
      <c r="AJ20" s="22">
        <f>AJ19/Drivers!AK4</f>
        <v>3.2184456041564531E-3</v>
      </c>
      <c r="AK20" s="22">
        <f>AK19/Drivers!AL4</f>
        <v>3.2188976768264552E-3</v>
      </c>
      <c r="AL20" s="22">
        <f>AL19/Drivers!AM4</f>
        <v>3.21962410765785E-3</v>
      </c>
      <c r="AM20" s="22">
        <f>AM19/Drivers!AN4</f>
        <v>3.220454628655276E-3</v>
      </c>
      <c r="AN20" s="22">
        <f>AN19/Drivers!AO4</f>
        <v>3.2213521295965885E-3</v>
      </c>
      <c r="AO20" s="22">
        <f>AO19/Drivers!AP4</f>
        <v>3.2221319285631171E-3</v>
      </c>
      <c r="AP20" s="22">
        <f>AP19/Drivers!AQ4</f>
        <v>3.2230358948952724E-3</v>
      </c>
      <c r="AQ20" s="22">
        <f>AQ19/Drivers!AR4</f>
        <v>3.2240935516858206E-3</v>
      </c>
      <c r="AR20" s="22">
        <f>AR19/Drivers!AS4</f>
        <v>3.2251564823614124E-3</v>
      </c>
      <c r="AS20" s="22">
        <f>AS19/Drivers!AT4</f>
        <v>3.2262657916479649E-3</v>
      </c>
      <c r="AT20" s="22">
        <f>AT19/Drivers!AU4</f>
        <v>3.2273960716209644E-3</v>
      </c>
      <c r="AU20" s="22">
        <f>AU19/Drivers!AV4</f>
        <v>3.2286569968055473E-3</v>
      </c>
      <c r="AV20" s="22">
        <f>AV19/Drivers!AW4</f>
        <v>3.2297599590374853E-3</v>
      </c>
      <c r="AW20" s="22">
        <f>AW19/Drivers!AX4</f>
        <v>3.2309720235681682E-3</v>
      </c>
      <c r="AX20" s="22">
        <f>AX19/Drivers!AY4</f>
        <v>3.2322042014745166E-3</v>
      </c>
      <c r="AY20" s="22">
        <f>AY19/Drivers!AZ4</f>
        <v>3.2333787847856595E-3</v>
      </c>
      <c r="AZ20" s="22">
        <f>AZ19/Drivers!BA4</f>
        <v>3.2345481850777312E-3</v>
      </c>
      <c r="BA20" s="22">
        <f>BA19/Drivers!BB4</f>
        <v>3.2357597075598392E-3</v>
      </c>
      <c r="BB20" s="22">
        <f>BB19/Drivers!BC4</f>
        <v>3.2370780937085635E-3</v>
      </c>
      <c r="BC20" s="22">
        <f>BC19/Drivers!BD4</f>
        <v>3.2383179797171083E-3</v>
      </c>
      <c r="BD20" s="22">
        <f>BD19/Drivers!BE4</f>
        <v>3.2395742142388613E-3</v>
      </c>
      <c r="BE20" s="22">
        <f>BE19/Drivers!BF4</f>
        <v>3.240849116226113E-3</v>
      </c>
      <c r="BF20" s="22">
        <f>BF19/Drivers!BG4</f>
        <v>3.2422105278536572E-3</v>
      </c>
      <c r="BG20" s="22">
        <f>BG19/Drivers!BH4</f>
        <v>3.2436580796863382E-3</v>
      </c>
      <c r="BH20" s="22">
        <f>BH19/Drivers!BI4</f>
        <v>3.2444738112410052E-3</v>
      </c>
      <c r="BI20" s="22">
        <f>BI19/Drivers!BJ4</f>
        <v>3.2452453583393152E-3</v>
      </c>
      <c r="BJ20" s="22">
        <f>BJ19/Drivers!BK4</f>
        <v>3.2461031117858872E-3</v>
      </c>
      <c r="BK20" s="22">
        <f>BK19/Drivers!BL4</f>
        <v>3.2469242656175102E-3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3.2193657367899782</v>
      </c>
      <c r="Z21" s="22">
        <f t="shared" ref="Z21:BK21" si="6">Z20*1000</f>
        <v>3.2196476437843926</v>
      </c>
      <c r="AA21" s="22">
        <f t="shared" si="6"/>
        <v>3.2198182062071821</v>
      </c>
      <c r="AB21" s="22">
        <f t="shared" si="6"/>
        <v>3.2195937911938959</v>
      </c>
      <c r="AC21" s="22">
        <f t="shared" si="6"/>
        <v>3.2193644559836536</v>
      </c>
      <c r="AD21" s="22">
        <f t="shared" si="6"/>
        <v>3.2195065573583466</v>
      </c>
      <c r="AE21" s="22">
        <f t="shared" si="6"/>
        <v>3.2195249147166178</v>
      </c>
      <c r="AF21" s="22">
        <f t="shared" si="6"/>
        <v>3.2191330643135903</v>
      </c>
      <c r="AG21" s="22">
        <f t="shared" si="6"/>
        <v>3.2169803791176235</v>
      </c>
      <c r="AH21" s="22">
        <f t="shared" si="6"/>
        <v>3.217637258695381</v>
      </c>
      <c r="AI21" s="22">
        <f t="shared" si="6"/>
        <v>3.2180689427574163</v>
      </c>
      <c r="AJ21" s="22">
        <f t="shared" si="6"/>
        <v>3.2184456041564529</v>
      </c>
      <c r="AK21" s="22">
        <f t="shared" si="6"/>
        <v>3.218897676826455</v>
      </c>
      <c r="AL21" s="22">
        <f t="shared" si="6"/>
        <v>3.2196241076578498</v>
      </c>
      <c r="AM21" s="22">
        <f t="shared" si="6"/>
        <v>3.220454628655276</v>
      </c>
      <c r="AN21" s="22">
        <f t="shared" si="6"/>
        <v>3.2213521295965886</v>
      </c>
      <c r="AO21" s="22">
        <f t="shared" si="6"/>
        <v>3.2221319285631171</v>
      </c>
      <c r="AP21" s="22">
        <f t="shared" si="6"/>
        <v>3.2230358948952724</v>
      </c>
      <c r="AQ21" s="22">
        <f t="shared" si="6"/>
        <v>3.2240935516858205</v>
      </c>
      <c r="AR21" s="22">
        <f t="shared" si="6"/>
        <v>3.2251564823614123</v>
      </c>
      <c r="AS21" s="22">
        <f t="shared" si="6"/>
        <v>3.2262657916479651</v>
      </c>
      <c r="AT21" s="22">
        <f t="shared" si="6"/>
        <v>3.2273960716209644</v>
      </c>
      <c r="AU21" s="22">
        <f t="shared" si="6"/>
        <v>3.2286569968055474</v>
      </c>
      <c r="AV21" s="22">
        <f t="shared" si="6"/>
        <v>3.2297599590374855</v>
      </c>
      <c r="AW21" s="22">
        <f t="shared" si="6"/>
        <v>3.2309720235681683</v>
      </c>
      <c r="AX21" s="22">
        <f t="shared" si="6"/>
        <v>3.2322042014745165</v>
      </c>
      <c r="AY21" s="22">
        <f t="shared" si="6"/>
        <v>3.2333787847856597</v>
      </c>
      <c r="AZ21" s="22">
        <f t="shared" si="6"/>
        <v>3.2345481850777311</v>
      </c>
      <c r="BA21" s="22">
        <f t="shared" si="6"/>
        <v>3.2357597075598394</v>
      </c>
      <c r="BB21" s="22">
        <f t="shared" si="6"/>
        <v>3.2370780937085635</v>
      </c>
      <c r="BC21" s="22">
        <f t="shared" si="6"/>
        <v>3.2383179797171082</v>
      </c>
      <c r="BD21" s="22">
        <f t="shared" si="6"/>
        <v>3.2395742142388615</v>
      </c>
      <c r="BE21" s="22">
        <f t="shared" si="6"/>
        <v>3.240849116226113</v>
      </c>
      <c r="BF21" s="22">
        <f t="shared" si="6"/>
        <v>3.2422105278536573</v>
      </c>
      <c r="BG21" s="22">
        <f t="shared" si="6"/>
        <v>3.2436580796863383</v>
      </c>
      <c r="BH21" s="22">
        <f t="shared" si="6"/>
        <v>3.2444738112410052</v>
      </c>
      <c r="BI21" s="22">
        <f t="shared" si="6"/>
        <v>3.2452453583393153</v>
      </c>
      <c r="BJ21" s="22">
        <f t="shared" si="6"/>
        <v>3.246103111785887</v>
      </c>
      <c r="BK21" s="22">
        <f t="shared" si="6"/>
        <v>3.2469242656175101</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10752.428028717455</v>
      </c>
      <c r="Z22" s="22">
        <f>((Data!$AJ$8*'Net zero Intermediate calcs'!Z4)+Data!$AK$8)*Drivers!AA4</f>
        <v>10913.451876732677</v>
      </c>
      <c r="AA22" s="22">
        <f>((Data!$AJ$8*'Net zero Intermediate calcs'!AA4)+Data!$AK$8)*Drivers!AB4</f>
        <v>11080.086165508308</v>
      </c>
      <c r="AB22" s="22">
        <f>((Data!$AJ$8*'Net zero Intermediate calcs'!AB4)+Data!$AK$8)*Drivers!AC4</f>
        <v>11251.553767710991</v>
      </c>
      <c r="AC22" s="22">
        <f>((Data!$AJ$8*'Net zero Intermediate calcs'!AC4)+Data!$AK$8)*Drivers!AD4</f>
        <v>11429.416556966864</v>
      </c>
      <c r="AD22" s="22">
        <f>((Data!$AJ$8*'Net zero Intermediate calcs'!AD4)+Data!$AK$8)*Drivers!AE4</f>
        <v>11615.28398009067</v>
      </c>
      <c r="AE22" s="22">
        <f>((Data!$AJ$8*'Net zero Intermediate calcs'!AE4)+Data!$AK$8)*Drivers!AF4</f>
        <v>11803.189467387791</v>
      </c>
      <c r="AF22" s="22">
        <f>((Data!$AJ$8*'Net zero Intermediate calcs'!AF4)+Data!$AK$8)*Drivers!AG4</f>
        <v>11992.606588725543</v>
      </c>
      <c r="AG22" s="22">
        <f>((Data!$AJ$8*'Net zero Intermediate calcs'!AG4)+Data!$AK$8)*Drivers!AH4</f>
        <v>12178.397364329978</v>
      </c>
      <c r="AH22" s="22">
        <f>((Data!$AJ$8*'Net zero Intermediate calcs'!AH4)+Data!$AK$8)*Drivers!AI4</f>
        <v>12321.136880513684</v>
      </c>
      <c r="AI22" s="22">
        <f>((Data!$AJ$8*'Net zero Intermediate calcs'!AI4)+Data!$AK$8)*Drivers!AJ4</f>
        <v>12464.676627356999</v>
      </c>
      <c r="AJ22" s="22">
        <f>((Data!$AJ$8*'Net zero Intermediate calcs'!AJ4)+Data!$AK$8)*Drivers!AK4</f>
        <v>12609.672792467965</v>
      </c>
      <c r="AK22" s="22">
        <f>((Data!$AJ$8*'Net zero Intermediate calcs'!AK4)+Data!$AK$8)*Drivers!AL4</f>
        <v>12756.654318905241</v>
      </c>
      <c r="AL22" s="22">
        <f>((Data!$AJ$8*'Net zero Intermediate calcs'!AL4)+Data!$AK$8)*Drivers!AM4</f>
        <v>12906.448659112972</v>
      </c>
      <c r="AM22" s="22">
        <f>((Data!$AJ$8*'Net zero Intermediate calcs'!AM4)+Data!$AK$8)*Drivers!AN4</f>
        <v>13036.89341073889</v>
      </c>
      <c r="AN22" s="22">
        <f>((Data!$AJ$8*'Net zero Intermediate calcs'!AN4)+Data!$AK$8)*Drivers!AO4</f>
        <v>13168.92949921915</v>
      </c>
      <c r="AO22" s="22">
        <f>((Data!$AJ$8*'Net zero Intermediate calcs'!AO4)+Data!$AK$8)*Drivers!AP4</f>
        <v>13301.81589575625</v>
      </c>
      <c r="AP22" s="22">
        <f>((Data!$AJ$8*'Net zero Intermediate calcs'!AP4)+Data!$AK$8)*Drivers!AQ4</f>
        <v>13436.560092232643</v>
      </c>
      <c r="AQ22" s="22">
        <f>((Data!$AJ$8*'Net zero Intermediate calcs'!AQ4)+Data!$AK$8)*Drivers!AR4</f>
        <v>13573.315178515513</v>
      </c>
      <c r="AR22" s="22">
        <f>((Data!$AJ$8*'Net zero Intermediate calcs'!AR4)+Data!$AK$8)*Drivers!AS4</f>
        <v>13693.666626804086</v>
      </c>
      <c r="AS22" s="22">
        <f>((Data!$AJ$8*'Net zero Intermediate calcs'!AS4)+Data!$AK$8)*Drivers!AT4</f>
        <v>13815.28230211405</v>
      </c>
      <c r="AT22" s="22">
        <f>((Data!$AJ$8*'Net zero Intermediate calcs'!AT4)+Data!$AK$8)*Drivers!AU4</f>
        <v>13938.066983698227</v>
      </c>
      <c r="AU22" s="22">
        <f>((Data!$AJ$8*'Net zero Intermediate calcs'!AU4)+Data!$AK$8)*Drivers!AV4</f>
        <v>14062.510230581247</v>
      </c>
      <c r="AV22" s="22">
        <f>((Data!$AJ$8*'Net zero Intermediate calcs'!AV4)+Data!$AK$8)*Drivers!AW4</f>
        <v>14187.368496176288</v>
      </c>
      <c r="AW22" s="22">
        <f>((Data!$AJ$8*'Net zero Intermediate calcs'!AW4)+Data!$AK$8)*Drivers!AX4</f>
        <v>14296.599656573377</v>
      </c>
      <c r="AX22" s="22">
        <f>((Data!$AJ$8*'Net zero Intermediate calcs'!AX4)+Data!$AK$8)*Drivers!AY4</f>
        <v>14406.759430779484</v>
      </c>
      <c r="AY22" s="22">
        <f>((Data!$AJ$8*'Net zero Intermediate calcs'!AY4)+Data!$AK$8)*Drivers!AZ4</f>
        <v>14517.50731742135</v>
      </c>
      <c r="AZ22" s="22">
        <f>((Data!$AJ$8*'Net zero Intermediate calcs'!AZ4)+Data!$AK$8)*Drivers!BA4</f>
        <v>14629.081175048996</v>
      </c>
      <c r="BA22" s="22">
        <f>((Data!$AJ$8*'Net zero Intermediate calcs'!BA4)+Data!$AK$8)*Drivers!BB4</f>
        <v>14741.702506567284</v>
      </c>
      <c r="BB22" s="22">
        <f>((Data!$AJ$8*'Net zero Intermediate calcs'!BB4)+Data!$AK$8)*Drivers!BC4</f>
        <v>14839.305883817695</v>
      </c>
      <c r="BC22" s="22">
        <f>((Data!$AJ$8*'Net zero Intermediate calcs'!BC4)+Data!$AK$8)*Drivers!BD4</f>
        <v>14937.190912985714</v>
      </c>
      <c r="BD22" s="22">
        <f>((Data!$AJ$8*'Net zero Intermediate calcs'!BD4)+Data!$AK$8)*Drivers!BE4</f>
        <v>15035.795298534855</v>
      </c>
      <c r="BE22" s="22">
        <f>((Data!$AJ$8*'Net zero Intermediate calcs'!BE4)+Data!$AK$8)*Drivers!BF4</f>
        <v>15135.135501276378</v>
      </c>
      <c r="BF22" s="22">
        <f>((Data!$AJ$8*'Net zero Intermediate calcs'!BF4)+Data!$AK$8)*Drivers!BG4</f>
        <v>15235.536197681271</v>
      </c>
      <c r="BG22" s="22">
        <f>((Data!$AJ$8*'Net zero Intermediate calcs'!BG4)+Data!$AK$8)*Drivers!BH4</f>
        <v>15320.148115939639</v>
      </c>
      <c r="BH22" s="22">
        <f>((Data!$AJ$8*'Net zero Intermediate calcs'!BH4)+Data!$AK$8)*Drivers!BI4</f>
        <v>15402.227476825317</v>
      </c>
      <c r="BI22" s="22">
        <f>((Data!$AJ$8*'Net zero Intermediate calcs'!BI4)+Data!$AK$8)*Drivers!BJ4</f>
        <v>15484.53478393928</v>
      </c>
      <c r="BJ22" s="22">
        <f>((Data!$AJ$8*'Net zero Intermediate calcs'!BJ4)+Data!$AK$8)*Drivers!BK4</f>
        <v>15567.694478931788</v>
      </c>
      <c r="BK22" s="22">
        <f>((Data!$AJ$8*'Net zero Intermediate calcs'!BK4)+Data!$AK$8)*Drivers!BL4</f>
        <v>15651.12326941245</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2.05491430007871E-4</v>
      </c>
      <c r="Z23" s="22">
        <f>Z22/Drivers!AA4</f>
        <v>2.0550942407134427E-4</v>
      </c>
      <c r="AA23" s="22">
        <f>AA22/Drivers!AB4</f>
        <v>2.0552031103450108E-4</v>
      </c>
      <c r="AB23" s="22">
        <f>AB22/Drivers!AC4</f>
        <v>2.0550598667195085E-4</v>
      </c>
      <c r="AC23" s="22">
        <f>AC22/Drivers!AD4</f>
        <v>2.0549134825427584E-4</v>
      </c>
      <c r="AD23" s="22">
        <f>AD22/Drivers!AE4</f>
        <v>2.0550041855478809E-4</v>
      </c>
      <c r="AE23" s="22">
        <f>AE22/Drivers!AF4</f>
        <v>2.0550159030106077E-4</v>
      </c>
      <c r="AF23" s="22">
        <f>AF22/Drivers!AG4</f>
        <v>2.0547657857320793E-4</v>
      </c>
      <c r="AG23" s="22">
        <f>AG22/Drivers!AH4</f>
        <v>2.0533917313516752E-4</v>
      </c>
      <c r="AH23" s="22">
        <f>AH22/Drivers!AI4</f>
        <v>2.0538110161885412E-4</v>
      </c>
      <c r="AI23" s="22">
        <f>AI22/Drivers!AJ4</f>
        <v>2.054086559206862E-4</v>
      </c>
      <c r="AJ23" s="22">
        <f>AJ22/Drivers!AK4</f>
        <v>2.05432698137646E-4</v>
      </c>
      <c r="AK23" s="22">
        <f>AK22/Drivers!AL4</f>
        <v>2.0546155383998656E-4</v>
      </c>
      <c r="AL23" s="22">
        <f>AL22/Drivers!AM4</f>
        <v>2.0550792176539476E-4</v>
      </c>
      <c r="AM23" s="22">
        <f>AM22/Drivers!AN4</f>
        <v>2.0556093374395385E-4</v>
      </c>
      <c r="AN23" s="22">
        <f>AN22/Drivers!AO4</f>
        <v>2.0561822103808017E-4</v>
      </c>
      <c r="AO23" s="22">
        <f>AO22/Drivers!AP4</f>
        <v>2.0566799544019903E-4</v>
      </c>
      <c r="AP23" s="22">
        <f>AP22/Drivers!AQ4</f>
        <v>2.0572569541884724E-4</v>
      </c>
      <c r="AQ23" s="22">
        <f>AQ22/Drivers!AR4</f>
        <v>2.0579320542675459E-4</v>
      </c>
      <c r="AR23" s="22">
        <f>AR22/Drivers!AS4</f>
        <v>2.0586105206562213E-4</v>
      </c>
      <c r="AS23" s="22">
        <f>AS22/Drivers!AT4</f>
        <v>2.0593185904135952E-4</v>
      </c>
      <c r="AT23" s="22">
        <f>AT22/Drivers!AU4</f>
        <v>2.0600400457155098E-4</v>
      </c>
      <c r="AU23" s="22">
        <f>AU22/Drivers!AV4</f>
        <v>2.0608448915780098E-4</v>
      </c>
      <c r="AV23" s="22">
        <f>AV22/Drivers!AW4</f>
        <v>2.0615489100239275E-4</v>
      </c>
      <c r="AW23" s="22">
        <f>AW22/Drivers!AX4</f>
        <v>2.0623225682350017E-4</v>
      </c>
      <c r="AX23" s="22">
        <f>AX22/Drivers!AY4</f>
        <v>2.0631090647709688E-4</v>
      </c>
      <c r="AY23" s="22">
        <f>AY22/Drivers!AZ4</f>
        <v>2.0638587987993577E-4</v>
      </c>
      <c r="AZ23" s="22">
        <f>AZ22/Drivers!BA4</f>
        <v>2.0646052245177016E-4</v>
      </c>
      <c r="BA23" s="22">
        <f>BA22/Drivers!BB4</f>
        <v>2.0653785367403236E-4</v>
      </c>
      <c r="BB23" s="22">
        <f>BB22/Drivers!BC4</f>
        <v>2.0662200598139775E-4</v>
      </c>
      <c r="BC23" s="22">
        <f>BC22/Drivers!BD4</f>
        <v>2.0670114764151764E-4</v>
      </c>
      <c r="BD23" s="22">
        <f>BD22/Drivers!BE4</f>
        <v>2.067813328237572E-4</v>
      </c>
      <c r="BE23" s="22">
        <f>BE22/Drivers!BF4</f>
        <v>2.0686270954634771E-4</v>
      </c>
      <c r="BF23" s="22">
        <f>BF22/Drivers!BG4</f>
        <v>2.0694960816087181E-4</v>
      </c>
      <c r="BG23" s="22">
        <f>BG22/Drivers!BH4</f>
        <v>2.070420050863621E-4</v>
      </c>
      <c r="BH23" s="22">
        <f>BH22/Drivers!BI4</f>
        <v>2.0709407305793661E-4</v>
      </c>
      <c r="BI23" s="22">
        <f>BI22/Drivers!BJ4</f>
        <v>2.0714332074506277E-4</v>
      </c>
      <c r="BJ23" s="22">
        <f>BJ22/Drivers!BK4</f>
        <v>2.0719807096505671E-4</v>
      </c>
      <c r="BK23" s="22">
        <f>BK22/Drivers!BL4</f>
        <v>2.0725048503941566E-4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0.20549143000787101</v>
      </c>
      <c r="Z24" s="22">
        <f t="shared" si="7"/>
        <v>0.20550942407134426</v>
      </c>
      <c r="AA24" s="22">
        <f t="shared" si="7"/>
        <v>0.20552031103450108</v>
      </c>
      <c r="AB24" s="22">
        <f t="shared" si="7"/>
        <v>0.20550598667195086</v>
      </c>
      <c r="AC24" s="22">
        <f t="shared" si="7"/>
        <v>0.20549134825427584</v>
      </c>
      <c r="AD24" s="22">
        <f t="shared" si="7"/>
        <v>0.20550041855478809</v>
      </c>
      <c r="AE24" s="22">
        <f t="shared" si="7"/>
        <v>0.20550159030106077</v>
      </c>
      <c r="AF24" s="22">
        <f t="shared" si="7"/>
        <v>0.20547657857320795</v>
      </c>
      <c r="AG24" s="22">
        <f t="shared" si="7"/>
        <v>0.20533917313516753</v>
      </c>
      <c r="AH24" s="22">
        <f t="shared" si="7"/>
        <v>0.20538110161885412</v>
      </c>
      <c r="AI24" s="22">
        <f t="shared" si="7"/>
        <v>0.20540865592068619</v>
      </c>
      <c r="AJ24" s="22">
        <f t="shared" si="7"/>
        <v>0.205432698137646</v>
      </c>
      <c r="AK24" s="22">
        <f t="shared" si="7"/>
        <v>0.20546155383998654</v>
      </c>
      <c r="AL24" s="22">
        <f t="shared" si="7"/>
        <v>0.20550792176539476</v>
      </c>
      <c r="AM24" s="22">
        <f t="shared" si="7"/>
        <v>0.20556093374395384</v>
      </c>
      <c r="AN24" s="22">
        <f t="shared" si="7"/>
        <v>0.20561822103808017</v>
      </c>
      <c r="AO24" s="22">
        <f t="shared" si="7"/>
        <v>0.20566799544019904</v>
      </c>
      <c r="AP24" s="22">
        <f t="shared" si="7"/>
        <v>0.20572569541884725</v>
      </c>
      <c r="AQ24" s="22">
        <f t="shared" si="7"/>
        <v>0.20579320542675458</v>
      </c>
      <c r="AR24" s="22">
        <f t="shared" si="7"/>
        <v>0.20586105206562214</v>
      </c>
      <c r="AS24" s="22">
        <f t="shared" si="7"/>
        <v>0.20593185904135952</v>
      </c>
      <c r="AT24" s="22">
        <f t="shared" si="7"/>
        <v>0.20600400457155099</v>
      </c>
      <c r="AU24" s="22">
        <f t="shared" si="7"/>
        <v>0.20608448915780098</v>
      </c>
      <c r="AV24" s="22">
        <f t="shared" si="7"/>
        <v>0.20615489100239276</v>
      </c>
      <c r="AW24" s="22">
        <f t="shared" si="7"/>
        <v>0.20623225682350016</v>
      </c>
      <c r="AX24" s="22">
        <f t="shared" si="7"/>
        <v>0.20631090647709688</v>
      </c>
      <c r="AY24" s="22">
        <f t="shared" si="7"/>
        <v>0.20638587987993576</v>
      </c>
      <c r="AZ24" s="22">
        <f t="shared" si="7"/>
        <v>0.20646052245177016</v>
      </c>
      <c r="BA24" s="22">
        <f t="shared" si="7"/>
        <v>0.20653785367403235</v>
      </c>
      <c r="BB24" s="22">
        <f t="shared" si="7"/>
        <v>0.20662200598139774</v>
      </c>
      <c r="BC24" s="22">
        <f t="shared" si="7"/>
        <v>0.20670114764151765</v>
      </c>
      <c r="BD24" s="22">
        <f t="shared" si="7"/>
        <v>0.20678133282375719</v>
      </c>
      <c r="BE24" s="22">
        <f t="shared" si="7"/>
        <v>0.20686270954634772</v>
      </c>
      <c r="BF24" s="22">
        <f t="shared" si="7"/>
        <v>0.20694960816087182</v>
      </c>
      <c r="BG24" s="22">
        <f t="shared" si="7"/>
        <v>0.20704200508636211</v>
      </c>
      <c r="BH24" s="22">
        <f t="shared" si="7"/>
        <v>0.20709407305793662</v>
      </c>
      <c r="BI24" s="22">
        <f t="shared" si="7"/>
        <v>0.20714332074506278</v>
      </c>
      <c r="BJ24" s="22">
        <f t="shared" si="7"/>
        <v>0.20719807096505671</v>
      </c>
      <c r="BK24" s="22">
        <f t="shared" si="7"/>
        <v>0.20725048503941568</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3.4248571667978491</v>
      </c>
      <c r="Z26" s="51">
        <f>(Z19+Z22)*ttokg/Drivers!AA4</f>
        <v>3.4251570678557361</v>
      </c>
      <c r="AA26" s="51">
        <f>(AA19+AA22)*ttokg/Drivers!AB4</f>
        <v>3.4253385172416833</v>
      </c>
      <c r="AB26" s="51">
        <f>(AB19+AB22)*ttokg/Drivers!AC4</f>
        <v>3.4250997778658463</v>
      </c>
      <c r="AC26" s="51">
        <f>(AC19+AC22)*ttokg/Drivers!AD4</f>
        <v>3.42485580423793</v>
      </c>
      <c r="AD26" s="51">
        <f>(AD19+AD22)*ttokg/Drivers!AE4</f>
        <v>3.4250069759131345</v>
      </c>
      <c r="AE26" s="51">
        <f>(AE19+AE22)*ttokg/Drivers!AF4</f>
        <v>3.4250265050176782</v>
      </c>
      <c r="AF26" s="51">
        <f>(AF19+AF22)*ttokg/Drivers!AG4</f>
        <v>3.4246096428867983</v>
      </c>
      <c r="AG26" s="51">
        <f>(AG19+AG22)*ttokg/Drivers!AH4</f>
        <v>3.4223195522527909</v>
      </c>
      <c r="AH26" s="51">
        <f>(AH19+AH22)*ttokg/Drivers!AI4</f>
        <v>3.4230183603142352</v>
      </c>
      <c r="AI26" s="51">
        <f>(AI19+AI22)*ttokg/Drivers!AJ4</f>
        <v>3.4234775986781023</v>
      </c>
      <c r="AJ26" s="51">
        <f>(AJ19+AJ22)*ttokg/Drivers!AK4</f>
        <v>3.4238783022940988</v>
      </c>
      <c r="AK26" s="51">
        <f>(AK19+AK22)*ttokg/Drivers!AL4</f>
        <v>3.4243592306664414</v>
      </c>
      <c r="AL26" s="51">
        <f>(AL19+AL22)*ttokg/Drivers!AM4</f>
        <v>3.4251320294232444</v>
      </c>
      <c r="AM26" s="51">
        <f>(AM19+AM22)*ttokg/Drivers!AN4</f>
        <v>3.4260155623992299</v>
      </c>
      <c r="AN26" s="51">
        <f>(AN19+AN22)*ttokg/Drivers!AO4</f>
        <v>3.4269703506346687</v>
      </c>
      <c r="AO26" s="51">
        <f>(AO19+AO22)*ttokg/Drivers!AP4</f>
        <v>3.4277999240033159</v>
      </c>
      <c r="AP26" s="51">
        <f>(AP19+AP22)*ttokg/Drivers!AQ4</f>
        <v>3.4287615903141195</v>
      </c>
      <c r="AQ26" s="51">
        <f>(AQ19+AQ22)*ttokg/Drivers!AR4</f>
        <v>3.4298867571125746</v>
      </c>
      <c r="AR26" s="51">
        <f>(AR19+AR22)*ttokg/Drivers!AS4</f>
        <v>3.4310175344270348</v>
      </c>
      <c r="AS26" s="51">
        <f>(AS19+AS22)*ttokg/Drivers!AT4</f>
        <v>3.4321976506893241</v>
      </c>
      <c r="AT26" s="51">
        <f>(AT19+AT22)*ttokg/Drivers!AU4</f>
        <v>3.4334000761925152</v>
      </c>
      <c r="AU26" s="51">
        <f>(AU19+AU22)*ttokg/Drivers!AV4</f>
        <v>3.4347414859633481</v>
      </c>
      <c r="AV26" s="51">
        <f>(AV19+AV22)*ttokg/Drivers!AW4</f>
        <v>3.435914850039878</v>
      </c>
      <c r="AW26" s="51">
        <f>(AW19+AW22)*ttokg/Drivers!AX4</f>
        <v>3.437204280391668</v>
      </c>
      <c r="AX26" s="51">
        <f>(AX19+AX22)*ttokg/Drivers!AY4</f>
        <v>3.4385151079516136</v>
      </c>
      <c r="AY26" s="51">
        <f>(AY19+AY22)*ttokg/Drivers!AZ4</f>
        <v>3.4397646646655948</v>
      </c>
      <c r="AZ26" s="51">
        <f>(AZ19+AZ22)*ttokg/Drivers!BA4</f>
        <v>3.4410087075295008</v>
      </c>
      <c r="BA26" s="51">
        <f>(BA19+BA22)*ttokg/Drivers!BB4</f>
        <v>3.4422975612338713</v>
      </c>
      <c r="BB26" s="51">
        <f>(BB19+BB22)*ttokg/Drivers!BC4</f>
        <v>3.4437000996899614</v>
      </c>
      <c r="BC26" s="51">
        <f>(BC19+BC22)*ttokg/Drivers!BD4</f>
        <v>3.4450191273586257</v>
      </c>
      <c r="BD26" s="51">
        <f>(BD19+BD22)*ttokg/Drivers!BE4</f>
        <v>3.4463555470626184</v>
      </c>
      <c r="BE26" s="51">
        <f>(BE19+BE22)*ttokg/Drivers!BF4</f>
        <v>3.4477118257724606</v>
      </c>
      <c r="BF26" s="51">
        <f>(BF19+BF22)*ttokg/Drivers!BG4</f>
        <v>3.449160136014529</v>
      </c>
      <c r="BG26" s="51">
        <f>(BG19+BG22)*ttokg/Drivers!BH4</f>
        <v>3.4507000847727003</v>
      </c>
      <c r="BH26" s="51">
        <f>(BH19+BH22)*ttokg/Drivers!BI4</f>
        <v>3.4515678842989419</v>
      </c>
      <c r="BI26" s="51">
        <f>(BI19+BI22)*ttokg/Drivers!BJ4</f>
        <v>3.4523886790843776</v>
      </c>
      <c r="BJ26" s="51">
        <f>(BJ19+BJ22)*ttokg/Drivers!BK4</f>
        <v>3.4533011827509434</v>
      </c>
      <c r="BK26" s="51">
        <f>(BK19+BK22)*ttokg/Drivers!BL4</f>
        <v>3.454174750656926</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101">
        <f>IF('Net zero activities &amp; levers'!$C$14="Off",((Data!$AJ$23*'Net zero Intermediate calcs'!Y19)+Data!$AK$23),IF('Net zero activities &amp; levers'!$C$14="On",((Data!$AJ$23*'Net zero Intermediate calcs'!Y19)+Data!$AK$23)*(1-'Net zero supporting data'!B214),"ERROR"))</f>
        <v>152707.46443895251</v>
      </c>
      <c r="Z27" s="101">
        <f>IF('Net zero activities &amp; levers'!$C$14="Off",((Data!$AJ$23*'Net zero Intermediate calcs'!Z19)+Data!$AK$23),IF('Net zero activities &amp; levers'!$C$14="On",((Data!$AJ$23*'Net zero Intermediate calcs'!Z19)+Data!$AK$23)*(1-'Net zero supporting data'!C214),"ERROR"))</f>
        <v>154147.4160167888</v>
      </c>
      <c r="AA27" s="101">
        <f>IF('Net zero activities &amp; levers'!$C$14="Off",((Data!$AJ$23*'Net zero Intermediate calcs'!AA19)+Data!$AK$23),IF('Net zero activities &amp; levers'!$C$14="On",((Data!$AJ$23*'Net zero Intermediate calcs'!AA19)+Data!$AK$23)*(1-'Net zero supporting data'!D214),"ERROR"))</f>
        <v>155637.53881537839</v>
      </c>
      <c r="AB27" s="101">
        <f>IF('Net zero activities &amp; levers'!$C$14="Off",((Data!$AJ$23*'Net zero Intermediate calcs'!AB19)+Data!$AK$23),IF('Net zero activities &amp; levers'!$C$14="On",((Data!$AJ$23*'Net zero Intermediate calcs'!AB19)+Data!$AK$23)*(1-'Net zero supporting data'!E214),"ERROR"))</f>
        <v>157170.88339373074</v>
      </c>
      <c r="AC27" s="101">
        <f>IF('Net zero activities &amp; levers'!$C$14="Off",((Data!$AJ$23*'Net zero Intermediate calcs'!AC19)+Data!$AK$23),IF('Net zero activities &amp; levers'!$C$14="On",((Data!$AJ$23*'Net zero Intermediate calcs'!AC19)+Data!$AK$23)*(1-'Net zero supporting data'!F214),"ERROR"))</f>
        <v>158761.4167661735</v>
      </c>
      <c r="AD27" s="101">
        <f>IF('Net zero activities &amp; levers'!$C$14="Off",((Data!$AJ$23*'Net zero Intermediate calcs'!AD19)+Data!$AK$23),IF('Net zero activities &amp; levers'!$C$14="On",((Data!$AJ$23*'Net zero Intermediate calcs'!AD19)+Data!$AK$23)*(1-'Net zero supporting data'!G214),"ERROR"))</f>
        <v>160423.53136903781</v>
      </c>
      <c r="AE27" s="101">
        <f>IF('Net zero activities &amp; levers'!$C$14="Off",((Data!$AJ$23*'Net zero Intermediate calcs'!AE19)+Data!$AK$23),IF('Net zero activities &amp; levers'!$C$14="On",((Data!$AJ$23*'Net zero Intermediate calcs'!AE19)+Data!$AK$23)*(1-'Net zero supporting data'!H214),"ERROR"))</f>
        <v>162103.87130782756</v>
      </c>
      <c r="AF27" s="101">
        <f>IF('Net zero activities &amp; levers'!$C$14="Off",((Data!$AJ$23*'Net zero Intermediate calcs'!AF19)+Data!$AK$23),IF('Net zero activities &amp; levers'!$C$14="On",((Data!$AJ$23*'Net zero Intermediate calcs'!AF19)+Data!$AK$23)*(1-'Net zero supporting data'!I214),"ERROR"))</f>
        <v>163797.72899475685</v>
      </c>
      <c r="AG27" s="101">
        <f>IF('Net zero activities &amp; levers'!$C$14="Off",((Data!$AJ$23*'Net zero Intermediate calcs'!AG19)+Data!$AK$23),IF('Net zero activities &amp; levers'!$C$14="On",((Data!$AJ$23*'Net zero Intermediate calcs'!AG19)+Data!$AK$23)*(1-'Net zero supporting data'!J214),"ERROR"))</f>
        <v>165459.15817917028</v>
      </c>
      <c r="AH27" s="101">
        <f>IF('Net zero activities &amp; levers'!$C$14="Off",((Data!$AJ$23*'Net zero Intermediate calcs'!AH19)+Data!$AK$23),IF('Net zero activities &amp; levers'!$C$14="On",((Data!$AJ$23*'Net zero Intermediate calcs'!AH19)+Data!$AK$23)*(1-'Net zero supporting data'!K214),"ERROR"))</f>
        <v>166702.25547407049</v>
      </c>
      <c r="AI27" s="101">
        <f>IF('Net zero activities &amp; levers'!$C$14="Off",((Data!$AJ$23*'Net zero Intermediate calcs'!AI19)+Data!$AK$23),IF('Net zero activities &amp; levers'!$C$14="On",((Data!$AJ$23*'Net zero Intermediate calcs'!AI19)+Data!$AK$23)*(1-'Net zero supporting data'!L214),"ERROR"))</f>
        <v>167951.99537067307</v>
      </c>
      <c r="AJ27" s="101">
        <f>IF('Net zero activities &amp; levers'!$C$14="Off",((Data!$AJ$23*'Net zero Intermediate calcs'!AJ19)+Data!$AK$23),IF('Net zero activities &amp; levers'!$C$14="On",((Data!$AJ$23*'Net zero Intermediate calcs'!AJ19)+Data!$AK$23)*(1-'Net zero supporting data'!M214),"ERROR"))</f>
        <v>169214.23799522722</v>
      </c>
      <c r="AK27" s="101">
        <f>IF('Net zero activities &amp; levers'!$C$14="Off",((Data!$AJ$23*'Net zero Intermediate calcs'!AK19)+Data!$AK$23),IF('Net zero activities &amp; levers'!$C$14="On",((Data!$AJ$23*'Net zero Intermediate calcs'!AK19)+Data!$AK$23)*(1-'Net zero supporting data'!N214),"ERROR"))</f>
        <v>170493.70180885703</v>
      </c>
      <c r="AL27" s="101">
        <f>IF('Net zero activities &amp; levers'!$C$14="Off",((Data!$AJ$23*'Net zero Intermediate calcs'!AL19)+Data!$AK$23),IF('Net zero activities &amp; levers'!$C$14="On",((Data!$AJ$23*'Net zero Intermediate calcs'!AL19)+Data!$AK$23)*(1-'Net zero supporting data'!O214),"ERROR"))</f>
        <v>171797.76823165166</v>
      </c>
      <c r="AM27" s="101">
        <f>IF('Net zero activities &amp; levers'!$C$14="Off",((Data!$AJ$23*'Net zero Intermediate calcs'!AM19)+Data!$AK$23),IF('Net zero activities &amp; levers'!$C$14="On",((Data!$AJ$23*'Net zero Intermediate calcs'!AM19)+Data!$AK$23)*(1-'Net zero supporting data'!P214),"ERROR"))</f>
        <v>172928.47328824608</v>
      </c>
      <c r="AN27" s="101">
        <f>IF('Net zero activities &amp; levers'!$C$14="Off",((Data!$AJ$23*'Net zero Intermediate calcs'!AN19)+Data!$AK$23),IF('Net zero activities &amp; levers'!$C$14="On",((Data!$AJ$23*'Net zero Intermediate calcs'!AN19)+Data!$AK$23)*(1-'Net zero supporting data'!Q214),"ERROR"))</f>
        <v>174072.92231111604</v>
      </c>
      <c r="AO27" s="101">
        <f>IF('Net zero activities &amp; levers'!$C$14="Off",((Data!$AJ$23*'Net zero Intermediate calcs'!AO19)+Data!$AK$23),IF('Net zero activities &amp; levers'!$C$14="On",((Data!$AJ$23*'Net zero Intermediate calcs'!AO19)+Data!$AK$23)*(1-'Net zero supporting data'!R214),"ERROR"))</f>
        <v>175224.49073380631</v>
      </c>
      <c r="AP27" s="101">
        <f>IF('Net zero activities &amp; levers'!$C$14="Off",((Data!$AJ$23*'Net zero Intermediate calcs'!AP19)+Data!$AK$23),IF('Net zero activities &amp; levers'!$C$14="On",((Data!$AJ$23*'Net zero Intermediate calcs'!AP19)+Data!$AK$23)*(1-'Net zero supporting data'!S214),"ERROR"))</f>
        <v>176392.16724694284</v>
      </c>
      <c r="AQ27" s="101">
        <f>IF('Net zero activities &amp; levers'!$C$14="Off",((Data!$AJ$23*'Net zero Intermediate calcs'!AQ19)+Data!$AK$23),IF('Net zero activities &amp; levers'!$C$14="On",((Data!$AJ$23*'Net zero Intermediate calcs'!AQ19)+Data!$AK$23)*(1-'Net zero supporting data'!T214),"ERROR"))</f>
        <v>177577.30814668501</v>
      </c>
      <c r="AR27" s="101">
        <f>IF('Net zero activities &amp; levers'!$C$14="Off",((Data!$AJ$23*'Net zero Intermediate calcs'!AR19)+Data!$AK$23),IF('Net zero activities &amp; levers'!$C$14="On",((Data!$AJ$23*'Net zero Intermediate calcs'!AR19)+Data!$AK$23)*(1-'Net zero supporting data'!U214),"ERROR"))</f>
        <v>178633.49442572461</v>
      </c>
      <c r="AS27" s="101">
        <f>IF('Net zero activities &amp; levers'!$C$14="Off",((Data!$AJ$23*'Net zero Intermediate calcs'!AS19)+Data!$AK$23),IF('Net zero activities &amp; levers'!$C$14="On",((Data!$AJ$23*'Net zero Intermediate calcs'!AS19)+Data!$AK$23)*(1-'Net zero supporting data'!V214),"ERROR"))</f>
        <v>179700.74590242314</v>
      </c>
      <c r="AT27" s="101">
        <f>IF('Net zero activities &amp; levers'!$C$14="Off",((Data!$AJ$23*'Net zero Intermediate calcs'!AT19)+Data!$AK$23),IF('Net zero activities &amp; levers'!$C$14="On",((Data!$AJ$23*'Net zero Intermediate calcs'!AT19)+Data!$AK$23)*(1-'Net zero supporting data'!W214),"ERROR"))</f>
        <v>180778.20963459832</v>
      </c>
      <c r="AU27" s="101">
        <f>IF('Net zero activities &amp; levers'!$C$14="Off",((Data!$AJ$23*'Net zero Intermediate calcs'!AU19)+Data!$AK$23),IF('Net zero activities &amp; levers'!$C$14="On",((Data!$AJ$23*'Net zero Intermediate calcs'!AU19)+Data!$AK$23)*(1-'Net zero supporting data'!X214),"ERROR"))</f>
        <v>181870.2498480824</v>
      </c>
      <c r="AV27" s="101">
        <f>IF('Net zero activities &amp; levers'!$C$14="Off",((Data!$AJ$23*'Net zero Intermediate calcs'!AV19)+Data!$AK$23),IF('Net zero activities &amp; levers'!$C$14="On",((Data!$AJ$23*'Net zero Intermediate calcs'!AV19)+Data!$AK$23)*(1-'Net zero supporting data'!Y214),"ERROR"))</f>
        <v>182965.76951128189</v>
      </c>
      <c r="AW27" s="101">
        <f>IF('Net zero activities &amp; levers'!$C$14="Off",((Data!$AJ$23*'Net zero Intermediate calcs'!AW19)+Data!$AK$23),IF('Net zero activities &amp; levers'!$C$14="On",((Data!$AJ$23*'Net zero Intermediate calcs'!AW19)+Data!$AK$23)*(1-'Net zero supporting data'!Z214),"ERROR"))</f>
        <v>183921.68422080053</v>
      </c>
      <c r="AX27" s="101">
        <f>IF('Net zero activities &amp; levers'!$C$14="Off",((Data!$AJ$23*'Net zero Intermediate calcs'!AX19)+Data!$AK$23),IF('Net zero activities &amp; levers'!$C$14="On",((Data!$AJ$23*'Net zero Intermediate calcs'!AX19)+Data!$AK$23)*(1-'Net zero supporting data'!AA214),"ERROR"))</f>
        <v>184885.68525473707</v>
      </c>
      <c r="AY27" s="101">
        <f>IF('Net zero activities &amp; levers'!$C$14="Off",((Data!$AJ$23*'Net zero Intermediate calcs'!AY19)+Data!$AK$23),IF('Net zero activities &amp; levers'!$C$14="On",((Data!$AJ$23*'Net zero Intermediate calcs'!AY19)+Data!$AK$23)*(1-'Net zero supporting data'!AB214),"ERROR"))</f>
        <v>185854.73372296421</v>
      </c>
      <c r="AZ27" s="101">
        <f>IF('Net zero activities &amp; levers'!$C$14="Off",((Data!$AJ$23*'Net zero Intermediate calcs'!AZ19)+Data!$AK$23),IF('Net zero activities &amp; levers'!$C$14="On",((Data!$AJ$23*'Net zero Intermediate calcs'!AZ19)+Data!$AK$23)*(1-'Net zero supporting data'!AC214),"ERROR"))</f>
        <v>186830.94892320503</v>
      </c>
      <c r="BA27" s="101">
        <f>IF('Net zero activities &amp; levers'!$C$14="Off",((Data!$AJ$23*'Net zero Intermediate calcs'!BA19)+Data!$AK$23),IF('Net zero activities &amp; levers'!$C$14="On",((Data!$AJ$23*'Net zero Intermediate calcs'!BA19)+Data!$AK$23)*(1-'Net zero supporting data'!AD214),"ERROR"))</f>
        <v>187816.30348121311</v>
      </c>
      <c r="BB27" s="101">
        <f>IF('Net zero activities &amp; levers'!$C$14="Off",((Data!$AJ$23*'Net zero Intermediate calcs'!BB19)+Data!$AK$23),IF('Net zero activities &amp; levers'!$C$14="On",((Data!$AJ$23*'Net zero Intermediate calcs'!BB19)+Data!$AK$23)*(1-'Net zero supporting data'!AE214),"ERROR"))</f>
        <v>188667.57527341158</v>
      </c>
      <c r="BC27" s="101">
        <f>IF('Net zero activities &amp; levers'!$C$14="Off",((Data!$AJ$23*'Net zero Intermediate calcs'!BC19)+Data!$AK$23),IF('Net zero activities &amp; levers'!$C$14="On",((Data!$AJ$23*'Net zero Intermediate calcs'!BC19)+Data!$AK$23)*(1-'Net zero supporting data'!AF214),"ERROR"))</f>
        <v>189521.18310770561</v>
      </c>
      <c r="BD27" s="101">
        <f>IF('Net zero activities &amp; levers'!$C$14="Off",((Data!$AJ$23*'Net zero Intermediate calcs'!BD19)+Data!$AK$23),IF('Net zero activities &amp; levers'!$C$14="On",((Data!$AJ$23*'Net zero Intermediate calcs'!BD19)+Data!$AK$23)*(1-'Net zero supporting data'!AG214),"ERROR"))</f>
        <v>190381.02747255951</v>
      </c>
      <c r="BE27" s="101">
        <f>IF('Net zero activities &amp; levers'!$C$14="Off",((Data!$AJ$23*'Net zero Intermediate calcs'!BE19)+Data!$AK$23),IF('Net zero activities &amp; levers'!$C$14="On",((Data!$AJ$23*'Net zero Intermediate calcs'!BE19)+Data!$AK$23)*(1-'Net zero supporting data'!AH214),"ERROR"))</f>
        <v>191247.25313802127</v>
      </c>
      <c r="BF27" s="101">
        <f>IF('Net zero activities &amp; levers'!$C$14="Off",((Data!$AJ$23*'Net zero Intermediate calcs'!BF19)+Data!$AK$23),IF('Net zero activities &amp; levers'!$C$14="On",((Data!$AJ$23*'Net zero Intermediate calcs'!BF19)+Data!$AK$23)*(1-'Net zero supporting data'!AI214),"ERROR"))</f>
        <v>192122.75137905241</v>
      </c>
      <c r="BG27" s="101">
        <f>IF('Net zero activities &amp; levers'!$C$14="Off",((Data!$AJ$23*'Net zero Intermediate calcs'!BG19)+Data!$AK$23),IF('Net zero activities &amp; levers'!$C$14="On",((Data!$AJ$23*'Net zero Intermediate calcs'!BG19)+Data!$AK$23)*(1-'Net zero supporting data'!AJ214),"ERROR"))</f>
        <v>192857.38760219977</v>
      </c>
      <c r="BH27" s="101">
        <f>IF('Net zero activities &amp; levers'!$C$14="Off",((Data!$AJ$23*'Net zero Intermediate calcs'!BH19)+Data!$AK$23),IF('Net zero activities &amp; levers'!$C$14="On",((Data!$AJ$23*'Net zero Intermediate calcs'!BH19)+Data!$AK$23)*(1-'Net zero supporting data'!AK214),"ERROR"))</f>
        <v>193569.30896397139</v>
      </c>
      <c r="BI27" s="101">
        <f>IF('Net zero activities &amp; levers'!$C$14="Off",((Data!$AJ$23*'Net zero Intermediate calcs'!BI19)+Data!$AK$23),IF('Net zero activities &amp; levers'!$C$14="On",((Data!$AJ$23*'Net zero Intermediate calcs'!BI19)+Data!$AK$23)*(1-'Net zero supporting data'!AL214),"ERROR"))</f>
        <v>194283.11418452515</v>
      </c>
      <c r="BJ27" s="101">
        <f>IF('Net zero activities &amp; levers'!$C$14="Off",((Data!$AJ$23*'Net zero Intermediate calcs'!BJ19)+Data!$AK$23),IF('Net zero activities &amp; levers'!$C$14="On",((Data!$AJ$23*'Net zero Intermediate calcs'!BJ19)+Data!$AK$23)*(1-'Net zero supporting data'!AM214),"ERROR"))</f>
        <v>195004.36492776833</v>
      </c>
      <c r="BK27" s="101">
        <f>IF('Net zero activities &amp; levers'!$C$14="Off",((Data!$AJ$23*'Net zero Intermediate calcs'!BK19)+Data!$AK$23),IF('Net zero activities &amp; levers'!$C$14="On",((Data!$AJ$23*'Net zero Intermediate calcs'!BK19)+Data!$AK$23)*(1-'Net zero supporting data'!AN214),"ERROR"))</f>
        <v>195727.86369422375</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233790.12764994369</v>
      </c>
      <c r="Z29" s="22">
        <f>((Data!$AJ$9*'Net zero Intermediate calcs'!Z4)+Data!$AK$9)*Drivers!AA4</f>
        <v>240538.06399401766</v>
      </c>
      <c r="AA29" s="22">
        <f>((Data!$AJ$9*'Net zero Intermediate calcs'!AA4)+Data!$AK$9)*Drivers!AB4</f>
        <v>246204.89291625377</v>
      </c>
      <c r="AB29" s="22">
        <f>((Data!$AJ$9*'Net zero Intermediate calcs'!AB4)+Data!$AK$9)*Drivers!AC4</f>
        <v>247350.5991686245</v>
      </c>
      <c r="AC29" s="22">
        <f>((Data!$AJ$9*'Net zero Intermediate calcs'!AC4)+Data!$AK$9)*Drivers!AD4</f>
        <v>248494.44443308114</v>
      </c>
      <c r="AD29" s="22">
        <f>((Data!$AJ$9*'Net zero Intermediate calcs'!AD4)+Data!$AK$9)*Drivers!AE4</f>
        <v>254277.45327308931</v>
      </c>
      <c r="AE29" s="22">
        <f>((Data!$AJ$9*'Net zero Intermediate calcs'!AE4)+Data!$AK$9)*Drivers!AF4</f>
        <v>258619.67183132662</v>
      </c>
      <c r="AF29" s="22">
        <f>((Data!$AJ$9*'Net zero Intermediate calcs'!AF4)+Data!$AK$9)*Drivers!AG4</f>
        <v>257810.14050616129</v>
      </c>
      <c r="AG29" s="22">
        <f>((Data!$AJ$9*'Net zero Intermediate calcs'!AG4)+Data!$AK$9)*Drivers!AH4</f>
        <v>234112.52382455493</v>
      </c>
      <c r="AH29" s="22">
        <f>((Data!$AJ$9*'Net zero Intermediate calcs'!AH4)+Data!$AK$9)*Drivers!AI4</f>
        <v>245409.44893846259</v>
      </c>
      <c r="AI29" s="22">
        <f>((Data!$AJ$9*'Net zero Intermediate calcs'!AI4)+Data!$AK$9)*Drivers!AJ4</f>
        <v>253952.77794610485</v>
      </c>
      <c r="AJ29" s="22">
        <f>((Data!$AJ$9*'Net zero Intermediate calcs'!AJ4)+Data!$AK$9)*Drivers!AK4</f>
        <v>261923.14548725789</v>
      </c>
      <c r="AK29" s="22">
        <f>((Data!$AJ$9*'Net zero Intermediate calcs'!AK4)+Data!$AK$9)*Drivers!AL4</f>
        <v>271065.34291882522</v>
      </c>
      <c r="AL29" s="22">
        <f>((Data!$AJ$9*'Net zero Intermediate calcs'!AL4)+Data!$AK$9)*Drivers!AM4</f>
        <v>284144.18455845758</v>
      </c>
      <c r="AM29" s="22">
        <f>((Data!$AJ$9*'Net zero Intermediate calcs'!AM4)+Data!$AK$9)*Drivers!AN4</f>
        <v>298438.68632703193</v>
      </c>
      <c r="AN29" s="22">
        <f>((Data!$AJ$9*'Net zero Intermediate calcs'!AN4)+Data!$AK$9)*Drivers!AO4</f>
        <v>313923.45554359735</v>
      </c>
      <c r="AO29" s="22">
        <f>((Data!$AJ$9*'Net zero Intermediate calcs'!AO4)+Data!$AK$9)*Drivers!AP4</f>
        <v>328022.66786897584</v>
      </c>
      <c r="AP29" s="22">
        <f>((Data!$AJ$9*'Net zero Intermediate calcs'!AP4)+Data!$AK$9)*Drivers!AQ4</f>
        <v>344139.19039295247</v>
      </c>
      <c r="AQ29" s="22">
        <f>((Data!$AJ$9*'Net zero Intermediate calcs'!AQ4)+Data!$AK$9)*Drivers!AR4</f>
        <v>362753.82812781673</v>
      </c>
      <c r="AR29" s="22">
        <f>((Data!$AJ$9*'Net zero Intermediate calcs'!AR4)+Data!$AK$9)*Drivers!AS4</f>
        <v>381282.27163092769</v>
      </c>
      <c r="AS29" s="22">
        <f>((Data!$AJ$9*'Net zero Intermediate calcs'!AS4)+Data!$AK$9)*Drivers!AT4</f>
        <v>400779.6619069092</v>
      </c>
      <c r="AT29" s="22">
        <f>((Data!$AJ$9*'Net zero Intermediate calcs'!AT4)+Data!$AK$9)*Drivers!AU4</f>
        <v>420891.76475006144</v>
      </c>
      <c r="AU29" s="22">
        <f>((Data!$AJ$9*'Net zero Intermediate calcs'!AU4)+Data!$AK$9)*Drivers!AV4</f>
        <v>443263.7685142149</v>
      </c>
      <c r="AV29" s="22">
        <f>((Data!$AJ$9*'Net zero Intermediate calcs'!AV4)+Data!$AK$9)*Drivers!AW4</f>
        <v>463614.22372301563</v>
      </c>
      <c r="AW29" s="22">
        <f>((Data!$AJ$9*'Net zero Intermediate calcs'!AW4)+Data!$AK$9)*Drivers!AX4</f>
        <v>485348.04755100893</v>
      </c>
      <c r="AX29" s="22">
        <f>((Data!$AJ$9*'Net zero Intermediate calcs'!AX4)+Data!$AK$9)*Drivers!AY4</f>
        <v>507681.81703681039</v>
      </c>
      <c r="AY29" s="22">
        <f>((Data!$AJ$9*'Net zero Intermediate calcs'!AY4)+Data!$AK$9)*Drivers!AZ4</f>
        <v>529432.3250902791</v>
      </c>
      <c r="AZ29" s="22">
        <f>((Data!$AJ$9*'Net zero Intermediate calcs'!AZ4)+Data!$AK$9)*Drivers!BA4</f>
        <v>551393.94062096812</v>
      </c>
      <c r="BA29" s="22">
        <f>((Data!$AJ$9*'Net zero Intermediate calcs'!BA4)+Data!$AK$9)*Drivers!BB4</f>
        <v>574304.96500846441</v>
      </c>
      <c r="BB29" s="22">
        <f>((Data!$AJ$9*'Net zero Intermediate calcs'!BB4)+Data!$AK$9)*Drivers!BC4</f>
        <v>598538.50002234126</v>
      </c>
      <c r="BC29" s="22">
        <f>((Data!$AJ$9*'Net zero Intermediate calcs'!BC4)+Data!$AK$9)*Drivers!BD4</f>
        <v>621812.72243266355</v>
      </c>
      <c r="BD29" s="22">
        <f>((Data!$AJ$9*'Net zero Intermediate calcs'!BD4)+Data!$AK$9)*Drivers!BE4</f>
        <v>645612.43188959453</v>
      </c>
      <c r="BE29" s="22">
        <f>((Data!$AJ$9*'Net zero Intermediate calcs'!BE4)+Data!$AK$9)*Drivers!BF4</f>
        <v>669981.90226742555</v>
      </c>
      <c r="BF29" s="22">
        <f>((Data!$AJ$9*'Net zero Intermediate calcs'!BF4)+Data!$AK$9)*Drivers!BG4</f>
        <v>696019.28281661647</v>
      </c>
      <c r="BG29" s="22">
        <f>((Data!$AJ$9*'Net zero Intermediate calcs'!BG4)+Data!$AK$9)*Drivers!BH4</f>
        <v>722951.42494529625</v>
      </c>
      <c r="BH29" s="22">
        <f>((Data!$AJ$9*'Net zero Intermediate calcs'!BH4)+Data!$AK$9)*Drivers!BI4</f>
        <v>739883.9227702897</v>
      </c>
      <c r="BI29" s="22">
        <f>((Data!$AJ$9*'Net zero Intermediate calcs'!BI4)+Data!$AK$9)*Drivers!BJ4</f>
        <v>756249.53900698142</v>
      </c>
      <c r="BJ29" s="22">
        <f>((Data!$AJ$9*'Net zero Intermediate calcs'!BJ4)+Data!$AK$9)*Drivers!BK4</f>
        <v>774176.69224890578</v>
      </c>
      <c r="BK29" s="22">
        <f>((Data!$AJ$9*'Net zero Intermediate calcs'!BK4)+Data!$AK$9)*Drivers!BL4</f>
        <v>791663.89379782462</v>
      </c>
      <c r="BL29">
        <v>633508.56940588297</v>
      </c>
    </row>
    <row r="30" spans="1:64"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4.4680017875218496</v>
      </c>
      <c r="Z30" s="51">
        <f>Z29*ttokg/Drivers!AA4</f>
        <v>4.5295328698005095</v>
      </c>
      <c r="AA30" s="51">
        <f>AA29*ttokg/Drivers!AB4</f>
        <v>4.5667610715772069</v>
      </c>
      <c r="AB30" s="51">
        <f>AB29*ttokg/Drivers!AC4</f>
        <v>4.5177786095571077</v>
      </c>
      <c r="AC30" s="51">
        <f>AC29*ttokg/Drivers!AD4</f>
        <v>4.4677222293665606</v>
      </c>
      <c r="AD30" s="51">
        <f>AD29*ttokg/Drivers!AE4</f>
        <v>4.4987383146406321</v>
      </c>
      <c r="AE30" s="51">
        <f>AE29*ttokg/Drivers!AF4</f>
        <v>4.502745125910292</v>
      </c>
      <c r="AF30" s="51">
        <f>AF29*ttokg/Drivers!AG4</f>
        <v>4.4172169912157173</v>
      </c>
      <c r="AG30" s="51">
        <f>AG29*ttokg/Drivers!AH4</f>
        <v>3.9473561770552497</v>
      </c>
      <c r="AH30" s="51">
        <f>AH29*ttokg/Drivers!AI4</f>
        <v>4.0907315176711219</v>
      </c>
      <c r="AI30" s="51">
        <f>AI29*ttokg/Drivers!AJ4</f>
        <v>4.1849540380972332</v>
      </c>
      <c r="AJ30" s="51">
        <f>AJ29*ttokg/Drivers!AK4</f>
        <v>4.2671669096986431</v>
      </c>
      <c r="AK30" s="51">
        <f>AK29*ttokg/Drivers!AL4</f>
        <v>4.3658395968081827</v>
      </c>
      <c r="AL30" s="51">
        <f>AL29*ttokg/Drivers!AM4</f>
        <v>4.5243957026939938</v>
      </c>
      <c r="AM30" s="51">
        <f>AM29*ttokg/Drivers!AN4</f>
        <v>4.7056712894630213</v>
      </c>
      <c r="AN30" s="51">
        <f>AN29*ttokg/Drivers!AO4</f>
        <v>4.9015664086309156</v>
      </c>
      <c r="AO30" s="51">
        <f>AO29*ttokg/Drivers!AP4</f>
        <v>5.0717710339895596</v>
      </c>
      <c r="AP30" s="51">
        <f>AP29*ttokg/Drivers!AQ4</f>
        <v>5.2690773366463057</v>
      </c>
      <c r="AQ30" s="51">
        <f>AQ29*ttokg/Drivers!AR4</f>
        <v>5.4999292427403859</v>
      </c>
      <c r="AR30" s="51">
        <f>AR29*ttokg/Drivers!AS4</f>
        <v>5.731932265553616</v>
      </c>
      <c r="AS30" s="51">
        <f>AS29*ttokg/Drivers!AT4</f>
        <v>5.9740582231770896</v>
      </c>
      <c r="AT30" s="51">
        <f>AT29*ttokg/Drivers!AU4</f>
        <v>6.220761396189963</v>
      </c>
      <c r="AU30" s="51">
        <f>AU29*ttokg/Drivers!AV4</f>
        <v>6.4959801485341178</v>
      </c>
      <c r="AV30" s="51">
        <f>AV29*ttokg/Drivers!AW4</f>
        <v>6.7367207515993179</v>
      </c>
      <c r="AW30" s="51">
        <f>AW29*ttokg/Drivers!AX4</f>
        <v>7.0012748202893151</v>
      </c>
      <c r="AX30" s="51">
        <f>AX29*ttokg/Drivers!AY4</f>
        <v>7.2702189814477229</v>
      </c>
      <c r="AY30" s="51">
        <f>AY29*ttokg/Drivers!AZ4</f>
        <v>7.5265921250484951</v>
      </c>
      <c r="AZ30" s="51">
        <f>AZ29*ttokg/Drivers!BA4</f>
        <v>7.781833985001736</v>
      </c>
      <c r="BA30" s="51">
        <f>BA29*ttokg/Drivers!BB4</f>
        <v>8.0462697422055811</v>
      </c>
      <c r="BB30" s="51">
        <f>BB29*ttokg/Drivers!BC4</f>
        <v>8.3340303448139625</v>
      </c>
      <c r="BC30" s="51">
        <f>BC29*ttokg/Drivers!BD4</f>
        <v>8.6046569327295934</v>
      </c>
      <c r="BD30" s="51">
        <f>BD29*ttokg/Drivers!BE4</f>
        <v>8.878851866700149</v>
      </c>
      <c r="BE30" s="51">
        <f>BE29*ttokg/Drivers!BF4</f>
        <v>9.1571212982115711</v>
      </c>
      <c r="BF30" s="51">
        <f>BF29*ttokg/Drivers!BG4</f>
        <v>9.4542729564865375</v>
      </c>
      <c r="BG30" s="51">
        <f>BG29*ttokg/Drivers!BH4</f>
        <v>9.7702262059061216</v>
      </c>
      <c r="BH30" s="51">
        <f>BH29*ttokg/Drivers!BI4</f>
        <v>9.94827374073855</v>
      </c>
      <c r="BI30" s="51">
        <f>BI29*ttokg/Drivers!BJ4</f>
        <v>10.116677252991167</v>
      </c>
      <c r="BJ30" s="51">
        <f>BJ29*ttokg/Drivers!BK4</f>
        <v>10.303896793270599</v>
      </c>
      <c r="BK30" s="51">
        <f>BK29*ttokg/Drivers!BL4</f>
        <v>10.483127833926449</v>
      </c>
      <c r="BL30">
        <v>8.3888419900670428</v>
      </c>
    </row>
    <row r="31" spans="1:64"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0.27169109761910359</v>
      </c>
      <c r="AP31" s="51"/>
      <c r="AQ31" s="51">
        <f>(AQ32-AE32)/AE32</f>
        <v>0.37763554192080184</v>
      </c>
      <c r="AR31" s="51"/>
      <c r="AS31" s="51"/>
      <c r="AT31" s="51"/>
      <c r="AU31" s="51"/>
      <c r="AV31" s="51"/>
      <c r="AW31" s="51"/>
      <c r="AX31" s="51"/>
      <c r="AY31" s="51"/>
      <c r="AZ31" s="51"/>
      <c r="BA31" s="51"/>
      <c r="BB31" s="51"/>
      <c r="BC31" s="51"/>
      <c r="BD31" s="51"/>
      <c r="BE31" s="51"/>
      <c r="BF31" s="51"/>
      <c r="BG31" s="51"/>
      <c r="BH31" s="51"/>
      <c r="BI31" s="51"/>
      <c r="BJ31" s="51"/>
      <c r="BK31" s="51"/>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101">
        <f>IF('Net zero activities &amp; levers'!$C$14="Off",((Data!$AJ$26*'Net zero Intermediate calcs'!Y29)+Data!$AK$26),IF('Net zero activities &amp; levers'!$C$14="On",((Data!$AJ$26*'Net zero Intermediate calcs'!Y29)+Data!$AK$26)*(1-'Net zero supporting data'!B215),"ERROR"))</f>
        <v>211088.27785039041</v>
      </c>
      <c r="Z32" s="101">
        <f>IF('Net zero activities &amp; levers'!$C$14="Off",((Data!$AJ$26*'Net zero Intermediate calcs'!Z29)+Data!$AK$26),IF('Net zero activities &amp; levers'!$C$14="On",((Data!$AJ$26*'Net zero Intermediate calcs'!Z29)+Data!$AK$26)*(1-'Net zero supporting data'!C215),"ERROR"))</f>
        <v>216810.58915385391</v>
      </c>
      <c r="AA32" s="101">
        <f>IF('Net zero activities &amp; levers'!$C$14="Off",((Data!$AJ$26*'Net zero Intermediate calcs'!AA29)+Data!$AK$26),IF('Net zero activities &amp; levers'!$C$14="On",((Data!$AJ$26*'Net zero Intermediate calcs'!AA29)+Data!$AK$26)*(1-'Net zero supporting data'!D215),"ERROR"))</f>
        <v>221616.11154515258</v>
      </c>
      <c r="AB32" s="101">
        <f>IF('Net zero activities &amp; levers'!$C$14="Off",((Data!$AJ$26*'Net zero Intermediate calcs'!AB29)+Data!$AK$26),IF('Net zero activities &amp; levers'!$C$14="On",((Data!$AJ$26*'Net zero Intermediate calcs'!AB29)+Data!$AK$26)*(1-'Net zero supporting data'!E215),"ERROR"))</f>
        <v>222587.68085228562</v>
      </c>
      <c r="AC32" s="101">
        <f>IF('Net zero activities &amp; levers'!$C$14="Off",((Data!$AJ$26*'Net zero Intermediate calcs'!AC29)+Data!$AK$26),IF('Net zero activities &amp; levers'!$C$14="On",((Data!$AJ$26*'Net zero Intermediate calcs'!AC29)+Data!$AK$26)*(1-'Net zero supporting data'!F215),"ERROR"))</f>
        <v>223557.67202476633</v>
      </c>
      <c r="AD32" s="101">
        <f>IF('Net zero activities &amp; levers'!$C$14="Off",((Data!$AJ$26*'Net zero Intermediate calcs'!AD29)+Data!$AK$26),IF('Net zero activities &amp; levers'!$C$14="On",((Data!$AJ$26*'Net zero Intermediate calcs'!AD29)+Data!$AK$26)*(1-'Net zero supporting data'!G215),"ERROR"))</f>
        <v>228461.71604146331</v>
      </c>
      <c r="AE32" s="101">
        <f>IF('Net zero activities &amp; levers'!$C$14="Off",((Data!$AJ$26*'Net zero Intermediate calcs'!AE29)+Data!$AK$26),IF('Net zero activities &amp; levers'!$C$14="On",((Data!$AJ$26*'Net zero Intermediate calcs'!AE29)+Data!$AK$26)*(1-'Net zero supporting data'!H215),"ERROR"))</f>
        <v>232143.95681418956</v>
      </c>
      <c r="AF32" s="101">
        <f>IF('Net zero activities &amp; levers'!$C$14="Off",((Data!$AJ$26*'Net zero Intermediate calcs'!AF29)+Data!$AK$26),IF('Net zero activities &amp; levers'!$C$14="On",((Data!$AJ$26*'Net zero Intermediate calcs'!AF29)+Data!$AK$26)*(1-'Net zero supporting data'!I215),"ERROR"))</f>
        <v>231457.4668984141</v>
      </c>
      <c r="AG32" s="101">
        <f>IF('Net zero activities &amp; levers'!$C$14="Off",((Data!$AJ$26*'Net zero Intermediate calcs'!AG29)+Data!$AK$26),IF('Net zero activities &amp; levers'!$C$14="On",((Data!$AJ$26*'Net zero Intermediate calcs'!AG29)+Data!$AK$26)*(1-'Net zero supporting data'!J215),"ERROR"))</f>
        <v>211361.6727344117</v>
      </c>
      <c r="AH32" s="101">
        <f>IF('Net zero activities &amp; levers'!$C$14="Off",((Data!$AJ$26*'Net zero Intermediate calcs'!AH29)+Data!$AK$26),IF('Net zero activities &amp; levers'!$C$14="On",((Data!$AJ$26*'Net zero Intermediate calcs'!AH29)+Data!$AK$26)*(1-'Net zero supporting data'!K215),"ERROR"))</f>
        <v>220897.37951432393</v>
      </c>
      <c r="AI32" s="101">
        <f>IF('Net zero activities &amp; levers'!$C$14="Off",((Data!$AJ$26*'Net zero Intermediate calcs'!AI29)+Data!$AK$26),IF('Net zero activities &amp; levers'!$C$14="On",((Data!$AJ$26*'Net zero Intermediate calcs'!AI29)+Data!$AK$26)*(1-'Net zero supporting data'!L215),"ERROR"))</f>
        <v>228095.11386016442</v>
      </c>
      <c r="AJ32" s="101">
        <f>IF('Net zero activities &amp; levers'!$C$14="Off",((Data!$AJ$26*'Net zero Intermediate calcs'!AJ29)+Data!$AK$26),IF('Net zero activities &amp; levers'!$C$14="On",((Data!$AJ$26*'Net zero Intermediate calcs'!AJ29)+Data!$AK$26)*(1-'Net zero supporting data'!M215),"ERROR"))</f>
        <v>234804.365276558</v>
      </c>
      <c r="AK32" s="101">
        <f>IF('Net zero activities &amp; levers'!$C$14="Off",((Data!$AJ$26*'Net zero Intermediate calcs'!AK29)+Data!$AK$26),IF('Net zero activities &amp; levers'!$C$14="On",((Data!$AJ$26*'Net zero Intermediate calcs'!AK29)+Data!$AK$26)*(1-'Net zero supporting data'!N215),"ERROR"))</f>
        <v>242503.84052686056</v>
      </c>
      <c r="AL32" s="101">
        <f>IF('Net zero activities &amp; levers'!$C$14="Off",((Data!$AJ$26*'Net zero Intermediate calcs'!AL29)+Data!$AK$26),IF('Net zero activities &amp; levers'!$C$14="On",((Data!$AJ$26*'Net zero Intermediate calcs'!AL29)+Data!$AK$26)*(1-'Net zero supporting data'!O215),"ERROR"))</f>
        <v>253535.18644096085</v>
      </c>
      <c r="AM32" s="101">
        <f>IF('Net zero activities &amp; levers'!$C$14="Off",((Data!$AJ$26*'Net zero Intermediate calcs'!AM29)+Data!$AK$26),IF('Net zero activities &amp; levers'!$C$14="On",((Data!$AJ$26*'Net zero Intermediate calcs'!AM29)+Data!$AK$26)*(1-'Net zero supporting data'!P215),"ERROR"))</f>
        <v>265591.74972524476</v>
      </c>
      <c r="AN32" s="101">
        <f>IF('Net zero activities &amp; levers'!$C$14="Off",((Data!$AJ$26*'Net zero Intermediate calcs'!AN29)+Data!$AK$26),IF('Net zero activities &amp; levers'!$C$14="On",((Data!$AJ$26*'Net zero Intermediate calcs'!AN29)+Data!$AK$26)*(1-'Net zero supporting data'!Q215),"ERROR"))</f>
        <v>278651.40876766946</v>
      </c>
      <c r="AO32" s="101">
        <f>IF('Net zero activities &amp; levers'!$C$14="Off",((Data!$AJ$26*'Net zero Intermediate calcs'!AO29)+Data!$AK$26),IF('Net zero activities &amp; levers'!$C$14="On",((Data!$AJ$26*'Net zero Intermediate calcs'!AO29)+Data!$AK$26)*(1-'Net zero supporting data'!R215),"ERROR"))</f>
        <v>290532.73043671245</v>
      </c>
      <c r="AP32" s="101">
        <f>IF('Net zero activities &amp; levers'!$C$14="Off",((Data!$AJ$26*'Net zero Intermediate calcs'!AP29)+Data!$AK$26),IF('Net zero activities &amp; levers'!$C$14="On",((Data!$AJ$26*'Net zero Intermediate calcs'!AP29)+Data!$AK$26)*(1-'Net zero supporting data'!S215),"ERROR"))</f>
        <v>304116.88771575422</v>
      </c>
      <c r="AQ32" s="101">
        <f>IF('Net zero activities &amp; levers'!$C$14="Off",((Data!$AJ$26*'Net zero Intermediate calcs'!AQ29)+Data!$AK$26),IF('Net zero activities &amp; levers'!$C$14="On",((Data!$AJ$26*'Net zero Intermediate calcs'!AQ29)+Data!$AK$26)*(1-'Net zero supporting data'!T215),"ERROR"))</f>
        <v>319809.76574935525</v>
      </c>
      <c r="AR32" s="101">
        <f>IF('Net zero activities &amp; levers'!$C$14="Off",((Data!$AJ$26*'Net zero Intermediate calcs'!AR29)+Data!$AK$26),IF('Net zero activities &amp; levers'!$C$14="On",((Data!$AJ$26*'Net zero Intermediate calcs'!AR29)+Data!$AK$26)*(1-'Net zero supporting data'!U215),"ERROR"))</f>
        <v>335457.013240111</v>
      </c>
      <c r="AS32" s="101">
        <f>IF('Net zero activities &amp; levers'!$C$14="Off",((Data!$AJ$26*'Net zero Intermediate calcs'!AS29)+Data!$AK$26),IF('Net zero activities &amp; levers'!$C$14="On",((Data!$AJ$26*'Net zero Intermediate calcs'!AS29)+Data!$AK$26)*(1-'Net zero supporting data'!V215),"ERROR"))</f>
        <v>351920.98624995042</v>
      </c>
      <c r="AT32" s="101">
        <f>IF('Net zero activities &amp; levers'!$C$14="Off",((Data!$AJ$26*'Net zero Intermediate calcs'!AT29)+Data!$AK$26),IF('Net zero activities &amp; levers'!$C$14="On",((Data!$AJ$26*'Net zero Intermediate calcs'!AT29)+Data!$AK$26)*(1-'Net zero supporting data'!W215),"ERROR"))</f>
        <v>368901.73535843618</v>
      </c>
      <c r="AU32" s="101">
        <f>IF('Net zero activities &amp; levers'!$C$14="Off",((Data!$AJ$26*'Net zero Intermediate calcs'!AU29)+Data!$AK$26),IF('Net zero activities &amp; levers'!$C$14="On",((Data!$AJ$26*'Net zero Intermediate calcs'!AU29)+Data!$AK$26)*(1-'Net zero supporting data'!X215),"ERROR"))</f>
        <v>387790.89052320772</v>
      </c>
      <c r="AV32" s="101">
        <f>IF('Net zero activities &amp; levers'!$C$14="Off",((Data!$AJ$26*'Net zero Intermediate calcs'!AV29)+Data!$AK$26),IF('Net zero activities &amp; levers'!$C$14="On",((Data!$AJ$26*'Net zero Intermediate calcs'!AV29)+Data!$AK$26)*(1-'Net zero supporting data'!Y215),"ERROR"))</f>
        <v>404966.24555001815</v>
      </c>
      <c r="AW32" s="101">
        <f>IF('Net zero activities &amp; levers'!$C$14="Off",((Data!$AJ$26*'Net zero Intermediate calcs'!AW29)+Data!$AK$26),IF('Net zero activities &amp; levers'!$C$14="On",((Data!$AJ$26*'Net zero Intermediate calcs'!AW29)+Data!$AK$26)*(1-'Net zero supporting data'!Z215),"ERROR"))</f>
        <v>423308.20817147428</v>
      </c>
      <c r="AX32" s="101">
        <f>IF('Net zero activities &amp; levers'!$C$14="Off",((Data!$AJ$26*'Net zero Intermediate calcs'!AX29)+Data!$AK$26),IF('Net zero activities &amp; levers'!$C$14="On",((Data!$AJ$26*'Net zero Intermediate calcs'!AX29)+Data!$AK$26)*(1-'Net zero supporting data'!AA215),"ERROR"))</f>
        <v>442153.87041307596</v>
      </c>
      <c r="AY32" s="101">
        <f>IF('Net zero activities &amp; levers'!$C$14="Off",((Data!$AJ$26*'Net zero Intermediate calcs'!AY29)+Data!$AK$26),IF('Net zero activities &amp; levers'!$C$14="On",((Data!$AJ$26*'Net zero Intermediate calcs'!AY29)+Data!$AK$26)*(1-'Net zero supporting data'!AB215),"ERROR"))</f>
        <v>460502.51872587728</v>
      </c>
      <c r="AZ32" s="101">
        <f>IF('Net zero activities &amp; levers'!$C$14="Off",((Data!$AJ$26*'Net zero Intermediate calcs'!AZ29)+Data!$AK$26),IF('Net zero activities &amp; levers'!$C$14="On",((Data!$AJ$26*'Net zero Intermediate calcs'!AZ29)+Data!$AK$26)*(1-'Net zero supporting data'!AC215),"ERROR"))</f>
        <v>479025.98000986519</v>
      </c>
      <c r="BA32" s="101">
        <f>IF('Net zero activities &amp; levers'!$C$14="Off",((Data!$AJ$26*'Net zero Intermediate calcs'!BA29)+Data!$AK$26),IF('Net zero activities &amp; levers'!$C$14="On",((Data!$AJ$26*'Net zero Intermediate calcs'!BA29)+Data!$AK$26)*(1-'Net zero supporting data'!AD215),"ERROR"))</f>
        <v>498348.40857492323</v>
      </c>
      <c r="BB32" s="101">
        <f>IF('Net zero activities &amp; levers'!$C$14="Off",((Data!$AJ$26*'Net zero Intermediate calcs'!BB29)+Data!$AK$26),IF('Net zero activities &amp; levers'!$C$14="On",((Data!$AJ$26*'Net zero Intermediate calcs'!BB29)+Data!$AK$26)*(1-'Net zero supporting data'!AE215),"ERROR"))</f>
        <v>518784.97575746482</v>
      </c>
      <c r="BC32" s="101">
        <f>IF('Net zero activities &amp; levers'!$C$14="Off",((Data!$AJ$26*'Net zero Intermediate calcs'!BC29)+Data!$AK$26),IF('Net zero activities &amp; levers'!$C$14="On",((Data!$AJ$26*'Net zero Intermediate calcs'!BC29)+Data!$AK$26)*(1-'Net zero supporting data'!AF215),"ERROR"))</f>
        <v>538406.5303068721</v>
      </c>
      <c r="BD32" s="101">
        <f>IF('Net zero activities &amp; levers'!$C$14="Off",((Data!$AJ$26*'Net zero Intermediate calcs'!BD29)+Data!$AK$26),IF('Net zero activities &amp; levers'!$C$14="On",((Data!$AJ$26*'Net zero Intermediate calcs'!BD29)+Data!$AK$26)*(1-'Net zero supporting data'!AG215),"ERROR"))</f>
        <v>558468.28475509817</v>
      </c>
      <c r="BE32" s="101">
        <f>IF('Net zero activities &amp; levers'!$C$14="Off",((Data!$AJ$26*'Net zero Intermediate calcs'!BE29)+Data!$AK$26),IF('Net zero activities &amp; levers'!$C$14="On",((Data!$AJ$26*'Net zero Intermediate calcs'!BE29)+Data!$AK$26)*(1-'Net zero supporting data'!AH215),"ERROR"))</f>
        <v>579007.52241249266</v>
      </c>
      <c r="BF32" s="101">
        <f>IF('Net zero activities &amp; levers'!$C$14="Off",((Data!$AJ$26*'Net zero Intermediate calcs'!BF29)+Data!$AK$26),IF('Net zero activities &amp; levers'!$C$14="On",((Data!$AJ$26*'Net zero Intermediate calcs'!BF29)+Data!$AK$26)*(1-'Net zero supporting data'!AI215),"ERROR"))</f>
        <v>600952.0795260506</v>
      </c>
      <c r="BG32" s="101">
        <f>IF('Net zero activities &amp; levers'!$C$14="Off",((Data!$AJ$26*'Net zero Intermediate calcs'!BG29)+Data!$AK$26),IF('Net zero activities &amp; levers'!$C$14="On",((Data!$AJ$26*'Net zero Intermediate calcs'!BG29)+Data!$AK$26)*(1-'Net zero supporting data'!AJ215),"ERROR"))</f>
        <v>623648.2550406598</v>
      </c>
      <c r="BH32" s="101">
        <f>IF('Net zero activities &amp; levers'!$C$14="Off",((Data!$AJ$26*'Net zero Intermediate calcs'!BH29)+Data!$AK$26),IF('Net zero activities &amp; levers'!$C$14="On",((Data!$AJ$26*'Net zero Intermediate calcs'!BH29)+Data!$AK$26)*(1-'Net zero supporting data'!AK215),"ERROR"))</f>
        <v>637891.44885031728</v>
      </c>
      <c r="BI32" s="101">
        <f>IF('Net zero activities &amp; levers'!$C$14="Off",((Data!$AJ$26*'Net zero Intermediate calcs'!BI29)+Data!$AK$26),IF('Net zero activities &amp; levers'!$C$14="On",((Data!$AJ$26*'Net zero Intermediate calcs'!BI29)+Data!$AK$26)*(1-'Net zero supporting data'!AL215),"ERROR"))</f>
        <v>651652.87688117311</v>
      </c>
      <c r="BJ32" s="101">
        <f>IF('Net zero activities &amp; levers'!$C$14="Off",((Data!$AJ$26*'Net zero Intermediate calcs'!BJ29)+Data!$AK$26),IF('Net zero activities &amp; levers'!$C$14="On",((Data!$AJ$26*'Net zero Intermediate calcs'!BJ29)+Data!$AK$26)*(1-'Net zero supporting data'!AM215),"ERROR"))</f>
        <v>666730.56246536621</v>
      </c>
      <c r="BK32" s="101">
        <f>IF('Net zero activities &amp; levers'!$C$14="Off",((Data!$AJ$26*'Net zero Intermediate calcs'!BK29)+Data!$AK$26),IF('Net zero activities &amp; levers'!$C$14="On",((Data!$AJ$26*'Net zero Intermediate calcs'!BK29)+Data!$AK$26)*(1-'Net zero supporting data'!AN215),"ERROR"))</f>
        <v>681433.6168726919</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420480.92757924291</v>
      </c>
      <c r="Z34" s="22">
        <f>((Data!$AJ$10*'Net zero Intermediate calcs'!Z4)+Data!$AK$10)*Drivers!AA4</f>
        <v>429767.22964472527</v>
      </c>
      <c r="AA34" s="22">
        <f>((Data!$AJ$10*'Net zero Intermediate calcs'!AA4)+Data!$AK$10)*Drivers!AB4</f>
        <v>438165.22956540936</v>
      </c>
      <c r="AB34" s="22">
        <f>((Data!$AJ$10*'Net zero Intermediate calcs'!AB4)+Data!$AK$10)*Drivers!AC4</f>
        <v>442492.83714094426</v>
      </c>
      <c r="AC34" s="22">
        <f>((Data!$AJ$10*'Net zero Intermediate calcs'!AC4)+Data!$AK$10)*Drivers!AD4</f>
        <v>446940.79405474308</v>
      </c>
      <c r="AD34" s="22">
        <f>((Data!$AJ$10*'Net zero Intermediate calcs'!AD4)+Data!$AK$10)*Drivers!AE4</f>
        <v>455812.8583414192</v>
      </c>
      <c r="AE34" s="22">
        <f>((Data!$AJ$10*'Net zero Intermediate calcs'!AE4)+Data!$AK$10)*Drivers!AF4</f>
        <v>463397.27203146002</v>
      </c>
      <c r="AF34" s="22">
        <f>((Data!$AJ$10*'Net zero Intermediate calcs'!AF4)+Data!$AK$10)*Drivers!AG4</f>
        <v>466267.26864287379</v>
      </c>
      <c r="AG34" s="22">
        <f>((Data!$AJ$10*'Net zero Intermediate calcs'!AG4)+Data!$AK$10)*Drivers!AH4</f>
        <v>447994.75473177637</v>
      </c>
      <c r="AH34" s="22">
        <f>((Data!$AJ$10*'Net zero Intermediate calcs'!AH4)+Data!$AK$10)*Drivers!AI4</f>
        <v>461120.37071547058</v>
      </c>
      <c r="AI34" s="22">
        <f>((Data!$AJ$10*'Net zero Intermediate calcs'!AI4)+Data!$AK$10)*Drivers!AJ4</f>
        <v>471725.99616310041</v>
      </c>
      <c r="AJ34" s="22">
        <f>((Data!$AJ$10*'Net zero Intermediate calcs'!AJ4)+Data!$AK$10)*Drivers!AK4</f>
        <v>481831.88825529447</v>
      </c>
      <c r="AK34" s="22">
        <f>((Data!$AJ$10*'Net zero Intermediate calcs'!AK4)+Data!$AK$10)*Drivers!AL4</f>
        <v>493054.59010400955</v>
      </c>
      <c r="AL34" s="22">
        <f>((Data!$AJ$10*'Net zero Intermediate calcs'!AL4)+Data!$AK$10)*Drivers!AM4</f>
        <v>507955.48800400115</v>
      </c>
      <c r="AM34" s="22">
        <f>((Data!$AJ$10*'Net zero Intermediate calcs'!AM4)+Data!$AK$10)*Drivers!AN4</f>
        <v>523606.33765019279</v>
      </c>
      <c r="AN34" s="22">
        <f>((Data!$AJ$10*'Net zero Intermediate calcs'!AN4)+Data!$AK$10)*Drivers!AO4</f>
        <v>540383.45209025091</v>
      </c>
      <c r="AO34" s="22">
        <f>((Data!$AJ$10*'Net zero Intermediate calcs'!AO4)+Data!$AK$10)*Drivers!AP4</f>
        <v>555901.09958604118</v>
      </c>
      <c r="AP34" s="22">
        <f>((Data!$AJ$10*'Net zero Intermediate calcs'!AP4)+Data!$AK$10)*Drivers!AQ4</f>
        <v>573311.56453650759</v>
      </c>
      <c r="AQ34" s="22">
        <f>((Data!$AJ$10*'Net zero Intermediate calcs'!AQ4)+Data!$AK$10)*Drivers!AR4</f>
        <v>593060.45103804616</v>
      </c>
      <c r="AR34" s="22">
        <f>((Data!$AJ$10*'Net zero Intermediate calcs'!AR4)+Data!$AK$10)*Drivers!AS4</f>
        <v>612416.88694168732</v>
      </c>
      <c r="AS34" s="22">
        <f>((Data!$AJ$10*'Net zero Intermediate calcs'!AS4)+Data!$AK$10)*Drivers!AT4</f>
        <v>632689.57198180165</v>
      </c>
      <c r="AT34" s="22">
        <f>((Data!$AJ$10*'Net zero Intermediate calcs'!AT4)+Data!$AK$10)*Drivers!AU4</f>
        <v>653550.54163423553</v>
      </c>
      <c r="AU34" s="22">
        <f>((Data!$AJ$10*'Net zero Intermediate calcs'!AU4)+Data!$AK$10)*Drivers!AV4</f>
        <v>676523.88179145532</v>
      </c>
      <c r="AV34" s="22">
        <f>((Data!$AJ$10*'Net zero Intermediate calcs'!AV4)+Data!$AK$10)*Drivers!AW4</f>
        <v>697643.88271503046</v>
      </c>
      <c r="AW34" s="22">
        <f>((Data!$AJ$10*'Net zero Intermediate calcs'!AW4)+Data!$AK$10)*Drivers!AX4</f>
        <v>719739.29609677801</v>
      </c>
      <c r="AX34" s="22">
        <f>((Data!$AJ$10*'Net zero Intermediate calcs'!AX4)+Data!$AK$10)*Drivers!AY4</f>
        <v>742404.80975590122</v>
      </c>
      <c r="AY34" s="22">
        <f>((Data!$AJ$10*'Net zero Intermediate calcs'!AY4)+Data!$AK$10)*Drivers!AZ4</f>
        <v>764544.53371577279</v>
      </c>
      <c r="AZ34" s="22">
        <f>((Data!$AJ$10*'Net zero Intermediate calcs'!AZ4)+Data!$AK$10)*Drivers!BA4</f>
        <v>786894.39153048443</v>
      </c>
      <c r="BA34" s="22">
        <f>((Data!$AJ$10*'Net zero Intermediate calcs'!BA4)+Data!$AK$10)*Drivers!BB4</f>
        <v>810138.37262773467</v>
      </c>
      <c r="BB34" s="22">
        <f>((Data!$AJ$10*'Net zero Intermediate calcs'!BB4)+Data!$AK$10)*Drivers!BC4</f>
        <v>834313.36026044877</v>
      </c>
      <c r="BC34" s="22">
        <f>((Data!$AJ$10*'Net zero Intermediate calcs'!BC4)+Data!$AK$10)*Drivers!BD4</f>
        <v>857610.47470316722</v>
      </c>
      <c r="BD34" s="22">
        <f>((Data!$AJ$10*'Net zero Intermediate calcs'!BD4)+Data!$AK$10)*Drivers!BE4</f>
        <v>881405.1405881606</v>
      </c>
      <c r="BE34" s="22">
        <f>((Data!$AJ$10*'Net zero Intermediate calcs'!BE4)+Data!$AK$10)*Drivers!BF4</f>
        <v>905738.43550896447</v>
      </c>
      <c r="BF34" s="22">
        <f>((Data!$AJ$10*'Net zero Intermediate calcs'!BF4)+Data!$AK$10)*Drivers!BG4</f>
        <v>931627.63376947725</v>
      </c>
      <c r="BG34" s="22">
        <f>((Data!$AJ$10*'Net zero Intermediate calcs'!BG4)+Data!$AK$10)*Drivers!BH4</f>
        <v>958039.29316248244</v>
      </c>
      <c r="BH34" s="22">
        <f>((Data!$AJ$10*'Net zero Intermediate calcs'!BH4)+Data!$AK$10)*Drivers!BI4</f>
        <v>975195.83909111994</v>
      </c>
      <c r="BI34" s="22">
        <f>((Data!$AJ$10*'Net zero Intermediate calcs'!BI4)+Data!$AK$10)*Drivers!BJ4</f>
        <v>991834.8020410426</v>
      </c>
      <c r="BJ34" s="22">
        <f>((Data!$AJ$10*'Net zero Intermediate calcs'!BJ4)+Data!$AK$10)*Drivers!BK4</f>
        <v>1009927.757417495</v>
      </c>
      <c r="BK34" s="22">
        <f>((Data!$AJ$10*'Net zero Intermediate calcs'!BK4)+Data!$AK$10)*Drivers!BL4</f>
        <v>1027620.7808778348</v>
      </c>
      <c r="BL34">
        <v>879387.44308735442</v>
      </c>
    </row>
    <row r="35" spans="1:64"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8.0358805349382134</v>
      </c>
      <c r="Z35" s="51">
        <f>Z34*ttokg/Drivers!AA4</f>
        <v>8.0928762820977109</v>
      </c>
      <c r="AA35" s="51">
        <f>AA34*ttokg/Drivers!AB4</f>
        <v>8.1273604663033137</v>
      </c>
      <c r="AB35" s="51">
        <f>AB34*ttokg/Drivers!AC4</f>
        <v>8.0819884052707458</v>
      </c>
      <c r="AC35" s="51">
        <f>AC34*ttokg/Drivers!AD4</f>
        <v>8.0356215824650032</v>
      </c>
      <c r="AD35" s="51">
        <f>AD34*ttokg/Drivers!AE4</f>
        <v>8.0643515330638351</v>
      </c>
      <c r="AE35" s="51">
        <f>AE34*ttokg/Drivers!AF4</f>
        <v>8.0680630101512527</v>
      </c>
      <c r="AF35" s="51">
        <f>AF34*ttokg/Drivers!AG4</f>
        <v>7.9888389861368703</v>
      </c>
      <c r="AG35" s="51">
        <f>AG34*ttokg/Drivers!AH4</f>
        <v>7.5536106889526033</v>
      </c>
      <c r="AH35" s="51">
        <f>AH34*ttokg/Drivers!AI4</f>
        <v>7.686418115053792</v>
      </c>
      <c r="AI35" s="51">
        <f>AI34*ttokg/Drivers!AJ4</f>
        <v>7.7736956787185516</v>
      </c>
      <c r="AJ35" s="51">
        <f>AJ34*ttokg/Drivers!AK4</f>
        <v>7.8498488011653418</v>
      </c>
      <c r="AK35" s="51">
        <f>AK34*ttokg/Drivers!AL4</f>
        <v>7.941248518475275</v>
      </c>
      <c r="AL35" s="51">
        <f>AL34*ttokg/Drivers!AM4</f>
        <v>8.0881177654801579</v>
      </c>
      <c r="AM35" s="51">
        <f>AM34*ttokg/Drivers!AN4</f>
        <v>8.2560318850934991</v>
      </c>
      <c r="AN35" s="51">
        <f>AN34*ttokg/Drivers!AO4</f>
        <v>8.4374879601111417</v>
      </c>
      <c r="AO35" s="51">
        <f>AO34*ttokg/Drivers!AP4</f>
        <v>8.5951471371167614</v>
      </c>
      <c r="AP35" s="51">
        <f>AP34*ttokg/Drivers!AQ4</f>
        <v>8.7779103800623428</v>
      </c>
      <c r="AQ35" s="51">
        <f>AQ34*ttokg/Drivers!AR4</f>
        <v>8.9917466459586386</v>
      </c>
      <c r="AR35" s="51">
        <f>AR34*ttokg/Drivers!AS4</f>
        <v>9.2066491820235434</v>
      </c>
      <c r="AS35" s="51">
        <f>AS34*ttokg/Drivers!AT4</f>
        <v>9.4309285112731285</v>
      </c>
      <c r="AT35" s="51">
        <f>AT34*ttokg/Drivers!AU4</f>
        <v>9.6594476783634917</v>
      </c>
      <c r="AU35" s="51">
        <f>AU34*ttokg/Drivers!AV4</f>
        <v>9.9143805974875292</v>
      </c>
      <c r="AV35" s="51">
        <f>AV34*ttokg/Drivers!AW4</f>
        <v>10.137376683940053</v>
      </c>
      <c r="AW35" s="51">
        <f>AW34*ttokg/Drivers!AX4</f>
        <v>10.382430992277827</v>
      </c>
      <c r="AX35" s="51">
        <f>AX34*ttokg/Drivers!AY4</f>
        <v>10.631551807998054</v>
      </c>
      <c r="AY35" s="51">
        <f>AY34*ttokg/Drivers!AZ4</f>
        <v>10.869028191153161</v>
      </c>
      <c r="AZ35" s="51">
        <f>AZ34*ttokg/Drivers!BA4</f>
        <v>11.10545667535456</v>
      </c>
      <c r="BA35" s="51">
        <f>BA34*ttokg/Drivers!BB4</f>
        <v>11.350401392713254</v>
      </c>
      <c r="BB35" s="51">
        <f>BB34*ttokg/Drivers!BC4</f>
        <v>11.616951726972863</v>
      </c>
      <c r="BC35" s="51">
        <f>BC34*ttokg/Drivers!BD4</f>
        <v>11.867630961081291</v>
      </c>
      <c r="BD35" s="51">
        <f>BD34*ttokg/Drivers!BE4</f>
        <v>12.121615525471464</v>
      </c>
      <c r="BE35" s="51">
        <f>BE34*ttokg/Drivers!BF4</f>
        <v>12.379374264198265</v>
      </c>
      <c r="BF35" s="51">
        <f>BF34*ttokg/Drivers!BG4</f>
        <v>12.654623457871876</v>
      </c>
      <c r="BG35" s="51">
        <f>BG34*ttokg/Drivers!BH4</f>
        <v>12.94728841436633</v>
      </c>
      <c r="BH35" s="51">
        <f>BH34*ttokg/Drivers!BI4</f>
        <v>13.112212415405727</v>
      </c>
      <c r="BI35" s="51">
        <f>BI34*ttokg/Drivers!BJ4</f>
        <v>13.2682032358118</v>
      </c>
      <c r="BJ35" s="51">
        <f>BJ34*ttokg/Drivers!BK4</f>
        <v>13.441623191806706</v>
      </c>
      <c r="BK35" s="51">
        <f>BK34*ttokg/Drivers!BL4</f>
        <v>13.607643464781777</v>
      </c>
      <c r="BL35">
        <v>11.644739573179301</v>
      </c>
    </row>
    <row r="36" spans="1:64"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0.22276145679004156</v>
      </c>
      <c r="AP36" s="51"/>
      <c r="AQ36" s="51">
        <f>(AQ37-AE37)/AE37</f>
        <v>0.28379441344780459</v>
      </c>
      <c r="AR36" s="51"/>
      <c r="AS36" s="51"/>
      <c r="AT36" s="51"/>
      <c r="AU36" s="51"/>
      <c r="AV36" s="51"/>
      <c r="AW36" s="51"/>
      <c r="AX36" s="51"/>
      <c r="AY36" s="51"/>
      <c r="AZ36" s="51"/>
      <c r="BA36" s="51"/>
      <c r="BB36" s="51"/>
      <c r="BC36" s="51"/>
      <c r="BD36" s="51"/>
      <c r="BE36" s="51"/>
      <c r="BF36" s="51"/>
      <c r="BG36" s="51"/>
      <c r="BH36" s="51"/>
      <c r="BI36" s="51"/>
      <c r="BJ36" s="51"/>
      <c r="BK36" s="51"/>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450281.78593555599</v>
      </c>
      <c r="Z37" s="22">
        <f>((Data!$AJ$29*'Net zero Intermediate calcs'!Z34)+Data!$AK$29)</f>
        <v>460382.52588684513</v>
      </c>
      <c r="AA37" s="22">
        <f>((Data!$AJ$29*'Net zero Intermediate calcs'!AA34)+Data!$AK$29)</f>
        <v>469517.05680255586</v>
      </c>
      <c r="AB37" s="22">
        <f>((Data!$AJ$29*'Net zero Intermediate calcs'!AB34)+Data!$AK$29)</f>
        <v>474224.20916777849</v>
      </c>
      <c r="AC37" s="22">
        <f>((Data!$AJ$29*'Net zero Intermediate calcs'!AC34)+Data!$AK$29)</f>
        <v>479062.26588659</v>
      </c>
      <c r="AD37" s="22">
        <f>((Data!$AJ$29*'Net zero Intermediate calcs'!AD34)+Data!$AK$29)</f>
        <v>488712.43810357357</v>
      </c>
      <c r="AE37" s="22">
        <f>((Data!$AJ$29*'Net zero Intermediate calcs'!AE34)+Data!$AK$29)</f>
        <v>496962.02871842729</v>
      </c>
      <c r="AF37" s="22">
        <f>((Data!$AJ$29*'Net zero Intermediate calcs'!AF34)+Data!$AK$29)</f>
        <v>500083.73305547715</v>
      </c>
      <c r="AG37" s="22">
        <f>((Data!$AJ$29*'Net zero Intermediate calcs'!AG34)+Data!$AK$29)</f>
        <v>480208.6622284847</v>
      </c>
      <c r="AH37" s="22">
        <f>((Data!$AJ$29*'Net zero Intermediate calcs'!AH34)+Data!$AK$29)</f>
        <v>494485.43599880819</v>
      </c>
      <c r="AI37" s="22">
        <f>((Data!$AJ$29*'Net zero Intermediate calcs'!AI34)+Data!$AK$29)</f>
        <v>506021.20814060303</v>
      </c>
      <c r="AJ37" s="22">
        <f>((Data!$AJ$29*'Net zero Intermediate calcs'!AJ34)+Data!$AK$29)</f>
        <v>517013.41874060786</v>
      </c>
      <c r="AK37" s="22">
        <f>((Data!$AJ$29*'Net zero Intermediate calcs'!AK34)+Data!$AK$29)</f>
        <v>529220.38682385371</v>
      </c>
      <c r="AL37" s="22">
        <f>((Data!$AJ$29*'Net zero Intermediate calcs'!AL34)+Data!$AK$29)</f>
        <v>545428.14031573921</v>
      </c>
      <c r="AM37" s="22">
        <f>((Data!$AJ$29*'Net zero Intermediate calcs'!AM34)+Data!$AK$29)</f>
        <v>562451.618679696</v>
      </c>
      <c r="AN37" s="22">
        <f>((Data!$AJ$29*'Net zero Intermediate calcs'!AN34)+Data!$AK$29)</f>
        <v>580700.13880073978</v>
      </c>
      <c r="AO37" s="22">
        <f>((Data!$AJ$29*'Net zero Intermediate calcs'!AO34)+Data!$AK$29)</f>
        <v>597578.73276693863</v>
      </c>
      <c r="AP37" s="22">
        <f>((Data!$AJ$29*'Net zero Intermediate calcs'!AP34)+Data!$AK$29)</f>
        <v>616516.15022930736</v>
      </c>
      <c r="AQ37" s="22">
        <f>((Data!$AJ$29*'Net zero Intermediate calcs'!AQ34)+Data!$AK$29)</f>
        <v>637997.0761644044</v>
      </c>
      <c r="AR37" s="22">
        <f>((Data!$AJ$29*'Net zero Intermediate calcs'!AR34)+Data!$AK$29)</f>
        <v>659051.13235036586</v>
      </c>
      <c r="AS37" s="22">
        <f>((Data!$AJ$29*'Net zero Intermediate calcs'!AS34)+Data!$AK$29)</f>
        <v>681101.7956026115</v>
      </c>
      <c r="AT37" s="22">
        <f>((Data!$AJ$29*'Net zero Intermediate calcs'!AT34)+Data!$AK$29)</f>
        <v>703792.33787715086</v>
      </c>
      <c r="AU37" s="22">
        <f>((Data!$AJ$29*'Net zero Intermediate calcs'!AU34)+Data!$AK$29)</f>
        <v>728780.51219070447</v>
      </c>
      <c r="AV37" s="22">
        <f>((Data!$AJ$29*'Net zero Intermediate calcs'!AV34)+Data!$AK$29)</f>
        <v>751752.8035932174</v>
      </c>
      <c r="AW37" s="22">
        <f>((Data!$AJ$29*'Net zero Intermediate calcs'!AW34)+Data!$AK$29)</f>
        <v>775786.05419302685</v>
      </c>
      <c r="AX37" s="22">
        <f>((Data!$AJ$29*'Net zero Intermediate calcs'!AX34)+Data!$AK$29)</f>
        <v>800439.40465684282</v>
      </c>
      <c r="AY37" s="22">
        <f>((Data!$AJ$29*'Net zero Intermediate calcs'!AY34)+Data!$AK$29)</f>
        <v>824520.85201178328</v>
      </c>
      <c r="AZ37" s="22">
        <f>((Data!$AJ$29*'Net zero Intermediate calcs'!AZ34)+Data!$AK$29)</f>
        <v>848830.86262126104</v>
      </c>
      <c r="BA37" s="22">
        <f>((Data!$AJ$29*'Net zero Intermediate calcs'!BA34)+Data!$AK$29)</f>
        <v>874113.41393613792</v>
      </c>
      <c r="BB37" s="22">
        <f>((Data!$AJ$29*'Net zero Intermediate calcs'!BB34)+Data!$AK$29)</f>
        <v>900408.62398657599</v>
      </c>
      <c r="BC37" s="22">
        <f>((Data!$AJ$29*'Net zero Intermediate calcs'!BC34)+Data!$AK$29)</f>
        <v>925748.96860836144</v>
      </c>
      <c r="BD37" s="22">
        <f>((Data!$AJ$29*'Net zero Intermediate calcs'!BD34)+Data!$AK$29)</f>
        <v>951630.50149813248</v>
      </c>
      <c r="BE37" s="22">
        <f>((Data!$AJ$29*'Net zero Intermediate calcs'!BE34)+Data!$AK$29)</f>
        <v>978097.90288351895</v>
      </c>
      <c r="BF37" s="22">
        <f>((Data!$AJ$29*'Net zero Intermediate calcs'!BF34)+Data!$AK$29)</f>
        <v>1006257.6652230206</v>
      </c>
      <c r="BG37" s="22">
        <f>((Data!$AJ$29*'Net zero Intermediate calcs'!BG34)+Data!$AK$29)</f>
        <v>1034985.7101788693</v>
      </c>
      <c r="BH37" s="22">
        <f>((Data!$AJ$29*'Net zero Intermediate calcs'!BH34)+Data!$AK$29)</f>
        <v>1053646.9391229134</v>
      </c>
      <c r="BI37" s="22">
        <f>((Data!$AJ$29*'Net zero Intermediate calcs'!BI34)+Data!$AK$29)</f>
        <v>1071745.1914338104</v>
      </c>
      <c r="BJ37" s="22">
        <f>((Data!$AJ$29*'Net zero Intermediate calcs'!BJ34)+Data!$AK$29)</f>
        <v>1091424.9558781658</v>
      </c>
      <c r="BK37" s="22">
        <f>((Data!$AJ$29*'Net zero Intermediate calcs'!BK34)+Data!$AK$29)</f>
        <v>1110669.7131200428</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101">
        <f>IF('Net zero activities &amp; levers'!$C$12="Off",((Data!$AJ$11*'Intermediate calculations'!Y4)+Data!$AK$11)*Drivers!Z4,IF('Net zero activities &amp; levers'!$C$12="PB",((Data!$AJ$11*'Intermediate calculations'!Y4)+Data!$AK$11)*Drivers!Z4,IF('Net zero activities &amp; levers'!$C$12="MS",'Net zero supporting data'!B207,"ERROR")))</f>
        <v>1794081.3978567999</v>
      </c>
      <c r="Z39" s="101">
        <f>IF('Net zero activities &amp; levers'!$C$12="Off",((Data!$AJ$11*'Intermediate calculations'!Z4)+Data!$AK$11)*Drivers!AA4,IF('Net zero activities &amp; levers'!$C$12="PB",((Data!$AJ$11*'Intermediate calculations'!Z4)+Data!$AK$11)*Drivers!AA4,IF('Net zero activities &amp; levers'!$C$12="MS",'Net zero supporting data'!C207,"ERROR")))</f>
        <v>1859704.051977712</v>
      </c>
      <c r="AA39" s="101">
        <f>IF('Net zero activities &amp; levers'!$C$12="Off",((Data!$AJ$11*'Intermediate calculations'!AA4)+Data!$AK$11)*Drivers!AB4,IF('Net zero activities &amp; levers'!$C$12="PB",((Data!$AJ$11*'Intermediate calculations'!AA4)+Data!$AK$11)*Drivers!AB4,IF('Net zero activities &amp; levers'!$C$12="MS",'Net zero supporting data'!D207,"ERROR")))</f>
        <v>1911902.1211526673</v>
      </c>
      <c r="AB39" s="101">
        <f>IF('Net zero activities &amp; levers'!$C$12="Off",((Data!$AJ$11*'Intermediate calculations'!AB4)+Data!$AK$11)*Drivers!AC4,IF('Net zero activities &amp; levers'!$C$12="PB",((Data!$AJ$11*'Intermediate calculations'!AB4)+Data!$AK$11)*Drivers!AC4,IF('Net zero activities &amp; levers'!$C$12="MS",'Net zero supporting data'!E207,"ERROR")))</f>
        <v>1909686.0015640706</v>
      </c>
      <c r="AC39" s="101">
        <f>IF('Net zero activities &amp; levers'!$C$12="Off",((Data!$AJ$11*'Intermediate calculations'!AC4)+Data!$AK$11)*Drivers!AD4,IF('Net zero activities &amp; levers'!$C$12="PB",((Data!$AJ$11*'Intermediate calculations'!AC4)+Data!$AK$11)*Drivers!AD4,IF('Net zero activities &amp; levers'!$C$12="MS",'Net zero supporting data'!F207,"ERROR")))</f>
        <v>1906854.9554363207</v>
      </c>
      <c r="AD39" s="101">
        <f>IF('Net zero activities &amp; levers'!$C$12="Off",((Data!$AJ$11*'Intermediate calculations'!AD4)+Data!$AK$11)*Drivers!AE4,IF('Net zero activities &amp; levers'!$C$12="PB",((Data!$AJ$11*'Intermediate calculations'!AD4)+Data!$AK$11)*Drivers!AE4,IF('Net zero activities &amp; levers'!$C$12="MS",'Net zero supporting data'!G207,"ERROR")))</f>
        <v>1958657.2544878039</v>
      </c>
      <c r="AE39" s="101">
        <f>IF('Net zero activities &amp; levers'!$C$12="Off",((Data!$AJ$11*'Intermediate calculations'!AE4)+Data!$AK$11)*Drivers!AF4,IF('Net zero activities &amp; levers'!$C$12="PB",((Data!$AJ$11*'Intermediate calculations'!AE4)+Data!$AK$11)*Drivers!AF4,IF('Net zero activities &amp; levers'!$C$12="MS",'Net zero supporting data'!H207,"ERROR")))</f>
        <v>1993072.7177320495</v>
      </c>
      <c r="AF39" s="101">
        <f>IF('Net zero activities &amp; levers'!$C$12="Off",((Data!$AJ$11*'Intermediate calculations'!AF4)+Data!$AK$11)*Drivers!AG4,IF('Net zero activities &amp; levers'!$C$12="PB",((Data!$AJ$11*'Intermediate calculations'!AF4)+Data!$AK$11)*Drivers!AG4,IF('Net zero activities &amp; levers'!$C$12="MS",'Net zero supporting data'!I207,"ERROR")))</f>
        <v>1965854.3880988103</v>
      </c>
      <c r="AG39" s="101">
        <f>IF('Net zero activities &amp; levers'!$C$12="Off",((Data!$AJ$11*'Intermediate calculations'!AG4)+Data!$AK$11)*Drivers!AH4,IF('Net zero activities &amp; levers'!$C$12="PB",((Data!$AJ$11*'Intermediate calculations'!AG4)+Data!$AK$11)*Drivers!AH4,IF('Net zero activities &amp; levers'!$C$12="MS",'Net zero supporting data'!J207,"ERROR")))</f>
        <v>1665769.2743366272</v>
      </c>
      <c r="AH39" s="101">
        <f>IF('Net zero activities &amp; levers'!$C$12="Off",((Data!$AJ$11*'Intermediate calculations'!AH4)+Data!$AK$11)*Drivers!AI4,IF('Net zero activities &amp; levers'!$C$12="PB",((Data!$AJ$11*'Intermediate calculations'!AH4)+Data!$AK$11)*Drivers!AI4,IF('Net zero activities &amp; levers'!$C$12="MS",'Net zero supporting data'!K207,"ERROR")))</f>
        <v>1787385.3950776407</v>
      </c>
      <c r="AI39" s="101">
        <f>IF('Net zero activities &amp; levers'!$C$12="Off",((Data!$AJ$11*'Intermediate calculations'!AI4)+Data!$AK$11)*Drivers!AJ4,IF('Net zero activities &amp; levers'!$C$12="PB",((Data!$AJ$11*'Intermediate calculations'!AI4)+Data!$AK$11)*Drivers!AJ4,IF('Net zero activities &amp; levers'!$C$12="MS",'Net zero supporting data'!L207,"ERROR")))</f>
        <v>1876059.1402417619</v>
      </c>
      <c r="AJ39" s="101">
        <f>IF('Net zero activities &amp; levers'!$C$12="Off",((Data!$AJ$11*'Intermediate calculations'!AJ4)+Data!$AK$11)*Drivers!AK4,IF('Net zero activities &amp; levers'!$C$12="PB",((Data!$AJ$11*'Intermediate calculations'!AJ4)+Data!$AK$11)*Drivers!AK4,IF('Net zero activities &amp; levers'!$C$12="MS",'Net zero supporting data'!M207,"ERROR")))</f>
        <v>1957758.7672771637</v>
      </c>
      <c r="AK39" s="101">
        <f>IF('Net zero activities &amp; levers'!$C$12="Off",((Data!$AJ$11*'Intermediate calculations'!AK4)+Data!$AK$11)*Drivers!AL4,IF('Net zero activities &amp; levers'!$C$12="PB",((Data!$AJ$11*'Intermediate calculations'!AK4)+Data!$AK$11)*Drivers!AL4,IF('Net zero activities &amp; levers'!$C$12="MS",'Net zero supporting data'!N207,"ERROR")))</f>
        <v>2053261.8977895596</v>
      </c>
      <c r="AL39" s="101">
        <f>IF('Net zero activities &amp; levers'!$C$12="Off",((Data!$AJ$11*'Intermediate calculations'!AL4)+Data!$AK$11)*Drivers!AM4,IF('Net zero activities &amp; levers'!$C$12="PB",((Data!$AJ$11*'Intermediate calculations'!AL4)+Data!$AK$11)*Drivers!AM4,IF('Net zero activities &amp; levers'!$C$12="MS",'Net zero supporting data'!O207,"ERROR")))</f>
        <v>2195493.9577198392</v>
      </c>
      <c r="AM39" s="101">
        <f>IF('Net zero activities &amp; levers'!$C$12="Off",((Data!$AJ$11*'Intermediate calculations'!AM4)+Data!$AK$11)*Drivers!AN4,IF('Net zero activities &amp; levers'!$C$12="PB",((Data!$AJ$11*'Intermediate calculations'!AM4)+Data!$AK$11)*Drivers!AN4,IF('Net zero activities &amp; levers'!$C$12="MS",'Net zero supporting data'!P207,"ERROR")))</f>
        <v>2354030.0457775113</v>
      </c>
      <c r="AN39" s="101">
        <f>IF('Net zero activities &amp; levers'!$C$12="Off",((Data!$AJ$11*'Intermediate calculations'!AN4)+Data!$AK$11)*Drivers!AO4,IF('Net zero activities &amp; levers'!$C$12="PB",((Data!$AJ$11*'Intermediate calculations'!AN4)+Data!$AK$11)*Drivers!AO4,IF('Net zero activities &amp; levers'!$C$12="MS",'Net zero supporting data'!Q207,"ERROR")))</f>
        <v>2526626.2352298182</v>
      </c>
      <c r="AO39" s="101">
        <f>IF('Net zero activities &amp; levers'!$C$12="Off",((Data!$AJ$11*'Intermediate calculations'!AO4)+Data!$AK$11)*Drivers!AP4,IF('Net zero activities &amp; levers'!$C$12="PB",((Data!$AJ$11*'Intermediate calculations'!AO4)+Data!$AK$11)*Drivers!AP4,IF('Net zero activities &amp; levers'!$C$12="MS",'Net zero supporting data'!R207,"ERROR")))</f>
        <v>2682604.9629579731</v>
      </c>
      <c r="AP39" s="101">
        <f>IF('Net zero activities &amp; levers'!$C$12="Off",((Data!$AJ$11*'Intermediate calculations'!AP4)+Data!$AK$11)*Drivers!AQ4,IF('Net zero activities &amp; levers'!$C$12="PB",((Data!$AJ$11*'Intermediate calculations'!AP4)+Data!$AK$11)*Drivers!AQ4,IF('Net zero activities &amp; levers'!$C$12="MS",'Net zero supporting data'!S207,"ERROR")))</f>
        <v>2862491.0645730169</v>
      </c>
      <c r="AQ39" s="101">
        <f>IF('Net zero activities &amp; levers'!$C$12="Off",((Data!$AJ$11*'Intermediate calculations'!AQ4)+Data!$AK$11)*Drivers!AR4,IF('Net zero activities &amp; levers'!$C$12="PB",((Data!$AJ$11*'Intermediate calculations'!AQ4)+Data!$AK$11)*Drivers!AR4,IF('Net zero activities &amp; levers'!$C$12="MS",'Net zero supporting data'!T207,"ERROR")))</f>
        <v>3072009.4647490294</v>
      </c>
      <c r="AR39" s="101">
        <f>IF('Net zero activities &amp; levers'!$C$12="Off",((Data!$AJ$11*'Intermediate calculations'!AR4)+Data!$AK$11)*Drivers!AS4,IF('Net zero activities &amp; levers'!$C$12="PB",((Data!$AJ$11*'Intermediate calculations'!AR4)+Data!$AK$11)*Drivers!AS4,IF('Net zero activities &amp; levers'!$C$12="MS",'Net zero supporting data'!U207,"ERROR")))</f>
        <v>3282019.3173918845</v>
      </c>
      <c r="AS39" s="101">
        <f>IF('Net zero activities &amp; levers'!$C$12="Off",((Data!$AJ$11*'Intermediate calculations'!AS4)+Data!$AK$11)*Drivers!AT4,IF('Net zero activities &amp; levers'!$C$12="PB",((Data!$AJ$11*'Intermediate calculations'!AS4)+Data!$AK$11)*Drivers!AT4,IF('Net zero activities &amp; levers'!$C$12="MS",'Net zero supporting data'!V207,"ERROR")))</f>
        <v>3503477.8013689667</v>
      </c>
      <c r="AT39" s="101">
        <f>IF('Net zero activities &amp; levers'!$C$12="Off",((Data!$AJ$11*'Intermediate calculations'!AT4)+Data!$AK$11)*Drivers!AU4,IF('Net zero activities &amp; levers'!$C$12="PB",((Data!$AJ$11*'Intermediate calculations'!AT4)+Data!$AK$11)*Drivers!AU4,IF('Net zero activities &amp; levers'!$C$12="MS",'Net zero supporting data'!W207,"ERROR")))</f>
        <v>3732165.4369014972</v>
      </c>
      <c r="AU39" s="101">
        <f>IF('Net zero activities &amp; levers'!$C$12="Off",((Data!$AJ$11*'Intermediate calculations'!AU4)+Data!$AK$11)*Drivers!AV4,IF('Net zero activities &amp; levers'!$C$12="PB",((Data!$AJ$11*'Intermediate calculations'!AU4)+Data!$AK$11)*Drivers!AV4,IF('Net zero activities &amp; levers'!$C$12="MS",'Net zero supporting data'!X207,"ERROR")))</f>
        <v>3987674.5877813394</v>
      </c>
      <c r="AV39" s="101">
        <f>IF('Net zero activities &amp; levers'!$C$12="Off",((Data!$AJ$11*'Intermediate calculations'!AV4)+Data!$AK$11)*Drivers!AW4,IF('Net zero activities &amp; levers'!$C$12="PB",((Data!$AJ$11*'Intermediate calculations'!AV4)+Data!$AK$11)*Drivers!AW4,IF('Net zero activities &amp; levers'!$C$12="MS",'Net zero supporting data'!Y207,"ERROR")))</f>
        <v>4219015.126454345</v>
      </c>
      <c r="AW39" s="101">
        <f>IF('Net zero activities &amp; levers'!$C$12="Off",((Data!$AJ$11*'Intermediate calculations'!AW4)+Data!$AK$11)*Drivers!AX4,IF('Net zero activities &amp; levers'!$C$12="PB",((Data!$AJ$11*'Intermediate calculations'!AW4)+Data!$AK$11)*Drivers!AX4,IF('Net zero activities &amp; levers'!$C$12="MS",'Net zero supporting data'!Z207,"ERROR")))</f>
        <v>4468316.5363066988</v>
      </c>
      <c r="AX39" s="101">
        <f>IF('Net zero activities &amp; levers'!$C$12="Off",((Data!$AJ$11*'Intermediate calculations'!AX4)+Data!$AK$11)*Drivers!AY4,IF('Net zero activities &amp; levers'!$C$12="PB",((Data!$AJ$11*'Intermediate calculations'!AX4)+Data!$AK$11)*Drivers!AY4,IF('Net zero activities &amp; levers'!$C$12="MS",'Net zero supporting data'!AA207,"ERROR")))</f>
        <v>4724693.1128228698</v>
      </c>
      <c r="AY39" s="101">
        <f>IF('Net zero activities &amp; levers'!$C$12="Off",((Data!$AJ$11*'Intermediate calculations'!AY4)+Data!$AK$11)*Drivers!AZ4,IF('Net zero activities &amp; levers'!$C$12="PB",((Data!$AJ$11*'Intermediate calculations'!AY4)+Data!$AK$11)*Drivers!AZ4,IF('Net zero activities &amp; levers'!$C$12="MS",'Net zero supporting data'!AB207,"ERROR")))</f>
        <v>4974053.1015394032</v>
      </c>
      <c r="AZ39" s="101">
        <f>IF('Net zero activities &amp; levers'!$C$12="Off",((Data!$AJ$11*'Intermediate calculations'!AZ4)+Data!$AK$11)*Drivers!BA4,IF('Net zero activities &amp; levers'!$C$12="PB",((Data!$AJ$11*'Intermediate calculations'!AZ4)+Data!$AK$11)*Drivers!BA4,IF('Net zero activities &amp; levers'!$C$12="MS",'Net zero supporting data'!AC207,"ERROR")))</f>
        <v>5225856.415819345</v>
      </c>
      <c r="BA39" s="101">
        <f>IF('Net zero activities &amp; levers'!$C$12="Off",((Data!$AJ$11*'Intermediate calculations'!BA4)+Data!$AK$11)*Drivers!BB4,IF('Net zero activities &amp; levers'!$C$12="PB",((Data!$AJ$11*'Intermediate calculations'!BA4)+Data!$AK$11)*Drivers!BB4,IF('Net zero activities &amp; levers'!$C$12="MS",'Net zero supporting data'!AD207,"ERROR")))</f>
        <v>5488895.2366580525</v>
      </c>
      <c r="BB39" s="101">
        <f>IF('Net zero activities &amp; levers'!$C$12="Off",((Data!$AJ$11*'Intermediate calculations'!BB4)+Data!$AK$11)*Drivers!BC4,IF('Net zero activities &amp; levers'!$C$12="PB",((Data!$AJ$11*'Intermediate calculations'!BB4)+Data!$AK$11)*Drivers!BC4,IF('Net zero activities &amp; levers'!$C$12="MS",'Net zero supporting data'!AE207,"ERROR")))</f>
        <v>5769112.0424739597</v>
      </c>
      <c r="BC39" s="101">
        <f>IF('Net zero activities &amp; levers'!$C$12="Off",((Data!$AJ$11*'Intermediate calculations'!BC4)+Data!$AK$11)*Drivers!BD4,IF('Net zero activities &amp; levers'!$C$12="PB",((Data!$AJ$11*'Intermediate calculations'!BC4)+Data!$AK$11)*Drivers!BD4,IF('Net zero activities &amp; levers'!$C$12="MS",'Net zero supporting data'!AF207,"ERROR")))</f>
        <v>6037851.9411528958</v>
      </c>
      <c r="BD39" s="101">
        <f>IF('Net zero activities &amp; levers'!$C$12="Off",((Data!$AJ$11*'Intermediate calculations'!BD4)+Data!$AK$11)*Drivers!BE4,IF('Net zero activities &amp; levers'!$C$12="PB",((Data!$AJ$11*'Intermediate calculations'!BD4)+Data!$AK$11)*Drivers!BE4,IF('Net zero activities &amp; levers'!$C$12="MS",'Net zero supporting data'!AG207,"ERROR")))</f>
        <v>6312797.6279397272</v>
      </c>
      <c r="BE39" s="101">
        <f>IF('Net zero activities &amp; levers'!$C$12="Off",((Data!$AJ$11*'Intermediate calculations'!BE4)+Data!$AK$11)*Drivers!BF4,IF('Net zero activities &amp; levers'!$C$12="PB",((Data!$AJ$11*'Intermediate calculations'!BE4)+Data!$AK$11)*Drivers!BF4,IF('Net zero activities &amp; levers'!$C$12="MS",'Net zero supporting data'!AH207,"ERROR")))</f>
        <v>6594476.0508723063</v>
      </c>
      <c r="BF39" s="101">
        <f>IF('Net zero activities &amp; levers'!$C$12="Off",((Data!$AJ$11*'Intermediate calculations'!BF4)+Data!$AK$11)*Drivers!BG4,IF('Net zero activities &amp; levers'!$C$12="PB",((Data!$AJ$11*'Intermediate calculations'!BF4)+Data!$AK$11)*Drivers!BG4,IF('Net zero activities &amp; levers'!$C$12="MS",'Net zero supporting data'!AI207,"ERROR")))</f>
        <v>6895965.1409784677</v>
      </c>
      <c r="BG39" s="101">
        <f>IF('Net zero activities &amp; levers'!$C$12="Off",((Data!$AJ$11*'Intermediate calculations'!BG4)+Data!$AK$11)*Drivers!BH4,IF('Net zero activities &amp; levers'!$C$12="PB",((Data!$AJ$11*'Intermediate calculations'!BG4)+Data!$AK$11)*Drivers!BH4,IF('Net zero activities &amp; levers'!$C$12="MS",'Net zero supporting data'!AJ207,"ERROR")))</f>
        <v>7209597.8444357151</v>
      </c>
      <c r="BH39" s="101">
        <f>IF('Net zero activities &amp; levers'!$C$12="Off",((Data!$AJ$11*'Intermediate calculations'!BH4)+Data!$AK$11)*Drivers!BI4,IF('Net zero activities &amp; levers'!$C$12="PB",((Data!$AJ$11*'Intermediate calculations'!BH4)+Data!$AK$11)*Drivers!BI4,IF('Net zero activities &amp; levers'!$C$12="MS",'Net zero supporting data'!AK207,"ERROR")))</f>
        <v>7404104.8428450311</v>
      </c>
      <c r="BI39" s="101">
        <f>IF('Net zero activities &amp; levers'!$C$12="Off",((Data!$AJ$11*'Intermediate calculations'!BI4)+Data!$AK$11)*Drivers!BJ4,IF('Net zero activities &amp; levers'!$C$12="PB",((Data!$AJ$11*'Intermediate calculations'!BI4)+Data!$AK$11)*Drivers!BJ4,IF('Net zero activities &amp; levers'!$C$12="MS",'Net zero supporting data'!AL207,"ERROR")))</f>
        <v>7591824.1515213959</v>
      </c>
      <c r="BJ39" s="101">
        <f>IF('Net zero activities &amp; levers'!$C$12="Off",((Data!$AJ$11*'Intermediate calculations'!BJ4)+Data!$AK$11)*Drivers!BK4,IF('Net zero activities &amp; levers'!$C$12="PB",((Data!$AJ$11*'Intermediate calculations'!BJ4)+Data!$AK$11)*Drivers!BK4,IF('Net zero activities &amp; levers'!$C$12="MS",'Net zero supporting data'!AM207,"ERROR")))</f>
        <v>7798103.6950450102</v>
      </c>
      <c r="BK39" s="101">
        <f>IF('Net zero activities &amp; levers'!$C$12="Off",((Data!$AJ$11*'Intermediate calculations'!BK4)+Data!$AK$11)*Drivers!BL4,IF('Net zero activities &amp; levers'!$C$12="PB",((Data!$AJ$11*'Intermediate calculations'!BK4)+Data!$AK$11)*Drivers!BL4,IF('Net zero activities &amp; levers'!$C$12="MS",'Net zero supporting data'!AN207,"ERROR")))</f>
        <v>7999106.8295963947</v>
      </c>
      <c r="BL39">
        <v>6068389.0812562732</v>
      </c>
    </row>
    <row r="40" spans="1:64"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34.286986251986896</v>
      </c>
      <c r="Z40" s="51">
        <f>Z39*ttokg/Drivers!AA4</f>
        <v>35.019782281708821</v>
      </c>
      <c r="AA40" s="51">
        <f>AA39*ttokg/Drivers!AB4</f>
        <v>35.463146471730738</v>
      </c>
      <c r="AB40" s="51">
        <f>AB39*ttokg/Drivers!AC4</f>
        <v>34.87979652297188</v>
      </c>
      <c r="AC40" s="51">
        <f>AC39*ttokg/Drivers!AD4</f>
        <v>34.283656892276539</v>
      </c>
      <c r="AD40" s="51">
        <f>AD39*ttokg/Drivers!AE4</f>
        <v>34.653038728328518</v>
      </c>
      <c r="AE40" s="51">
        <f>AE39*ttokg/Drivers!AF4</f>
        <v>34.700757300495916</v>
      </c>
      <c r="AF40" s="51">
        <f>AF39*ttokg/Drivers!AG4</f>
        <v>33.682171648940695</v>
      </c>
      <c r="AG40" s="51">
        <f>AG39*ttokg/Drivers!AH4</f>
        <v>28.086428385732802</v>
      </c>
      <c r="AH40" s="51">
        <f>AH39*ttokg/Drivers!AI4</f>
        <v>29.793937444122609</v>
      </c>
      <c r="AI40" s="51">
        <f>AI39*ttokg/Drivers!AJ4</f>
        <v>30.916067696373897</v>
      </c>
      <c r="AJ40" s="51">
        <f>AJ39*ttokg/Drivers!AK4</f>
        <v>31.895170674421866</v>
      </c>
      <c r="AK40" s="51">
        <f>AK39*ttokg/Drivers!AL4</f>
        <v>33.070299579653934</v>
      </c>
      <c r="AL40" s="51">
        <f>AL39*ttokg/Drivers!AM4</f>
        <v>34.958601890916668</v>
      </c>
      <c r="AM40" s="51">
        <f>AM39*ttokg/Drivers!AN4</f>
        <v>37.117478760142895</v>
      </c>
      <c r="AN40" s="51">
        <f>AN39*ttokg/Drivers!AO4</f>
        <v>39.450464955932979</v>
      </c>
      <c r="AO40" s="51">
        <f>AO39*ttokg/Drivers!AP4</f>
        <v>41.477493720651765</v>
      </c>
      <c r="AP40" s="51">
        <f>AP39*ttokg/Drivers!AQ4</f>
        <v>43.827286213674775</v>
      </c>
      <c r="AQ40" s="51">
        <f>AQ39*ttokg/Drivers!AR4</f>
        <v>46.576585494213333</v>
      </c>
      <c r="AR40" s="51">
        <f>AR39*ttokg/Drivers!AS4</f>
        <v>49.339593842271988</v>
      </c>
      <c r="AS40" s="51">
        <f>AS39*ttokg/Drivers!AT4</f>
        <v>52.223159901382822</v>
      </c>
      <c r="AT40" s="51">
        <f>AT39*ttokg/Drivers!AU4</f>
        <v>55.161237682704964</v>
      </c>
      <c r="AU40" s="51">
        <f>AU39*ttokg/Drivers!AV4</f>
        <v>58.43891786569705</v>
      </c>
      <c r="AV40" s="51">
        <f>AV39*ttokg/Drivers!AW4</f>
        <v>61.305985233699829</v>
      </c>
      <c r="AW40" s="51">
        <f>AW39*ttokg/Drivers!AX4</f>
        <v>64.456655821693801</v>
      </c>
      <c r="AX40" s="51">
        <f>AX39*ttokg/Drivers!AY4</f>
        <v>67.659609617000683</v>
      </c>
      <c r="AY40" s="51">
        <f>AY39*ttokg/Drivers!AZ4</f>
        <v>70.712850593766859</v>
      </c>
      <c r="AZ40" s="51">
        <f>AZ39*ttokg/Drivers!BA4</f>
        <v>73.752618702273594</v>
      </c>
      <c r="BA40" s="51">
        <f>BA39*ttokg/Drivers!BB4</f>
        <v>76.901880275764455</v>
      </c>
      <c r="BB40" s="51">
        <f>BB39*ttokg/Drivers!BC4</f>
        <v>80.328925913395693</v>
      </c>
      <c r="BC40" s="51">
        <f>BC39*ttokg/Drivers!BD4</f>
        <v>83.55191634063452</v>
      </c>
      <c r="BD40" s="51">
        <f>BD39*ttokg/Drivers!BE4</f>
        <v>86.817403498385588</v>
      </c>
      <c r="BE40" s="51">
        <f>BE39*ttokg/Drivers!BF4</f>
        <v>90.131415328716557</v>
      </c>
      <c r="BF40" s="51">
        <f>BF39*ttokg/Drivers!BG4</f>
        <v>93.670302462588822</v>
      </c>
      <c r="BG40" s="51">
        <f>BG39*ttokg/Drivers!BH4</f>
        <v>97.433104581099713</v>
      </c>
      <c r="BH40" s="51">
        <f>BH39*ttokg/Drivers!BI4</f>
        <v>99.553537406189633</v>
      </c>
      <c r="BI40" s="51">
        <f>BI39*ttokg/Drivers!BJ4</f>
        <v>101.55911606009779</v>
      </c>
      <c r="BJ40" s="51">
        <f>BJ39*ttokg/Drivers!BK4</f>
        <v>103.78878163272354</v>
      </c>
      <c r="BK40" s="51">
        <f>BK39*ttokg/Drivers!BL4</f>
        <v>105.92330925895202</v>
      </c>
      <c r="BL40">
        <v>80.356856395247135</v>
      </c>
    </row>
    <row r="41" spans="1:64"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0.3259973250447491</v>
      </c>
      <c r="AP41" s="51"/>
      <c r="AQ41" s="51">
        <f>(AQ42-AE42)/AE42</f>
        <v>0.47854389254251445</v>
      </c>
      <c r="AR41" s="51"/>
      <c r="AS41" s="51"/>
      <c r="AT41" s="51"/>
      <c r="AU41" s="51"/>
      <c r="AV41" s="51"/>
      <c r="AW41" s="51"/>
      <c r="AX41" s="51"/>
      <c r="AY41" s="51"/>
      <c r="AZ41" s="51"/>
      <c r="BA41" s="51"/>
      <c r="BB41" s="51"/>
      <c r="BC41" s="51"/>
      <c r="BD41" s="51"/>
      <c r="BE41" s="51"/>
      <c r="BF41" s="51"/>
      <c r="BG41" s="51"/>
      <c r="BH41" s="51"/>
      <c r="BI41" s="51"/>
      <c r="BJ41" s="51"/>
      <c r="BK41" s="51"/>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101">
        <f>IF('Net zero activities &amp; levers'!$C$14="Off",((Data!$AJ$33*'Net zero Intermediate calcs'!Y39)+Data!$AK$33),IF('Net zero activities &amp; levers'!$C$14="On",((Data!$AJ$33*'Net zero Intermediate calcs'!Y39)+Data!$AK$33)*(1-'Net zero supporting data'!B216),"ERROR"))</f>
        <v>1471692.7305891733</v>
      </c>
      <c r="Z42" s="101">
        <f>IF('Net zero activities &amp; levers'!$C$14="Off",((Data!$AJ$33*'Net zero Intermediate calcs'!Z39)+Data!$AK$33),IF('Net zero activities &amp; levers'!$C$14="On",((Data!$AJ$33*'Net zero Intermediate calcs'!Z39)+Data!$AK$33)*(1-'Net zero supporting data'!C216),"ERROR"))</f>
        <v>1518993.3100212589</v>
      </c>
      <c r="AA42" s="101">
        <f>IF('Net zero activities &amp; levers'!$C$14="Off",((Data!$AJ$33*'Net zero Intermediate calcs'!AA39)+Data!$AK$33),IF('Net zero activities &amp; levers'!$C$14="On",((Data!$AJ$33*'Net zero Intermediate calcs'!AA39)+Data!$AK$33)*(1-'Net zero supporting data'!D216),"ERROR"))</f>
        <v>1556617.4956060459</v>
      </c>
      <c r="AB42" s="101">
        <f>IF('Net zero activities &amp; levers'!$C$14="Off",((Data!$AJ$33*'Net zero Intermediate calcs'!AB39)+Data!$AK$33),IF('Net zero activities &amp; levers'!$C$14="On",((Data!$AJ$33*'Net zero Intermediate calcs'!AB39)+Data!$AK$33)*(1-'Net zero supporting data'!E216),"ERROR"))</f>
        <v>1555020.1243622939</v>
      </c>
      <c r="AC42" s="101">
        <f>IF('Net zero activities &amp; levers'!$C$14="Off",((Data!$AJ$33*'Net zero Intermediate calcs'!AC39)+Data!$AK$33),IF('Net zero activities &amp; levers'!$C$14="On",((Data!$AJ$33*'Net zero Intermediate calcs'!AC39)+Data!$AK$33)*(1-'Net zero supporting data'!F216),"ERROR"))</f>
        <v>1552979.5162211664</v>
      </c>
      <c r="AD42" s="101">
        <f>IF('Net zero activities &amp; levers'!$C$14="Off",((Data!$AJ$33*'Net zero Intermediate calcs'!AD39)+Data!$AK$33),IF('Net zero activities &amp; levers'!$C$14="On",((Data!$AJ$33*'Net zero Intermediate calcs'!AD39)+Data!$AK$33)*(1-'Net zero supporting data'!G216),"ERROR"))</f>
        <v>1590318.4320860233</v>
      </c>
      <c r="AE42" s="101">
        <f>IF('Net zero activities &amp; levers'!$C$14="Off",((Data!$AJ$33*'Net zero Intermediate calcs'!AE39)+Data!$AK$33),IF('Net zero activities &amp; levers'!$C$14="On",((Data!$AJ$33*'Net zero Intermediate calcs'!AE39)+Data!$AK$33)*(1-'Net zero supporting data'!H216),"ERROR"))</f>
        <v>1615124.9775493788</v>
      </c>
      <c r="AF42" s="101">
        <f>IF('Net zero activities &amp; levers'!$C$14="Off",((Data!$AJ$33*'Net zero Intermediate calcs'!AF39)+Data!$AK$33),IF('Net zero activities &amp; levers'!$C$14="On",((Data!$AJ$33*'Net zero Intermediate calcs'!AF39)+Data!$AK$33)*(1-'Net zero supporting data'!I216),"ERROR"))</f>
        <v>1595506.1008051746</v>
      </c>
      <c r="AG42" s="101">
        <f>IF('Net zero activities &amp; levers'!$C$14="Off",((Data!$AJ$33*'Net zero Intermediate calcs'!AG39)+Data!$AK$33),IF('Net zero activities &amp; levers'!$C$14="On",((Data!$AJ$33*'Net zero Intermediate calcs'!AG39)+Data!$AK$33)*(1-'Net zero supporting data'!J216),"ERROR"))</f>
        <v>1379205.8010071614</v>
      </c>
      <c r="AH42" s="101">
        <f>IF('Net zero activities &amp; levers'!$C$14="Off",((Data!$AJ$33*'Net zero Intermediate calcs'!AH39)+Data!$AK$33),IF('Net zero activities &amp; levers'!$C$14="On",((Data!$AJ$33*'Net zero Intermediate calcs'!AH39)+Data!$AK$33)*(1-'Net zero supporting data'!K216),"ERROR"))</f>
        <v>1466572.901964776</v>
      </c>
      <c r="AI42" s="101">
        <f>IF('Net zero activities &amp; levers'!$C$14="Off",((Data!$AJ$33*'Net zero Intermediate calcs'!AI39)+Data!$AK$33),IF('Net zero activities &amp; levers'!$C$14="On",((Data!$AJ$33*'Net zero Intermediate calcs'!AI39)+Data!$AK$33)*(1-'Net zero supporting data'!L216),"ERROR"))</f>
        <v>1530169.6876042546</v>
      </c>
      <c r="AJ42" s="101">
        <f>IF('Net zero activities &amp; levers'!$C$14="Off",((Data!$AJ$33*'Net zero Intermediate calcs'!AJ39)+Data!$AK$33),IF('Net zero activities &amp; levers'!$C$14="On",((Data!$AJ$33*'Net zero Intermediate calcs'!AJ39)+Data!$AK$33)*(1-'Net zero supporting data'!M216),"ERROR"))</f>
        <v>1588717.0031656218</v>
      </c>
      <c r="AK42" s="101">
        <f>IF('Net zero activities &amp; levers'!$C$14="Off",((Data!$AJ$33*'Net zero Intermediate calcs'!AK39)+Data!$AK$33),IF('Net zero activities &amp; levers'!$C$14="On",((Data!$AJ$33*'Net zero Intermediate calcs'!AK39)+Data!$AK$33)*(1-'Net zero supporting data'!N216),"ERROR"))</f>
        <v>1657182.3205896693</v>
      </c>
      <c r="AL42" s="101">
        <f>IF('Net zero activities &amp; levers'!$C$14="Off",((Data!$AJ$33*'Net zero Intermediate calcs'!AL39)+Data!$AK$33),IF('Net zero activities &amp; levers'!$C$14="On",((Data!$AJ$33*'Net zero Intermediate calcs'!AL39)+Data!$AK$33)*(1-'Net zero supporting data'!O216),"ERROR"))</f>
        <v>1759268.4694241586</v>
      </c>
      <c r="AM42" s="101">
        <f>IF('Net zero activities &amp; levers'!$C$14="Off",((Data!$AJ$33*'Net zero Intermediate calcs'!AM39)+Data!$AK$33),IF('Net zero activities &amp; levers'!$C$14="On",((Data!$AJ$33*'Net zero Intermediate calcs'!AM39)+Data!$AK$33)*(1-'Net zero supporting data'!P216),"ERROR"))</f>
        <v>1873051.3942618859</v>
      </c>
      <c r="AN42" s="101">
        <f>IF('Net zero activities &amp; levers'!$C$14="Off",((Data!$AJ$33*'Net zero Intermediate calcs'!AN39)+Data!$AK$33),IF('Net zero activities &amp; levers'!$C$14="On",((Data!$AJ$33*'Net zero Intermediate calcs'!AN39)+Data!$AK$33)*(1-'Net zero supporting data'!Q216),"ERROR"))</f>
        <v>1996908.8938154054</v>
      </c>
      <c r="AO42" s="101">
        <f>IF('Net zero activities &amp; levers'!$C$14="Off",((Data!$AJ$33*'Net zero Intermediate calcs'!AO39)+Data!$AK$33),IF('Net zero activities &amp; levers'!$C$14="On",((Data!$AJ$33*'Net zero Intermediate calcs'!AO39)+Data!$AK$33)*(1-'Net zero supporting data'!R216),"ERROR"))</f>
        <v>2108757.9869154263</v>
      </c>
      <c r="AP42" s="101">
        <f>IF('Net zero activities &amp; levers'!$C$14="Off",((Data!$AJ$33*'Net zero Intermediate calcs'!AP39)+Data!$AK$33),IF('Net zero activities &amp; levers'!$C$14="On",((Data!$AJ$33*'Net zero Intermediate calcs'!AP39)+Data!$AK$33)*(1-'Net zero supporting data'!S216),"ERROR"))</f>
        <v>2237763.4416439654</v>
      </c>
      <c r="AQ42" s="101">
        <f>IF('Net zero activities &amp; levers'!$C$14="Off",((Data!$AJ$33*'Net zero Intermediate calcs'!AQ39)+Data!$AK$33),IF('Net zero activities &amp; levers'!$C$14="On",((Data!$AJ$33*'Net zero Intermediate calcs'!AQ39)+Data!$AK$33)*(1-'Net zero supporting data'!T216),"ERROR"))</f>
        <v>2388033.1712484998</v>
      </c>
      <c r="AR42" s="101">
        <f>IF('Net zero activities &amp; levers'!$C$14="Off",((Data!$AJ$33*'Net zero Intermediate calcs'!AR39)+Data!$AK$33),IF('Net zero activities &amp; levers'!$C$14="On",((Data!$AJ$33*'Net zero Intermediate calcs'!AR39)+Data!$AK$33)*(1-'Net zero supporting data'!U216),"ERROR"))</f>
        <v>2538850.3700150563</v>
      </c>
      <c r="AS42" s="101">
        <f>IF('Net zero activities &amp; levers'!$C$14="Off",((Data!$AJ$33*'Net zero Intermediate calcs'!AS39)+Data!$AK$33),IF('Net zero activities &amp; levers'!$C$14="On",((Data!$AJ$33*'Net zero Intermediate calcs'!AS39)+Data!$AK$33)*(1-'Net zero supporting data'!V216),"ERROR"))</f>
        <v>2697871.2726139403</v>
      </c>
      <c r="AT42" s="101">
        <f>IF('Net zero activities &amp; levers'!$C$14="Off",((Data!$AJ$33*'Net zero Intermediate calcs'!AT39)+Data!$AK$33),IF('Net zero activities &amp; levers'!$C$14="On",((Data!$AJ$33*'Net zero Intermediate calcs'!AT39)+Data!$AK$33)*(1-'Net zero supporting data'!W216),"ERROR"))</f>
        <v>2862059.0123358076</v>
      </c>
      <c r="AU42" s="101">
        <f>IF('Net zero activities &amp; levers'!$C$14="Off",((Data!$AJ$33*'Net zero Intermediate calcs'!AU39)+Data!$AK$33),IF('Net zero activities &amp; levers'!$C$14="On",((Data!$AJ$33*'Net zero Intermediate calcs'!AU39)+Data!$AK$33)*(1-'Net zero supporting data'!X216),"ERROR"))</f>
        <v>3045500.2401532847</v>
      </c>
      <c r="AV42" s="101">
        <f>IF('Net zero activities &amp; levers'!$C$14="Off",((Data!$AJ$33*'Net zero Intermediate calcs'!AV39)+Data!$AK$33),IF('Net zero activities &amp; levers'!$C$14="On",((Data!$AJ$33*'Net zero Intermediate calcs'!AV39)+Data!$AK$33)*(1-'Net zero supporting data'!Y216),"ERROR"))</f>
        <v>3211527.5344818644</v>
      </c>
      <c r="AW42" s="101">
        <f>IF('Net zero activities &amp; levers'!$C$14="Off",((Data!$AJ$33*'Net zero Intermediate calcs'!AW39)+Data!$AK$33),IF('Net zero activities &amp; levers'!$C$14="On",((Data!$AJ$33*'Net zero Intermediate calcs'!AW39)+Data!$AK$33)*(1-'Net zero supporting data'!Z216),"ERROR"))</f>
        <v>3390433.9520630594</v>
      </c>
      <c r="AX42" s="101">
        <f>IF('Net zero activities &amp; levers'!$C$14="Off",((Data!$AJ$33*'Net zero Intermediate calcs'!AX39)+Data!$AK$33),IF('Net zero activities &amp; levers'!$C$14="On",((Data!$AJ$33*'Net zero Intermediate calcs'!AX39)+Data!$AK$33)*(1-'Net zero supporting data'!AA216),"ERROR"))</f>
        <v>3574390.4165584682</v>
      </c>
      <c r="AY42" s="101">
        <f>IF('Net zero activities &amp; levers'!$C$14="Off",((Data!$AJ$33*'Net zero Intermediate calcs'!AY39)+Data!$AK$33),IF('Net zero activities &amp; levers'!$C$14="On",((Data!$AJ$33*'Net zero Intermediate calcs'!AY39)+Data!$AK$33)*(1-'Net zero supporting data'!AB216),"ERROR"))</f>
        <v>3753266.5511452891</v>
      </c>
      <c r="AZ42" s="101">
        <f>IF('Net zero activities &amp; levers'!$C$14="Off",((Data!$AJ$33*'Net zero Intermediate calcs'!AZ39)+Data!$AK$33),IF('Net zero activities &amp; levers'!$C$14="On",((Data!$AJ$33*'Net zero Intermediate calcs'!AZ39)+Data!$AK$33)*(1-'Net zero supporting data'!AC216),"ERROR"))</f>
        <v>3933862.7713784268</v>
      </c>
      <c r="BA42" s="101">
        <f>IF('Net zero activities &amp; levers'!$C$14="Off",((Data!$AJ$33*'Net zero Intermediate calcs'!BA39)+Data!$AK$33),IF('Net zero activities &amp; levers'!$C$14="On",((Data!$AJ$33*'Net zero Intermediate calcs'!BA39)+Data!$AK$33)*(1-'Net zero supporting data'!AD216),"ERROR"))</f>
        <v>4122496.9100874872</v>
      </c>
      <c r="BB42" s="101">
        <f>IF('Net zero activities &amp; levers'!$C$14="Off",((Data!$AJ$33*'Net zero Intermediate calcs'!BB39)+Data!$AK$33),IF('Net zero activities &amp; levers'!$C$14="On",((Data!$AJ$33*'Net zero Intermediate calcs'!BB39)+Data!$AK$33)*(1-'Net zero supporting data'!AE216),"ERROR"))</f>
        <v>4323436.5770808598</v>
      </c>
      <c r="BC42" s="101">
        <f>IF('Net zero activities &amp; levers'!$C$14="Off",((Data!$AJ$33*'Net zero Intermediate calcs'!BC39)+Data!$AK$33),IF('Net zero activities &amp; levers'!$C$14="On",((Data!$AJ$33*'Net zero Intermediate calcs'!BC39)+Data!$AK$33)*(1-'Net zero supporting data'!AF216),"ERROR"))</f>
        <v>4516089.8057632046</v>
      </c>
      <c r="BD42" s="101">
        <f>IF('Net zero activities &amp; levers'!$C$14="Off",((Data!$AJ$33*'Net zero Intermediate calcs'!BD39)+Data!$AK$33),IF('Net zero activities &amp; levers'!$C$14="On",((Data!$AJ$33*'Net zero Intermediate calcs'!BD39)+Data!$AK$33)*(1-'Net zero supporting data'!AG216),"ERROR"))</f>
        <v>4713162.6421756027</v>
      </c>
      <c r="BE42" s="101">
        <f>IF('Net zero activities &amp; levers'!$C$14="Off",((Data!$AJ$33*'Net zero Intermediate calcs'!BE39)+Data!$AK$33),IF('Net zero activities &amp; levers'!$C$14="On",((Data!$AJ$33*'Net zero Intermediate calcs'!BE39)+Data!$AK$33)*(1-'Net zero supporting data'!AH216),"ERROR"))</f>
        <v>4915032.2752906596</v>
      </c>
      <c r="BF42" s="101">
        <f>IF('Net zero activities &amp; levers'!$C$14="Off",((Data!$AJ$33*'Net zero Intermediate calcs'!BF39)+Data!$AK$33),IF('Net zero activities &amp; levers'!$C$14="On",((Data!$AJ$33*'Net zero Intermediate calcs'!BF39)+Data!$AK$33)*(1-'Net zero supporting data'!AI216),"ERROR"))</f>
        <v>5131090.7833006643</v>
      </c>
      <c r="BG42" s="101">
        <f>IF('Net zero activities &amp; levers'!$C$14="Off",((Data!$AJ$33*'Net zero Intermediate calcs'!BG39)+Data!$AK$33),IF('Net zero activities &amp; levers'!$C$14="On",((Data!$AJ$33*'Net zero Intermediate calcs'!BG39)+Data!$AK$33)*(1-'Net zero supporting data'!AJ216),"ERROR"))</f>
        <v>5355827.3917927509</v>
      </c>
      <c r="BH42" s="101">
        <f>IF('Net zero activities &amp; levers'!$C$14="Off",((Data!$AJ$33*'Net zero Intermediate calcs'!BH39)+Data!$AK$33),IF('Net zero activities &amp; levers'!$C$14="On",((Data!$AJ$33*'Net zero Intermediate calcs'!BH39)+Data!$AK$33)*(1-'Net zero supporting data'!AK216),"ERROR"))</f>
        <v>5494971.0978648867</v>
      </c>
      <c r="BI42" s="101">
        <f>IF('Net zero activities &amp; levers'!$C$14="Off",((Data!$AJ$33*'Net zero Intermediate calcs'!BI39)+Data!$AK$33),IF('Net zero activities &amp; levers'!$C$14="On",((Data!$AJ$33*'Net zero Intermediate calcs'!BI39)+Data!$AK$33)*(1-'Net zero supporting data'!AL216),"ERROR"))</f>
        <v>5629212.8126029214</v>
      </c>
      <c r="BJ42" s="101">
        <f>IF('Net zero activities &amp; levers'!$C$14="Off",((Data!$AJ$33*'Net zero Intermediate calcs'!BJ39)+Data!$AK$33),IF('Net zero activities &amp; levers'!$C$14="On",((Data!$AJ$33*'Net zero Intermediate calcs'!BJ39)+Data!$AK$33)*(1-'Net zero supporting data'!AM216),"ERROR"))</f>
        <v>5776753.4433857687</v>
      </c>
      <c r="BK42" s="101">
        <f>IF('Net zero activities &amp; levers'!$C$14="Off",((Data!$AJ$33*'Net zero Intermediate calcs'!BK39)+Data!$AK$33),IF('Net zero activities &amp; levers'!$C$14="On",((Data!$AJ$33*'Net zero Intermediate calcs'!BK39)+Data!$AK$33)*(1-'Net zero supporting data'!AN216),"ERROR"))</f>
        <v>5920476.3328010486</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9069608.5036172941</v>
      </c>
      <c r="AA44" s="22">
        <f>((Data!$AJ$40*'Net zero Intermediate calcs'!AA45)+Data!$AK$40)</f>
        <v>9310273.6227034926</v>
      </c>
      <c r="AB44" s="22">
        <f>((Data!$AJ$40*'Net zero Intermediate calcs'!AB45)+Data!$AK$40)</f>
        <v>9559918.203922689</v>
      </c>
      <c r="AC44" s="22">
        <f>((Data!$AJ$40*'Net zero Intermediate calcs'!AC45)+Data!$AK$40)</f>
        <v>9818892.7438438796</v>
      </c>
      <c r="AD44" s="22">
        <f>((Data!$AJ$40*'Net zero Intermediate calcs'!AD45)+Data!$AK$40)</f>
        <v>10087565.193359558</v>
      </c>
      <c r="AE44" s="22">
        <f>((Data!$AJ$40*'Net zero Intermediate calcs'!AE45)+Data!$AK$40)</f>
        <v>10359825.374047421</v>
      </c>
      <c r="AF44" s="22">
        <f>((Data!$AJ$40*'Net zero Intermediate calcs'!AF45)+Data!$AK$40)</f>
        <v>10636488.448266506</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11745410.545782182</v>
      </c>
      <c r="AL44" s="22">
        <f>((Data!$AJ$40*'Net zero Intermediate calcs'!AL45)+Data!$AK$40)</f>
        <v>11958347.911885723</v>
      </c>
      <c r="AM44" s="22">
        <f>((Data!$AJ$40*'Net zero Intermediate calcs'!AM45)+Data!$AK$40)</f>
        <v>12142539.899210595</v>
      </c>
      <c r="AN44" s="22">
        <f>((Data!$AJ$40*'Net zero Intermediate calcs'!AN45)+Data!$AK$40)</f>
        <v>12328545.523359004</v>
      </c>
      <c r="AO44" s="22">
        <f>((Data!$AJ$40*'Net zero Intermediate calcs'!AO45)+Data!$AK$40)</f>
        <v>12516382.64221162</v>
      </c>
      <c r="AP44" s="22">
        <f>((Data!$AJ$40*'Net zero Intermediate calcs'!AP45)+Data!$AK$40)</f>
        <v>12706069.28948579</v>
      </c>
      <c r="AQ44" s="22">
        <f>((Data!$AJ$40*'Net zero Intermediate calcs'!AQ45)+Data!$AK$40)</f>
        <v>12897623.676466919</v>
      </c>
      <c r="AR44" s="22">
        <f>((Data!$AJ$40*'Net zero Intermediate calcs'!AR45)+Data!$AK$40)</f>
        <v>13065285.550986845</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13750364.405404899</v>
      </c>
      <c r="AW44" s="22">
        <f>((Data!$AJ$40*'Net zero Intermediate calcs'!AW45)+Data!$AK$40)</f>
        <v>13900436.811271213</v>
      </c>
      <c r="AX44" s="22">
        <f>((Data!$AJ$40*'Net zero Intermediate calcs'!AX45)+Data!$AK$40)</f>
        <v>14051607.920698307</v>
      </c>
      <c r="AY44" s="22">
        <f>((Data!$AJ$40*'Net zero Intermediate calcs'!AY45)+Data!$AK$40)</f>
        <v>14203885.777466826</v>
      </c>
      <c r="AZ44" s="22">
        <f>((Data!$AJ$40*'Net zero Intermediate calcs'!AZ45)+Data!$AK$40)</f>
        <v>14357278.484247208</v>
      </c>
      <c r="BA44" s="22">
        <f>((Data!$AJ$40*'Net zero Intermediate calcs'!BA45)+Data!$AK$40)</f>
        <v>14511794.203030784</v>
      </c>
      <c r="BB44" s="22">
        <f>((Data!$AJ$40*'Net zero Intermediate calcs'!BB45)+Data!$AK$40)</f>
        <v>14643837.8575859</v>
      </c>
      <c r="BC44" s="22">
        <f>((Data!$AJ$40*'Net zero Intermediate calcs'!BC45)+Data!$AK$40)</f>
        <v>14776701.625972856</v>
      </c>
      <c r="BD44" s="22">
        <f>((Data!$AJ$40*'Net zero Intermediate calcs'!BD45)+Data!$AK$40)</f>
        <v>14910390.601860862</v>
      </c>
      <c r="BE44" s="22">
        <f>((Data!$AJ$40*'Net zero Intermediate calcs'!BE45)+Data!$AK$40)</f>
        <v>15044909.910555545</v>
      </c>
      <c r="BF44" s="22">
        <f>((Data!$AJ$40*'Net zero Intermediate calcs'!BF45)+Data!$AK$40)</f>
        <v>15180264.709195446</v>
      </c>
      <c r="BG44" s="22">
        <f>((Data!$AJ$40*'Net zero Intermediate calcs'!BG45)+Data!$AK$40)</f>
        <v>15292205.461046565</v>
      </c>
      <c r="BH44" s="22">
        <f>((Data!$AJ$40*'Net zero Intermediate calcs'!BH45)+Data!$AK$40)</f>
        <v>15404717.652523212</v>
      </c>
      <c r="BI44" s="22">
        <f>((Data!$AJ$40*'Net zero Intermediate calcs'!BI45)+Data!$AK$40)</f>
        <v>15517804.200733211</v>
      </c>
      <c r="BJ44" s="22">
        <f>((Data!$AJ$40*'Net zero Intermediate calcs'!BJ45)+Data!$AK$40)</f>
        <v>15631468.037675802</v>
      </c>
      <c r="BK44" s="22">
        <f>((Data!$AJ$40*'Net zero Intermediate calcs'!BK45)+Data!$AK$40)</f>
        <v>15745712.110317562</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4510882.5831505302</v>
      </c>
      <c r="AA45" s="22">
        <f>((Data!$AJ$39*Drivers!AB4)+Data!$AK$39)</f>
        <v>4611861.4731789092</v>
      </c>
      <c r="AB45" s="22">
        <f>((Data!$AJ$39*Drivers!AC4)+Data!$AK$39)</f>
        <v>4716607.9890380902</v>
      </c>
      <c r="AC45" s="22">
        <f>((Data!$AJ$39*Drivers!AD4)+Data!$AK$39)</f>
        <v>4825269.1929805083</v>
      </c>
      <c r="AD45" s="22">
        <f>((Data!$AJ$39*Drivers!AE4)+Data!$AK$39)</f>
        <v>4937999.4707885766</v>
      </c>
      <c r="AE45" s="22">
        <f>((Data!$AJ$39*Drivers!AF4)+Data!$AK$39)</f>
        <v>5052235.0980750518</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5722947.2983687911</v>
      </c>
      <c r="AM45" s="22">
        <f>((Data!$AJ$39*Drivers!AN4)+Data!$AK$39)</f>
        <v>5800231.0464366823</v>
      </c>
      <c r="AN45" s="22">
        <f>((Data!$AJ$39*Drivers!AO4)+Data!$AK$39)</f>
        <v>5878275.764910467</v>
      </c>
      <c r="AO45" s="22">
        <f>((Data!$AJ$39*Drivers!AP4)+Data!$AK$39)</f>
        <v>5957088.9466456743</v>
      </c>
      <c r="AP45" s="22">
        <f>((Data!$AJ$39*Drivers!AQ4)+Data!$AK$39)</f>
        <v>6036678.1582758389</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6474846.1905522551</v>
      </c>
      <c r="AW45" s="22">
        <f>((Data!$AJ$39*Drivers!AX4)+Data!$AK$39)</f>
        <v>6537813.9568235315</v>
      </c>
      <c r="AX45" s="22">
        <f>((Data!$AJ$39*Drivers!AY4)+Data!$AK$39)</f>
        <v>6601242.7199624032</v>
      </c>
      <c r="AY45" s="22">
        <f>((Data!$AJ$39*Drivers!AZ4)+Data!$AK$39)</f>
        <v>6665135.8549990505</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7074807.4399275556</v>
      </c>
      <c r="BG45" s="22">
        <f>((Data!$AJ$39*Drivers!BH4)+Data!$AK$39)</f>
        <v>7121775.8286736608</v>
      </c>
      <c r="BH45" s="22">
        <f>((Data!$AJ$39*Drivers!BI4)+Data!$AK$39)</f>
        <v>7168983.9835284688</v>
      </c>
      <c r="BI45" s="22">
        <f>((Data!$AJ$39*Drivers!BJ4)+Data!$AK$39)</f>
        <v>7216433.1284595896</v>
      </c>
      <c r="BJ45" s="22">
        <f>((Data!$AJ$39*Drivers!BK4)+Data!$AK$39)</f>
        <v>7264124.4936828092</v>
      </c>
      <c r="BK45" s="22">
        <f>((Data!$AJ$39*Drivers!BL4)+Data!$AK$39)</f>
        <v>7312059.3156939484</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11888967.550540993</v>
      </c>
      <c r="AA46" s="22">
        <f>((Data!$AJ$41*'Net zero Intermediate calcs'!AA44)+Data!$AK$41)</f>
        <v>12116544.669480311</v>
      </c>
      <c r="AB46" s="22">
        <f>((Data!$AJ$41*'Net zero Intermediate calcs'!AB44)+Data!$AK$41)</f>
        <v>12352612.92385966</v>
      </c>
      <c r="AC46" s="22">
        <f>((Data!$AJ$41*'Net zero Intermediate calcs'!AC44)+Data!$AK$41)</f>
        <v>12597503.749325689</v>
      </c>
      <c r="AD46" s="22">
        <f>((Data!$AJ$41*'Net zero Intermediate calcs'!AD44)+Data!$AK$41)</f>
        <v>12851565.086636676</v>
      </c>
      <c r="AE46" s="22">
        <f>((Data!$AJ$41*'Net zero Intermediate calcs'!AE44)+Data!$AK$41)</f>
        <v>13109019.044892462</v>
      </c>
      <c r="AF46" s="22">
        <f>((Data!$AJ$41*'Net zero Intermediate calcs'!AF44)+Data!$AK$41)</f>
        <v>13370636.455785824</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14419252.462288922</v>
      </c>
      <c r="AL46" s="22">
        <f>((Data!$AJ$41*'Net zero Intermediate calcs'!AL44)+Data!$AK$41)</f>
        <v>14620609.736148844</v>
      </c>
      <c r="AM46" s="22">
        <f>((Data!$AJ$41*'Net zero Intermediate calcs'!AM44)+Data!$AK$41)</f>
        <v>14794784.880292136</v>
      </c>
      <c r="AN46" s="22">
        <f>((Data!$AJ$41*'Net zero Intermediate calcs'!AN44)+Data!$AK$41)</f>
        <v>14970675.030933548</v>
      </c>
      <c r="AO46" s="22">
        <f>((Data!$AJ$41*'Net zero Intermediate calcs'!AO44)+Data!$AK$41)</f>
        <v>15148297.074795375</v>
      </c>
      <c r="AP46" s="22">
        <f>((Data!$AJ$41*'Net zero Intermediate calcs'!AP44)+Data!$AK$41)</f>
        <v>15327668.064874135</v>
      </c>
      <c r="AQ46" s="22">
        <f>((Data!$AJ$41*'Net zero Intermediate calcs'!AQ44)+Data!$AK$41)</f>
        <v>15508805.222077787</v>
      </c>
      <c r="AR46" s="22">
        <f>((Data!$AJ$41*'Net zero Intermediate calcs'!AR44)+Data!$AK$41)</f>
        <v>15667349.204288784</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16315171.674477609</v>
      </c>
      <c r="AW46" s="22">
        <f>((Data!$AJ$41*'Net zero Intermediate calcs'!AW44)+Data!$AK$41)</f>
        <v>16457082.749456095</v>
      </c>
      <c r="AX46" s="22">
        <f>((Data!$AJ$41*'Net zero Intermediate calcs'!AX44)+Data!$AK$41)</f>
        <v>16600032.777615165</v>
      </c>
      <c r="AY46" s="22">
        <f>((Data!$AJ$41*'Net zero Intermediate calcs'!AY44)+Data!$AK$41)</f>
        <v>16744029.365293587</v>
      </c>
      <c r="AZ46" s="22">
        <f>((Data!$AJ$41*'Net zero Intermediate calcs'!AZ44)+Data!$AK$41)</f>
        <v>16889080.174517334</v>
      </c>
      <c r="BA46" s="22">
        <f>((Data!$AJ$41*'Net zero Intermediate calcs'!BA44)+Data!$AK$41)</f>
        <v>17035192.923407253</v>
      </c>
      <c r="BB46" s="22">
        <f>((Data!$AJ$41*'Net zero Intermediate calcs'!BB44)+Data!$AK$41)</f>
        <v>17160055.697838262</v>
      </c>
      <c r="BC46" s="22">
        <f>((Data!$AJ$41*'Net zero Intermediate calcs'!BC44)+Data!$AK$41)</f>
        <v>17285693.986160778</v>
      </c>
      <c r="BD46" s="22">
        <f>((Data!$AJ$41*'Net zero Intermediate calcs'!BD44)+Data!$AK$41)</f>
        <v>17412112.605036922</v>
      </c>
      <c r="BE46" s="22">
        <f>((Data!$AJ$41*'Net zero Intermediate calcs'!BE44)+Data!$AK$41)</f>
        <v>17539316.401044767</v>
      </c>
      <c r="BF46" s="22">
        <f>((Data!$AJ$41*'Net zero Intermediate calcs'!BF44)+Data!$AK$41)</f>
        <v>17667310.250864141</v>
      </c>
      <c r="BG46" s="22">
        <f>((Data!$AJ$41*'Net zero Intermediate calcs'!BG44)+Data!$AK$41)</f>
        <v>17773163.37114558</v>
      </c>
      <c r="BH46" s="22">
        <f>((Data!$AJ$41*'Net zero Intermediate calcs'!BH44)+Data!$AK$41)</f>
        <v>17879556.854667522</v>
      </c>
      <c r="BI46" s="22">
        <f>((Data!$AJ$41*'Net zero Intermediate calcs'!BI44)+Data!$AK$41)</f>
        <v>17986493.459897824</v>
      </c>
      <c r="BJ46" s="22">
        <f>((Data!$AJ$41*'Net zero Intermediate calcs'!BJ44)+Data!$AK$41)</f>
        <v>18093975.959385909</v>
      </c>
      <c r="BK46" s="22">
        <f>((Data!$AJ$41*'Net zero Intermediate calcs'!BK44)+Data!$AK$41)</f>
        <v>18202007.139834598</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170434.18103123695</v>
      </c>
      <c r="Z47" s="22">
        <f>((Data!$AJ$12*((Drivers!AA5*1000000)/Drivers!AA4))+Data!$AK$12)*Drivers!AA4</f>
        <v>169677.63522063452</v>
      </c>
      <c r="AA47" s="22">
        <f>((Data!$AJ$12*((Drivers!AB5*1000000)/Drivers!AB4))+Data!$AK$12)*Drivers!AB4</f>
        <v>170236.12664511442</v>
      </c>
      <c r="AB47" s="22">
        <f>((Data!$AJ$12*((Drivers!AC5*1000000)/Drivers!AC4))+Data!$AK$12)*Drivers!AC4</f>
        <v>175585.93106329709</v>
      </c>
      <c r="AC47" s="22">
        <f>((Data!$AJ$12*((Drivers!AD5*1000000)/Drivers!AD4))+Data!$AK$12)*Drivers!AD4</f>
        <v>181180.71094700386</v>
      </c>
      <c r="AD47" s="22">
        <f>((Data!$AJ$12*((Drivers!AE5*1000000)/Drivers!AE4))+Data!$AK$12)*Drivers!AE4</f>
        <v>182351.84510898826</v>
      </c>
      <c r="AE47" s="22">
        <f>((Data!$AJ$12*((Drivers!AF5*1000000)/Drivers!AF4))+Data!$AK$12)*Drivers!AF4</f>
        <v>185068.79437888181</v>
      </c>
      <c r="AF47" s="22">
        <f>((Data!$AJ$12*((Drivers!AG5*1000000)/Drivers!AG4))+Data!$AK$12)*Drivers!AG4</f>
        <v>193093.49026941712</v>
      </c>
      <c r="AG47" s="22">
        <f>((Data!$AJ$12*((Drivers!AH5*1000000)/Drivers!AH4))+Data!$AK$12)*Drivers!AH4</f>
        <v>224306.22696455522</v>
      </c>
      <c r="AH47" s="22">
        <f>((Data!$AJ$12*((Drivers!AI5*1000000)/Drivers!AI4))+Data!$AK$12)*Drivers!AI4</f>
        <v>218218.70042383508</v>
      </c>
      <c r="AI47" s="22">
        <f>((Data!$AJ$12*((Drivers!AJ5*1000000)/Drivers!AJ4))+Data!$AK$12)*Drivers!AJ4</f>
        <v>214967.85586502563</v>
      </c>
      <c r="AJ47" s="22">
        <f>((Data!$AJ$12*((Drivers!AK5*1000000)/Drivers!AK4))+Data!$AK$12)*Drivers!AK4</f>
        <v>212356.29004946142</v>
      </c>
      <c r="AK47" s="22">
        <f>((Data!$AJ$12*((Drivers!AL5*1000000)/Drivers!AL4))+Data!$AK$12)*Drivers!AL4</f>
        <v>208625.94308722334</v>
      </c>
      <c r="AL47" s="22">
        <f>((Data!$AJ$12*((Drivers!AM5*1000000)/Drivers!AM4))+Data!$AK$12)*Drivers!AM4</f>
        <v>200990.56788915119</v>
      </c>
      <c r="AM47" s="22">
        <f>((Data!$AJ$12*((Drivers!AN5*1000000)/Drivers!AN4))+Data!$AK$12)*Drivers!AN4</f>
        <v>191380.80876448291</v>
      </c>
      <c r="AN47" s="22">
        <f>((Data!$AJ$12*((Drivers!AO5*1000000)/Drivers!AO4))+Data!$AK$12)*Drivers!AO4</f>
        <v>180618.50153540529</v>
      </c>
      <c r="AO47" s="22">
        <f>((Data!$AJ$12*((Drivers!AP5*1000000)/Drivers!AP4))+Data!$AK$12)*Drivers!AP4</f>
        <v>171300.57334213227</v>
      </c>
      <c r="AP47" s="22">
        <f>((Data!$AJ$12*((Drivers!AQ5*1000000)/Drivers!AQ4))+Data!$AK$12)*Drivers!AQ4</f>
        <v>159997.36321334096</v>
      </c>
      <c r="AQ47" s="22">
        <f>((Data!$AJ$12*((Drivers!AR5*1000000)/Drivers!AR4))+Data!$AK$12)*Drivers!AR4</f>
        <v>146224.68843758319</v>
      </c>
      <c r="AR47" s="22">
        <f>((Data!$AJ$12*((Drivers!AS5*1000000)/Drivers!AS4))+Data!$AK$12)*Drivers!AS4</f>
        <v>131916.35988004171</v>
      </c>
      <c r="AS47" s="22">
        <f>((Data!$AJ$12*((Drivers!AT5*1000000)/Drivers!AT4))+Data!$AK$12)*Drivers!AT4</f>
        <v>116668.60386878856</v>
      </c>
      <c r="AT47" s="22">
        <f>((Data!$AJ$12*((Drivers!AU5*1000000)/Drivers!AU4))+Data!$AK$12)*Drivers!AU4</f>
        <v>100838.81091243765</v>
      </c>
      <c r="AU47" s="22">
        <f>((Data!$AJ$12*((Drivers!AV5*1000000)/Drivers!AV4))+Data!$AK$12)*Drivers!AV4</f>
        <v>82768.932305827839</v>
      </c>
      <c r="AV47" s="22">
        <f>((Data!$AJ$12*((Drivers!AW5*1000000)/Drivers!AW4))+Data!$AK$12)*Drivers!AW4</f>
        <v>66775.044123391985</v>
      </c>
      <c r="AW47" s="22">
        <f>((Data!$AJ$12*((Drivers!AX5*1000000)/Drivers!AX4))+Data!$AK$12)*Drivers!AX4</f>
        <v>48777.346007188455</v>
      </c>
      <c r="AX47" s="22">
        <f>((Data!$AJ$12*((Drivers!AY5*1000000)/Drivers!AY4))+Data!$AK$12)*Drivers!AY4</f>
        <v>30203.52307343432</v>
      </c>
      <c r="AY47" s="22">
        <f>((Data!$AJ$12*((Drivers!AZ5*1000000)/Drivers!AZ4))+Data!$AK$12)*Drivers!AZ4</f>
        <v>12246.471852347848</v>
      </c>
      <c r="AZ47" s="22">
        <f>((Data!$AJ$12*((Drivers!BA5*1000000)/Drivers!BA4))+Data!$AK$12)*Drivers!BA4</f>
        <v>-5894.3299262013625</v>
      </c>
      <c r="BA47" s="22">
        <f>((Data!$AJ$12*((Drivers!BB5*1000000)/Drivers!BB4))+Data!$AK$12)*Drivers!BB4</f>
        <v>-24962.886243782694</v>
      </c>
      <c r="BB47" s="22">
        <f>((Data!$AJ$12*((Drivers!BC5*1000000)/Drivers!BC4))+Data!$AK$12)*Drivers!BC4</f>
        <v>-45950.076822330891</v>
      </c>
      <c r="BC47" s="22">
        <f>((Data!$AJ$12*((Drivers!BD5*1000000)/Drivers!BD4))+Data!$AK$12)*Drivers!BD4</f>
        <v>-65948.900062037676</v>
      </c>
      <c r="BD47" s="22">
        <f>((Data!$AJ$12*((Drivers!BE5*1000000)/Drivers!BE4))+Data!$AK$12)*Drivers!BE4</f>
        <v>-86455.919105343171</v>
      </c>
      <c r="BE47" s="22">
        <f>((Data!$AJ$12*((Drivers!BF5*1000000)/Drivers!BF4))+Data!$AK$12)*Drivers!BF4</f>
        <v>-107515.62900477897</v>
      </c>
      <c r="BF47" s="22">
        <f>((Data!$AJ$12*((Drivers!BG5*1000000)/Drivers!BG4))+Data!$AK$12)*Drivers!BG4</f>
        <v>-130234.84300708424</v>
      </c>
      <c r="BG47" s="22">
        <f>((Data!$AJ$12*((Drivers!BH5*1000000)/Drivers!BH4))+Data!$AK$12)*Drivers!BH4</f>
        <v>-154466.05921109673</v>
      </c>
      <c r="BH47" s="22">
        <f>((Data!$AJ$12*((Drivers!BI5*1000000)/Drivers!BI4))+Data!$AK$12)*Drivers!BI4</f>
        <v>-168602.6246622481</v>
      </c>
      <c r="BI47" s="22">
        <f>((Data!$AJ$12*((Drivers!BJ5*1000000)/Drivers!BJ4))+Data!$AK$12)*Drivers!BJ4</f>
        <v>-182152.80134492664</v>
      </c>
      <c r="BJ47" s="22">
        <f>((Data!$AJ$12*((Drivers!BK5*1000000)/Drivers!BK4))+Data!$AK$12)*Drivers!BK4</f>
        <v>-197261.98434271701</v>
      </c>
      <c r="BK47" s="22">
        <f>((Data!$AJ$12*((Drivers!BL5*1000000)/Drivers!BL4))+Data!$AK$12)*Drivers!BL4</f>
        <v>-211912.57224822964</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178152.15495275339</v>
      </c>
      <c r="Z49" s="22">
        <f>((Data!$AJ$44*'Net zero Intermediate calcs'!Z47)+Data!$AK$44)</f>
        <v>177402.66444741483</v>
      </c>
      <c r="AA49" s="22">
        <f>((Data!$AJ$44*'Net zero Intermediate calcs'!AA47)+Data!$AK$44)</f>
        <v>177955.94755875398</v>
      </c>
      <c r="AB49" s="22">
        <f>((Data!$AJ$44*'Net zero Intermediate calcs'!AB47)+Data!$AK$44)</f>
        <v>183255.86140488758</v>
      </c>
      <c r="AC49" s="22">
        <f>((Data!$AJ$44*'Net zero Intermediate calcs'!AC47)+Data!$AK$44)</f>
        <v>188798.46615338046</v>
      </c>
      <c r="AD49" s="22">
        <f>((Data!$AJ$44*'Net zero Intermediate calcs'!AD47)+Data!$AK$44)</f>
        <v>189958.67869118566</v>
      </c>
      <c r="AE49" s="22">
        <f>((Data!$AJ$44*'Net zero Intermediate calcs'!AE47)+Data!$AK$44)</f>
        <v>192650.29055755795</v>
      </c>
      <c r="AF49" s="22">
        <f>((Data!$AJ$44*'Net zero Intermediate calcs'!AF47)+Data!$AK$44)</f>
        <v>200600.1506901471</v>
      </c>
      <c r="AG49" s="22">
        <f>((Data!$AJ$44*'Net zero Intermediate calcs'!AG47)+Data!$AK$44)</f>
        <v>231521.80734436927</v>
      </c>
      <c r="AH49" s="22">
        <f>((Data!$AJ$44*'Net zero Intermediate calcs'!AH47)+Data!$AK$44)</f>
        <v>225491.05113724267</v>
      </c>
      <c r="AI49" s="22">
        <f>((Data!$AJ$44*'Net zero Intermediate calcs'!AI47)+Data!$AK$44)</f>
        <v>222270.52291936902</v>
      </c>
      <c r="AJ49" s="22">
        <f>((Data!$AJ$44*'Net zero Intermediate calcs'!AJ47)+Data!$AK$44)</f>
        <v>219683.31173479644</v>
      </c>
      <c r="AK49" s="22">
        <f>((Data!$AJ$44*'Net zero Intermediate calcs'!AK47)+Data!$AK$44)</f>
        <v>215987.75280018325</v>
      </c>
      <c r="AL49" s="22">
        <f>((Data!$AJ$44*'Net zero Intermediate calcs'!AL47)+Data!$AK$44)</f>
        <v>208423.58267928107</v>
      </c>
      <c r="AM49" s="22">
        <f>((Data!$AJ$44*'Net zero Intermediate calcs'!AM47)+Data!$AK$44)</f>
        <v>198903.44110742534</v>
      </c>
      <c r="AN49" s="22">
        <f>((Data!$AJ$44*'Net zero Intermediate calcs'!AN47)+Data!$AK$44)</f>
        <v>188241.49972768631</v>
      </c>
      <c r="AO49" s="22">
        <f>((Data!$AJ$44*'Net zero Intermediate calcs'!AO47)+Data!$AK$44)</f>
        <v>179010.4675649101</v>
      </c>
      <c r="AP49" s="22">
        <f>((Data!$AJ$44*'Net zero Intermediate calcs'!AP47)+Data!$AK$44)</f>
        <v>167812.66757361827</v>
      </c>
      <c r="AQ49" s="22">
        <f>((Data!$AJ$44*'Net zero Intermediate calcs'!AQ47)+Data!$AK$44)</f>
        <v>154168.43237611363</v>
      </c>
      <c r="AR49" s="22">
        <f>((Data!$AJ$44*'Net zero Intermediate calcs'!AR47)+Data!$AK$44)</f>
        <v>139993.53873338422</v>
      </c>
      <c r="AS49" s="22">
        <f>((Data!$AJ$44*'Net zero Intermediate calcs'!AS47)+Data!$AK$44)</f>
        <v>124887.97843816142</v>
      </c>
      <c r="AT49" s="22">
        <f>((Data!$AJ$44*'Net zero Intermediate calcs'!AT47)+Data!$AK$44)</f>
        <v>109205.80908900747</v>
      </c>
      <c r="AU49" s="22">
        <f>((Data!$AJ$44*'Net zero Intermediate calcs'!AU47)+Data!$AK$44)</f>
        <v>91304.444414883968</v>
      </c>
      <c r="AV49" s="22">
        <f>((Data!$AJ$44*'Net zero Intermediate calcs'!AV47)+Data!$AK$44)</f>
        <v>75459.710139457922</v>
      </c>
      <c r="AW49" s="22">
        <f>((Data!$AJ$44*'Net zero Intermediate calcs'!AW47)+Data!$AK$44)</f>
        <v>57629.852823477238</v>
      </c>
      <c r="AX49" s="22">
        <f>((Data!$AJ$44*'Net zero Intermediate calcs'!AX47)+Data!$AK$44)</f>
        <v>39229.243446494118</v>
      </c>
      <c r="AY49" s="22">
        <f>((Data!$AJ$44*'Net zero Intermediate calcs'!AY47)+Data!$AK$44)</f>
        <v>21439.653965632991</v>
      </c>
      <c r="AZ49" s="22">
        <f>((Data!$AJ$44*'Net zero Intermediate calcs'!AZ47)+Data!$AK$44)</f>
        <v>3468.0275264820129</v>
      </c>
      <c r="BA49" s="22">
        <f>((Data!$AJ$44*'Net zero Intermediate calcs'!BA47)+Data!$AK$44)</f>
        <v>-15422.701508367212</v>
      </c>
      <c r="BB49" s="22">
        <f>((Data!$AJ$44*'Net zero Intermediate calcs'!BB47)+Data!$AK$44)</f>
        <v>-36214.172232165678</v>
      </c>
      <c r="BC49" s="22">
        <f>((Data!$AJ$44*'Net zero Intermediate calcs'!BC47)+Data!$AK$44)</f>
        <v>-56026.492816121972</v>
      </c>
      <c r="BD49" s="22">
        <f>((Data!$AJ$44*'Net zero Intermediate calcs'!BD47)+Data!$AK$44)</f>
        <v>-76342.269931476985</v>
      </c>
      <c r="BE49" s="22">
        <f>((Data!$AJ$44*'Net zero Intermediate calcs'!BE47)+Data!$AK$44)</f>
        <v>-97205.58368407443</v>
      </c>
      <c r="BF49" s="22">
        <f>((Data!$AJ$44*'Net zero Intermediate calcs'!BF47)+Data!$AK$44)</f>
        <v>-119712.92553284315</v>
      </c>
      <c r="BG49" s="22">
        <f>((Data!$AJ$44*'Net zero Intermediate calcs'!BG47)+Data!$AK$44)</f>
        <v>-143718.16913237056</v>
      </c>
      <c r="BH49" s="22">
        <f>((Data!$AJ$44*'Net zero Intermediate calcs'!BH47)+Data!$AK$44)</f>
        <v>-157722.90147673216</v>
      </c>
      <c r="BI49" s="22">
        <f>((Data!$AJ$44*'Net zero Intermediate calcs'!BI47)+Data!$AK$44)</f>
        <v>-171146.71352750625</v>
      </c>
      <c r="BJ49" s="22">
        <f>((Data!$AJ$44*'Net zero Intermediate calcs'!BJ47)+Data!$AK$44)</f>
        <v>-186114.99309705323</v>
      </c>
      <c r="BK49" s="22">
        <f>((Data!$AJ$44*'Net zero Intermediate calcs'!BK47)+Data!$AK$44)</f>
        <v>-200628.9542860869</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2572733.1221532091</v>
      </c>
      <c r="Z50" s="22">
        <f>Z15*Constants!$H$29*Constants!$H$35</f>
        <v>2612140.6727003292</v>
      </c>
      <c r="AA50" s="22">
        <f>AA15*Constants!$H$29*Constants!$H$35</f>
        <v>2648633.0778941698</v>
      </c>
      <c r="AB50" s="22">
        <f>AB15*Constants!$H$29*Constants!$H$35</f>
        <v>2670918.8205323792</v>
      </c>
      <c r="AC50" s="22">
        <f>AC15*Constants!$H$29*Constants!$H$35</f>
        <v>2693890.4699555575</v>
      </c>
      <c r="AD50" s="22">
        <f>AD15*Constants!$H$29*Constants!$H$35</f>
        <v>2732842.441552076</v>
      </c>
      <c r="AE50" s="22">
        <f>AE15*Constants!$H$29*Constants!$H$35</f>
        <v>2767320.8985139914</v>
      </c>
      <c r="AF50" s="22">
        <f>AF15*Constants!$H$29*Constants!$H$35</f>
        <v>2785178.7237294228</v>
      </c>
      <c r="AG50" s="22">
        <f>AG15*Constants!$H$29*Constants!$H$35</f>
        <v>2728075.7146706642</v>
      </c>
      <c r="AH50" s="22">
        <f>AH15*Constants!$H$29*Constants!$H$35</f>
        <v>2780325.2919798838</v>
      </c>
      <c r="AI50" s="22">
        <f>AI15*Constants!$H$29*Constants!$H$35</f>
        <v>2823690.3506688015</v>
      </c>
      <c r="AJ50" s="22">
        <f>AJ15*Constants!$H$29*Constants!$H$35</f>
        <v>2865346.3109046021</v>
      </c>
      <c r="AK50" s="22">
        <f>AK15*Constants!$H$29*Constants!$H$35</f>
        <v>2911034.8649714538</v>
      </c>
      <c r="AL50" s="22">
        <f>AL15*Constants!$H$29*Constants!$H$35</f>
        <v>2969853.1979711484</v>
      </c>
      <c r="AM50" s="22">
        <f>AM15*Constants!$H$29*Constants!$H$35</f>
        <v>3030538.4451086079</v>
      </c>
      <c r="AN50" s="22">
        <f>AN15*Constants!$H$29*Constants!$H$35</f>
        <v>3095273.7207959676</v>
      </c>
      <c r="AO50" s="22">
        <f>AO15*Constants!$H$29*Constants!$H$35</f>
        <v>3155586.9128296482</v>
      </c>
      <c r="AP50" s="22">
        <f>AP15*Constants!$H$29*Constants!$H$35</f>
        <v>3222673.4370377455</v>
      </c>
      <c r="AQ50" s="22">
        <f>AQ15*Constants!$H$29*Constants!$H$35</f>
        <v>3298116.3013078785</v>
      </c>
      <c r="AR50" s="22">
        <f>AR15*Constants!$H$29*Constants!$H$35</f>
        <v>3371503.4475110788</v>
      </c>
      <c r="AS50" s="22">
        <f>AS15*Constants!$H$29*Constants!$H$35</f>
        <v>3448184.1746189403</v>
      </c>
      <c r="AT50" s="22">
        <f>AT15*Constants!$H$29*Constants!$H$35</f>
        <v>3526994.0988541166</v>
      </c>
      <c r="AU50" s="22">
        <f>AU15*Constants!$H$29*Constants!$H$35</f>
        <v>3613346.1485220194</v>
      </c>
      <c r="AV50" s="22">
        <f>AV15*Constants!$H$29*Constants!$H$35</f>
        <v>3693156.9803547207</v>
      </c>
      <c r="AW50" s="22">
        <f>AW15*Constants!$H$29*Constants!$H$35</f>
        <v>3775783.8926671594</v>
      </c>
      <c r="AX50" s="22">
        <f>AX15*Constants!$H$29*Constants!$H$35</f>
        <v>3860465.8812505947</v>
      </c>
      <c r="AY50" s="22">
        <f>AY15*Constants!$H$29*Constants!$H$35</f>
        <v>3943311.262382146</v>
      </c>
      <c r="AZ50" s="22">
        <f>AZ15*Constants!$H$29*Constants!$H$35</f>
        <v>4026933.7945738724</v>
      </c>
      <c r="BA50" s="22">
        <f>BA15*Constants!$H$29*Constants!$H$35</f>
        <v>4113762.8008818636</v>
      </c>
      <c r="BB50" s="22">
        <f>BB15*Constants!$H$29*Constants!$H$35</f>
        <v>4203275.5259243539</v>
      </c>
      <c r="BC50" s="22">
        <f>BC15*Constants!$H$29*Constants!$H$35</f>
        <v>4289693.3244527662</v>
      </c>
      <c r="BD50" s="22">
        <f>BD15*Constants!$H$29*Constants!$H$35</f>
        <v>4377900.9741046336</v>
      </c>
      <c r="BE50" s="22">
        <f>BE15*Constants!$H$29*Constants!$H$35</f>
        <v>4468044.4984612176</v>
      </c>
      <c r="BF50" s="22">
        <f>BF15*Constants!$H$29*Constants!$H$35</f>
        <v>4563736.753958514</v>
      </c>
      <c r="BG50" s="22">
        <f>BG15*Constants!$H$29*Constants!$H$35</f>
        <v>4660635.7346541351</v>
      </c>
      <c r="BH50" s="22">
        <f>BH15*Constants!$H$29*Constants!$H$35</f>
        <v>4724682.2511871317</v>
      </c>
      <c r="BI50" s="22">
        <f>BI15*Constants!$H$29*Constants!$H$35</f>
        <v>4786906.5545596434</v>
      </c>
      <c r="BJ50" s="22">
        <f>BJ15*Constants!$H$29*Constants!$H$35</f>
        <v>4854310.5122040389</v>
      </c>
      <c r="BK50" s="22">
        <f>BK15*Constants!$H$29*Constants!$H$35</f>
        <v>4920310.2415782241</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3551868.5670813876</v>
      </c>
      <c r="Z51" s="22">
        <f>Z8*Constants!$H$30*Constants!$H$36</f>
        <v>3658244.3861091291</v>
      </c>
      <c r="AA51" s="22">
        <f>AA8*Constants!$H$30*Constants!$H$36</f>
        <v>3749845.1741821924</v>
      </c>
      <c r="AB51" s="22">
        <f>AB8*Constants!$H$30*Constants!$H$36</f>
        <v>3778312.6537355976</v>
      </c>
      <c r="AC51" s="22">
        <f>AC8*Constants!$H$30*Constants!$H$36</f>
        <v>3807215.7483352516</v>
      </c>
      <c r="AD51" s="22">
        <f>AD8*Constants!$H$30*Constants!$H$36</f>
        <v>3901836.5213748342</v>
      </c>
      <c r="AE51" s="22">
        <f>AE8*Constants!$H$30*Constants!$H$36</f>
        <v>3976373.9279884757</v>
      </c>
      <c r="AF51" s="22">
        <f>AF8*Constants!$H$30*Constants!$H$36</f>
        <v>3978683.3898644769</v>
      </c>
      <c r="AG51" s="22">
        <f>AG8*Constants!$H$30*Constants!$H$36</f>
        <v>3659353.3391690995</v>
      </c>
      <c r="AH51" s="22">
        <f>AH8*Constants!$H$30*Constants!$H$36</f>
        <v>3761368.8654375565</v>
      </c>
      <c r="AI51" s="22">
        <f>AI8*Constants!$H$30*Constants!$H$36</f>
        <v>3820807.1242949888</v>
      </c>
      <c r="AJ51" s="22">
        <f>AJ8*Constants!$H$30*Constants!$H$36</f>
        <v>3868708.8998972736</v>
      </c>
      <c r="AK51" s="22">
        <f>AK8*Constants!$H$30*Constants!$H$36</f>
        <v>3928466.9170089443</v>
      </c>
      <c r="AL51" s="22">
        <f>AL8*Constants!$H$30*Constants!$H$36</f>
        <v>4035193.4984565158</v>
      </c>
      <c r="AM51" s="22">
        <f>AM8*Constants!$H$30*Constants!$H$36</f>
        <v>4150213.8772601127</v>
      </c>
      <c r="AN51" s="22">
        <f>AN8*Constants!$H$30*Constants!$H$36</f>
        <v>4273843.1177908164</v>
      </c>
      <c r="AO51" s="22">
        <f>AO8*Constants!$H$30*Constants!$H$36</f>
        <v>4373566.5869048247</v>
      </c>
      <c r="AP51" s="22">
        <f>AP8*Constants!$H$30*Constants!$H$36</f>
        <v>4491495.7193912817</v>
      </c>
      <c r="AQ51" s="22">
        <f>AQ8*Constants!$H$30*Constants!$H$36</f>
        <v>4632047.7454092298</v>
      </c>
      <c r="AR51" s="22">
        <f>AR8*Constants!$H$30*Constants!$H$36</f>
        <v>4794876.703854396</v>
      </c>
      <c r="AS51" s="22">
        <f>AS8*Constants!$H$30*Constants!$H$36</f>
        <v>4963564.1141644958</v>
      </c>
      <c r="AT51" s="22">
        <f>AT8*Constants!$H$30*Constants!$H$36</f>
        <v>5133635.9773190934</v>
      </c>
      <c r="AU51" s="22">
        <f>AU8*Constants!$H$30*Constants!$H$36</f>
        <v>5323454.9649705207</v>
      </c>
      <c r="AV51" s="22">
        <f>AV8*Constants!$H$30*Constants!$H$36</f>
        <v>5484201.4333196254</v>
      </c>
      <c r="AW51" s="22">
        <f>AW8*Constants!$H$30*Constants!$H$36</f>
        <v>5653350.2207828909</v>
      </c>
      <c r="AX51" s="22">
        <f>AX8*Constants!$H$30*Constants!$H$36</f>
        <v>5822755.1266976725</v>
      </c>
      <c r="AY51" s="22">
        <f>AY8*Constants!$H$30*Constants!$H$36</f>
        <v>5979446.2856288254</v>
      </c>
      <c r="AZ51" s="22">
        <f>AZ8*Constants!$H$30*Constants!$H$36</f>
        <v>6132102.3442226388</v>
      </c>
      <c r="BA51" s="22">
        <f>BA8*Constants!$H$30*Constants!$H$36</f>
        <v>6288361.5984278796</v>
      </c>
      <c r="BB51" s="22">
        <f>BB8*Constants!$H$30*Constants!$H$36</f>
        <v>6498455.4540146058</v>
      </c>
      <c r="BC51" s="22">
        <f>BC8*Constants!$H$30*Constants!$H$36</f>
        <v>6695150.9527259814</v>
      </c>
      <c r="BD51" s="22">
        <f>BD8*Constants!$H$30*Constants!$H$36</f>
        <v>6893871.0274777459</v>
      </c>
      <c r="BE51" s="22">
        <f>BE8*Constants!$H$30*Constants!$H$36</f>
        <v>7094954.6079477472</v>
      </c>
      <c r="BF51" s="22">
        <f>BF8*Constants!$H$30*Constants!$H$36</f>
        <v>7309375.8022371447</v>
      </c>
      <c r="BG51" s="22">
        <f>BG8*Constants!$H$30*Constants!$H$36</f>
        <v>7528165.0280289399</v>
      </c>
      <c r="BH51" s="22">
        <f>BH8*Constants!$H$30*Constants!$H$36</f>
        <v>7643481.4359909138</v>
      </c>
      <c r="BI51" s="22">
        <f>BI8*Constants!$H$30*Constants!$H$36</f>
        <v>7750751.6743123196</v>
      </c>
      <c r="BJ51" s="22">
        <f>BJ8*Constants!$H$30*Constants!$H$36</f>
        <v>7870992.9761014963</v>
      </c>
      <c r="BK51" s="22">
        <f>BK8*Constants!$H$30*Constants!$H$36</f>
        <v>7984366.0751750115</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629320.58600052935</v>
      </c>
      <c r="Z52" s="22">
        <f>Z18*Constants!$H$31*Constants!$H$37</f>
        <v>635484.34139005758</v>
      </c>
      <c r="AA52" s="22">
        <f>AA18*Constants!$H$31*Constants!$H$37</f>
        <v>641862.85617641371</v>
      </c>
      <c r="AB52" s="22">
        <f>AB18*Constants!$H$31*Constants!$H$37</f>
        <v>648426.38307155063</v>
      </c>
      <c r="AC52" s="22">
        <f>AC18*Constants!$H$31*Constants!$H$37</f>
        <v>655234.70829409035</v>
      </c>
      <c r="AD52" s="22">
        <f>AD18*Constants!$H$31*Constants!$H$37</f>
        <v>662349.43909414462</v>
      </c>
      <c r="AE52" s="22">
        <f>AE18*Constants!$H$31*Constants!$H$37</f>
        <v>669542.18398457905</v>
      </c>
      <c r="AF52" s="22">
        <f>AF18*Constants!$H$31*Constants!$H$37</f>
        <v>676792.79199640721</v>
      </c>
      <c r="AG52" s="22">
        <f>AG18*Constants!$H$31*Constants!$H$37</f>
        <v>683904.5888424759</v>
      </c>
      <c r="AH52" s="22">
        <f>AH18*Constants!$H$31*Constants!$H$37</f>
        <v>689240.06056514906</v>
      </c>
      <c r="AI52" s="22">
        <f>AI18*Constants!$H$31*Constants!$H$37</f>
        <v>694604.1871924157</v>
      </c>
      <c r="AJ52" s="22">
        <f>AJ18*Constants!$H$31*Constants!$H$37</f>
        <v>700022.05653262639</v>
      </c>
      <c r="AK52" s="22">
        <f>AK18*Constants!$H$31*Constants!$H$37</f>
        <v>705513.87109188468</v>
      </c>
      <c r="AL52" s="22">
        <f>AL18*Constants!$H$31*Constants!$H$37</f>
        <v>711111.23502944375</v>
      </c>
      <c r="AM52" s="22">
        <f>AM18*Constants!$H$31*Constants!$H$37</f>
        <v>715966.66179109213</v>
      </c>
      <c r="AN52" s="22">
        <f>AN18*Constants!$H$31*Constants!$H$37</f>
        <v>720881.12946979038</v>
      </c>
      <c r="AO52" s="22">
        <f>AO18*Constants!$H$31*Constants!$H$37</f>
        <v>725826.28052381577</v>
      </c>
      <c r="AP52" s="22">
        <f>AP18*Constants!$H$31*Constants!$H$37</f>
        <v>730840.60025582567</v>
      </c>
      <c r="AQ52" s="22">
        <f>AQ18*Constants!$H$31*Constants!$H$37</f>
        <v>735929.89980202192</v>
      </c>
      <c r="AR52" s="22">
        <f>AR18*Constants!$H$31*Constants!$H$37</f>
        <v>740459.5700522355</v>
      </c>
      <c r="AS52" s="22">
        <f>AS18*Constants!$H$31*Constants!$H$37</f>
        <v>745036.70858746802</v>
      </c>
      <c r="AT52" s="22">
        <f>AT18*Constants!$H$31*Constants!$H$37</f>
        <v>749657.66498044156</v>
      </c>
      <c r="AU52" s="22">
        <f>AU18*Constants!$H$31*Constants!$H$37</f>
        <v>754341.12630285497</v>
      </c>
      <c r="AV52" s="22">
        <f>AV18*Constants!$H$31*Constants!$H$37</f>
        <v>759039.58132871392</v>
      </c>
      <c r="AW52" s="22">
        <f>AW18*Constants!$H$31*Constants!$H$37</f>
        <v>763140.3929278896</v>
      </c>
      <c r="AX52" s="22">
        <f>AX18*Constants!$H$31*Constants!$H$37</f>
        <v>767275.91203923861</v>
      </c>
      <c r="AY52" s="22">
        <f>AY18*Constants!$H$31*Constants!$H$37</f>
        <v>771433.12800548447</v>
      </c>
      <c r="AZ52" s="22">
        <f>AZ18*Constants!$H$31*Constants!$H$37</f>
        <v>775621.11587827792</v>
      </c>
      <c r="BA52" s="22">
        <f>BA18*Constants!$H$31*Constants!$H$37</f>
        <v>779848.32305295463</v>
      </c>
      <c r="BB52" s="22">
        <f>BB18*Constants!$H$31*Constants!$H$37</f>
        <v>783501.49245533266</v>
      </c>
      <c r="BC52" s="22">
        <f>BC18*Constants!$H$31*Constants!$H$37</f>
        <v>787164.73997966154</v>
      </c>
      <c r="BD52" s="22">
        <f>BD18*Constants!$H$31*Constants!$H$37</f>
        <v>790854.76766871323</v>
      </c>
      <c r="BE52" s="22">
        <f>BE18*Constants!$H$31*Constants!$H$37</f>
        <v>794572.19626129605</v>
      </c>
      <c r="BF52" s="22">
        <f>BF18*Constants!$H$31*Constants!$H$37</f>
        <v>798329.40717042459</v>
      </c>
      <c r="BG52" s="22">
        <f>BG18*Constants!$H$31*Constants!$H$37</f>
        <v>801483.51251483662</v>
      </c>
      <c r="BH52" s="22">
        <f>BH18*Constants!$H$31*Constants!$H$37</f>
        <v>804540.41529706737</v>
      </c>
      <c r="BI52" s="22">
        <f>BI18*Constants!$H$31*Constants!$H$37</f>
        <v>807605.44852858805</v>
      </c>
      <c r="BJ52" s="22">
        <f>BJ18*Constants!$H$31*Constants!$H$37</f>
        <v>810702.42871579539</v>
      </c>
      <c r="BK52" s="22">
        <f>BK18*Constants!$H$31*Constants!$H$37</f>
        <v>813809.09980999934</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105544.13892519521</v>
      </c>
      <c r="Z53" s="22">
        <f>Z32*Constants!$H$32*Constants!$H$38</f>
        <v>108405.29457692696</v>
      </c>
      <c r="AA53" s="22">
        <f>AA32*Constants!$H$32*Constants!$H$38</f>
        <v>110808.05577257629</v>
      </c>
      <c r="AB53" s="22">
        <f>AB32*Constants!$H$32*Constants!$H$38</f>
        <v>111293.84042614281</v>
      </c>
      <c r="AC53" s="22">
        <f>AC32*Constants!$H$32*Constants!$H$38</f>
        <v>111778.83601238317</v>
      </c>
      <c r="AD53" s="22">
        <f>AD32*Constants!$H$32*Constants!$H$38</f>
        <v>114230.85802073166</v>
      </c>
      <c r="AE53" s="22">
        <f>AE32*Constants!$H$32*Constants!$H$38</f>
        <v>116071.97840709478</v>
      </c>
      <c r="AF53" s="22">
        <f>AF32*Constants!$H$32*Constants!$H$38</f>
        <v>115728.73344920705</v>
      </c>
      <c r="AG53" s="22">
        <f>AG32*Constants!$H$32*Constants!$H$38</f>
        <v>105680.83636720585</v>
      </c>
      <c r="AH53" s="22">
        <f>AH32*Constants!$H$32*Constants!$H$38</f>
        <v>110448.68975716196</v>
      </c>
      <c r="AI53" s="22">
        <f>AI32*Constants!$H$32*Constants!$H$38</f>
        <v>114047.55693008221</v>
      </c>
      <c r="AJ53" s="22">
        <f>AJ32*Constants!$H$32*Constants!$H$38</f>
        <v>117402.182638279</v>
      </c>
      <c r="AK53" s="22">
        <f>AK32*Constants!$H$32*Constants!$H$38</f>
        <v>121251.92026343028</v>
      </c>
      <c r="AL53" s="22">
        <f>AL32*Constants!$H$32*Constants!$H$38</f>
        <v>126767.59322048043</v>
      </c>
      <c r="AM53" s="22">
        <f>AM32*Constants!$H$32*Constants!$H$38</f>
        <v>132795.87486262238</v>
      </c>
      <c r="AN53" s="22">
        <f>AN32*Constants!$H$32*Constants!$H$38</f>
        <v>139325.70438383473</v>
      </c>
      <c r="AO53" s="22">
        <f>AO32*Constants!$H$32*Constants!$H$38</f>
        <v>145266.36521835622</v>
      </c>
      <c r="AP53" s="22">
        <f>AP32*Constants!$H$32*Constants!$H$38</f>
        <v>152058.44385787711</v>
      </c>
      <c r="AQ53" s="22">
        <f>AQ32*Constants!$H$32*Constants!$H$38</f>
        <v>159904.88287467763</v>
      </c>
      <c r="AR53" s="22">
        <f>AR32*Constants!$H$32*Constants!$H$38</f>
        <v>167728.5066200555</v>
      </c>
      <c r="AS53" s="22">
        <f>AS32*Constants!$H$32*Constants!$H$38</f>
        <v>175960.49312497521</v>
      </c>
      <c r="AT53" s="22">
        <f>AT32*Constants!$H$32*Constants!$H$38</f>
        <v>184450.86767921809</v>
      </c>
      <c r="AU53" s="22">
        <f>AU32*Constants!$H$32*Constants!$H$38</f>
        <v>193895.44526160386</v>
      </c>
      <c r="AV53" s="22">
        <f>AV32*Constants!$H$32*Constants!$H$38</f>
        <v>202483.12277500908</v>
      </c>
      <c r="AW53" s="22">
        <f>AW32*Constants!$H$32*Constants!$H$38</f>
        <v>211654.10408573714</v>
      </c>
      <c r="AX53" s="22">
        <f>AX32*Constants!$H$32*Constants!$H$38</f>
        <v>221076.93520653798</v>
      </c>
      <c r="AY53" s="22">
        <f>AY32*Constants!$H$32*Constants!$H$38</f>
        <v>230251.25936293864</v>
      </c>
      <c r="AZ53" s="22">
        <f>AZ32*Constants!$H$32*Constants!$H$38</f>
        <v>239512.9900049326</v>
      </c>
      <c r="BA53" s="22">
        <f>BA32*Constants!$H$32*Constants!$H$38</f>
        <v>249174.20428746162</v>
      </c>
      <c r="BB53" s="22">
        <f>BB32*Constants!$H$32*Constants!$H$38</f>
        <v>259392.48787873241</v>
      </c>
      <c r="BC53" s="22">
        <f>BC32*Constants!$H$32*Constants!$H$38</f>
        <v>269203.26515343605</v>
      </c>
      <c r="BD53" s="22">
        <f>BD32*Constants!$H$32*Constants!$H$38</f>
        <v>279234.14237754908</v>
      </c>
      <c r="BE53" s="22">
        <f>BE32*Constants!$H$32*Constants!$H$38</f>
        <v>289503.76120624633</v>
      </c>
      <c r="BF53" s="22">
        <f>BF32*Constants!$H$32*Constants!$H$38</f>
        <v>300476.0397630253</v>
      </c>
      <c r="BG53" s="22">
        <f>BG32*Constants!$H$32*Constants!$H$38</f>
        <v>311824.1275203299</v>
      </c>
      <c r="BH53" s="22">
        <f>BH32*Constants!$H$32*Constants!$H$38</f>
        <v>318945.72442515864</v>
      </c>
      <c r="BI53" s="22">
        <f>BI32*Constants!$H$32*Constants!$H$38</f>
        <v>325826.43844058656</v>
      </c>
      <c r="BJ53" s="22">
        <f>BJ32*Constants!$H$32*Constants!$H$38</f>
        <v>333365.2812326831</v>
      </c>
      <c r="BK53" s="22">
        <f>BK32*Constants!$H$32*Constants!$H$38</f>
        <v>340716.80843634595</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540338.14312266721</v>
      </c>
      <c r="Z54" s="22">
        <f>Z37*Constants!$H$33*Constants!$H$39</f>
        <v>552459.03106421418</v>
      </c>
      <c r="AA54" s="22">
        <f>AA37*Constants!$H$33*Constants!$H$39</f>
        <v>563420.46816306701</v>
      </c>
      <c r="AB54" s="22">
        <f>AB37*Constants!$H$33*Constants!$H$39</f>
        <v>569069.05100133421</v>
      </c>
      <c r="AC54" s="22">
        <f>AC37*Constants!$H$33*Constants!$H$39</f>
        <v>574874.71906390798</v>
      </c>
      <c r="AD54" s="22">
        <f>AD37*Constants!$H$33*Constants!$H$39</f>
        <v>586454.92572428822</v>
      </c>
      <c r="AE54" s="22">
        <f>AE37*Constants!$H$33*Constants!$H$39</f>
        <v>596354.43446211272</v>
      </c>
      <c r="AF54" s="22">
        <f>AF37*Constants!$H$33*Constants!$H$39</f>
        <v>600100.47966657253</v>
      </c>
      <c r="AG54" s="22">
        <f>AG37*Constants!$H$33*Constants!$H$39</f>
        <v>576250.39467418159</v>
      </c>
      <c r="AH54" s="22">
        <f>AH37*Constants!$H$33*Constants!$H$39</f>
        <v>593382.52319856978</v>
      </c>
      <c r="AI54" s="22">
        <f>AI37*Constants!$H$33*Constants!$H$39</f>
        <v>607225.44976872357</v>
      </c>
      <c r="AJ54" s="22">
        <f>AJ37*Constants!$H$33*Constants!$H$39</f>
        <v>620416.1024887294</v>
      </c>
      <c r="AK54" s="22">
        <f>AK37*Constants!$H$33*Constants!$H$39</f>
        <v>635064.46418862441</v>
      </c>
      <c r="AL54" s="22">
        <f>AL37*Constants!$H$33*Constants!$H$39</f>
        <v>654513.76837888698</v>
      </c>
      <c r="AM54" s="22">
        <f>AM37*Constants!$H$33*Constants!$H$39</f>
        <v>674941.94241563522</v>
      </c>
      <c r="AN54" s="22">
        <f>AN37*Constants!$H$33*Constants!$H$39</f>
        <v>696840.16656088771</v>
      </c>
      <c r="AO54" s="22">
        <f>AO37*Constants!$H$33*Constants!$H$39</f>
        <v>717094.47932032635</v>
      </c>
      <c r="AP54" s="22">
        <f>AP37*Constants!$H$33*Constants!$H$39</f>
        <v>739819.38027516881</v>
      </c>
      <c r="AQ54" s="22">
        <f>AQ37*Constants!$H$33*Constants!$H$39</f>
        <v>765596.49139728525</v>
      </c>
      <c r="AR54" s="22">
        <f>AR37*Constants!$H$33*Constants!$H$39</f>
        <v>790861.35882043897</v>
      </c>
      <c r="AS54" s="22">
        <f>AS37*Constants!$H$33*Constants!$H$39</f>
        <v>817322.15472313378</v>
      </c>
      <c r="AT54" s="22">
        <f>AT37*Constants!$H$33*Constants!$H$39</f>
        <v>844550.80545258103</v>
      </c>
      <c r="AU54" s="22">
        <f>AU37*Constants!$H$33*Constants!$H$39</f>
        <v>874536.61462884536</v>
      </c>
      <c r="AV54" s="22">
        <f>AV37*Constants!$H$33*Constants!$H$39</f>
        <v>902103.36431186087</v>
      </c>
      <c r="AW54" s="22">
        <f>AW37*Constants!$H$33*Constants!$H$39</f>
        <v>930943.26503163215</v>
      </c>
      <c r="AX54" s="22">
        <f>AX37*Constants!$H$33*Constants!$H$39</f>
        <v>960527.28558821138</v>
      </c>
      <c r="AY54" s="22">
        <f>AY37*Constants!$H$33*Constants!$H$39</f>
        <v>989425.02241413994</v>
      </c>
      <c r="AZ54" s="22">
        <f>AZ37*Constants!$H$33*Constants!$H$39</f>
        <v>1018597.0351455132</v>
      </c>
      <c r="BA54" s="22">
        <f>BA37*Constants!$H$33*Constants!$H$39</f>
        <v>1048936.0967233654</v>
      </c>
      <c r="BB54" s="22">
        <f>BB37*Constants!$H$33*Constants!$H$39</f>
        <v>1080490.3487838912</v>
      </c>
      <c r="BC54" s="22">
        <f>BC37*Constants!$H$33*Constants!$H$39</f>
        <v>1110898.7623300336</v>
      </c>
      <c r="BD54" s="22">
        <f>BD37*Constants!$H$33*Constants!$H$39</f>
        <v>1141956.6017977588</v>
      </c>
      <c r="BE54" s="22">
        <f>BE37*Constants!$H$33*Constants!$H$39</f>
        <v>1173717.4834602226</v>
      </c>
      <c r="BF54" s="22">
        <f>BF37*Constants!$H$33*Constants!$H$39</f>
        <v>1207509.1982676247</v>
      </c>
      <c r="BG54" s="22">
        <f>BG37*Constants!$H$33*Constants!$H$39</f>
        <v>1241982.852214643</v>
      </c>
      <c r="BH54" s="22">
        <f>BH37*Constants!$H$33*Constants!$H$39</f>
        <v>1264376.326947496</v>
      </c>
      <c r="BI54" s="22">
        <f>BI37*Constants!$H$33*Constants!$H$39</f>
        <v>1286094.2297205725</v>
      </c>
      <c r="BJ54" s="22">
        <f>BJ37*Constants!$H$33*Constants!$H$39</f>
        <v>1309709.9470537989</v>
      </c>
      <c r="BK54" s="22">
        <f>BK37*Constants!$H$33*Constants!$H$39</f>
        <v>1332803.6557440513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1530560.4398127405</v>
      </c>
      <c r="Z55" s="22">
        <f>Z42*Constants!$H$34*Constants!$H$40</f>
        <v>1579753.0424221093</v>
      </c>
      <c r="AA55" s="22">
        <f>AA42*Constants!$H$34*Constants!$H$40</f>
        <v>1618882.1954302879</v>
      </c>
      <c r="AB55" s="22">
        <f>AB42*Constants!$H$34*Constants!$H$40</f>
        <v>1617220.9293367856</v>
      </c>
      <c r="AC55" s="22">
        <f>AC42*Constants!$H$34*Constants!$H$40</f>
        <v>1615098.6968700131</v>
      </c>
      <c r="AD55" s="22">
        <f>AD42*Constants!$H$34*Constants!$H$40</f>
        <v>1653931.1693694643</v>
      </c>
      <c r="AE55" s="22">
        <f>AE42*Constants!$H$34*Constants!$H$40</f>
        <v>1679729.976651354</v>
      </c>
      <c r="AF55" s="22">
        <f>AF42*Constants!$H$34*Constants!$H$40</f>
        <v>1659326.3448373817</v>
      </c>
      <c r="AG55" s="22">
        <f>AG42*Constants!$H$34*Constants!$H$40</f>
        <v>1434374.0330474479</v>
      </c>
      <c r="AH55" s="22">
        <f>AH42*Constants!$H$34*Constants!$H$40</f>
        <v>1525235.8180433672</v>
      </c>
      <c r="AI55" s="22">
        <f>AI42*Constants!$H$34*Constants!$H$40</f>
        <v>1591376.4751084249</v>
      </c>
      <c r="AJ55" s="22">
        <f>AJ42*Constants!$H$34*Constants!$H$40</f>
        <v>1652265.6832922469</v>
      </c>
      <c r="AK55" s="22">
        <f>AK42*Constants!$H$34*Constants!$H$40</f>
        <v>1723469.6134132561</v>
      </c>
      <c r="AL55" s="22">
        <f>AL42*Constants!$H$34*Constants!$H$40</f>
        <v>1829639.208201125</v>
      </c>
      <c r="AM55" s="22">
        <f>AM42*Constants!$H$34*Constants!$H$40</f>
        <v>1947973.4500323616</v>
      </c>
      <c r="AN55" s="22">
        <f>AN42*Constants!$H$34*Constants!$H$40</f>
        <v>2076785.2495680219</v>
      </c>
      <c r="AO55" s="22">
        <f>AO42*Constants!$H$34*Constants!$H$40</f>
        <v>2193108.3063920434</v>
      </c>
      <c r="AP55" s="22">
        <f>AP42*Constants!$H$34*Constants!$H$40</f>
        <v>2327273.9793097242</v>
      </c>
      <c r="AQ55" s="22">
        <f>AQ42*Constants!$H$34*Constants!$H$40</f>
        <v>2483554.49809844</v>
      </c>
      <c r="AR55" s="22">
        <f>AR42*Constants!$H$34*Constants!$H$40</f>
        <v>2640404.3848156589</v>
      </c>
      <c r="AS55" s="22">
        <f>AS42*Constants!$H$34*Constants!$H$40</f>
        <v>2805786.1235184981</v>
      </c>
      <c r="AT55" s="22">
        <f>AT42*Constants!$H$34*Constants!$H$40</f>
        <v>2976541.3728292403</v>
      </c>
      <c r="AU55" s="22">
        <f>AU42*Constants!$H$34*Constants!$H$40</f>
        <v>3167320.2497594166</v>
      </c>
      <c r="AV55" s="22">
        <f>AV42*Constants!$H$34*Constants!$H$40</f>
        <v>3339988.6358611393</v>
      </c>
      <c r="AW55" s="22">
        <f>AW42*Constants!$H$34*Constants!$H$40</f>
        <v>3526051.3101455821</v>
      </c>
      <c r="AX55" s="22">
        <f>AX42*Constants!$H$34*Constants!$H$40</f>
        <v>3717366.0332208076</v>
      </c>
      <c r="AY55" s="22">
        <f>AY42*Constants!$H$34*Constants!$H$40</f>
        <v>3903397.2131911013</v>
      </c>
      <c r="AZ55" s="22">
        <f>AZ42*Constants!$H$34*Constants!$H$40</f>
        <v>4091217.2822335646</v>
      </c>
      <c r="BA55" s="22">
        <f>BA42*Constants!$H$34*Constants!$H$40</f>
        <v>4287396.7864909871</v>
      </c>
      <c r="BB55" s="22">
        <f>BB42*Constants!$H$34*Constants!$H$40</f>
        <v>4496374.0401640944</v>
      </c>
      <c r="BC55" s="22">
        <f>BC42*Constants!$H$34*Constants!$H$40</f>
        <v>4696733.3979937332</v>
      </c>
      <c r="BD55" s="22">
        <f>BD42*Constants!$H$34*Constants!$H$40</f>
        <v>4901689.1478626272</v>
      </c>
      <c r="BE55" s="22">
        <f>BE42*Constants!$H$34*Constants!$H$40</f>
        <v>5111633.5663022865</v>
      </c>
      <c r="BF55" s="22">
        <f>BF42*Constants!$H$34*Constants!$H$40</f>
        <v>5336334.4146326911</v>
      </c>
      <c r="BG55" s="22">
        <f>BG42*Constants!$H$34*Constants!$H$40</f>
        <v>5570060.4874644615</v>
      </c>
      <c r="BH55" s="22">
        <f>BH42*Constants!$H$34*Constants!$H$40</f>
        <v>5714769.9417794831</v>
      </c>
      <c r="BI55" s="22">
        <f>BI42*Constants!$H$34*Constants!$H$40</f>
        <v>5854381.325107039</v>
      </c>
      <c r="BJ55" s="22">
        <f>BJ42*Constants!$H$34*Constants!$H$40</f>
        <v>6007823.5811211998</v>
      </c>
      <c r="BK55" s="22">
        <f>BK42*Constants!$H$34*Constants!$H$40</f>
        <v>6157295.3861130904</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8930364.9970957283</v>
      </c>
      <c r="Z56" s="22">
        <f t="shared" si="8"/>
        <v>9146486.7682627663</v>
      </c>
      <c r="AA56" s="22">
        <f t="shared" si="8"/>
        <v>9333451.827618707</v>
      </c>
      <c r="AB56" s="22">
        <f t="shared" si="8"/>
        <v>9395241.6781037915</v>
      </c>
      <c r="AC56" s="22">
        <f t="shared" si="8"/>
        <v>9458093.1785312034</v>
      </c>
      <c r="AD56" s="22">
        <f t="shared" si="8"/>
        <v>9651645.3551355395</v>
      </c>
      <c r="AE56" s="22">
        <f t="shared" si="8"/>
        <v>9805393.4000076074</v>
      </c>
      <c r="AF56" s="22">
        <f t="shared" si="8"/>
        <v>9815810.4635434691</v>
      </c>
      <c r="AG56" s="22">
        <f t="shared" si="8"/>
        <v>9187638.906771075</v>
      </c>
      <c r="AH56" s="22">
        <f t="shared" si="8"/>
        <v>9460001.24898169</v>
      </c>
      <c r="AI56" s="22">
        <f t="shared" si="8"/>
        <v>9651751.1439634357</v>
      </c>
      <c r="AJ56" s="22">
        <f t="shared" si="8"/>
        <v>9824161.235753756</v>
      </c>
      <c r="AK56" s="22">
        <f t="shared" si="8"/>
        <v>10024801.650937593</v>
      </c>
      <c r="AL56" s="22">
        <f t="shared" si="8"/>
        <v>10327078.5012576</v>
      </c>
      <c r="AM56" s="22">
        <f t="shared" si="8"/>
        <v>10652430.251470432</v>
      </c>
      <c r="AN56" s="22">
        <f t="shared" si="8"/>
        <v>11002949.088569321</v>
      </c>
      <c r="AO56" s="22">
        <f t="shared" si="8"/>
        <v>11310448.931189016</v>
      </c>
      <c r="AP56" s="22">
        <f t="shared" si="8"/>
        <v>11664161.560127623</v>
      </c>
      <c r="AQ56" s="22">
        <f t="shared" si="8"/>
        <v>12075149.818889534</v>
      </c>
      <c r="AR56" s="22">
        <f t="shared" si="8"/>
        <v>12505833.971673863</v>
      </c>
      <c r="AS56" s="22">
        <f t="shared" si="8"/>
        <v>12955853.768737512</v>
      </c>
      <c r="AT56" s="22">
        <f t="shared" si="8"/>
        <v>13415830.787114691</v>
      </c>
      <c r="AU56" s="22">
        <f t="shared" si="8"/>
        <v>13926894.549445262</v>
      </c>
      <c r="AV56" s="22">
        <f t="shared" si="8"/>
        <v>14380973.117951071</v>
      </c>
      <c r="AW56" s="22">
        <f t="shared" si="8"/>
        <v>14860923.18564089</v>
      </c>
      <c r="AX56" s="22">
        <f t="shared" si="8"/>
        <v>15349467.174003063</v>
      </c>
      <c r="AY56" s="22">
        <f t="shared" si="8"/>
        <v>15817264.170984635</v>
      </c>
      <c r="AZ56" s="22">
        <f t="shared" si="8"/>
        <v>16283984.562058801</v>
      </c>
      <c r="BA56" s="22">
        <f t="shared" si="8"/>
        <v>16767479.80986451</v>
      </c>
      <c r="BB56" s="22">
        <f t="shared" si="8"/>
        <v>17321489.349221013</v>
      </c>
      <c r="BC56" s="22">
        <f t="shared" si="8"/>
        <v>17848844.442635611</v>
      </c>
      <c r="BD56" s="22">
        <f t="shared" si="8"/>
        <v>18385506.661289029</v>
      </c>
      <c r="BE56" s="22">
        <f t="shared" si="8"/>
        <v>18932426.113639019</v>
      </c>
      <c r="BF56" s="22">
        <f t="shared" si="8"/>
        <v>19515761.616029426</v>
      </c>
      <c r="BG56" s="22">
        <f t="shared" si="8"/>
        <v>20114151.742397346</v>
      </c>
      <c r="BH56" s="22">
        <f t="shared" si="8"/>
        <v>20470796.095627248</v>
      </c>
      <c r="BI56" s="22">
        <f t="shared" si="8"/>
        <v>20811565.670668751</v>
      </c>
      <c r="BJ56" s="22">
        <f t="shared" si="8"/>
        <v>21186904.726429012</v>
      </c>
      <c r="BK56" s="22">
        <f t="shared" si="8"/>
        <v>21549301.266856723</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7130062.2439640947</v>
      </c>
      <c r="Z58" s="22">
        <f>((Data!$AJ$37*'Net zero Intermediate calcs'!Z56)+Data!$AK$37)</f>
        <v>7262677.0596915632</v>
      </c>
      <c r="AA58" s="22">
        <f>((Data!$AJ$37*'Net zero Intermediate calcs'!AA56)+Data!$AK$37)</f>
        <v>7377400.9801928438</v>
      </c>
      <c r="AB58" s="22">
        <f>((Data!$AJ$37*'Net zero Intermediate calcs'!AB56)+Data!$AK$37)</f>
        <v>7415315.9463328086</v>
      </c>
      <c r="AC58" s="22">
        <f>((Data!$AJ$37*'Net zero Intermediate calcs'!AC56)+Data!$AK$37)</f>
        <v>7453882.353143042</v>
      </c>
      <c r="AD58" s="22">
        <f>((Data!$AJ$37*'Net zero Intermediate calcs'!AD56)+Data!$AK$37)</f>
        <v>7572648.2048914805</v>
      </c>
      <c r="AE58" s="22">
        <f>((Data!$AJ$37*'Net zero Intermediate calcs'!AE56)+Data!$AK$37)</f>
        <v>7666989.7815362941</v>
      </c>
      <c r="AF58" s="22">
        <f>((Data!$AJ$37*'Net zero Intermediate calcs'!AF56)+Data!$AK$37)</f>
        <v>7673381.8120743092</v>
      </c>
      <c r="AG58" s="22">
        <f>((Data!$AJ$37*'Net zero Intermediate calcs'!AG56)+Data!$AK$37)</f>
        <v>7287928.4873270169</v>
      </c>
      <c r="AH58" s="22">
        <f>((Data!$AJ$37*'Net zero Intermediate calcs'!AH56)+Data!$AK$37)</f>
        <v>7455053.1672161445</v>
      </c>
      <c r="AI58" s="22">
        <f>((Data!$AJ$37*'Net zero Intermediate calcs'!AI56)+Data!$AK$37)</f>
        <v>7572713.1181384977</v>
      </c>
      <c r="AJ58" s="22">
        <f>((Data!$AJ$37*'Net zero Intermediate calcs'!AJ56)+Data!$AK$37)</f>
        <v>7678505.9423822798</v>
      </c>
      <c r="AK58" s="22">
        <f>((Data!$AJ$37*'Net zero Intermediate calcs'!AK56)+Data!$AK$37)</f>
        <v>7801621.2192162946</v>
      </c>
      <c r="AL58" s="22">
        <f>((Data!$AJ$37*'Net zero Intermediate calcs'!AL56)+Data!$AK$37)</f>
        <v>7987101.7868953608</v>
      </c>
      <c r="AM58" s="22">
        <f>((Data!$AJ$37*'Net zero Intermediate calcs'!AM56)+Data!$AK$37)</f>
        <v>8186741.3797420096</v>
      </c>
      <c r="AN58" s="22">
        <f>((Data!$AJ$37*'Net zero Intermediate calcs'!AN56)+Data!$AK$37)</f>
        <v>8401823.7878671438</v>
      </c>
      <c r="AO58" s="22">
        <f>((Data!$AJ$37*'Net zero Intermediate calcs'!AO56)+Data!$AK$37)</f>
        <v>8590509.2439645715</v>
      </c>
      <c r="AP58" s="22">
        <f>((Data!$AJ$37*'Net zero Intermediate calcs'!AP56)+Data!$AK$37)</f>
        <v>8807551.3996616844</v>
      </c>
      <c r="AQ58" s="22">
        <f>((Data!$AJ$37*'Net zero Intermediate calcs'!AQ56)+Data!$AK$37)</f>
        <v>9059738.5435461346</v>
      </c>
      <c r="AR58" s="22">
        <f>((Data!$AJ$37*'Net zero Intermediate calcs'!AR56)+Data!$AK$37)</f>
        <v>9324011.3155571111</v>
      </c>
      <c r="AS58" s="22">
        <f>((Data!$AJ$37*'Net zero Intermediate calcs'!AS56)+Data!$AK$37)</f>
        <v>9600148.6622901391</v>
      </c>
      <c r="AT58" s="22">
        <f>((Data!$AJ$37*'Net zero Intermediate calcs'!AT56)+Data!$AK$37)</f>
        <v>9882395.8750608247</v>
      </c>
      <c r="AU58" s="22">
        <f>((Data!$AJ$37*'Net zero Intermediate calcs'!AU56)+Data!$AK$37)</f>
        <v>10195990.504146449</v>
      </c>
      <c r="AV58" s="22">
        <f>((Data!$AJ$37*'Net zero Intermediate calcs'!AV56)+Data!$AK$37)</f>
        <v>10474618.359928962</v>
      </c>
      <c r="AW58" s="22">
        <f>((Data!$AJ$37*'Net zero Intermediate calcs'!AW56)+Data!$AK$37)</f>
        <v>10769121.266514335</v>
      </c>
      <c r="AX58" s="22">
        <f>((Data!$AJ$37*'Net zero Intermediate calcs'!AX56)+Data!$AK$37)</f>
        <v>11068897.502113191</v>
      </c>
      <c r="AY58" s="22">
        <f>((Data!$AJ$37*'Net zero Intermediate calcs'!AY56)+Data!$AK$37)</f>
        <v>11355943.144102803</v>
      </c>
      <c r="AZ58" s="22">
        <f>((Data!$AJ$37*'Net zero Intermediate calcs'!AZ56)+Data!$AK$37)</f>
        <v>11642328.168269182</v>
      </c>
      <c r="BA58" s="22">
        <f>((Data!$AJ$37*'Net zero Intermediate calcs'!BA56)+Data!$AK$37)</f>
        <v>11939006.438332517</v>
      </c>
      <c r="BB58" s="22">
        <f>((Data!$AJ$37*'Net zero Intermediate calcs'!BB56)+Data!$AK$37)</f>
        <v>12278953.092370618</v>
      </c>
      <c r="BC58" s="22">
        <f>((Data!$AJ$37*'Net zero Intermediate calcs'!BC56)+Data!$AK$37)</f>
        <v>12602544.270429524</v>
      </c>
      <c r="BD58" s="22">
        <f>((Data!$AJ$37*'Net zero Intermediate calcs'!BD56)+Data!$AK$37)</f>
        <v>12931846.408063827</v>
      </c>
      <c r="BE58" s="22">
        <f>((Data!$AJ$37*'Net zero Intermediate calcs'!BE56)+Data!$AK$37)</f>
        <v>13267442.502800183</v>
      </c>
      <c r="BF58" s="22">
        <f>((Data!$AJ$37*'Net zero Intermediate calcs'!BF56)+Data!$AK$37)</f>
        <v>13625383.906570211</v>
      </c>
      <c r="BG58" s="22">
        <f>((Data!$AJ$37*'Net zero Intermediate calcs'!BG56)+Data!$AK$37)</f>
        <v>13992563.0015448</v>
      </c>
      <c r="BH58" s="22">
        <f>((Data!$AJ$37*'Net zero Intermediate calcs'!BH56)+Data!$AK$37)</f>
        <v>14211404.097138409</v>
      </c>
      <c r="BI58" s="22">
        <f>((Data!$AJ$37*'Net zero Intermediate calcs'!BI56)+Data!$AK$37)</f>
        <v>14420504.245428093</v>
      </c>
      <c r="BJ58" s="22">
        <f>((Data!$AJ$37*'Net zero Intermediate calcs'!BJ56)+Data!$AK$37)</f>
        <v>14650816.626481542</v>
      </c>
      <c r="BK58" s="22">
        <f>((Data!$AJ$37*'Net zero Intermediate calcs'!BK56)+Data!$AK$37)</f>
        <v>14873187.330596995</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16060427.241059823</v>
      </c>
      <c r="Z59" s="22">
        <f t="shared" si="9"/>
        <v>16409163.82795433</v>
      </c>
      <c r="AA59" s="22">
        <f t="shared" si="9"/>
        <v>16710852.807811551</v>
      </c>
      <c r="AB59" s="22">
        <f t="shared" si="9"/>
        <v>16810557.624436602</v>
      </c>
      <c r="AC59" s="22">
        <f t="shared" si="9"/>
        <v>16911975.531674244</v>
      </c>
      <c r="AD59" s="22">
        <f t="shared" si="9"/>
        <v>17224293.560027018</v>
      </c>
      <c r="AE59" s="22">
        <f t="shared" si="9"/>
        <v>17472383.181543902</v>
      </c>
      <c r="AF59" s="22">
        <f t="shared" si="9"/>
        <v>17489192.275617778</v>
      </c>
      <c r="AG59" s="22">
        <f t="shared" si="9"/>
        <v>16475567.394098092</v>
      </c>
      <c r="AH59" s="22">
        <f t="shared" si="9"/>
        <v>16915054.416197836</v>
      </c>
      <c r="AI59" s="22">
        <f t="shared" si="9"/>
        <v>17224464.262101933</v>
      </c>
      <c r="AJ59" s="22">
        <f t="shared" si="9"/>
        <v>17502667.178136036</v>
      </c>
      <c r="AK59" s="22">
        <f t="shared" si="9"/>
        <v>17826422.870153889</v>
      </c>
      <c r="AL59" s="22">
        <f t="shared" si="9"/>
        <v>18314180.288152963</v>
      </c>
      <c r="AM59" s="22">
        <f t="shared" si="9"/>
        <v>18839171.631212443</v>
      </c>
      <c r="AN59" s="22">
        <f t="shared" si="9"/>
        <v>19404772.876436464</v>
      </c>
      <c r="AO59" s="22">
        <f t="shared" si="9"/>
        <v>19900958.175153587</v>
      </c>
      <c r="AP59" s="22">
        <f t="shared" si="9"/>
        <v>20471712.959789306</v>
      </c>
      <c r="AQ59" s="22">
        <f t="shared" si="9"/>
        <v>21134888.362435669</v>
      </c>
      <c r="AR59" s="22">
        <f t="shared" si="9"/>
        <v>21829845.287230976</v>
      </c>
      <c r="AS59" s="22">
        <f t="shared" si="9"/>
        <v>22556002.431027651</v>
      </c>
      <c r="AT59" s="22">
        <f t="shared" si="9"/>
        <v>23298226.662175514</v>
      </c>
      <c r="AU59" s="22">
        <f t="shared" si="9"/>
        <v>24122885.053591713</v>
      </c>
      <c r="AV59" s="22">
        <f t="shared" si="9"/>
        <v>24855591.477880031</v>
      </c>
      <c r="AW59" s="22">
        <f t="shared" si="9"/>
        <v>25630044.452155225</v>
      </c>
      <c r="AX59" s="22">
        <f t="shared" si="9"/>
        <v>26418364.676116254</v>
      </c>
      <c r="AY59" s="22">
        <f t="shared" si="9"/>
        <v>27173207.315087438</v>
      </c>
      <c r="AZ59" s="22">
        <f t="shared" si="9"/>
        <v>27926312.730327982</v>
      </c>
      <c r="BA59" s="22">
        <f t="shared" si="9"/>
        <v>28706486.248197027</v>
      </c>
      <c r="BB59" s="22">
        <f t="shared" si="9"/>
        <v>29600442.441591632</v>
      </c>
      <c r="BC59" s="22">
        <f t="shared" si="9"/>
        <v>30451388.713065132</v>
      </c>
      <c r="BD59" s="22">
        <f t="shared" si="9"/>
        <v>31317353.069352858</v>
      </c>
      <c r="BE59" s="22">
        <f t="shared" si="9"/>
        <v>32199868.616439201</v>
      </c>
      <c r="BF59" s="22">
        <f t="shared" si="9"/>
        <v>33141145.522599638</v>
      </c>
      <c r="BG59" s="22">
        <f t="shared" si="9"/>
        <v>34106714.743942142</v>
      </c>
      <c r="BH59" s="22">
        <f t="shared" si="9"/>
        <v>34682200.192765653</v>
      </c>
      <c r="BI59" s="22">
        <f t="shared" si="9"/>
        <v>35232069.916096844</v>
      </c>
      <c r="BJ59" s="22">
        <f t="shared" si="9"/>
        <v>35837721.352910556</v>
      </c>
      <c r="BK59" s="22">
        <f t="shared" si="9"/>
        <v>36422488.597453713</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18499607.236653291</v>
      </c>
      <c r="Z60" s="22">
        <f>((Data!$AJ$41*'Net zero Intermediate calcs'!Z59)+Data!$AK$41)</f>
        <v>18829378.613641895</v>
      </c>
      <c r="AA60" s="22">
        <f>((Data!$AJ$41*'Net zero Intermediate calcs'!AA59)+Data!$AK$41)</f>
        <v>19114660.955812372</v>
      </c>
      <c r="AB60" s="22">
        <f>((Data!$AJ$41*'Net zero Intermediate calcs'!AB59)+Data!$AK$41)</f>
        <v>19208943.56310527</v>
      </c>
      <c r="AC60" s="22">
        <f>((Data!$AJ$41*'Net zero Intermediate calcs'!AC59)+Data!$AK$41)</f>
        <v>19304846.098651897</v>
      </c>
      <c r="AD60" s="22">
        <f>((Data!$AJ$41*'Net zero Intermediate calcs'!AD59)+Data!$AK$41)</f>
        <v>19600179.453793719</v>
      </c>
      <c r="AE60" s="22">
        <f>((Data!$AJ$41*'Net zero Intermediate calcs'!AE59)+Data!$AK$41)</f>
        <v>19834777.311256126</v>
      </c>
      <c r="AF60" s="22">
        <f>((Data!$AJ$41*'Net zero Intermediate calcs'!AF59)+Data!$AK$41)</f>
        <v>19850672.282724522</v>
      </c>
      <c r="AG60" s="22">
        <f>((Data!$AJ$41*'Net zero Intermediate calcs'!AG59)+Data!$AK$41)</f>
        <v>18892170.979763225</v>
      </c>
      <c r="AH60" s="22">
        <f>((Data!$AJ$41*'Net zero Intermediate calcs'!AH59)+Data!$AK$41)</f>
        <v>19307757.545362942</v>
      </c>
      <c r="AI60" s="22">
        <f>((Data!$AJ$41*'Net zero Intermediate calcs'!AI59)+Data!$AK$41)</f>
        <v>19600340.872642256</v>
      </c>
      <c r="AJ60" s="22">
        <f>((Data!$AJ$41*'Net zero Intermediate calcs'!AJ59)+Data!$AK$41)</f>
        <v>19863414.384715609</v>
      </c>
      <c r="AK60" s="22">
        <f>((Data!$AJ$41*'Net zero Intermediate calcs'!AK59)+Data!$AK$41)</f>
        <v>20169563.393385358</v>
      </c>
      <c r="AL60" s="22">
        <f>((Data!$AJ$41*'Net zero Intermediate calcs'!AL59)+Data!$AK$41)</f>
        <v>20630795.284201048</v>
      </c>
      <c r="AM60" s="22">
        <f>((Data!$AJ$41*'Net zero Intermediate calcs'!AM59)+Data!$AK$41)</f>
        <v>21127236.221613199</v>
      </c>
      <c r="AN60" s="22">
        <f>((Data!$AJ$41*'Net zero Intermediate calcs'!AN59)+Data!$AK$41)</f>
        <v>21662078.588239953</v>
      </c>
      <c r="AO60" s="22">
        <f>((Data!$AJ$41*'Net zero Intermediate calcs'!AO59)+Data!$AK$41)</f>
        <v>22131280.029524192</v>
      </c>
      <c r="AP60" s="22">
        <f>((Data!$AJ$41*'Net zero Intermediate calcs'!AP59)+Data!$AK$41)</f>
        <v>22670995.672577992</v>
      </c>
      <c r="AQ60" s="22">
        <f>((Data!$AJ$41*'Net zero Intermediate calcs'!AQ59)+Data!$AK$41)</f>
        <v>23298105.858128503</v>
      </c>
      <c r="AR60" s="22">
        <f>((Data!$AJ$41*'Net zero Intermediate calcs'!AR59)+Data!$AK$41)</f>
        <v>23955269.20332934</v>
      </c>
      <c r="AS60" s="22">
        <f>((Data!$AJ$41*'Net zero Intermediate calcs'!AS59)+Data!$AK$41)</f>
        <v>24641936.017822139</v>
      </c>
      <c r="AT60" s="22">
        <f>((Data!$AJ$41*'Net zero Intermediate calcs'!AT59)+Data!$AK$41)</f>
        <v>25343796.149331607</v>
      </c>
      <c r="AU60" s="22">
        <f>((Data!$AJ$41*'Net zero Intermediate calcs'!AU59)+Data!$AK$41)</f>
        <v>26123607.455349788</v>
      </c>
      <c r="AV60" s="22">
        <f>((Data!$AJ$41*'Net zero Intermediate calcs'!AV59)+Data!$AK$41)</f>
        <v>26816467.383290328</v>
      </c>
      <c r="AW60" s="22">
        <f>((Data!$AJ$41*'Net zero Intermediate calcs'!AW59)+Data!$AK$41)</f>
        <v>27548803.574379191</v>
      </c>
      <c r="AX60" s="22">
        <f>((Data!$AJ$41*'Net zero Intermediate calcs'!AX59)+Data!$AK$41)</f>
        <v>28294252.877759092</v>
      </c>
      <c r="AY60" s="22">
        <f>((Data!$AJ$41*'Net zero Intermediate calcs'!AY59)+Data!$AK$41)</f>
        <v>29008045.19499176</v>
      </c>
      <c r="AZ60" s="22">
        <f>((Data!$AJ$41*'Net zero Intermediate calcs'!AZ59)+Data!$AK$41)</f>
        <v>29720194.763274878</v>
      </c>
      <c r="BA60" s="22">
        <f>((Data!$AJ$41*'Net zero Intermediate calcs'!BA59)+Data!$AK$41)</f>
        <v>30457940.399798945</v>
      </c>
      <c r="BB60" s="22">
        <f>((Data!$AJ$41*'Net zero Intermediate calcs'!BB59)+Data!$AK$41)</f>
        <v>31303280.911640368</v>
      </c>
      <c r="BC60" s="22">
        <f>((Data!$AJ$41*'Net zero Intermediate calcs'!BC59)+Data!$AK$41)</f>
        <v>32107950.493877299</v>
      </c>
      <c r="BD60" s="22">
        <f>((Data!$AJ$41*'Net zero Intermediate calcs'!BD59)+Data!$AK$41)</f>
        <v>32926821.438102148</v>
      </c>
      <c r="BE60" s="22">
        <f>((Data!$AJ$41*'Net zero Intermediate calcs'!BE59)+Data!$AK$41)</f>
        <v>33761343.475976408</v>
      </c>
      <c r="BF60" s="22">
        <f>((Data!$AJ$41*'Net zero Intermediate calcs'!BF59)+Data!$AK$41)</f>
        <v>34651431.276158959</v>
      </c>
      <c r="BG60" s="22">
        <f>((Data!$AJ$41*'Net zero Intermediate calcs'!BG59)+Data!$AK$41)</f>
        <v>35564490.31173487</v>
      </c>
      <c r="BH60" s="22">
        <f>((Data!$AJ$41*'Net zero Intermediate calcs'!BH59)+Data!$AK$41)</f>
        <v>36108679.353055172</v>
      </c>
      <c r="BI60" s="22">
        <f>((Data!$AJ$41*'Net zero Intermediate calcs'!BI59)+Data!$AK$41)</f>
        <v>36628645.719194226</v>
      </c>
      <c r="BJ60" s="22">
        <f>((Data!$AJ$41*'Net zero Intermediate calcs'!BJ59)+Data!$AK$41)</f>
        <v>37201360.242989235</v>
      </c>
      <c r="BK60" s="22">
        <f>((Data!$AJ$41*'Net zero Intermediate calcs'!BK59)+Data!$AK$41)</f>
        <v>37754326.311643124</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3515409.2867776863</v>
      </c>
      <c r="Z61" s="22">
        <f>((Data!$AJ$42*LN('Net zero Intermediate calcs'!Z60))+Data!$AK$42)</f>
        <v>3529023.5614843424</v>
      </c>
      <c r="AA61" s="22">
        <f>((Data!$AJ$42*LN('Net zero Intermediate calcs'!AA60))+Data!$AK$42)</f>
        <v>3540610.1599060763</v>
      </c>
      <c r="AB61" s="22">
        <f>((Data!$AJ$42*LN('Net zero Intermediate calcs'!AB60))+Data!$AK$42)</f>
        <v>3544401.4110568538</v>
      </c>
      <c r="AC61" s="22">
        <f>((Data!$AJ$42*LN('Net zero Intermediate calcs'!AC60))+Data!$AK$42)</f>
        <v>3548238.7589823715</v>
      </c>
      <c r="AD61" s="22">
        <f>((Data!$AJ$42*LN('Net zero Intermediate calcs'!AD60))+Data!$AK$42)</f>
        <v>3559937.2967489585</v>
      </c>
      <c r="AE61" s="22">
        <f>((Data!$AJ$42*LN('Net zero Intermediate calcs'!AE60))+Data!$AK$42)</f>
        <v>3569105.0779654514</v>
      </c>
      <c r="AF61" s="22">
        <f>((Data!$AJ$42*LN('Net zero Intermediate calcs'!AF60))+Data!$AK$42)</f>
        <v>3569722.3049658909</v>
      </c>
      <c r="AG61" s="22">
        <f>((Data!$AJ$42*LN('Net zero Intermediate calcs'!AG60))+Data!$AK$42)</f>
        <v>3531588.8379038274</v>
      </c>
      <c r="AH61" s="22">
        <f>((Data!$AJ$42*LN('Net zero Intermediate calcs'!AH60))+Data!$AK$42)</f>
        <v>3548354.956327131</v>
      </c>
      <c r="AI61" s="22">
        <f>((Data!$AJ$42*LN('Net zero Intermediate calcs'!AI60))+Data!$AK$42)</f>
        <v>3559943.6424390469</v>
      </c>
      <c r="AJ61" s="22">
        <f>((Data!$AJ$42*LN('Net zero Intermediate calcs'!AJ60))+Data!$AK$42)</f>
        <v>3570216.7442368567</v>
      </c>
      <c r="AK61" s="22">
        <f>((Data!$AJ$42*LN('Net zero Intermediate calcs'!AK60))+Data!$AK$42)</f>
        <v>3582002.0233719572</v>
      </c>
      <c r="AL61" s="22">
        <f>((Data!$AJ$42*LN('Net zero Intermediate calcs'!AL60))+Data!$AK$42)</f>
        <v>3599423.7138189301</v>
      </c>
      <c r="AM61" s="22">
        <f>((Data!$AJ$42*LN('Net zero Intermediate calcs'!AM60))+Data!$AK$42)</f>
        <v>3617745.3593248222</v>
      </c>
      <c r="AN61" s="22">
        <f>((Data!$AJ$42*LN('Net zero Intermediate calcs'!AN60))+Data!$AK$42)</f>
        <v>3637008.6081049442</v>
      </c>
      <c r="AO61" s="22">
        <f>((Data!$AJ$42*LN('Net zero Intermediate calcs'!AO60))+Data!$AK$42)</f>
        <v>3653520.0175491292</v>
      </c>
      <c r="AP61" s="22">
        <f>((Data!$AJ$42*LN('Net zero Intermediate calcs'!AP60))+Data!$AK$42)</f>
        <v>3672085.3352702018</v>
      </c>
      <c r="AQ61" s="22">
        <f>((Data!$AJ$42*LN('Net zero Intermediate calcs'!AQ60))+Data!$AK$42)</f>
        <v>3693109.619896628</v>
      </c>
      <c r="AR61" s="22">
        <f>((Data!$AJ$42*LN('Net zero Intermediate calcs'!AR60))+Data!$AK$42)</f>
        <v>3714542.7176407278</v>
      </c>
      <c r="AS61" s="22">
        <f>((Data!$AJ$42*LN('Net zero Intermediate calcs'!AS60))+Data!$AK$42)</f>
        <v>3736318.8182611186</v>
      </c>
      <c r="AT61" s="22">
        <f>((Data!$AJ$42*LN('Net zero Intermediate calcs'!AT60))+Data!$AK$42)</f>
        <v>3757958.4319764115</v>
      </c>
      <c r="AU61" s="22">
        <f>((Data!$AJ$42*LN('Net zero Intermediate calcs'!AU60))+Data!$AK$42)</f>
        <v>3781309.5107747447</v>
      </c>
      <c r="AV61" s="22">
        <f>((Data!$AJ$42*LN('Net zero Intermediate calcs'!AV60))+Data!$AK$42)</f>
        <v>3801479.3360559102</v>
      </c>
      <c r="AW61" s="22">
        <f>((Data!$AJ$42*LN('Net zero Intermediate calcs'!AW60))+Data!$AK$42)</f>
        <v>3822239.5419155322</v>
      </c>
      <c r="AX61" s="22">
        <f>((Data!$AJ$42*LN('Net zero Intermediate calcs'!AX60))+Data!$AK$42)</f>
        <v>3842812.2363718953</v>
      </c>
      <c r="AY61" s="22">
        <f>((Data!$AJ$42*LN('Net zero Intermediate calcs'!AY60))+Data!$AK$42)</f>
        <v>3862009.4739142694</v>
      </c>
      <c r="AZ61" s="22">
        <f>((Data!$AJ$42*LN('Net zero Intermediate calcs'!AZ60))+Data!$AK$42)</f>
        <v>3880697.4367932044</v>
      </c>
      <c r="BA61" s="22">
        <f>((Data!$AJ$42*LN('Net zero Intermediate calcs'!BA60))+Data!$AK$42)</f>
        <v>3899590.6631250381</v>
      </c>
      <c r="BB61" s="22">
        <f>((Data!$AJ$42*LN('Net zero Intermediate calcs'!BB60))+Data!$AK$42)</f>
        <v>3920684.6841368899</v>
      </c>
      <c r="BC61" s="22">
        <f>((Data!$AJ$42*LN('Net zero Intermediate calcs'!BC60))+Data!$AK$42)</f>
        <v>3940241.1851715259</v>
      </c>
      <c r="BD61" s="22">
        <f>((Data!$AJ$42*LN('Net zero Intermediate calcs'!BD60))+Data!$AK$42)</f>
        <v>3959645.9881346021</v>
      </c>
      <c r="BE61" s="22">
        <f>((Data!$AJ$42*LN('Net zero Intermediate calcs'!BE60))+Data!$AK$42)</f>
        <v>3978931.3662745245</v>
      </c>
      <c r="BF61" s="22">
        <f>((Data!$AJ$42*LN('Net zero Intermediate calcs'!BF60))+Data!$AK$42)</f>
        <v>3998982.392024545</v>
      </c>
      <c r="BG61" s="22">
        <f>((Data!$AJ$42*LN('Net zero Intermediate calcs'!BG60))+Data!$AK$42)</f>
        <v>4019022.6904087979</v>
      </c>
      <c r="BH61" s="22">
        <f>((Data!$AJ$42*LN('Net zero Intermediate calcs'!BH60))+Data!$AK$42)</f>
        <v>4030723.5554775149</v>
      </c>
      <c r="BI61" s="22">
        <f>((Data!$AJ$42*LN('Net zero Intermediate calcs'!BI60))+Data!$AK$42)</f>
        <v>4041740.0080540366</v>
      </c>
      <c r="BJ61" s="22">
        <f>((Data!$AJ$42*LN('Net zero Intermediate calcs'!BJ60))+Data!$AK$42)</f>
        <v>4053694.4814369492</v>
      </c>
      <c r="BK61" s="22">
        <f>((Data!$AJ$42*LN('Net zero Intermediate calcs'!BK60))+Data!$AK$42)</f>
        <v>4065063.3755058479</v>
      </c>
    </row>
    <row r="62" spans="1:63" s="50" customFormat="1" x14ac:dyDescent="0.25">
      <c r="A62" s="42"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101">
        <f>IF($Y$1="Off",'Intermediate calculations'!Y64,IF($Y$1="PQ",'Net zero supporting data'!B101,IF('Net zero Intermediate calcs'!$Y$1="GS",'Net zero supporting data'!B65,'Net zero supporting data'!B84)))</f>
        <v>0.57999999999999996</v>
      </c>
      <c r="Z64" s="101">
        <f>IF($Y$1="Off",'Intermediate calculations'!Z64,IF($Y$1="PQ",'Net zero supporting data'!C101,IF('Net zero Intermediate calcs'!$Y$1="GS",'Net zero supporting data'!C65,'Net zero supporting data'!C84)))</f>
        <v>0.57999999999999996</v>
      </c>
      <c r="AA64" s="101">
        <f>IF($Y$1="Off",'Intermediate calculations'!AA64,IF($Y$1="PQ",'Net zero supporting data'!D101,IF('Net zero Intermediate calcs'!$Y$1="GS",'Net zero supporting data'!D65,'Net zero supporting data'!D84)))</f>
        <v>0.57999999999999996</v>
      </c>
      <c r="AB64" s="101">
        <f>IF($Y$1="Off",'Intermediate calculations'!AB64,IF($Y$1="PQ",'Net zero supporting data'!E101,IF('Net zero Intermediate calcs'!$Y$1="GS",'Net zero supporting data'!E65,'Net zero supporting data'!E84)))</f>
        <v>0.57999999999999996</v>
      </c>
      <c r="AC64" s="101">
        <f>IF($Y$1="Off",'Intermediate calculations'!AC64,IF($Y$1="PQ",'Net zero supporting data'!F101,IF('Net zero Intermediate calcs'!$Y$1="GS",'Net zero supporting data'!F65,'Net zero supporting data'!F84)))</f>
        <v>0.57999999999999996</v>
      </c>
      <c r="AD64" s="101">
        <f>IF($Y$1="Off",'Intermediate calculations'!AD64,IF($Y$1="PQ",'Net zero supporting data'!G101,IF('Net zero Intermediate calcs'!$Y$1="GS",'Net zero supporting data'!G65,'Net zero supporting data'!G84)))</f>
        <v>0.57999999999999996</v>
      </c>
      <c r="AE64" s="101">
        <f>IF($Y$1="Off",'Intermediate calculations'!AE64,IF($Y$1="PQ",'Net zero supporting data'!H101,IF('Net zero Intermediate calcs'!$Y$1="GS",'Net zero supporting data'!H65,'Net zero supporting data'!H84)))</f>
        <v>0.57999999999999996</v>
      </c>
      <c r="AF64" s="101">
        <f>IF($Y$1="Off",'Intermediate calculations'!AF64,IF($Y$1="PQ",'Net zero supporting data'!I101,IF('Net zero Intermediate calcs'!$Y$1="GS",'Net zero supporting data'!I65,'Net zero supporting data'!I84)))</f>
        <v>0.57999999999999996</v>
      </c>
      <c r="AG64" s="101">
        <f>IF($Y$1="Off",'Intermediate calculations'!AG64,IF($Y$1="PQ",'Net zero supporting data'!J101,IF('Net zero Intermediate calcs'!$Y$1="GS",'Net zero supporting data'!J65,'Net zero supporting data'!J84)))</f>
        <v>0.57999999999999996</v>
      </c>
      <c r="AH64" s="101">
        <f>IF($Y$1="Off",'Intermediate calculations'!AH64,IF($Y$1="PQ",'Net zero supporting data'!K101,IF('Net zero Intermediate calcs'!$Y$1="GS",'Net zero supporting data'!K65,'Net zero supporting data'!K84)))</f>
        <v>0.57767999999999997</v>
      </c>
      <c r="AI64" s="101">
        <f>IF($Y$1="Off",'Intermediate calculations'!AI64,IF($Y$1="PQ",'Net zero supporting data'!L101,IF('Net zero Intermediate calcs'!$Y$1="GS",'Net zero supporting data'!L65,'Net zero supporting data'!L84)))</f>
        <v>0.57535999999999998</v>
      </c>
      <c r="AJ64" s="101">
        <f>IF($Y$1="Off",'Intermediate calculations'!AJ64,IF($Y$1="PQ",'Net zero supporting data'!M101,IF('Net zero Intermediate calcs'!$Y$1="GS",'Net zero supporting data'!M65,'Net zero supporting data'!M84)))</f>
        <v>0.57303999999999999</v>
      </c>
      <c r="AK64" s="101">
        <f>IF($Y$1="Off",'Intermediate calculations'!AK64,IF($Y$1="PQ",'Net zero supporting data'!N101,IF('Net zero Intermediate calcs'!$Y$1="GS",'Net zero supporting data'!N65,'Net zero supporting data'!N84)))</f>
        <v>0.57071999999999989</v>
      </c>
      <c r="AL64" s="101">
        <f>IF($Y$1="Off",'Intermediate calculations'!AL64,IF($Y$1="PQ",'Net zero supporting data'!O101,IF('Net zero Intermediate calcs'!$Y$1="GS",'Net zero supporting data'!O65,'Net zero supporting data'!O84)))</f>
        <v>0.56840000000000002</v>
      </c>
      <c r="AM64" s="101">
        <f>IF($Y$1="Off",'Intermediate calculations'!AM64,IF($Y$1="PQ",'Net zero supporting data'!P101,IF('Net zero Intermediate calcs'!$Y$1="GS",'Net zero supporting data'!P65,'Net zero supporting data'!P84)))</f>
        <v>0.56607999999999992</v>
      </c>
      <c r="AN64" s="101">
        <f>IF($Y$1="Off",'Intermediate calculations'!AN64,IF($Y$1="PQ",'Net zero supporting data'!Q101,IF('Net zero Intermediate calcs'!$Y$1="GS",'Net zero supporting data'!Q65,'Net zero supporting data'!Q84)))</f>
        <v>0.56375999999999993</v>
      </c>
      <c r="AO64" s="101">
        <f>IF($Y$1="Off",'Intermediate calculations'!AO64,IF($Y$1="PQ",'Net zero supporting data'!R101,IF('Net zero Intermediate calcs'!$Y$1="GS",'Net zero supporting data'!R65,'Net zero supporting data'!R84)))</f>
        <v>0.56143999999999994</v>
      </c>
      <c r="AP64" s="101">
        <f>IF($Y$1="Off",'Intermediate calculations'!AP64,IF($Y$1="PQ",'Net zero supporting data'!S101,IF('Net zero Intermediate calcs'!$Y$1="GS",'Net zero supporting data'!S65,'Net zero supporting data'!S84)))</f>
        <v>0.55911999999999995</v>
      </c>
      <c r="AQ64" s="101">
        <f>IF($Y$1="Off",'Intermediate calculations'!AQ64,IF($Y$1="PQ",'Net zero supporting data'!T101,IF('Net zero Intermediate calcs'!$Y$1="GS",'Net zero supporting data'!T65,'Net zero supporting data'!T84)))</f>
        <v>0.55679999999999996</v>
      </c>
      <c r="AR64" s="101">
        <f>IF($Y$1="Off",'Intermediate calculations'!AR64,IF($Y$1="PQ",'Net zero supporting data'!U101,IF('Net zero Intermediate calcs'!$Y$1="GS",'Net zero supporting data'!U65,'Net zero supporting data'!U84)))</f>
        <v>0.55767</v>
      </c>
      <c r="AS64" s="101">
        <f>IF($Y$1="Off",'Intermediate calculations'!AS64,IF($Y$1="PQ",'Net zero supporting data'!V101,IF('Net zero Intermediate calcs'!$Y$1="GS",'Net zero supporting data'!V65,'Net zero supporting data'!V84)))</f>
        <v>0.55854000000000004</v>
      </c>
      <c r="AT64" s="101">
        <f>IF($Y$1="Off",'Intermediate calculations'!AT64,IF($Y$1="PQ",'Net zero supporting data'!W101,IF('Net zero Intermediate calcs'!$Y$1="GS",'Net zero supporting data'!W65,'Net zero supporting data'!W84)))</f>
        <v>0.55941000000000007</v>
      </c>
      <c r="AU64" s="101">
        <f>IF($Y$1="Off",'Intermediate calculations'!AU64,IF($Y$1="PQ",'Net zero supporting data'!X101,IF('Net zero Intermediate calcs'!$Y$1="GS",'Net zero supporting data'!X65,'Net zero supporting data'!X84)))</f>
        <v>0.56028</v>
      </c>
      <c r="AV64" s="101">
        <f>IF($Y$1="Off",'Intermediate calculations'!AV64,IF($Y$1="PQ",'Net zero supporting data'!Y101,IF('Net zero Intermediate calcs'!$Y$1="GS",'Net zero supporting data'!Y65,'Net zero supporting data'!Y84)))</f>
        <v>0.56115000000000004</v>
      </c>
      <c r="AW64" s="101">
        <f>IF($Y$1="Off",'Intermediate calculations'!AW64,IF($Y$1="PQ",'Net zero supporting data'!Z101,IF('Net zero Intermediate calcs'!$Y$1="GS",'Net zero supporting data'!Z65,'Net zero supporting data'!Z84)))</f>
        <v>0.56202000000000008</v>
      </c>
      <c r="AX64" s="101">
        <f>IF($Y$1="Off",'Intermediate calculations'!AX64,IF($Y$1="PQ",'Net zero supporting data'!AA101,IF('Net zero Intermediate calcs'!$Y$1="GS",'Net zero supporting data'!AA65,'Net zero supporting data'!AA84)))</f>
        <v>0.56289</v>
      </c>
      <c r="AY64" s="101">
        <f>IF($Y$1="Off",'Intermediate calculations'!AY64,IF($Y$1="PQ",'Net zero supporting data'!AB101,IF('Net zero Intermediate calcs'!$Y$1="GS",'Net zero supporting data'!AB65,'Net zero supporting data'!AB84)))</f>
        <v>0.56376000000000004</v>
      </c>
      <c r="AZ64" s="101">
        <f>IF($Y$1="Off",'Intermediate calculations'!AZ64,IF($Y$1="PQ",'Net zero supporting data'!AC101,IF('Net zero Intermediate calcs'!$Y$1="GS",'Net zero supporting data'!AC65,'Net zero supporting data'!AC84)))</f>
        <v>0.56462999999999997</v>
      </c>
      <c r="BA64" s="101">
        <f>IF($Y$1="Off",'Intermediate calculations'!BA64,IF($Y$1="PQ",'Net zero supporting data'!AD101,IF('Net zero Intermediate calcs'!$Y$1="GS",'Net zero supporting data'!AD65,'Net zero supporting data'!AD84)))</f>
        <v>0.5655</v>
      </c>
      <c r="BB64" s="101">
        <f>IF($Y$1="Off",'Intermediate calculations'!BB64,IF($Y$1="PQ",'Net zero supporting data'!AE101,IF('Net zero Intermediate calcs'!$Y$1="GS",'Net zero supporting data'!AE65,'Net zero supporting data'!AE84)))</f>
        <v>0.56637000000000004</v>
      </c>
      <c r="BC64" s="101">
        <f>IF($Y$1="Off",'Intermediate calculations'!BC64,IF($Y$1="PQ",'Net zero supporting data'!AF101,IF('Net zero Intermediate calcs'!$Y$1="GS",'Net zero supporting data'!AF65,'Net zero supporting data'!AF84)))</f>
        <v>0.56723999999999997</v>
      </c>
      <c r="BD64" s="101">
        <f>IF($Y$1="Off",'Intermediate calculations'!BD64,IF($Y$1="PQ",'Net zero supporting data'!AG101,IF('Net zero Intermediate calcs'!$Y$1="GS",'Net zero supporting data'!AG65,'Net zero supporting data'!AG84)))</f>
        <v>0.56811</v>
      </c>
      <c r="BE64" s="101">
        <f>IF($Y$1="Off",'Intermediate calculations'!BE64,IF($Y$1="PQ",'Net zero supporting data'!AH101,IF('Net zero Intermediate calcs'!$Y$1="GS",'Net zero supporting data'!AH65,'Net zero supporting data'!AH84)))</f>
        <v>0.56898000000000004</v>
      </c>
      <c r="BF64" s="101">
        <f>IF($Y$1="Off",'Intermediate calculations'!BF64,IF($Y$1="PQ",'Net zero supporting data'!AI101,IF('Net zero Intermediate calcs'!$Y$1="GS",'Net zero supporting data'!AI65,'Net zero supporting data'!AI84)))</f>
        <v>0.56984999999999997</v>
      </c>
      <c r="BG64" s="101">
        <f>IF($Y$1="Off",'Intermediate calculations'!BG64,IF($Y$1="PQ",'Net zero supporting data'!AJ101,IF('Net zero Intermediate calcs'!$Y$1="GS",'Net zero supporting data'!AJ65,'Net zero supporting data'!AJ84)))</f>
        <v>0.57072000000000001</v>
      </c>
      <c r="BH64" s="101">
        <f>IF($Y$1="Off",'Intermediate calculations'!BH64,IF($Y$1="PQ",'Net zero supporting data'!AK101,IF('Net zero Intermediate calcs'!$Y$1="GS",'Net zero supporting data'!AK65,'Net zero supporting data'!AK84)))</f>
        <v>0.57159000000000004</v>
      </c>
      <c r="BI64" s="101">
        <f>IF($Y$1="Off",'Intermediate calculations'!BI64,IF($Y$1="PQ",'Net zero supporting data'!AL101,IF('Net zero Intermediate calcs'!$Y$1="GS",'Net zero supporting data'!AL65,'Net zero supporting data'!AL84)))</f>
        <v>0.57245999999999997</v>
      </c>
      <c r="BJ64" s="101">
        <f>IF($Y$1="Off",'Intermediate calculations'!BJ64,IF($Y$1="PQ",'Net zero supporting data'!AM101,IF('Net zero Intermediate calcs'!$Y$1="GS",'Net zero supporting data'!AM65,'Net zero supporting data'!AM84)))</f>
        <v>0.57333000000000001</v>
      </c>
      <c r="BK64" s="101">
        <f>IF($Y$1="Off",'Intermediate calculations'!BK64,IF($Y$1="PQ",'Net zero supporting data'!AN101,IF('Net zero Intermediate calcs'!$Y$1="GS",'Net zero supporting data'!AN65,'Net zero supporting data'!AN84)))</f>
        <v>0.57420000000000004</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942</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53" customFormat="1" ht="18.75" x14ac:dyDescent="0.3">
      <c r="A4" s="95" t="s">
        <v>943</v>
      </c>
      <c r="B4" s="95"/>
      <c r="C4" s="95"/>
      <c r="D4" s="95"/>
      <c r="E4" s="95"/>
      <c r="F4" s="95"/>
      <c r="G4" s="95"/>
      <c r="H4" s="95"/>
      <c r="I4" s="95"/>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row>
    <row r="5" spans="1:48" s="120" customFormat="1" ht="15.75" x14ac:dyDescent="0.25">
      <c r="A5" s="116" t="s">
        <v>1004</v>
      </c>
      <c r="B5" s="116"/>
      <c r="C5" s="116"/>
      <c r="D5" s="116"/>
      <c r="E5" s="116"/>
      <c r="F5" s="116"/>
      <c r="G5" s="116"/>
      <c r="H5" s="116"/>
      <c r="I5" s="116"/>
      <c r="J5" s="118"/>
      <c r="K5" s="118"/>
      <c r="L5" s="118"/>
      <c r="M5" s="118"/>
      <c r="N5" s="118"/>
      <c r="O5" s="118"/>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row>
    <row r="6" spans="1:48" x14ac:dyDescent="0.25">
      <c r="A6" t="s">
        <v>949</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951</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950</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956</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954</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955</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1011</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1010</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1012</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1006</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47544.879586920411</v>
      </c>
      <c r="L15">
        <f>'Net zero Activity data'!AN5*'Net zero supporting data'!L12</f>
        <v>95249.45315039171</v>
      </c>
      <c r="M15">
        <f>'Net zero Activity data'!AO5*'Net zero supporting data'!M12</f>
        <v>143013.20293079223</v>
      </c>
      <c r="N15">
        <f>'Net zero Activity data'!AP5*'Net zero supporting data'!N12</f>
        <v>191115.58459090232</v>
      </c>
      <c r="O15">
        <f>'Net zero Activity data'!AQ5*'Net zero supporting data'!O12</f>
        <v>240462.53834487882</v>
      </c>
      <c r="P15">
        <f>'Net zero Activity data'!AR5*'Net zero supporting data'!P12</f>
        <v>290539.1911096386</v>
      </c>
      <c r="Q15">
        <f>'Net zero Activity data'!AS5*'Net zero supporting data'!Q12</f>
        <v>341628.95698570029</v>
      </c>
      <c r="R15">
        <f>'Net zero Activity data'!AT5*'Net zero supporting data'!R12</f>
        <v>392807.55898160068</v>
      </c>
      <c r="S15">
        <f>'Net zero Activity data'!AU5*'Net zero supporting data'!S12</f>
        <v>445394.42859291111</v>
      </c>
      <c r="T15">
        <f>'Net zero Activity data'!AV5*'Net zero supporting data'!T12</f>
        <v>499860.19838232064</v>
      </c>
      <c r="U15">
        <f>'Net zero Activity data'!AW5*'Net zero supporting data'!U12</f>
        <v>520628.37757202337</v>
      </c>
      <c r="V15">
        <f>'Net zero Activity data'!AX5*'Net zero supporting data'!V12</f>
        <v>542255.15412474168</v>
      </c>
      <c r="W15">
        <f>'Net zero Activity data'!AY5*'Net zero supporting data'!W12</f>
        <v>564578.0799641473</v>
      </c>
      <c r="X15">
        <f>'Net zero Activity data'!AZ5*'Net zero supporting data'!X12</f>
        <v>588492.53604932572</v>
      </c>
      <c r="Y15">
        <f>'Net zero Activity data'!BA5*'Net zero supporting data'!Y12</f>
        <v>611724.36505578319</v>
      </c>
      <c r="Z15">
        <f>'Net zero Activity data'!BB5*'Net zero supporting data'!Z12</f>
        <v>635790.69993252901</v>
      </c>
      <c r="AA15">
        <f>'Net zero Activity data'!BC5*'Net zero supporting data'!AA12</f>
        <v>660580.2908248303</v>
      </c>
      <c r="AB15">
        <f>'Net zero Activity data'!BD5*'Net zero supporting data'!AB12</f>
        <v>685429.16857707535</v>
      </c>
      <c r="AC15">
        <f>'Net zero Activity data'!BE5*'Net zero supporting data'!AC12</f>
        <v>710779.60613667092</v>
      </c>
      <c r="AD15">
        <f>'Net zero Activity data'!BF5*'Net zero supporting data'!AD12</f>
        <v>737068.97637809033</v>
      </c>
      <c r="AE15">
        <f>'Net zero Activity data'!BG5*'Net zero supporting data'!AE12</f>
        <v>749238.7959830102</v>
      </c>
      <c r="AF15">
        <f>'Net zero Activity data'!BH5*'Net zero supporting data'!AF12</f>
        <v>760763.90332007338</v>
      </c>
      <c r="AG15">
        <f>'Net zero Activity data'!BI5*'Net zero supporting data'!AG12</f>
        <v>772515.82556675421</v>
      </c>
      <c r="AH15">
        <f>'Net zero Activity data'!BJ5*'Net zero supporting data'!AH12</f>
        <v>784516.63771677448</v>
      </c>
      <c r="AI15">
        <f>'Net zero Activity data'!BK5*'Net zero supporting data'!AI12</f>
        <v>797393.76329683722</v>
      </c>
      <c r="AJ15">
        <f>'Net zero Activity data'!BL5*'Net zero supporting data'!AJ12</f>
        <v>810379.33873565192</v>
      </c>
      <c r="AK15">
        <f>'Net zero Activity data'!BM5*'Net zero supporting data'!AK12</f>
        <v>817577.98532730131</v>
      </c>
      <c r="AL15">
        <f>'Net zero Activity data'!BN5*'Net zero supporting data'!AL12</f>
        <v>824416.10401658353</v>
      </c>
      <c r="AM15">
        <f>'Net zero Activity data'!BO5*'Net zero supporting data'!AM12</f>
        <v>832098.46671053173</v>
      </c>
      <c r="AN15">
        <f>'Net zero Activity data'!BP5*'Net zero supporting data'!AN12</f>
        <v>839489.43918547477</v>
      </c>
    </row>
    <row r="16" spans="1:48" x14ac:dyDescent="0.25">
      <c r="A16" t="s">
        <v>1007</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39394.328800591204</v>
      </c>
      <c r="L16">
        <f>'Net zero Activity data'!AN6*'Net zero supporting data'!L12</f>
        <v>78920.975467467419</v>
      </c>
      <c r="M16">
        <f>'Net zero Activity data'!AO6*'Net zero supporting data'!M12</f>
        <v>118496.65385694214</v>
      </c>
      <c r="N16">
        <f>'Net zero Activity data'!AP6*'Net zero supporting data'!N12</f>
        <v>158352.91294674765</v>
      </c>
      <c r="O16">
        <f>'Net zero Activity data'!AQ6*'Net zero supporting data'!O12</f>
        <v>199240.38891432818</v>
      </c>
      <c r="P16">
        <f>'Net zero Activity data'!AR6*'Net zero supporting data'!P12</f>
        <v>240732.47263370053</v>
      </c>
      <c r="Q16">
        <f>'Net zero Activity data'!AS6*'Net zero supporting data'!Q12</f>
        <v>283063.99293100886</v>
      </c>
      <c r="R16">
        <f>'Net zero Activity data'!AT6*'Net zero supporting data'!R12</f>
        <v>325469.12029904057</v>
      </c>
      <c r="S16">
        <f>'Net zero Activity data'!AU6*'Net zero supporting data'!S12</f>
        <v>369041.09797698352</v>
      </c>
      <c r="T16">
        <f>'Net zero Activity data'!AV6*'Net zero supporting data'!T12</f>
        <v>414169.87865963718</v>
      </c>
      <c r="U16">
        <f>'Net zero Activity data'!AW6*'Net zero supporting data'!U12</f>
        <v>431377.79855967645</v>
      </c>
      <c r="V16">
        <f>'Net zero Activity data'!AX6*'Net zero supporting data'!V12</f>
        <v>449297.12770335737</v>
      </c>
      <c r="W16">
        <f>'Net zero Activity data'!AY6*'Net zero supporting data'!W12</f>
        <v>467793.26625600777</v>
      </c>
      <c r="X16">
        <f>'Net zero Activity data'!AZ6*'Net zero supporting data'!X12</f>
        <v>487608.10129801271</v>
      </c>
      <c r="Y16">
        <f>'Net zero Activity data'!BA6*'Net zero supporting data'!Y12</f>
        <v>506857.33104622038</v>
      </c>
      <c r="Z16">
        <f>'Net zero Activity data'!BB6*'Net zero supporting data'!Z12</f>
        <v>526798.0085155241</v>
      </c>
      <c r="AA16">
        <f>'Net zero Activity data'!BC6*'Net zero supporting data'!AA12</f>
        <v>547337.95525485941</v>
      </c>
      <c r="AB16">
        <f>'Net zero Activity data'!BD6*'Net zero supporting data'!AB12</f>
        <v>567927.02539243386</v>
      </c>
      <c r="AC16">
        <f>'Net zero Activity data'!BE6*'Net zero supporting data'!AC12</f>
        <v>588931.67365609878</v>
      </c>
      <c r="AD16">
        <f>'Net zero Activity data'!BF6*'Net zero supporting data'!AD12</f>
        <v>610714.29471327481</v>
      </c>
      <c r="AE16">
        <f>'Net zero Activity data'!BG6*'Net zero supporting data'!AE12</f>
        <v>620797.85952877987</v>
      </c>
      <c r="AF16">
        <f>'Net zero Activity data'!BH6*'Net zero supporting data'!AF12</f>
        <v>630347.23417948931</v>
      </c>
      <c r="AG16">
        <f>'Net zero Activity data'!BI6*'Net zero supporting data'!AG12</f>
        <v>640084.54118388204</v>
      </c>
      <c r="AH16">
        <f>'Net zero Activity data'!BJ6*'Net zero supporting data'!AH12</f>
        <v>650028.07125104172</v>
      </c>
      <c r="AI16">
        <f>'Net zero Activity data'!BK6*'Net zero supporting data'!AI12</f>
        <v>660697.68958880799</v>
      </c>
      <c r="AJ16">
        <f>'Net zero Activity data'!BL6*'Net zero supporting data'!AJ12</f>
        <v>671457.16638096864</v>
      </c>
      <c r="AK16">
        <f>'Net zero Activity data'!BM6*'Net zero supporting data'!AK12</f>
        <v>677421.75927119248</v>
      </c>
      <c r="AL16">
        <f>'Net zero Activity data'!BN6*'Net zero supporting data'!AL12</f>
        <v>683087.62904231215</v>
      </c>
      <c r="AM16">
        <f>'Net zero Activity data'!BO6*'Net zero supporting data'!AM12</f>
        <v>689453.01527444052</v>
      </c>
      <c r="AN16">
        <f>'Net zero Activity data'!BP6*'Net zero supporting data'!AN12</f>
        <v>695576.96389653615</v>
      </c>
    </row>
    <row r="17" spans="1:48" x14ac:dyDescent="0.25">
      <c r="A17" t="s">
        <v>1008</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48903.304717975298</v>
      </c>
      <c r="L17">
        <f>'Net zero Activity data'!AN7*'Net zero supporting data'!L12</f>
        <v>97970.86609754579</v>
      </c>
      <c r="M17">
        <f>'Net zero Activity data'!AO7*'Net zero supporting data'!M12</f>
        <v>147099.29444310063</v>
      </c>
      <c r="N17">
        <f>'Net zero Activity data'!AP7*'Net zero supporting data'!N12</f>
        <v>196576.02986492813</v>
      </c>
      <c r="O17">
        <f>'Net zero Activity data'!AQ7*'Net zero supporting data'!O12</f>
        <v>247332.89658330401</v>
      </c>
      <c r="P17">
        <f>'Net zero Activity data'!AR7*'Net zero supporting data'!P12</f>
        <v>298840.31085562834</v>
      </c>
      <c r="Q17">
        <f>'Net zero Activity data'!AS7*'Net zero supporting data'!Q12</f>
        <v>351389.78432814893</v>
      </c>
      <c r="R17">
        <f>'Net zero Activity data'!AT7*'Net zero supporting data'!R12</f>
        <v>404030.63209536078</v>
      </c>
      <c r="S17">
        <f>'Net zero Activity data'!AU7*'Net zero supporting data'!S12</f>
        <v>458119.98369556584</v>
      </c>
      <c r="T17">
        <f>'Net zero Activity data'!AV7*'Net zero supporting data'!T12</f>
        <v>514141.91833610134</v>
      </c>
      <c r="U17">
        <f>'Net zero Activity data'!AW7*'Net zero supporting data'!U12</f>
        <v>535503.47407408117</v>
      </c>
      <c r="V17">
        <f>'Net zero Activity data'!AX7*'Net zero supporting data'!V12</f>
        <v>557748.15852830594</v>
      </c>
      <c r="W17">
        <f>'Net zero Activity data'!AY7*'Net zero supporting data'!W12</f>
        <v>580708.88224883727</v>
      </c>
      <c r="X17">
        <f>'Net zero Activity data'!AZ7*'Net zero supporting data'!X12</f>
        <v>605306.60850787803</v>
      </c>
      <c r="Y17">
        <f>'Net zero Activity data'!BA7*'Net zero supporting data'!Y12</f>
        <v>629202.20405737718</v>
      </c>
      <c r="Z17">
        <f>'Net zero Activity data'!BB7*'Net zero supporting data'!Z12</f>
        <v>653956.14850203006</v>
      </c>
      <c r="AA17">
        <f>'Net zero Activity data'!BC7*'Net zero supporting data'!AA12</f>
        <v>679454.01341982558</v>
      </c>
      <c r="AB17">
        <f>'Net zero Activity data'!BD7*'Net zero supporting data'!AB12</f>
        <v>705012.85910784907</v>
      </c>
      <c r="AC17">
        <f>'Net zero Activity data'!BE7*'Net zero supporting data'!AC12</f>
        <v>731087.59488343308</v>
      </c>
      <c r="AD17">
        <f>'Net zero Activity data'!BF7*'Net zero supporting data'!AD12</f>
        <v>758128.08998889301</v>
      </c>
      <c r="AE17">
        <f>'Net zero Activity data'!BG7*'Net zero supporting data'!AE12</f>
        <v>770645.61872538214</v>
      </c>
      <c r="AF17">
        <f>'Net zero Activity data'!BH7*'Net zero supporting data'!AF12</f>
        <v>782500.01484350418</v>
      </c>
      <c r="AG17">
        <f>'Net zero Activity data'!BI7*'Net zero supporting data'!AG12</f>
        <v>794587.70629723312</v>
      </c>
      <c r="AH17">
        <f>'Net zero Activity data'!BJ7*'Net zero supporting data'!AH12</f>
        <v>806931.39879439678</v>
      </c>
      <c r="AI17">
        <f>'Net zero Activity data'!BK7*'Net zero supporting data'!AI12</f>
        <v>820176.44224817562</v>
      </c>
      <c r="AJ17">
        <f>'Net zero Activity data'!BL7*'Net zero supporting data'!AJ12</f>
        <v>833533.03412809921</v>
      </c>
      <c r="AK17">
        <f>'Net zero Activity data'!BM7*'Net zero supporting data'!AK12</f>
        <v>840937.35633665288</v>
      </c>
      <c r="AL17">
        <f>'Net zero Activity data'!BN7*'Net zero supporting data'!AL12</f>
        <v>847970.84984562895</v>
      </c>
      <c r="AM17">
        <f>'Net zero Activity data'!BO7*'Net zero supporting data'!AM12</f>
        <v>855872.70861654705</v>
      </c>
      <c r="AN17">
        <f>'Net zero Activity data'!BP7*'Net zero supporting data'!AN12</f>
        <v>863474.85173363134</v>
      </c>
    </row>
    <row r="18" spans="1:48" x14ac:dyDescent="0.25">
      <c r="A18" t="s">
        <v>1013</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235576.70561929836</v>
      </c>
      <c r="L18">
        <f>'Net zero Activity data'!AN8*'Net zero supporting data'!L13</f>
        <v>465024.71416900581</v>
      </c>
      <c r="M18">
        <f>'Net zero Activity data'!AO8*'Net zero supporting data'!M13</f>
        <v>686401.60906092846</v>
      </c>
      <c r="N18">
        <f>'Net zero Activity data'!AP8*'Net zero supporting data'!N13</f>
        <v>903354.78859717073</v>
      </c>
      <c r="O18">
        <f>'Net zero Activity data'!AQ8*'Net zero supporting data'!O13</f>
        <v>1127633.1259646758</v>
      </c>
      <c r="P18">
        <f>'Net zero Activity data'!AR8*'Net zero supporting data'!P13</f>
        <v>1353249.6465508738</v>
      </c>
      <c r="Q18">
        <f>'Net zero Activity data'!AS8*'Net zero supporting data'!Q13</f>
        <v>1581071.4430806374</v>
      </c>
      <c r="R18">
        <f>'Net zero Activity data'!AT8*'Net zero supporting data'!R13</f>
        <v>1798404.2877007315</v>
      </c>
      <c r="S18">
        <f>'Net zero Activity data'!AU8*'Net zero supporting data'!S13</f>
        <v>2020982.4512005958</v>
      </c>
      <c r="T18">
        <f>'Net zero Activity data'!AV8*'Net zero supporting data'!T13</f>
        <v>2252700.4453665195</v>
      </c>
      <c r="U18">
        <f>'Net zero Activity data'!AW8*'Net zero supporting data'!U13</f>
        <v>2401386.5218523704</v>
      </c>
      <c r="V18">
        <f>'Net zero Activity data'!AX8*'Net zero supporting data'!V13</f>
        <v>2551517.6719860942</v>
      </c>
      <c r="W18">
        <f>'Net zero Activity data'!AY8*'Net zero supporting data'!W13</f>
        <v>2700555.9678935623</v>
      </c>
      <c r="X18">
        <f>'Net zero Activity data'!AZ8*'Net zero supporting data'!X13</f>
        <v>2858004.3919918565</v>
      </c>
      <c r="Y18">
        <f>'Net zero Activity data'!BA8*'Net zero supporting data'!Y13</f>
        <v>2997364.7762343525</v>
      </c>
      <c r="Z18">
        <f>'Net zero Activity data'!BB8*'Net zero supporting data'!Z13</f>
        <v>3138253.1476081409</v>
      </c>
      <c r="AA18">
        <f>'Net zero Activity data'!BC8*'Net zero supporting data'!AA13</f>
        <v>3275946.6709882575</v>
      </c>
      <c r="AB18">
        <f>'Net zero Activity data'!BD8*'Net zero supporting data'!AB13</f>
        <v>3402727.287393508</v>
      </c>
      <c r="AC18">
        <f>'Net zero Activity data'!BE8*'Net zero supporting data'!AC13</f>
        <v>3523043.1497329134</v>
      </c>
      <c r="AD18">
        <f>'Net zero Activity data'!BF8*'Net zero supporting data'!AD13</f>
        <v>3640982.4619438522</v>
      </c>
      <c r="AE18">
        <f>'Net zero Activity data'!BG8*'Net zero supporting data'!AE13</f>
        <v>3759058.8809243869</v>
      </c>
      <c r="AF18">
        <f>'Net zero Activity data'!BH8*'Net zero supporting data'!AF13</f>
        <v>3866430.040345998</v>
      </c>
      <c r="AG18">
        <f>'Net zero Activity data'!BI8*'Net zero supporting data'!AG13</f>
        <v>3971855.8411231781</v>
      </c>
      <c r="AH18">
        <f>'Net zero Activity data'!BJ8*'Net zero supporting data'!AH13</f>
        <v>4075362.1468871669</v>
      </c>
      <c r="AI18">
        <f>'Net zero Activity data'!BK8*'Net zero supporting data'!AI13</f>
        <v>4183059.5331114535</v>
      </c>
      <c r="AJ18">
        <f>'Net zero Activity data'!BL8*'Net zero supporting data'!AJ13</f>
        <v>4289586.0809149724</v>
      </c>
      <c r="AK18">
        <f>'Net zero Activity data'!BM8*'Net zero supporting data'!AK13</f>
        <v>4333601.9926706487</v>
      </c>
      <c r="AL18">
        <f>'Net zero Activity data'!BN8*'Net zero supporting data'!AL13</f>
        <v>4369736.6381275589</v>
      </c>
      <c r="AM18">
        <f>'Net zero Activity data'!BO8*'Net zero supporting data'!AM13</f>
        <v>4409801.7171875974</v>
      </c>
      <c r="AN18">
        <f>'Net zero Activity data'!BP8*'Net zero supporting data'!AN13</f>
        <v>4442570.1132161999</v>
      </c>
    </row>
    <row r="19" spans="1:48" x14ac:dyDescent="0.25">
      <c r="A19" t="s">
        <v>1009</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48896.49188240699</v>
      </c>
      <c r="L19">
        <f>'Net zero Activity data'!AN10*'Net zero supporting data'!L14</f>
        <v>99879.453888014134</v>
      </c>
      <c r="M19">
        <f>'Net zero Activity data'!AO10*'Net zero supporting data'!M14</f>
        <v>152523.85061056525</v>
      </c>
      <c r="N19">
        <f>'Net zero Activity data'!AP10*'Net zero supporting data'!N14</f>
        <v>207631.44083429367</v>
      </c>
      <c r="O19">
        <f>'Net zero Activity data'!AQ10*'Net zero supporting data'!O14</f>
        <v>268042.81522426009</v>
      </c>
      <c r="P19">
        <f>'Net zero Activity data'!AR10*'Net zero supporting data'!P14</f>
        <v>332622.43755679688</v>
      </c>
      <c r="Q19">
        <f>'Net zero Activity data'!AS10*'Net zero supporting data'!Q14</f>
        <v>401797.02212598681</v>
      </c>
      <c r="R19">
        <f>'Net zero Activity data'!AT10*'Net zero supporting data'!R14</f>
        <v>472472.37258172175</v>
      </c>
      <c r="S19">
        <f>'Net zero Activity data'!AU10*'Net zero supporting data'!S14</f>
        <v>548839.19829062361</v>
      </c>
      <c r="T19">
        <f>'Net zero Activity data'!AV10*'Net zero supporting data'!T14</f>
        <v>632333.16274313349</v>
      </c>
      <c r="U19">
        <f>'Net zero Activity data'!AW10*'Net zero supporting data'!U14</f>
        <v>673747.64720525243</v>
      </c>
      <c r="V19">
        <f>'Net zero Activity data'!AX10*'Net zero supporting data'!V14</f>
        <v>717448.08796694991</v>
      </c>
      <c r="W19">
        <f>'Net zero Activity data'!AY10*'Net zero supporting data'!W14</f>
        <v>762853.90663959295</v>
      </c>
      <c r="X19">
        <f>'Net zero Activity data'!AZ10*'Net zero supporting data'!X14</f>
        <v>812799.11405059311</v>
      </c>
      <c r="Y19">
        <f>'Net zero Activity data'!BA10*'Net zero supporting data'!Y14</f>
        <v>859886.0853208577</v>
      </c>
      <c r="Z19">
        <f>'Net zero Activity data'!BB10*'Net zero supporting data'!Z14</f>
        <v>909799.79576865665</v>
      </c>
      <c r="AA19">
        <f>'Net zero Activity data'!BC10*'Net zero supporting data'!AA14</f>
        <v>961312.89979038073</v>
      </c>
      <c r="AB19">
        <f>'Net zero Activity data'!BD10*'Net zero supporting data'!AB14</f>
        <v>1012246.1837244375</v>
      </c>
      <c r="AC19">
        <f>'Net zero Activity data'!BE10*'Net zero supporting data'!AC14</f>
        <v>1063957.7134247953</v>
      </c>
      <c r="AD19">
        <f>'Net zero Activity data'!BF10*'Net zero supporting data'!AD14</f>
        <v>1117765.909590167</v>
      </c>
      <c r="AE19">
        <f>'Net zero Activity data'!BG10*'Net zero supporting data'!AE14</f>
        <v>1158236.0157574657</v>
      </c>
      <c r="AF19">
        <f>'Net zero Activity data'!BH10*'Net zero supporting data'!AF14</f>
        <v>1196507.0626884943</v>
      </c>
      <c r="AG19">
        <f>'Net zero Activity data'!BI10*'Net zero supporting data'!AG14</f>
        <v>1235322.8472017227</v>
      </c>
      <c r="AH19">
        <f>'Net zero Activity data'!BJ10*'Net zero supporting data'!AH14</f>
        <v>1274746.6017324834</v>
      </c>
      <c r="AI19">
        <f>'Net zero Activity data'!BK10*'Net zero supporting data'!AI14</f>
        <v>1316758.0853179072</v>
      </c>
      <c r="AJ19">
        <f>'Net zero Activity data'!BL10*'Net zero supporting data'!AJ14</f>
        <v>1359755.6620945183</v>
      </c>
      <c r="AK19">
        <f>'Net zero Activity data'!BM10*'Net zero supporting data'!AK14</f>
        <v>1384215.2392491424</v>
      </c>
      <c r="AL19">
        <f>'Net zero Activity data'!BN10*'Net zero supporting data'!AL14</f>
        <v>1407315.8052346774</v>
      </c>
      <c r="AM19">
        <f>'Net zero Activity data'!BO10*'Net zero supporting data'!AM14</f>
        <v>1432871.6990553653</v>
      </c>
      <c r="AN19">
        <f>'Net zero Activity data'!BP10*'Net zero supporting data'!AN14</f>
        <v>1457280.0035630902</v>
      </c>
    </row>
    <row r="20" spans="1:48" x14ac:dyDescent="0.25">
      <c r="A20" t="s">
        <v>1031</v>
      </c>
      <c r="B20" s="11">
        <f>'Net zero Activity data'!AD5-'Net zero supporting data'!B15</f>
        <v>590659.82732236863</v>
      </c>
      <c r="C20" s="11">
        <f>'Net zero Activity data'!AE5-'Net zero supporting data'!C15</f>
        <v>594647.99563903548</v>
      </c>
      <c r="D20" s="11">
        <f>'Net zero Activity data'!AF5-'Net zero supporting data'!D15</f>
        <v>598136.63268648856</v>
      </c>
      <c r="E20" s="11">
        <f>'Net zero Activity data'!AG5-'Net zero supporting data'!E15</f>
        <v>598587.8952012012</v>
      </c>
      <c r="F20" s="11">
        <f>'Net zero Activity data'!AH5-'Net zero supporting data'!F15</f>
        <v>599365.15063746762</v>
      </c>
      <c r="G20" s="11">
        <f>'Net zero Activity data'!AI5-'Net zero supporting data'!G15</f>
        <v>603824.89896406408</v>
      </c>
      <c r="H20" s="11">
        <f>'Net zero Activity data'!AJ5-'Net zero supporting data'!H15</f>
        <v>607391.06462310744</v>
      </c>
      <c r="I20" s="11">
        <f>'Net zero Activity data'!AK5-'Net zero supporting data'!I15</f>
        <v>607422.33297804231</v>
      </c>
      <c r="J20" s="11">
        <f>'Net zero Activity data'!AL5-'Net zero supporting data'!J15</f>
        <v>591329.43600858422</v>
      </c>
      <c r="K20" s="11">
        <f>'Net zero Activity data'!AM5-'Net zero supporting data'!K15</f>
        <v>546766.11524958478</v>
      </c>
      <c r="L20" s="11">
        <f>'Net zero Activity data'!AN5-'Net zero supporting data'!L15</f>
        <v>500059.62903955649</v>
      </c>
      <c r="M20" s="11">
        <f>'Net zero Activity data'!AO5-'Net zero supporting data'!M15</f>
        <v>452875.14261417545</v>
      </c>
      <c r="N20" s="11">
        <f>'Net zero Activity data'!AP5-'Net zero supporting data'!N15</f>
        <v>406120.61725566746</v>
      </c>
      <c r="O20" s="11">
        <f>'Net zero Activity data'!AQ5-'Net zero supporting data'!O15</f>
        <v>360693.80751731817</v>
      </c>
      <c r="P20" s="11">
        <f>'Net zero Activity data'!AR5-'Net zero supporting data'!P15</f>
        <v>314750.79036877508</v>
      </c>
      <c r="Q20" s="11">
        <f>'Net zero Activity data'!AS5-'Net zero supporting data'!Q15</f>
        <v>268422.7519173359</v>
      </c>
      <c r="R20" s="11">
        <f>'Net zero Activity data'!AT5-'Net zero supporting data'!R15</f>
        <v>220954.25192715041</v>
      </c>
      <c r="S20" s="11">
        <f>'Net zero Activity data'!AU5-'Net zero supporting data'!S15</f>
        <v>173208.94445279881</v>
      </c>
      <c r="T20" s="11">
        <f>'Net zero Activity data'!AV5-'Net zero supporting data'!T15</f>
        <v>124965.04959558015</v>
      </c>
      <c r="U20" s="11">
        <f>'Net zero Activity data'!AW5-'Net zero supporting data'!U15</f>
        <v>114284.2780036148</v>
      </c>
      <c r="V20" s="11">
        <f>'Net zero Activity data'!AX5-'Net zero supporting data'!V15</f>
        <v>103286.69602376025</v>
      </c>
      <c r="W20" s="11">
        <f>'Net zero Activity data'!AY5-'Net zero supporting data'!W15</f>
        <v>91908.05952904711</v>
      </c>
      <c r="X20" s="11">
        <f>'Net zero Activity data'!AZ5-'Net zero supporting data'!X15</f>
        <v>80248.982188544353</v>
      </c>
      <c r="Y20" s="11">
        <f>'Net zero Activity data'!BA5-'Net zero supporting data'!Y15</f>
        <v>67969.37389508693</v>
      </c>
      <c r="Z20" s="11">
        <f>'Net zero Activity data'!BB5-'Net zero supporting data'!Z15</f>
        <v>55286.147820219863</v>
      </c>
      <c r="AA20" s="11">
        <f>'Net zero Activity data'!BC5-'Net zero supporting data'!AA15</f>
        <v>42164.699414350791</v>
      </c>
      <c r="AB20" s="11">
        <f>'Net zero Activity data'!BD5-'Net zero supporting data'!AB15</f>
        <v>28559.548690711381</v>
      </c>
      <c r="AC20" s="11">
        <f>'Net zero Activity data'!BE5-'Net zero supporting data'!AC15</f>
        <v>14505.706247686991</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1112</v>
      </c>
      <c r="B21" s="11">
        <f>'Net zero Activity data'!AD6-'Net zero supporting data'!B16</f>
        <v>489403.85692424828</v>
      </c>
      <c r="C21" s="11">
        <f>'Net zero Activity data'!AE6-'Net zero supporting data'!C16</f>
        <v>492708.33924377221</v>
      </c>
      <c r="D21" s="11">
        <f>'Net zero Activity data'!AF6-'Net zero supporting data'!D16</f>
        <v>495598.9242259477</v>
      </c>
      <c r="E21" s="11">
        <f>'Net zero Activity data'!AG6-'Net zero supporting data'!E16</f>
        <v>495972.82745242387</v>
      </c>
      <c r="F21" s="11">
        <f>'Net zero Activity data'!AH6-'Net zero supporting data'!F16</f>
        <v>496616.83909961605</v>
      </c>
      <c r="G21" s="11">
        <f>'Net zero Activity data'!AI6-'Net zero supporting data'!G16</f>
        <v>500312.05914165312</v>
      </c>
      <c r="H21" s="11">
        <f>'Net zero Activity data'!AJ6-'Net zero supporting data'!H16</f>
        <v>503266.88211628905</v>
      </c>
      <c r="I21" s="11">
        <f>'Net zero Activity data'!AK6-'Net zero supporting data'!I16</f>
        <v>503292.79018180649</v>
      </c>
      <c r="J21" s="11">
        <f>'Net zero Activity data'!AL6-'Net zero supporting data'!J16</f>
        <v>489958.67554996983</v>
      </c>
      <c r="K21" s="11">
        <f>'Net zero Activity data'!AM6-'Net zero supporting data'!K16</f>
        <v>453034.78120679886</v>
      </c>
      <c r="L21" s="11">
        <f>'Net zero Activity data'!AN6-'Net zero supporting data'!L16</f>
        <v>414335.12120420393</v>
      </c>
      <c r="M21" s="11">
        <f>'Net zero Activity data'!AO6-'Net zero supporting data'!M16</f>
        <v>375239.40388031682</v>
      </c>
      <c r="N21" s="11">
        <f>'Net zero Activity data'!AP6-'Net zero supporting data'!N16</f>
        <v>336499.94001183868</v>
      </c>
      <c r="O21" s="11">
        <f>'Net zero Activity data'!AQ6-'Net zero supporting data'!O16</f>
        <v>298860.58337149222</v>
      </c>
      <c r="P21" s="11">
        <f>'Net zero Activity data'!AR6-'Net zero supporting data'!P16</f>
        <v>260793.51201984222</v>
      </c>
      <c r="Q21" s="11">
        <f>'Net zero Activity data'!AS6-'Net zero supporting data'!Q16</f>
        <v>222407.42301722115</v>
      </c>
      <c r="R21" s="11">
        <f>'Net zero Activity data'!AT6-'Net zero supporting data'!R16</f>
        <v>183076.38016821031</v>
      </c>
      <c r="S21" s="11">
        <f>'Net zero Activity data'!AU6-'Net zero supporting data'!S16</f>
        <v>143515.9825466047</v>
      </c>
      <c r="T21" s="11">
        <f>'Net zero Activity data'!AV6-'Net zero supporting data'!T16</f>
        <v>103542.46966490924</v>
      </c>
      <c r="U21" s="11">
        <f>'Net zero Activity data'!AW6-'Net zero supporting data'!U16</f>
        <v>94692.687488709402</v>
      </c>
      <c r="V21" s="11">
        <f>'Net zero Activity data'!AX6-'Net zero supporting data'!V16</f>
        <v>85580.405276829959</v>
      </c>
      <c r="W21" s="11">
        <f>'Net zero Activity data'!AY6-'Net zero supporting data'!W16</f>
        <v>76152.392181210511</v>
      </c>
      <c r="X21" s="11">
        <f>'Net zero Activity data'!AZ6-'Net zero supporting data'!X16</f>
        <v>66492.013813365309</v>
      </c>
      <c r="Y21" s="11">
        <f>'Net zero Activity data'!BA6-'Net zero supporting data'!Y16</f>
        <v>56317.481227357755</v>
      </c>
      <c r="Z21" s="11">
        <f>'Net zero Activity data'!BB6-'Net zero supporting data'!Z16</f>
        <v>45808.522479610634</v>
      </c>
      <c r="AA21" s="11">
        <f>'Net zero Activity data'!BC6-'Net zero supporting data'!AA16</f>
        <v>34936.465229033493</v>
      </c>
      <c r="AB21" s="11">
        <f>'Net zero Activity data'!BD6-'Net zero supporting data'!AB16</f>
        <v>23663.626058017951</v>
      </c>
      <c r="AC21" s="11">
        <f>'Net zero Activity data'!BE6-'Net zero supporting data'!AC16</f>
        <v>12019.013748083496</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1113</v>
      </c>
      <c r="B22" s="11">
        <f>'Net zero Activity data'!AD7-'Net zero supporting data'!B17</f>
        <v>607535.8223887221</v>
      </c>
      <c r="C22" s="11">
        <f>'Net zero Activity data'!AE7-'Net zero supporting data'!C17</f>
        <v>611637.9383715794</v>
      </c>
      <c r="D22" s="11">
        <f>'Net zero Activity data'!AF7-'Net zero supporting data'!D17</f>
        <v>615226.25076324551</v>
      </c>
      <c r="E22" s="11">
        <f>'Net zero Activity data'!AG7-'Net zero supporting data'!E17</f>
        <v>615690.40649266425</v>
      </c>
      <c r="F22" s="11">
        <f>'Net zero Activity data'!AH7-'Net zero supporting data'!F17</f>
        <v>616489.86922710971</v>
      </c>
      <c r="G22" s="11">
        <f>'Net zero Activity data'!AI7-'Net zero supporting data'!G17</f>
        <v>621077.03893446608</v>
      </c>
      <c r="H22" s="11">
        <f>'Net zero Activity data'!AJ7-'Net zero supporting data'!H17</f>
        <v>624745.09504091064</v>
      </c>
      <c r="I22" s="11">
        <f>'Net zero Activity data'!AK7-'Net zero supporting data'!I17</f>
        <v>624777.25677741505</v>
      </c>
      <c r="J22" s="11">
        <f>'Net zero Activity data'!AL7-'Net zero supporting data'!J17</f>
        <v>608224.56275168678</v>
      </c>
      <c r="K22" s="11">
        <f>'Net zero Activity data'!AM7-'Net zero supporting data'!K17</f>
        <v>562388.00425671588</v>
      </c>
      <c r="L22" s="11">
        <f>'Net zero Activity data'!AN7-'Net zero supporting data'!L17</f>
        <v>514347.04701211542</v>
      </c>
      <c r="M22" s="11">
        <f>'Net zero Activity data'!AO7-'Net zero supporting data'!M17</f>
        <v>465814.43240315205</v>
      </c>
      <c r="N22" s="11">
        <f>'Net zero Activity data'!AP7-'Net zero supporting data'!N17</f>
        <v>417724.06346297229</v>
      </c>
      <c r="O22" s="11">
        <f>'Net zero Activity data'!AQ7-'Net zero supporting data'!O17</f>
        <v>370999.34487495595</v>
      </c>
      <c r="P22" s="11">
        <f>'Net zero Activity data'!AR7-'Net zero supporting data'!P17</f>
        <v>323743.67009359726</v>
      </c>
      <c r="Q22" s="11">
        <f>'Net zero Activity data'!AS7-'Net zero supporting data'!Q17</f>
        <v>276091.97340068838</v>
      </c>
      <c r="R22" s="11">
        <f>'Net zero Activity data'!AT7-'Net zero supporting data'!R17</f>
        <v>227267.2305536404</v>
      </c>
      <c r="S22" s="11">
        <f>'Net zero Activity data'!AU7-'Net zero supporting data'!S17</f>
        <v>178157.77143716451</v>
      </c>
      <c r="T22" s="11">
        <f>'Net zero Activity data'!AV7-'Net zero supporting data'!T17</f>
        <v>128535.47958402534</v>
      </c>
      <c r="U22" s="11">
        <f>'Net zero Activity data'!AW7-'Net zero supporting data'!U17</f>
        <v>117549.54308943241</v>
      </c>
      <c r="V22" s="11">
        <f>'Net zero Activity data'!AX7-'Net zero supporting data'!V17</f>
        <v>106237.74448158196</v>
      </c>
      <c r="W22" s="11">
        <f>'Net zero Activity data'!AY7-'Net zero supporting data'!W17</f>
        <v>94534.004087019945</v>
      </c>
      <c r="X22" s="11">
        <f>'Net zero Activity data'!AZ7-'Net zero supporting data'!X17</f>
        <v>82541.810251074145</v>
      </c>
      <c r="Y22" s="11">
        <f>'Net zero Activity data'!BA7-'Net zero supporting data'!Y17</f>
        <v>69911.356006375165</v>
      </c>
      <c r="Z22" s="11">
        <f>'Net zero Activity data'!BB7-'Net zero supporting data'!Z17</f>
        <v>56865.752043654677</v>
      </c>
      <c r="AA22" s="11">
        <f>'Net zero Activity data'!BC7-'Net zero supporting data'!AA17</f>
        <v>43369.405111903674</v>
      </c>
      <c r="AB22" s="11">
        <f>'Net zero Activity data'!BD7-'Net zero supporting data'!AB17</f>
        <v>29375.535796160228</v>
      </c>
      <c r="AC22" s="11">
        <f>'Net zero Activity data'!BE7-'Net zero supporting data'!AC17</f>
        <v>14920.154997620964</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1114</v>
      </c>
      <c r="B23" s="11">
        <f>'Net zero Activity data'!AD8-'Net zero supporting data'!B18</f>
        <v>5984261.233029482</v>
      </c>
      <c r="C23" s="11">
        <f>'Net zero Activity data'!AE8-'Net zero supporting data'!C18</f>
        <v>5953794.0597159145</v>
      </c>
      <c r="D23" s="11">
        <f>'Net zero Activity data'!AF8-'Net zero supporting data'!D18</f>
        <v>5898185.8883474981</v>
      </c>
      <c r="E23" s="11">
        <f>'Net zero Activity data'!AG8-'Net zero supporting data'!E18</f>
        <v>5745970.6114831753</v>
      </c>
      <c r="F23" s="11">
        <f>'Net zero Activity data'!AH8-'Net zero supporting data'!F18</f>
        <v>5599829.6425982891</v>
      </c>
      <c r="G23" s="11">
        <f>'Net zero Activity data'!AI8-'Net zero supporting data'!G18</f>
        <v>5551992.8329450591</v>
      </c>
      <c r="H23" s="11">
        <f>'Net zero Activity data'!AJ8-'Net zero supporting data'!H18</f>
        <v>5474731.2958658384</v>
      </c>
      <c r="I23" s="11">
        <f>'Net zero Activity data'!AK8-'Net zero supporting data'!I18</f>
        <v>5301139.6705897786</v>
      </c>
      <c r="J23" s="11">
        <f>'Net zero Activity data'!AL8-'Net zero supporting data'!J18</f>
        <v>4718721.9406965245</v>
      </c>
      <c r="K23" s="11">
        <f>'Net zero Activity data'!AM8-'Net zero supporting data'!K18</f>
        <v>4475957.4067666689</v>
      </c>
      <c r="L23" s="11">
        <f>'Net zero Activity data'!AN8-'Net zero supporting data'!L18</f>
        <v>4185222.4275210518</v>
      </c>
      <c r="M23" s="11">
        <f>'Net zero Activity data'!AO8-'Net zero supporting data'!M18</f>
        <v>3889609.1180119272</v>
      </c>
      <c r="N23" s="11">
        <f>'Net zero Activity data'!AP8-'Net zero supporting data'!N18</f>
        <v>3613419.1543886825</v>
      </c>
      <c r="O23" s="11">
        <f>'Net zero Activity data'!AQ8-'Net zero supporting data'!O18</f>
        <v>3382899.3778940272</v>
      </c>
      <c r="P23" s="11">
        <f>'Net zero Activity data'!AR8-'Net zero supporting data'!P18</f>
        <v>3157582.5086187054</v>
      </c>
      <c r="Q23" s="11">
        <f>'Net zero Activity data'!AS8-'Net zero supporting data'!Q18</f>
        <v>2936275.5371497553</v>
      </c>
      <c r="R23" s="11">
        <f>'Net zero Activity data'!AT8-'Net zero supporting data'!R18</f>
        <v>2697606.4315510979</v>
      </c>
      <c r="S23" s="11">
        <f>'Net zero Activity data'!AU8-'Net zero supporting data'!S18</f>
        <v>2470089.6625785064</v>
      </c>
      <c r="T23" s="11">
        <f>'Net zero Activity data'!AV8-'Net zero supporting data'!T18</f>
        <v>2252700.4453665195</v>
      </c>
      <c r="U23" s="11">
        <f>'Net zero Activity data'!AW8-'Net zero supporting data'!U18</f>
        <v>2129531.4439068185</v>
      </c>
      <c r="V23" s="11">
        <f>'Net zero Activity data'!AX8-'Net zero supporting data'!V18</f>
        <v>2004763.8851319305</v>
      </c>
      <c r="W23" s="11">
        <f>'Net zero Activity data'!AY8-'Net zero supporting data'!W18</f>
        <v>1876657.5370107796</v>
      </c>
      <c r="X23" s="11">
        <f>'Net zero Activity data'!AZ8-'Net zero supporting data'!X18</f>
        <v>1751680.1112208143</v>
      </c>
      <c r="Y23" s="11">
        <f>'Net zero Activity data'!BA8-'Net zero supporting data'!Y18</f>
        <v>1613965.6487415736</v>
      </c>
      <c r="Z23" s="11">
        <f>'Net zero Activity data'!BB8-'Net zero supporting data'!Z18</f>
        <v>1476825.0106391241</v>
      </c>
      <c r="AA23" s="11">
        <f>'Net zero Activity data'!BC8-'Net zero supporting data'!AA18</f>
        <v>1338062.7247698507</v>
      </c>
      <c r="AB23" s="11">
        <f>'Net zero Activity data'!BD8-'Net zero supporting data'!AB18</f>
        <v>1195552.8307058257</v>
      </c>
      <c r="AC23" s="11">
        <f>'Net zero Activity data'!BE8-'Net zero supporting data'!AC18</f>
        <v>1052337.5642059338</v>
      </c>
      <c r="AD23" s="11">
        <f>'Net zero Activity data'!BF8-'Net zero supporting data'!AD18</f>
        <v>910245.61548596295</v>
      </c>
      <c r="AE23" s="11">
        <f>'Net zero Activity data'!BG8-'Net zero supporting data'!AE18</f>
        <v>825159.26654437743</v>
      </c>
      <c r="AF23" s="11">
        <f>'Net zero Activity data'!BH8-'Net zero supporting data'!AF18</f>
        <v>736462.86482780846</v>
      </c>
      <c r="AG23" s="11">
        <f>'Net zero Activity data'!BI8-'Net zero supporting data'!AG18</f>
        <v>646581.18343865639</v>
      </c>
      <c r="AH23" s="11">
        <f>'Net zero Activity data'!BJ8-'Net zero supporting data'!AH18</f>
        <v>555731.20184824942</v>
      </c>
      <c r="AI23" s="11">
        <f>'Net zero Activity data'!BK8-'Net zero supporting data'!AI18</f>
        <v>464784.39256793866</v>
      </c>
      <c r="AJ23" s="11">
        <f>'Net zero Activity data'!BL8-'Net zero supporting data'!AJ18</f>
        <v>373007.48529695347</v>
      </c>
      <c r="AK23" s="11">
        <f>'Net zero Activity data'!BM8-'Net zero supporting data'!AK18</f>
        <v>276612.89314918965</v>
      </c>
      <c r="AL23" s="11">
        <f>'Net zero Activity data'!BN8-'Net zero supporting data'!AL18</f>
        <v>182072.35992198065</v>
      </c>
      <c r="AM23" s="11">
        <f>'Net zero Activity data'!BO8-'Net zero supporting data'!AM18</f>
        <v>89995.953411990777</v>
      </c>
      <c r="AN23" s="11">
        <f>'Net zero Activity data'!BP8-'Net zero supporting data'!AN18</f>
        <v>0</v>
      </c>
    </row>
    <row r="24" spans="1:48" x14ac:dyDescent="0.25">
      <c r="A24" t="s">
        <v>1032</v>
      </c>
      <c r="B24" s="11">
        <f>'Net zero Activity data'!AD10-'Net zero supporting data'!B19</f>
        <v>543007.49179039791</v>
      </c>
      <c r="C24" s="11">
        <f>'Net zero Activity data'!AE10-'Net zero supporting data'!C19</f>
        <v>563264.94874187512</v>
      </c>
      <c r="D24" s="11">
        <f>'Net zero Activity data'!AF10-'Net zero supporting data'!D19</f>
        <v>581463.66332741594</v>
      </c>
      <c r="E24" s="11">
        <f>'Net zero Activity data'!AG10-'Net zero supporting data'!E19</f>
        <v>590003.82779140584</v>
      </c>
      <c r="F24" s="11">
        <f>'Net zero Activity data'!AH10-'Net zero supporting data'!F19</f>
        <v>598674.66430219111</v>
      </c>
      <c r="G24" s="11">
        <f>'Net zero Activity data'!AI10-'Net zero supporting data'!G19</f>
        <v>617814.32044813794</v>
      </c>
      <c r="H24" s="11">
        <f>'Net zero Activity data'!AJ10-'Net zero supporting data'!H19</f>
        <v>633958.70908242883</v>
      </c>
      <c r="I24" s="11">
        <f>'Net zero Activity data'!AK10-'Net zero supporting data'!I19</f>
        <v>638671.61459478887</v>
      </c>
      <c r="J24" s="11">
        <f>'Net zero Activity data'!AL10-'Net zero supporting data'!J19</f>
        <v>591407.68067539216</v>
      </c>
      <c r="K24" s="11">
        <f>'Net zero Activity data'!AM10-'Net zero supporting data'!K19</f>
        <v>562309.65664768033</v>
      </c>
      <c r="L24" s="11">
        <f>'Net zero Activity data'!AN10-'Net zero supporting data'!L19</f>
        <v>524367.13291207422</v>
      </c>
      <c r="M24" s="11">
        <f>'Net zero Activity data'!AO10-'Net zero supporting data'!M19</f>
        <v>482992.19360012328</v>
      </c>
      <c r="N24" s="11">
        <f>'Net zero Activity data'!AP10-'Net zero supporting data'!N19</f>
        <v>441216.81177287403</v>
      </c>
      <c r="O24" s="11">
        <f>'Net zero Activity data'!AQ10-'Net zero supporting data'!O19</f>
        <v>402064.22283639014</v>
      </c>
      <c r="P24" s="11">
        <f>'Net zero Activity data'!AR10-'Net zero supporting data'!P19</f>
        <v>360340.97401986324</v>
      </c>
      <c r="Q24" s="11">
        <f>'Net zero Activity data'!AS10-'Net zero supporting data'!Q19</f>
        <v>315697.66024184675</v>
      </c>
      <c r="R24" s="11">
        <f>'Net zero Activity data'!AT10-'Net zero supporting data'!R19</f>
        <v>265765.70957721851</v>
      </c>
      <c r="S24" s="11">
        <f>'Net zero Activity data'!AU10-'Net zero supporting data'!S19</f>
        <v>213437.46600190923</v>
      </c>
      <c r="T24" s="11">
        <f>'Net zero Activity data'!AV10-'Net zero supporting data'!T19</f>
        <v>158083.29068578326</v>
      </c>
      <c r="U24" s="11">
        <f>'Net zero Activity data'!AW10-'Net zero supporting data'!U19</f>
        <v>147895.8249962749</v>
      </c>
      <c r="V24" s="11">
        <f>'Net zero Activity data'!AX10-'Net zero supporting data'!V19</f>
        <v>136656.77866037132</v>
      </c>
      <c r="W24" s="11">
        <f>'Net zero Activity data'!AY10-'Net zero supporting data'!W19</f>
        <v>124185.51968551497</v>
      </c>
      <c r="X24" s="11">
        <f>'Net zero Activity data'!AZ10-'Net zero supporting data'!X19</f>
        <v>110836.24282508076</v>
      </c>
      <c r="Y24" s="11">
        <f>'Net zero Activity data'!BA10-'Net zero supporting data'!Y19</f>
        <v>95542.898368984112</v>
      </c>
      <c r="Z24" s="11">
        <f>'Net zero Activity data'!BB10-'Net zero supporting data'!Z19</f>
        <v>79113.025719013414</v>
      </c>
      <c r="AA24" s="11">
        <f>'Net zero Activity data'!BC10-'Net zero supporting data'!AA19</f>
        <v>61360.397858960321</v>
      </c>
      <c r="AB24" s="11">
        <f>'Net zero Activity data'!BD10-'Net zero supporting data'!AB19</f>
        <v>42176.924321851344</v>
      </c>
      <c r="AC24" s="11">
        <f>'Net zero Activity data'!BE10-'Net zero supporting data'!AC19</f>
        <v>21713.422722954769</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957</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958</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959</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953</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952</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20" customFormat="1" ht="15.75" x14ac:dyDescent="0.25">
      <c r="A31" s="116" t="s">
        <v>946</v>
      </c>
      <c r="B31" s="116"/>
      <c r="C31" s="116"/>
      <c r="D31" s="116"/>
      <c r="E31" s="116"/>
      <c r="F31" s="116"/>
      <c r="G31" s="116"/>
      <c r="H31" s="116"/>
      <c r="I31" s="116"/>
      <c r="J31" s="118"/>
      <c r="K31" s="118"/>
      <c r="L31" s="118"/>
      <c r="M31" s="118"/>
      <c r="N31" s="118"/>
      <c r="O31" s="118"/>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row>
    <row r="32" spans="1:48" x14ac:dyDescent="0.25">
      <c r="A32" t="s">
        <v>1345</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1349</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1028</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1027</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1029</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1030</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1006</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41601.769638555357</v>
      </c>
      <c r="L38">
        <f>'Net zero Activity data'!AN5*'Net zero supporting data'!L36</f>
        <v>83343.271506592733</v>
      </c>
      <c r="M38">
        <f>'Net zero Activity data'!AO5*'Net zero supporting data'!M36</f>
        <v>125136.55256444319</v>
      </c>
      <c r="N38">
        <f>'Net zero Activity data'!AP5*'Net zero supporting data'!N36</f>
        <v>167226.13651703953</v>
      </c>
      <c r="O38">
        <f>'Net zero Activity data'!AQ5*'Net zero supporting data'!O36</f>
        <v>210404.72105176892</v>
      </c>
      <c r="P38">
        <f>'Net zero Activity data'!AR5*'Net zero supporting data'!P36</f>
        <v>254221.79222093374</v>
      </c>
      <c r="Q38">
        <f>'Net zero Activity data'!AS5*'Net zero supporting data'!Q36</f>
        <v>298925.33736248774</v>
      </c>
      <c r="R38">
        <f>'Net zero Activity data'!AT5*'Net zero supporting data'!R36</f>
        <v>343706.6141089006</v>
      </c>
      <c r="S38">
        <f>'Net zero Activity data'!AU5*'Net zero supporting data'!S36</f>
        <v>389720.12501879717</v>
      </c>
      <c r="T38">
        <f>'Net zero Activity data'!AV5*'Net zero supporting data'!T36</f>
        <v>437377.67358453054</v>
      </c>
      <c r="U38">
        <f>'Net zero Activity data'!AW5*'Net zero supporting data'!U36</f>
        <v>463486.23857021588</v>
      </c>
      <c r="V38">
        <f>'Net zero Activity data'!AX5*'Net zero supporting data'!V36</f>
        <v>490611.80611286149</v>
      </c>
      <c r="W38">
        <f>'Net zero Activity data'!AY5*'Net zero supporting data'!W36</f>
        <v>518624.05019962363</v>
      </c>
      <c r="X38">
        <f>'Net zero Activity data'!AZ5*'Net zero supporting data'!X36</f>
        <v>548368.04495505348</v>
      </c>
      <c r="Y38">
        <f>'Net zero Activity data'!BA5*'Net zero supporting data'!Y36</f>
        <v>577739.67810823966</v>
      </c>
      <c r="Z38">
        <f>'Net zero Activity data'!BB5*'Net zero supporting data'!Z36</f>
        <v>608147.62602241908</v>
      </c>
      <c r="AA38">
        <f>'Net zero Activity data'!BC5*'Net zero supporting data'!AA36</f>
        <v>639497.9411176549</v>
      </c>
      <c r="AB38">
        <f>'Net zero Activity data'!BD5*'Net zero supporting data'!AB36</f>
        <v>671149.39423171966</v>
      </c>
      <c r="AC38">
        <f>'Net zero Activity data'!BE5*'Net zero supporting data'!AC36</f>
        <v>703526.75301282736</v>
      </c>
      <c r="AD38">
        <f>'Net zero Activity data'!BF5*'Net zero supporting data'!AD36</f>
        <v>737068.97637809033</v>
      </c>
      <c r="AE38">
        <f>'Net zero Activity data'!BG5*'Net zero supporting data'!AE36</f>
        <v>749238.7959830102</v>
      </c>
      <c r="AF38">
        <f>'Net zero Activity data'!BH5*'Net zero supporting data'!AF36</f>
        <v>760763.90332007338</v>
      </c>
      <c r="AG38">
        <f>'Net zero Activity data'!BI5*'Net zero supporting data'!AG36</f>
        <v>772515.82556675421</v>
      </c>
      <c r="AH38">
        <f>'Net zero Activity data'!BJ5*'Net zero supporting data'!AH36</f>
        <v>784516.63771677448</v>
      </c>
      <c r="AI38">
        <f>'Net zero Activity data'!BK5*'Net zero supporting data'!AI36</f>
        <v>797393.76329683722</v>
      </c>
      <c r="AJ38">
        <f>'Net zero Activity data'!BL5*'Net zero supporting data'!AJ36</f>
        <v>810379.33873565192</v>
      </c>
      <c r="AK38">
        <f>'Net zero Activity data'!BM5*'Net zero supporting data'!AK36</f>
        <v>817577.98532730131</v>
      </c>
      <c r="AL38">
        <f>'Net zero Activity data'!BN5*'Net zero supporting data'!AL36</f>
        <v>824416.10401658353</v>
      </c>
      <c r="AM38">
        <f>'Net zero Activity data'!BO5*'Net zero supporting data'!AM36</f>
        <v>832098.46671053173</v>
      </c>
      <c r="AN38">
        <f>'Net zero Activity data'!BP5*'Net zero supporting data'!AN36</f>
        <v>839489.43918547477</v>
      </c>
    </row>
    <row r="39" spans="1:48" x14ac:dyDescent="0.25">
      <c r="A39" t="s">
        <v>1009</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42784.430397106109</v>
      </c>
      <c r="L39">
        <f>'Net zero Activity data'!AN10*'Net zero supporting data'!L37</f>
        <v>87394.522152012345</v>
      </c>
      <c r="M39">
        <f>'Net zero Activity data'!AO10*'Net zero supporting data'!M37</f>
        <v>133458.36928424457</v>
      </c>
      <c r="N39">
        <f>'Net zero Activity data'!AP10*'Net zero supporting data'!N37</f>
        <v>181677.51073000694</v>
      </c>
      <c r="O39">
        <f>'Net zero Activity data'!AQ10*'Net zero supporting data'!O37</f>
        <v>234537.46332122755</v>
      </c>
      <c r="P39">
        <f>'Net zero Activity data'!AR10*'Net zero supporting data'!P37</f>
        <v>291044.63286219724</v>
      </c>
      <c r="Q39">
        <f>'Net zero Activity data'!AS10*'Net zero supporting data'!Q37</f>
        <v>351572.39436023845</v>
      </c>
      <c r="R39">
        <f>'Net zero Activity data'!AT10*'Net zero supporting data'!R37</f>
        <v>413413.32600900653</v>
      </c>
      <c r="S39">
        <f>'Net zero Activity data'!AU10*'Net zero supporting data'!S37</f>
        <v>480234.29850429558</v>
      </c>
      <c r="T39">
        <f>'Net zero Activity data'!AV10*'Net zero supporting data'!T37</f>
        <v>553291.51740024169</v>
      </c>
      <c r="U39">
        <f>'Net zero Activity data'!AW10*'Net zero supporting data'!U37</f>
        <v>599799.73470711499</v>
      </c>
      <c r="V39">
        <f>'Net zero Activity data'!AX10*'Net zero supporting data'!V37</f>
        <v>649119.69863676419</v>
      </c>
      <c r="W39">
        <f>'Net zero Activity data'!AY10*'Net zero supporting data'!W37</f>
        <v>700761.14679683524</v>
      </c>
      <c r="X39">
        <f>'Net zero Activity data'!AZ10*'Net zero supporting data'!X37</f>
        <v>757380.99263805267</v>
      </c>
      <c r="Y39">
        <f>'Net zero Activity data'!BA10*'Net zero supporting data'!Y37</f>
        <v>812114.63613636559</v>
      </c>
      <c r="Z39">
        <f>'Net zero Activity data'!BB10*'Net zero supporting data'!Z37</f>
        <v>870243.28290914977</v>
      </c>
      <c r="AA39">
        <f>'Net zero Activity data'!BC10*'Net zero supporting data'!AA37</f>
        <v>930632.70086090046</v>
      </c>
      <c r="AB39">
        <f>'Net zero Activity data'!BD10*'Net zero supporting data'!AB37</f>
        <v>991157.72156351164</v>
      </c>
      <c r="AC39">
        <f>'Net zero Activity data'!BE10*'Net zero supporting data'!AC37</f>
        <v>1053101.0020633177</v>
      </c>
      <c r="AD39">
        <f>'Net zero Activity data'!BF10*'Net zero supporting data'!AD37</f>
        <v>1117765.909590167</v>
      </c>
      <c r="AE39">
        <f>'Net zero Activity data'!BG10*'Net zero supporting data'!AE37</f>
        <v>1158236.0157574657</v>
      </c>
      <c r="AF39">
        <f>'Net zero Activity data'!BH10*'Net zero supporting data'!AF37</f>
        <v>1196507.0626884943</v>
      </c>
      <c r="AG39">
        <f>'Net zero Activity data'!BI10*'Net zero supporting data'!AG37</f>
        <v>1235322.8472017227</v>
      </c>
      <c r="AH39">
        <f>'Net zero Activity data'!BJ10*'Net zero supporting data'!AH37</f>
        <v>1274746.6017324834</v>
      </c>
      <c r="AI39">
        <f>'Net zero Activity data'!BK10*'Net zero supporting data'!AI37</f>
        <v>1316758.0853179072</v>
      </c>
      <c r="AJ39">
        <f>'Net zero Activity data'!BL10*'Net zero supporting data'!AJ37</f>
        <v>1359755.6620945183</v>
      </c>
      <c r="AK39">
        <f>'Net zero Activity data'!BM10*'Net zero supporting data'!AK37</f>
        <v>1384215.2392491424</v>
      </c>
      <c r="AL39">
        <f>'Net zero Activity data'!BN10*'Net zero supporting data'!AL37</f>
        <v>1407315.8052346774</v>
      </c>
      <c r="AM39">
        <f>'Net zero Activity data'!BO10*'Net zero supporting data'!AM37</f>
        <v>1432871.6990553653</v>
      </c>
      <c r="AN39">
        <f>'Net zero Activity data'!BP10*'Net zero supporting data'!AN37</f>
        <v>1457280.0035630902</v>
      </c>
    </row>
    <row r="40" spans="1:48" x14ac:dyDescent="0.25">
      <c r="A40" t="s">
        <v>1031</v>
      </c>
      <c r="B40" s="11">
        <f>'Net zero Activity data'!AD5-'Net zero supporting data'!B38</f>
        <v>590659.82732236863</v>
      </c>
      <c r="C40" s="11">
        <f>'Net zero Activity data'!AE5-'Net zero supporting data'!C38</f>
        <v>594647.99563903548</v>
      </c>
      <c r="D40" s="11">
        <f>'Net zero Activity data'!AF5-'Net zero supporting data'!D38</f>
        <v>598136.63268648856</v>
      </c>
      <c r="E40" s="11">
        <f>'Net zero Activity data'!AG5-'Net zero supporting data'!E38</f>
        <v>598587.8952012012</v>
      </c>
      <c r="F40" s="11">
        <f>'Net zero Activity data'!AH5-'Net zero supporting data'!F38</f>
        <v>599365.15063746762</v>
      </c>
      <c r="G40" s="11">
        <f>'Net zero Activity data'!AI5-'Net zero supporting data'!G38</f>
        <v>603824.89896406408</v>
      </c>
      <c r="H40" s="11">
        <f>'Net zero Activity data'!AJ5-'Net zero supporting data'!H38</f>
        <v>607391.06462310744</v>
      </c>
      <c r="I40" s="11">
        <f>'Net zero Activity data'!AK5-'Net zero supporting data'!I38</f>
        <v>607422.33297804231</v>
      </c>
      <c r="J40" s="11">
        <f>'Net zero Activity data'!AL5-'Net zero supporting data'!J38</f>
        <v>591329.43600858422</v>
      </c>
      <c r="K40" s="11">
        <f>'Net zero Activity data'!AM5-'Net zero supporting data'!K38</f>
        <v>552709.2251979498</v>
      </c>
      <c r="L40" s="11">
        <f>'Net zero Activity data'!AN5-'Net zero supporting data'!L38</f>
        <v>511965.81068335543</v>
      </c>
      <c r="M40" s="11">
        <f>'Net zero Activity data'!AO5-'Net zero supporting data'!M38</f>
        <v>470751.79298052448</v>
      </c>
      <c r="N40" s="11">
        <f>'Net zero Activity data'!AP5-'Net zero supporting data'!N38</f>
        <v>430010.06532953028</v>
      </c>
      <c r="O40" s="11">
        <f>'Net zero Activity data'!AQ5-'Net zero supporting data'!O38</f>
        <v>390751.62481042807</v>
      </c>
      <c r="P40" s="11">
        <f>'Net zero Activity data'!AR5-'Net zero supporting data'!P38</f>
        <v>351068.18925747997</v>
      </c>
      <c r="Q40" s="11">
        <f>'Net zero Activity data'!AS5-'Net zero supporting data'!Q38</f>
        <v>311126.37154054845</v>
      </c>
      <c r="R40" s="11">
        <f>'Net zero Activity data'!AT5-'Net zero supporting data'!R38</f>
        <v>270055.1967998505</v>
      </c>
      <c r="S40" s="11">
        <f>'Net zero Activity data'!AU5-'Net zero supporting data'!S38</f>
        <v>228883.24802691274</v>
      </c>
      <c r="T40" s="11">
        <f>'Net zero Activity data'!AV5-'Net zero supporting data'!T38</f>
        <v>187447.57439337025</v>
      </c>
      <c r="U40" s="11">
        <f>'Net zero Activity data'!AW5-'Net zero supporting data'!U38</f>
        <v>171426.41700542229</v>
      </c>
      <c r="V40" s="11">
        <f>'Net zero Activity data'!AX5-'Net zero supporting data'!V38</f>
        <v>154930.04403564043</v>
      </c>
      <c r="W40" s="11">
        <f>'Net zero Activity data'!AY5-'Net zero supporting data'!W38</f>
        <v>137862.08929357078</v>
      </c>
      <c r="X40" s="11">
        <f>'Net zero Activity data'!AZ5-'Net zero supporting data'!X38</f>
        <v>120373.47328281659</v>
      </c>
      <c r="Y40" s="11">
        <f>'Net zero Activity data'!BA5-'Net zero supporting data'!Y38</f>
        <v>101954.06084263045</v>
      </c>
      <c r="Z40" s="11">
        <f>'Net zero Activity data'!BB5-'Net zero supporting data'!Z38</f>
        <v>82929.221730329795</v>
      </c>
      <c r="AA40" s="11">
        <f>'Net zero Activity data'!BC5-'Net zero supporting data'!AA38</f>
        <v>63247.049121526186</v>
      </c>
      <c r="AB40" s="11">
        <f>'Net zero Activity data'!BD5-'Net zero supporting data'!AB38</f>
        <v>42839.323036067071</v>
      </c>
      <c r="AC40" s="11">
        <f>'Net zero Activity data'!BE5-'Net zero supporting data'!AC38</f>
        <v>21758.559371530544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1032</v>
      </c>
      <c r="B41" s="11">
        <f>'Net zero Activity data'!AD10-'Net zero supporting data'!B39</f>
        <v>543007.49179039791</v>
      </c>
      <c r="C41" s="11">
        <f>'Net zero Activity data'!AE10-'Net zero supporting data'!C39</f>
        <v>563264.94874187512</v>
      </c>
      <c r="D41" s="11">
        <f>'Net zero Activity data'!AF10-'Net zero supporting data'!D39</f>
        <v>581463.66332741594</v>
      </c>
      <c r="E41" s="11">
        <f>'Net zero Activity data'!AG10-'Net zero supporting data'!E39</f>
        <v>590003.82779140584</v>
      </c>
      <c r="F41" s="11">
        <f>'Net zero Activity data'!AH10-'Net zero supporting data'!F39</f>
        <v>598674.66430219111</v>
      </c>
      <c r="G41" s="11">
        <f>'Net zero Activity data'!AI10-'Net zero supporting data'!G39</f>
        <v>617814.32044813794</v>
      </c>
      <c r="H41" s="11">
        <f>'Net zero Activity data'!AJ10-'Net zero supporting data'!H39</f>
        <v>633958.70908242883</v>
      </c>
      <c r="I41" s="11">
        <f>'Net zero Activity data'!AK10-'Net zero supporting data'!I39</f>
        <v>638671.61459478887</v>
      </c>
      <c r="J41" s="11">
        <f>'Net zero Activity data'!AL10-'Net zero supporting data'!J39</f>
        <v>591407.68067539216</v>
      </c>
      <c r="K41" s="11">
        <f>'Net zero Activity data'!AM10-'Net zero supporting data'!K39</f>
        <v>568421.71813298122</v>
      </c>
      <c r="L41" s="11">
        <f>'Net zero Activity data'!AN10-'Net zero supporting data'!L39</f>
        <v>536852.06464807596</v>
      </c>
      <c r="M41" s="11">
        <f>'Net zero Activity data'!AO10-'Net zero supporting data'!M39</f>
        <v>502057.67492644396</v>
      </c>
      <c r="N41" s="11">
        <f>'Net zero Activity data'!AP10-'Net zero supporting data'!N39</f>
        <v>467170.74187716073</v>
      </c>
      <c r="O41" s="11">
        <f>'Net zero Activity data'!AQ10-'Net zero supporting data'!O39</f>
        <v>435569.57473942265</v>
      </c>
      <c r="P41" s="11">
        <f>'Net zero Activity data'!AR10-'Net zero supporting data'!P39</f>
        <v>401918.77871446288</v>
      </c>
      <c r="Q41" s="11">
        <f>'Net zero Activity data'!AS10-'Net zero supporting data'!Q39</f>
        <v>365922.28800759511</v>
      </c>
      <c r="R41" s="11">
        <f>'Net zero Activity data'!AT10-'Net zero supporting data'!R39</f>
        <v>324824.75614993373</v>
      </c>
      <c r="S41" s="11">
        <f>'Net zero Activity data'!AU10-'Net zero supporting data'!S39</f>
        <v>282042.36578823725</v>
      </c>
      <c r="T41" s="11">
        <f>'Net zero Activity data'!AV10-'Net zero supporting data'!T39</f>
        <v>237124.93602867506</v>
      </c>
      <c r="U41" s="11">
        <f>'Net zero Activity data'!AW10-'Net zero supporting data'!U39</f>
        <v>221843.73749441234</v>
      </c>
      <c r="V41" s="11">
        <f>'Net zero Activity data'!AX10-'Net zero supporting data'!V39</f>
        <v>204985.16799055703</v>
      </c>
      <c r="W41" s="11">
        <f>'Net zero Activity data'!AY10-'Net zero supporting data'!W39</f>
        <v>186278.27952827269</v>
      </c>
      <c r="X41" s="11">
        <f>'Net zero Activity data'!AZ10-'Net zero supporting data'!X39</f>
        <v>166254.36423762119</v>
      </c>
      <c r="Y41" s="11">
        <f>'Net zero Activity data'!BA10-'Net zero supporting data'!Y39</f>
        <v>143314.34755347623</v>
      </c>
      <c r="Z41" s="11">
        <f>'Net zero Activity data'!BB10-'Net zero supporting data'!Z39</f>
        <v>118669.5385785203</v>
      </c>
      <c r="AA41" s="11">
        <f>'Net zero Activity data'!BC10-'Net zero supporting data'!AA39</f>
        <v>92040.596788440598</v>
      </c>
      <c r="AB41" s="11">
        <f>'Net zero Activity data'!BD10-'Net zero supporting data'!AB39</f>
        <v>63265.38648277719</v>
      </c>
      <c r="AC41" s="11">
        <f>'Net zero Activity data'!BE10-'Net zero supporting data'!AC39</f>
        <v>32570.134084432386</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1033</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1034</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20" customFormat="1" ht="15.75" x14ac:dyDescent="0.25">
      <c r="A45" s="116" t="s">
        <v>1339</v>
      </c>
      <c r="B45" s="116"/>
      <c r="C45" s="116"/>
      <c r="D45" s="116"/>
      <c r="E45" s="116"/>
      <c r="F45" s="116"/>
      <c r="G45" s="116"/>
      <c r="H45" s="116"/>
      <c r="I45" s="116"/>
      <c r="J45" s="118"/>
      <c r="K45" s="118"/>
      <c r="L45" s="118"/>
      <c r="M45" s="118"/>
      <c r="N45" s="118"/>
      <c r="O45" s="118"/>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row>
    <row r="46" spans="1:48" x14ac:dyDescent="0.25">
      <c r="A46" t="s">
        <v>1345</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1346</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1347</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1348</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1349</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1028</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1350</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1351</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1352</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1027</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1356</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1357</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1358</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1359</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1360</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1111</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1362</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1364</v>
      </c>
      <c r="B64">
        <f>'Intermediate calculations'!Y11-('Intermediate calculations'!Y11*B62)</f>
        <v>40.795969839954637</v>
      </c>
      <c r="C64">
        <f>'Intermediate calculations'!Z11-('Intermediate calculations'!Z11*C62)</f>
        <v>40.075960285152689</v>
      </c>
      <c r="D64">
        <f>'Intermediate calculations'!AA11-('Intermediate calculations'!AA11*D62)</f>
        <v>39.399615271435337</v>
      </c>
      <c r="E64">
        <f>'Intermediate calculations'!AB11-('Intermediate calculations'!AB11*E62)</f>
        <v>38.76194023059638</v>
      </c>
      <c r="F64">
        <f>'Intermediate calculations'!AC11-('Intermediate calculations'!AC11*F62)</f>
        <v>38.158751387251051</v>
      </c>
      <c r="G64">
        <f>'Intermediate calculations'!AD11-('Intermediate calculations'!AD11*G62)</f>
        <v>37.586509237828665</v>
      </c>
      <c r="H64">
        <f>'Intermediate calculations'!AE11-('Intermediate calculations'!AE11*H62)</f>
        <v>37.042192699997493</v>
      </c>
      <c r="I64">
        <f>'Intermediate calculations'!AF11-('Intermediate calculations'!AF11*I62)</f>
        <v>36.523202565791273</v>
      </c>
      <c r="J64">
        <f>'Intermediate calculations'!AG11-('Intermediate calculations'!AG11*J62)</f>
        <v>36.027286433617057</v>
      </c>
      <c r="K64">
        <f>'Intermediate calculations'!AH11-('Intermediate calculations'!AH11*K62)</f>
        <v>35.481374669213466</v>
      </c>
      <c r="L64">
        <f>'Intermediate calculations'!AI11-('Intermediate calculations'!AI11*L62)</f>
        <v>34.956669957742626</v>
      </c>
      <c r="M64">
        <f>'Intermediate calculations'!AJ11-('Intermediate calculations'!AJ11*M62)</f>
        <v>34.451544082894827</v>
      </c>
      <c r="N64">
        <f>'Intermediate calculations'!AK11-('Intermediate calculations'!AK11*N62)</f>
        <v>33.964551897322785</v>
      </c>
      <c r="O64">
        <f>'Intermediate calculations'!AL11-('Intermediate calculations'!AL11*O62)</f>
        <v>33.494404776892807</v>
      </c>
      <c r="P64">
        <f>'Intermediate calculations'!AM11-('Intermediate calculations'!AM11*P62)</f>
        <v>33.039948724873433</v>
      </c>
      <c r="Q64">
        <f>'Intermediate calculations'!AN11-('Intermediate calculations'!AN11*Q62)</f>
        <v>32.600146181010331</v>
      </c>
      <c r="R64">
        <f>'Intermediate calculations'!AO11-('Intermediate calculations'!AO11*R62)</f>
        <v>32.174060807278465</v>
      </c>
      <c r="S64">
        <f>'Intermediate calculations'!AP11-('Intermediate calculations'!AP11*S62)</f>
        <v>31.760844683870236</v>
      </c>
      <c r="T64">
        <f>'Intermediate calculations'!AQ11-('Intermediate calculations'!AQ11*T62)</f>
        <v>31.359727470926813</v>
      </c>
      <c r="U64">
        <f>'Intermediate calculations'!AR11-('Intermediate calculations'!AR11*U62)</f>
        <v>30.985840521355609</v>
      </c>
      <c r="V64">
        <f>'Intermediate calculations'!AS11-('Intermediate calculations'!AS11*V62)</f>
        <v>30.622385586384912</v>
      </c>
      <c r="W64">
        <f>'Intermediate calculations'!AT11-('Intermediate calculations'!AT11*W62)</f>
        <v>30.268788496979319</v>
      </c>
      <c r="X64">
        <f>'Intermediate calculations'!AU11-('Intermediate calculations'!AU11*X62)</f>
        <v>29.924521913685702</v>
      </c>
      <c r="Y64">
        <f>'Intermediate calculations'!AV11-('Intermediate calculations'!AV11*Y62)</f>
        <v>29.58910034991062</v>
      </c>
      <c r="Z64">
        <f>'Intermediate calculations'!AW11-('Intermediate calculations'!AW11*Z62)</f>
        <v>29.262075840199408</v>
      </c>
      <c r="AA64">
        <f>'Intermediate calculations'!AX11-('Intermediate calculations'!AX11*AA62)</f>
        <v>28.943034155660296</v>
      </c>
      <c r="AB64">
        <f>'Intermediate calculations'!AY11-('Intermediate calculations'!AY11*AB62)</f>
        <v>28.631591485578419</v>
      </c>
      <c r="AC64">
        <f>'Intermediate calculations'!AZ11-('Intermediate calculations'!AZ11*AC62)</f>
        <v>28.327391517909401</v>
      </c>
      <c r="AD64">
        <f>'Intermediate calculations'!BA11-('Intermediate calculations'!BA11*AD62)</f>
        <v>28.030102862419156</v>
      </c>
      <c r="AE64">
        <f>'Intermediate calculations'!BB11-('Intermediate calculations'!BB11*AE62)</f>
        <v>27.739416769278147</v>
      </c>
      <c r="AF64">
        <f>'Intermediate calculations'!BC11-('Intermediate calculations'!BC11*AF62)</f>
        <v>27.455045103334474</v>
      </c>
      <c r="AG64">
        <f>'Intermediate calculations'!BD11-('Intermediate calculations'!BD11*AG62)</f>
        <v>27.176718540403861</v>
      </c>
      <c r="AH64">
        <f>'Intermediate calculations'!BE11-('Intermediate calculations'!BE11*AH62)</f>
        <v>26.904184956976561</v>
      </c>
      <c r="AI64">
        <f>'Intermediate calculations'!BF11-('Intermediate calculations'!BF11*AI62)</f>
        <v>26.637207988951513</v>
      </c>
      <c r="AJ64">
        <f>'Intermediate calculations'!BG11-('Intermediate calculations'!BG11*AJ62)</f>
        <v>26.375565738524383</v>
      </c>
      <c r="AK64">
        <f>'Intermediate calculations'!BH11-('Intermediate calculations'!BH11*AK62)</f>
        <v>26.119049611304206</v>
      </c>
      <c r="AL64">
        <f>'Intermediate calculations'!BI11-('Intermediate calculations'!BI11*AL62)</f>
        <v>25.867463268215403</v>
      </c>
      <c r="AM64">
        <f>'Intermediate calculations'!BJ11-('Intermediate calculations'!BJ11*AM62)</f>
        <v>25.620621678837939</v>
      </c>
      <c r="AN64">
        <f>'Intermediate calculations'!BK11-('Intermediate calculations'!BK11*AN62)</f>
        <v>25.378350264616103</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1029</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1073</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1074</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1075</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1030</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1006</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23772.439793460206</v>
      </c>
      <c r="L71">
        <f>'Net zero Activity data'!AN5*'Net zero supporting data'!L66</f>
        <v>47624.726575195855</v>
      </c>
      <c r="M71">
        <f>'Net zero Activity data'!AO5*'Net zero supporting data'!M66</f>
        <v>71506.601465396117</v>
      </c>
      <c r="N71">
        <f>'Net zero Activity data'!AP5*'Net zero supporting data'!N66</f>
        <v>95557.79229545116</v>
      </c>
      <c r="O71">
        <f>'Net zero Activity data'!AQ5*'Net zero supporting data'!O66</f>
        <v>120231.26917243941</v>
      </c>
      <c r="P71">
        <f>'Net zero Activity data'!AR5*'Net zero supporting data'!P66</f>
        <v>145269.5955548193</v>
      </c>
      <c r="Q71">
        <f>'Net zero Activity data'!AS5*'Net zero supporting data'!Q66</f>
        <v>170814.47849285015</v>
      </c>
      <c r="R71">
        <f>'Net zero Activity data'!AT5*'Net zero supporting data'!R66</f>
        <v>196403.77949080034</v>
      </c>
      <c r="S71">
        <f>'Net zero Activity data'!AU5*'Net zero supporting data'!S66</f>
        <v>222697.21429645555</v>
      </c>
      <c r="T71">
        <f>'Net zero Activity data'!AV5*'Net zero supporting data'!T66</f>
        <v>249930.09919116032</v>
      </c>
      <c r="U71">
        <f>'Net zero Activity data'!AW5*'Net zero supporting data'!U66</f>
        <v>266663.31534176803</v>
      </c>
      <c r="V71">
        <f>'Net zero Activity data'!AX5*'Net zero supporting data'!V66</f>
        <v>284038.41406534088</v>
      </c>
      <c r="W71">
        <f>'Net zero Activity data'!AY5*'Net zero supporting data'!W66</f>
        <v>301983.6241668695</v>
      </c>
      <c r="X71">
        <f>'Net zero Activity data'!AZ5*'Net zero supporting data'!X66</f>
        <v>320995.9287541777</v>
      </c>
      <c r="Y71">
        <f>'Net zero Activity data'!BA5*'Net zero supporting data'!Y66</f>
        <v>339846.86947543512</v>
      </c>
      <c r="Z71">
        <f>'Net zero Activity data'!BB5*'Net zero supporting data'!Z66</f>
        <v>359359.96083142952</v>
      </c>
      <c r="AA71">
        <f>'Net zero Activity data'!BC5*'Net zero supporting data'!AA66</f>
        <v>379482.29472915787</v>
      </c>
      <c r="AB71">
        <f>'Net zero Activity data'!BD5*'Net zero supporting data'!AB66</f>
        <v>399833.68166996067</v>
      </c>
      <c r="AC71">
        <f>'Net zero Activity data'!BE5*'Net zero supporting data'!AC66</f>
        <v>420665.48118292773</v>
      </c>
      <c r="AD71">
        <f>'Net zero Activity data'!BF5*'Net zero supporting data'!AD66</f>
        <v>442241.38582685421</v>
      </c>
      <c r="AE71">
        <f>'Net zero Activity data'!BG5*'Net zero supporting data'!AE66</f>
        <v>464528.05350946635</v>
      </c>
      <c r="AF71">
        <f>'Net zero Activity data'!BH5*'Net zero supporting data'!AF66</f>
        <v>486888.89812484698</v>
      </c>
      <c r="AG71">
        <f>'Net zero Activity data'!BI5*'Net zero supporting data'!AG66</f>
        <v>509860.44487405778</v>
      </c>
      <c r="AH71">
        <f>'Net zero Activity data'!BJ5*'Net zero supporting data'!AH66</f>
        <v>533471.31364740664</v>
      </c>
      <c r="AI71">
        <f>'Net zero Activity data'!BK5*'Net zero supporting data'!AI66</f>
        <v>558175.63430778612</v>
      </c>
      <c r="AJ71">
        <f>'Net zero Activity data'!BL5*'Net zero supporting data'!AJ66</f>
        <v>583473.12388966943</v>
      </c>
      <c r="AK71">
        <f>'Net zero Activity data'!BM5*'Net zero supporting data'!AK66</f>
        <v>605007.70914220309</v>
      </c>
      <c r="AL71">
        <f>'Net zero Activity data'!BN5*'Net zero supporting data'!AL66</f>
        <v>626556.2390526036</v>
      </c>
      <c r="AM71">
        <f>'Net zero Activity data'!BO5*'Net zero supporting data'!AM66</f>
        <v>649036.80403421482</v>
      </c>
      <c r="AN71">
        <f>'Net zero Activity data'!BP5*'Net zero supporting data'!AN66</f>
        <v>671591.55134837981</v>
      </c>
    </row>
    <row r="72" spans="1:40" x14ac:dyDescent="0.25">
      <c r="A72" t="s">
        <v>1007</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19697.164400295602</v>
      </c>
      <c r="L72">
        <f>'Net zero Activity data'!AN6*'Net zero supporting data'!L67</f>
        <v>39460.487733733709</v>
      </c>
      <c r="M72">
        <f>'Net zero Activity data'!AO6*'Net zero supporting data'!M67</f>
        <v>59248.32692847107</v>
      </c>
      <c r="N72">
        <f>'Net zero Activity data'!AP6*'Net zero supporting data'!N67</f>
        <v>79176.456473373823</v>
      </c>
      <c r="O72">
        <f>'Net zero Activity data'!AQ6*'Net zero supporting data'!O67</f>
        <v>99620.194457164092</v>
      </c>
      <c r="P72">
        <f>'Net zero Activity data'!AR6*'Net zero supporting data'!P67</f>
        <v>120366.23631685026</v>
      </c>
      <c r="Q72">
        <f>'Net zero Activity data'!AS6*'Net zero supporting data'!Q67</f>
        <v>141531.99646550443</v>
      </c>
      <c r="R72">
        <f>'Net zero Activity data'!AT6*'Net zero supporting data'!R67</f>
        <v>162734.56014952029</v>
      </c>
      <c r="S72">
        <f>'Net zero Activity data'!AU6*'Net zero supporting data'!S67</f>
        <v>184520.54898849176</v>
      </c>
      <c r="T72">
        <f>'Net zero Activity data'!AV6*'Net zero supporting data'!T67</f>
        <v>207084.93932981859</v>
      </c>
      <c r="U72">
        <f>'Net zero Activity data'!AW6*'Net zero supporting data'!U67</f>
        <v>220949.60414032207</v>
      </c>
      <c r="V72">
        <f>'Net zero Activity data'!AX6*'Net zero supporting data'!V67</f>
        <v>235346.11451128245</v>
      </c>
      <c r="W72">
        <f>'Net zero Activity data'!AY6*'Net zero supporting data'!W67</f>
        <v>250215.00288112045</v>
      </c>
      <c r="X72">
        <f>'Net zero Activity data'!AZ6*'Net zero supporting data'!X67</f>
        <v>265968.05525346153</v>
      </c>
      <c r="Y72">
        <f>'Net zero Activity data'!BA6*'Net zero supporting data'!Y67</f>
        <v>281587.40613678913</v>
      </c>
      <c r="Z72">
        <f>'Net zero Activity data'!BB6*'Net zero supporting data'!Z67</f>
        <v>297755.39611747011</v>
      </c>
      <c r="AA72">
        <f>'Net zero Activity data'!BC6*'Net zero supporting data'!AA67</f>
        <v>314428.18706130225</v>
      </c>
      <c r="AB72">
        <f>'Net zero Activity data'!BD6*'Net zero supporting data'!AB67</f>
        <v>331290.76481225312</v>
      </c>
      <c r="AC72">
        <f>'Net zero Activity data'!BE6*'Net zero supporting data'!AC67</f>
        <v>348551.39869442582</v>
      </c>
      <c r="AD72">
        <f>'Net zero Activity data'!BF6*'Net zero supporting data'!AD67</f>
        <v>366428.57682796486</v>
      </c>
      <c r="AE72">
        <f>'Net zero Activity data'!BG6*'Net zero supporting data'!AE67</f>
        <v>384894.67290784349</v>
      </c>
      <c r="AF72">
        <f>'Net zero Activity data'!BH6*'Net zero supporting data'!AF67</f>
        <v>403422.22987487318</v>
      </c>
      <c r="AG72">
        <f>'Net zero Activity data'!BI6*'Net zero supporting data'!AG67</f>
        <v>422455.79718136217</v>
      </c>
      <c r="AH72">
        <f>'Net zero Activity data'!BJ6*'Net zero supporting data'!AH67</f>
        <v>442019.08845070843</v>
      </c>
      <c r="AI72">
        <f>'Net zero Activity data'!BK6*'Net zero supporting data'!AI67</f>
        <v>462488.38271216565</v>
      </c>
      <c r="AJ72">
        <f>'Net zero Activity data'!BL6*'Net zero supporting data'!AJ67</f>
        <v>483449.15979429748</v>
      </c>
      <c r="AK72">
        <f>'Net zero Activity data'!BM6*'Net zero supporting data'!AK67</f>
        <v>501292.10186068248</v>
      </c>
      <c r="AL72">
        <f>'Net zero Activity data'!BN6*'Net zero supporting data'!AL67</f>
        <v>519146.5980721573</v>
      </c>
      <c r="AM72">
        <f>'Net zero Activity data'!BO6*'Net zero supporting data'!AM67</f>
        <v>537773.35191406368</v>
      </c>
      <c r="AN72">
        <f>'Net zero Activity data'!BP6*'Net zero supporting data'!AN67</f>
        <v>556461.57111722894</v>
      </c>
    </row>
    <row r="73" spans="1:40" x14ac:dyDescent="0.25">
      <c r="A73" t="s">
        <v>1008</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24451.652358987649</v>
      </c>
      <c r="L73">
        <f>'Net zero Activity data'!AN7*'Net zero supporting data'!L68</f>
        <v>48985.433048772895</v>
      </c>
      <c r="M73">
        <f>'Net zero Activity data'!AO7*'Net zero supporting data'!M68</f>
        <v>73549.647221550316</v>
      </c>
      <c r="N73">
        <f>'Net zero Activity data'!AP7*'Net zero supporting data'!N68</f>
        <v>98288.014932464066</v>
      </c>
      <c r="O73">
        <f>'Net zero Activity data'!AQ7*'Net zero supporting data'!O68</f>
        <v>123666.44829165201</v>
      </c>
      <c r="P73">
        <f>'Net zero Activity data'!AR7*'Net zero supporting data'!P68</f>
        <v>149420.15542781417</v>
      </c>
      <c r="Q73">
        <f>'Net zero Activity data'!AS7*'Net zero supporting data'!Q68</f>
        <v>175694.89216407447</v>
      </c>
      <c r="R73">
        <f>'Net zero Activity data'!AT7*'Net zero supporting data'!R68</f>
        <v>202015.31604768039</v>
      </c>
      <c r="S73">
        <f>'Net zero Activity data'!AU7*'Net zero supporting data'!S68</f>
        <v>229059.99184778292</v>
      </c>
      <c r="T73">
        <f>'Net zero Activity data'!AV7*'Net zero supporting data'!T68</f>
        <v>257070.95916805067</v>
      </c>
      <c r="U73">
        <f>'Net zero Activity data'!AW7*'Net zero supporting data'!U68</f>
        <v>274282.26720867574</v>
      </c>
      <c r="V73">
        <f>'Net zero Activity data'!AX7*'Net zero supporting data'!V68</f>
        <v>292153.79732435069</v>
      </c>
      <c r="W73">
        <f>'Net zero Activity data'!AY7*'Net zero supporting data'!W68</f>
        <v>310611.72771449439</v>
      </c>
      <c r="X73">
        <f>'Net zero Activity data'!AZ7*'Net zero supporting data'!X68</f>
        <v>330167.2410042971</v>
      </c>
      <c r="Y73">
        <f>'Net zero Activity data'!BA7*'Net zero supporting data'!Y68</f>
        <v>349556.78003187623</v>
      </c>
      <c r="Z73">
        <f>'Net zero Activity data'!BB7*'Net zero supporting data'!Z68</f>
        <v>369627.38828375615</v>
      </c>
      <c r="AA73">
        <f>'Net zero Activity data'!BC7*'Net zero supporting data'!AA68</f>
        <v>390324.64600713388</v>
      </c>
      <c r="AB73">
        <f>'Net zero Activity data'!BD7*'Net zero supporting data'!AB68</f>
        <v>411257.50114624534</v>
      </c>
      <c r="AC73">
        <f>'Net zero Activity data'!BE7*'Net zero supporting data'!AC68</f>
        <v>432684.49493101146</v>
      </c>
      <c r="AD73">
        <f>'Net zero Activity data'!BF7*'Net zero supporting data'!AD68</f>
        <v>454876.8539933358</v>
      </c>
      <c r="AE73">
        <f>'Net zero Activity data'!BG7*'Net zero supporting data'!AE68</f>
        <v>477800.28360973694</v>
      </c>
      <c r="AF73">
        <f>'Net zero Activity data'!BH7*'Net zero supporting data'!AF68</f>
        <v>500800.00949984271</v>
      </c>
      <c r="AG73">
        <f>'Net zero Activity data'!BI7*'Net zero supporting data'!AG68</f>
        <v>524427.88615617389</v>
      </c>
      <c r="AH73">
        <f>'Net zero Activity data'!BJ7*'Net zero supporting data'!AH68</f>
        <v>548713.35118018987</v>
      </c>
      <c r="AI73">
        <f>'Net zero Activity data'!BK7*'Net zero supporting data'!AI68</f>
        <v>574123.50957372296</v>
      </c>
      <c r="AJ73">
        <f>'Net zero Activity data'!BL7*'Net zero supporting data'!AJ68</f>
        <v>600143.78457223147</v>
      </c>
      <c r="AK73">
        <f>'Net zero Activity data'!BM7*'Net zero supporting data'!AK68</f>
        <v>622293.64368912322</v>
      </c>
      <c r="AL73">
        <f>'Net zero Activity data'!BN7*'Net zero supporting data'!AL68</f>
        <v>644457.84588267806</v>
      </c>
      <c r="AM73">
        <f>'Net zero Activity data'!BO7*'Net zero supporting data'!AM68</f>
        <v>667580.71272090683</v>
      </c>
      <c r="AN73">
        <f>'Net zero Activity data'!BP7*'Net zero supporting data'!AN68</f>
        <v>690779.88138690509</v>
      </c>
    </row>
    <row r="74" spans="1:40" x14ac:dyDescent="0.25">
      <c r="A74" t="s">
        <v>1354</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188461.36449543867</v>
      </c>
      <c r="L74">
        <f>'Net zero Activity data'!AN8*'Net zero supporting data'!L69</f>
        <v>372019.7713352046</v>
      </c>
      <c r="M74">
        <f>'Net zero Activity data'!AO8*'Net zero supporting data'!M69</f>
        <v>549121.28724874265</v>
      </c>
      <c r="N74">
        <f>'Net zero Activity data'!AP8*'Net zero supporting data'!N69</f>
        <v>722683.83087773656</v>
      </c>
      <c r="O74">
        <f>'Net zero Activity data'!AQ8*'Net zero supporting data'!O69</f>
        <v>902106.50077174068</v>
      </c>
      <c r="P74">
        <f>'Net zero Activity data'!AR8*'Net zero supporting data'!P69</f>
        <v>1082599.7172406991</v>
      </c>
      <c r="Q74">
        <f>'Net zero Activity data'!AS8*'Net zero supporting data'!Q69</f>
        <v>1264857.15446451</v>
      </c>
      <c r="R74">
        <f>'Net zero Activity data'!AT8*'Net zero supporting data'!R69</f>
        <v>1438723.4301605853</v>
      </c>
      <c r="S74">
        <f>'Net zero Activity data'!AU8*'Net zero supporting data'!S69</f>
        <v>1616785.9609604769</v>
      </c>
      <c r="T74">
        <f>'Net zero Activity data'!AV8*'Net zero supporting data'!T69</f>
        <v>1802160.3562932156</v>
      </c>
      <c r="U74">
        <f>'Net zero Activity data'!AW8*'Net zero supporting data'!U69</f>
        <v>1902985.5456188596</v>
      </c>
      <c r="V74">
        <f>'Net zero Activity data'!AX8*'Net zero supporting data'!V69</f>
        <v>2004763.8851319312</v>
      </c>
      <c r="W74">
        <f>'Net zero Activity data'!AY8*'Net zero supporting data'!W69</f>
        <v>2105518.2122559976</v>
      </c>
      <c r="X74">
        <f>'Net zero Activity data'!AZ8*'Net zero supporting data'!X69</f>
        <v>2212648.5615420826</v>
      </c>
      <c r="Y74">
        <f>'Net zero Activity data'!BA8*'Net zero supporting data'!Y69</f>
        <v>2305665.2124879635</v>
      </c>
      <c r="Z74">
        <f>'Net zero Activity data'!BB8*'Net zero supporting data'!Z69</f>
        <v>2399840.6422885782</v>
      </c>
      <c r="AA74">
        <f>'Net zero Activity data'!BC8*'Net zero supporting data'!AA69</f>
        <v>2491565.073709379</v>
      </c>
      <c r="AB74">
        <f>'Net zero Activity data'!BD8*'Net zero supporting data'!AB69</f>
        <v>2575036.8661356275</v>
      </c>
      <c r="AC74">
        <f>'Net zero Activity data'!BE8*'Net zero supporting data'!AC69</f>
        <v>2653720.8140845322</v>
      </c>
      <c r="AD74">
        <f>'Net zero Activity data'!BF8*'Net zero supporting data'!AD69</f>
        <v>2730736.8464578888</v>
      </c>
      <c r="AE74">
        <f>'Net zero Activity data'!BG8*'Net zero supporting data'!AE69</f>
        <v>2842215.2514306339</v>
      </c>
      <c r="AF74">
        <f>'Net zero Activity data'!BH8*'Net zero supporting data'!AF69</f>
        <v>2945851.4593112362</v>
      </c>
      <c r="AG74">
        <f>'Net zero Activity data'!BI8*'Net zero supporting data'!AG69</f>
        <v>3048168.4362108111</v>
      </c>
      <c r="AH74">
        <f>'Net zero Activity data'!BJ8*'Net zero supporting data'!AH69</f>
        <v>3149143.4771400834</v>
      </c>
      <c r="AI74">
        <f>'Net zero Activity data'!BK8*'Net zero supporting data'!AI69</f>
        <v>3253490.7479755748</v>
      </c>
      <c r="AJ74">
        <f>'Net zero Activity data'!BL8*'Net zero supporting data'!AJ69</f>
        <v>3357067.3676725868</v>
      </c>
      <c r="AK74">
        <f>'Net zero Activity data'!BM8*'Net zero supporting data'!AK69</f>
        <v>3411559.0155066811</v>
      </c>
      <c r="AL74">
        <f>'Net zero Activity data'!BN8*'Net zero supporting data'!AL69</f>
        <v>3459374.8385176505</v>
      </c>
      <c r="AM74">
        <f>'Net zero Activity data'!BO8*'Net zero supporting data'!AM69</f>
        <v>3509842.1830676794</v>
      </c>
      <c r="AN74">
        <f>'Net zero Activity data'!BP8*'Net zero supporting data'!AN69</f>
        <v>3554056.0905729602</v>
      </c>
    </row>
    <row r="75" spans="1:40" x14ac:dyDescent="0.25">
      <c r="A75" t="s">
        <v>1009</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24448.245941203495</v>
      </c>
      <c r="L75">
        <f>'Net zero Activity data'!AN10*'Net zero supporting data'!L70</f>
        <v>49939.726944007067</v>
      </c>
      <c r="M75">
        <f>'Net zero Activity data'!AO10*'Net zero supporting data'!M70</f>
        <v>76261.925305282624</v>
      </c>
      <c r="N75">
        <f>'Net zero Activity data'!AP10*'Net zero supporting data'!N70</f>
        <v>103815.72041714683</v>
      </c>
      <c r="O75">
        <f>'Net zero Activity data'!AQ10*'Net zero supporting data'!O70</f>
        <v>134021.40761213005</v>
      </c>
      <c r="P75">
        <f>'Net zero Activity data'!AR10*'Net zero supporting data'!P70</f>
        <v>166311.21877839844</v>
      </c>
      <c r="Q75">
        <f>'Net zero Activity data'!AS10*'Net zero supporting data'!Q70</f>
        <v>200898.51106299341</v>
      </c>
      <c r="R75">
        <f>'Net zero Activity data'!AT10*'Net zero supporting data'!R70</f>
        <v>236236.18629086087</v>
      </c>
      <c r="S75">
        <f>'Net zero Activity data'!AU10*'Net zero supporting data'!S70</f>
        <v>274419.5991453118</v>
      </c>
      <c r="T75">
        <f>'Net zero Activity data'!AV10*'Net zero supporting data'!T70</f>
        <v>316166.58137156675</v>
      </c>
      <c r="U75">
        <f>'Net zero Activity data'!AW10*'Net zero supporting data'!U70</f>
        <v>345090.2583246415</v>
      </c>
      <c r="V75">
        <f>'Net zero Activity data'!AX10*'Net zero supporting data'!V70</f>
        <v>375806.14131602139</v>
      </c>
      <c r="W75">
        <f>'Net zero Activity data'!AY10*'Net zero supporting data'!W70</f>
        <v>408038.13610954973</v>
      </c>
      <c r="X75">
        <f>'Net zero Activity data'!AZ10*'Net zero supporting data'!X70</f>
        <v>443344.97130032355</v>
      </c>
      <c r="Y75">
        <f>'Net zero Activity data'!BA10*'Net zero supporting data'!Y70</f>
        <v>477714.49184492102</v>
      </c>
      <c r="Z75">
        <f>'Net zero Activity data'!BB10*'Net zero supporting data'!Z70</f>
        <v>514234.66717358859</v>
      </c>
      <c r="AA75">
        <f>'Net zero Activity data'!BC10*'Net zero supporting data'!AA70</f>
        <v>552243.58073064429</v>
      </c>
      <c r="AB75">
        <f>'Net zero Activity data'!BD10*'Net zero supporting data'!AB70</f>
        <v>590476.94050592196</v>
      </c>
      <c r="AC75">
        <f>'Net zero Activity data'!BE10*'Net zero supporting data'!AC70</f>
        <v>629689.25896569528</v>
      </c>
      <c r="AD75">
        <f>'Net zero Activity data'!BF10*'Net zero supporting data'!AD70</f>
        <v>670659.5457541002</v>
      </c>
      <c r="AE75">
        <f>'Net zero Activity data'!BG10*'Net zero supporting data'!AE70</f>
        <v>718106.3297696287</v>
      </c>
      <c r="AF75">
        <f>'Net zero Activity data'!BH10*'Net zero supporting data'!AF70</f>
        <v>765764.52012063644</v>
      </c>
      <c r="AG75">
        <f>'Net zero Activity data'!BI10*'Net zero supporting data'!AG70</f>
        <v>815313.07915313705</v>
      </c>
      <c r="AH75">
        <f>'Net zero Activity data'!BJ10*'Net zero supporting data'!AH70</f>
        <v>866827.6891780888</v>
      </c>
      <c r="AI75">
        <f>'Net zero Activity data'!BK10*'Net zero supporting data'!AI70</f>
        <v>921730.65972253506</v>
      </c>
      <c r="AJ75">
        <f>'Net zero Activity data'!BL10*'Net zero supporting data'!AJ70</f>
        <v>979024.07670805336</v>
      </c>
      <c r="AK75">
        <f>'Net zero Activity data'!BM10*'Net zero supporting data'!AK70</f>
        <v>1024319.2770443655</v>
      </c>
      <c r="AL75">
        <f>'Net zero Activity data'!BN10*'Net zero supporting data'!AL70</f>
        <v>1069560.011978355</v>
      </c>
      <c r="AM75">
        <f>'Net zero Activity data'!BO10*'Net zero supporting data'!AM70</f>
        <v>1117639.9252631851</v>
      </c>
      <c r="AN75">
        <f>'Net zero Activity data'!BP10*'Net zero supporting data'!AN70</f>
        <v>1165824.0028504722</v>
      </c>
    </row>
    <row r="76" spans="1:40" x14ac:dyDescent="0.25">
      <c r="A76" t="s">
        <v>1031</v>
      </c>
      <c r="B76" s="11">
        <f>'Net zero Activity data'!AD5-'Net zero supporting data'!B71</f>
        <v>590659.82732236863</v>
      </c>
      <c r="C76" s="11">
        <f>'Net zero Activity data'!AE5-'Net zero supporting data'!C71</f>
        <v>594647.99563903548</v>
      </c>
      <c r="D76" s="11">
        <f>'Net zero Activity data'!AF5-'Net zero supporting data'!D71</f>
        <v>598136.63268648856</v>
      </c>
      <c r="E76" s="11">
        <f>'Net zero Activity data'!AG5-'Net zero supporting data'!E71</f>
        <v>598587.8952012012</v>
      </c>
      <c r="F76" s="11">
        <f>'Net zero Activity data'!AH5-'Net zero supporting data'!F71</f>
        <v>599365.15063746762</v>
      </c>
      <c r="G76" s="11">
        <f>'Net zero Activity data'!AI5-'Net zero supporting data'!G71</f>
        <v>603824.89896406408</v>
      </c>
      <c r="H76" s="11">
        <f>'Net zero Activity data'!AJ5-'Net zero supporting data'!H71</f>
        <v>607391.06462310744</v>
      </c>
      <c r="I76" s="11">
        <f>'Net zero Activity data'!AK5-'Net zero supporting data'!I71</f>
        <v>607422.33297804231</v>
      </c>
      <c r="J76" s="11">
        <f>'Net zero Activity data'!AL5-'Net zero supporting data'!J71</f>
        <v>591329.43600858422</v>
      </c>
      <c r="K76" s="11">
        <f>'Net zero Activity data'!AM5-'Net zero supporting data'!K71</f>
        <v>570538.55504304497</v>
      </c>
      <c r="L76" s="11">
        <f>'Net zero Activity data'!AN5-'Net zero supporting data'!L71</f>
        <v>547684.35561475228</v>
      </c>
      <c r="M76" s="11">
        <f>'Net zero Activity data'!AO5-'Net zero supporting data'!M71</f>
        <v>524381.74407957157</v>
      </c>
      <c r="N76" s="11">
        <f>'Net zero Activity data'!AP5-'Net zero supporting data'!N71</f>
        <v>501678.40955111862</v>
      </c>
      <c r="O76" s="11">
        <f>'Net zero Activity data'!AQ5-'Net zero supporting data'!O71</f>
        <v>480925.07668975758</v>
      </c>
      <c r="P76" s="11">
        <f>'Net zero Activity data'!AR5-'Net zero supporting data'!P71</f>
        <v>460020.38592359435</v>
      </c>
      <c r="Q76" s="11">
        <f>'Net zero Activity data'!AS5-'Net zero supporting data'!Q71</f>
        <v>439237.23041018605</v>
      </c>
      <c r="R76" s="11">
        <f>'Net zero Activity data'!AT5-'Net zero supporting data'!R71</f>
        <v>417358.03141795075</v>
      </c>
      <c r="S76" s="11">
        <f>'Net zero Activity data'!AU5-'Net zero supporting data'!S71</f>
        <v>395906.15874925436</v>
      </c>
      <c r="T76" s="11">
        <f>'Net zero Activity data'!AV5-'Net zero supporting data'!T71</f>
        <v>374895.14878674049</v>
      </c>
      <c r="U76" s="11">
        <f>'Net zero Activity data'!AW5-'Net zero supporting data'!U71</f>
        <v>368249.34023387014</v>
      </c>
      <c r="V76" s="11">
        <f>'Net zero Activity data'!AX5-'Net zero supporting data'!V71</f>
        <v>361503.43608316104</v>
      </c>
      <c r="W76" s="11">
        <f>'Net zero Activity data'!AY5-'Net zero supporting data'!W71</f>
        <v>354502.51532632491</v>
      </c>
      <c r="X76" s="11">
        <f>'Net zero Activity data'!AZ5-'Net zero supporting data'!X71</f>
        <v>347745.58948369237</v>
      </c>
      <c r="Y76" s="11">
        <f>'Net zero Activity data'!BA5-'Net zero supporting data'!Y71</f>
        <v>339846.869475435</v>
      </c>
      <c r="Z76" s="11">
        <f>'Net zero Activity data'!BB5-'Net zero supporting data'!Z71</f>
        <v>331716.88692131935</v>
      </c>
      <c r="AA76" s="11">
        <f>'Net zero Activity data'!BC5-'Net zero supporting data'!AA71</f>
        <v>323262.69551002322</v>
      </c>
      <c r="AB76" s="11">
        <f>'Net zero Activity data'!BD5-'Net zero supporting data'!AB71</f>
        <v>314155.03559782606</v>
      </c>
      <c r="AC76" s="11">
        <f>'Net zero Activity data'!BE5-'Net zero supporting data'!AC71</f>
        <v>304619.83120143018</v>
      </c>
      <c r="AD76" s="11">
        <f>'Net zero Activity data'!BF5-'Net zero supporting data'!AD71</f>
        <v>294827.59055123612</v>
      </c>
      <c r="AE76" s="11">
        <f>'Net zero Activity data'!BG5-'Net zero supporting data'!AE71</f>
        <v>284710.74247354385</v>
      </c>
      <c r="AF76" s="11">
        <f>'Net zero Activity data'!BH5-'Net zero supporting data'!AF71</f>
        <v>273875.0051952264</v>
      </c>
      <c r="AG76" s="11">
        <f>'Net zero Activity data'!BI5-'Net zero supporting data'!AG71</f>
        <v>262655.38069269643</v>
      </c>
      <c r="AH76" s="11">
        <f>'Net zero Activity data'!BJ5-'Net zero supporting data'!AH71</f>
        <v>251045.32406936784</v>
      </c>
      <c r="AI76" s="11">
        <f>'Net zero Activity data'!BK5-'Net zero supporting data'!AI71</f>
        <v>239218.1289890511</v>
      </c>
      <c r="AJ76" s="11">
        <f>'Net zero Activity data'!BL5-'Net zero supporting data'!AJ71</f>
        <v>226906.2148459825</v>
      </c>
      <c r="AK76" s="11">
        <f>'Net zero Activity data'!BM5-'Net zero supporting data'!AK71</f>
        <v>212570.27618509822</v>
      </c>
      <c r="AL76" s="11">
        <f>'Net zero Activity data'!BN5-'Net zero supporting data'!AL71</f>
        <v>197859.86496397993</v>
      </c>
      <c r="AM76" s="11">
        <f>'Net zero Activity data'!BO5-'Net zero supporting data'!AM71</f>
        <v>183061.66267631692</v>
      </c>
      <c r="AN76" s="11">
        <f>'Net zero Activity data'!BP5-'Net zero supporting data'!AN71</f>
        <v>167897.88783709495</v>
      </c>
    </row>
    <row r="77" spans="1:40" x14ac:dyDescent="0.25">
      <c r="A77" t="s">
        <v>1112</v>
      </c>
      <c r="B77" s="11">
        <f>'Net zero Activity data'!AD6-'Net zero supporting data'!B72</f>
        <v>489403.85692424828</v>
      </c>
      <c r="C77" s="11">
        <f>'Net zero Activity data'!AE6-'Net zero supporting data'!C72</f>
        <v>492708.33924377221</v>
      </c>
      <c r="D77" s="11">
        <f>'Net zero Activity data'!AF6-'Net zero supporting data'!D72</f>
        <v>495598.9242259477</v>
      </c>
      <c r="E77" s="11">
        <f>'Net zero Activity data'!AG6-'Net zero supporting data'!E72</f>
        <v>495972.82745242387</v>
      </c>
      <c r="F77" s="11">
        <f>'Net zero Activity data'!AH6-'Net zero supporting data'!F72</f>
        <v>496616.83909961605</v>
      </c>
      <c r="G77" s="11">
        <f>'Net zero Activity data'!AI6-'Net zero supporting data'!G72</f>
        <v>500312.05914165312</v>
      </c>
      <c r="H77" s="11">
        <f>'Net zero Activity data'!AJ6-'Net zero supporting data'!H72</f>
        <v>503266.88211628905</v>
      </c>
      <c r="I77" s="11">
        <f>'Net zero Activity data'!AK6-'Net zero supporting data'!I72</f>
        <v>503292.79018180649</v>
      </c>
      <c r="J77" s="11">
        <f>'Net zero Activity data'!AL6-'Net zero supporting data'!J72</f>
        <v>489958.67554996983</v>
      </c>
      <c r="K77" s="11">
        <f>'Net zero Activity data'!AM6-'Net zero supporting data'!K72</f>
        <v>472731.94560709444</v>
      </c>
      <c r="L77" s="11">
        <f>'Net zero Activity data'!AN6-'Net zero supporting data'!L72</f>
        <v>453795.60893793765</v>
      </c>
      <c r="M77" s="11">
        <f>'Net zero Activity data'!AO6-'Net zero supporting data'!M72</f>
        <v>434487.73080878786</v>
      </c>
      <c r="N77" s="11">
        <f>'Net zero Activity data'!AP6-'Net zero supporting data'!N72</f>
        <v>415676.39648521255</v>
      </c>
      <c r="O77" s="11">
        <f>'Net zero Activity data'!AQ6-'Net zero supporting data'!O72</f>
        <v>398480.77782865631</v>
      </c>
      <c r="P77" s="11">
        <f>'Net zero Activity data'!AR6-'Net zero supporting data'!P72</f>
        <v>381159.74833669246</v>
      </c>
      <c r="Q77" s="11">
        <f>'Net zero Activity data'!AS6-'Net zero supporting data'!Q72</f>
        <v>363939.41948272556</v>
      </c>
      <c r="R77" s="11">
        <f>'Net zero Activity data'!AT6-'Net zero supporting data'!R72</f>
        <v>345810.94031773059</v>
      </c>
      <c r="S77" s="11">
        <f>'Net zero Activity data'!AU6-'Net zero supporting data'!S72</f>
        <v>328036.53153509647</v>
      </c>
      <c r="T77" s="11">
        <f>'Net zero Activity data'!AV6-'Net zero supporting data'!T72</f>
        <v>310627.40899472783</v>
      </c>
      <c r="U77" s="11">
        <f>'Net zero Activity data'!AW6-'Net zero supporting data'!U72</f>
        <v>305120.88190806378</v>
      </c>
      <c r="V77" s="11">
        <f>'Net zero Activity data'!AX6-'Net zero supporting data'!V72</f>
        <v>299531.41846890491</v>
      </c>
      <c r="W77" s="11">
        <f>'Net zero Activity data'!AY6-'Net zero supporting data'!W72</f>
        <v>293730.65555609786</v>
      </c>
      <c r="X77" s="11">
        <f>'Net zero Activity data'!AZ6-'Net zero supporting data'!X72</f>
        <v>288132.05985791649</v>
      </c>
      <c r="Y77" s="11">
        <f>'Net zero Activity data'!BA6-'Net zero supporting data'!Y72</f>
        <v>281587.40613678901</v>
      </c>
      <c r="Z77" s="11">
        <f>'Net zero Activity data'!BB6-'Net zero supporting data'!Z72</f>
        <v>274851.13487766462</v>
      </c>
      <c r="AA77" s="11">
        <f>'Net zero Activity data'!BC6-'Net zero supporting data'!AA72</f>
        <v>267846.23342259065</v>
      </c>
      <c r="AB77" s="11">
        <f>'Net zero Activity data'!BD6-'Net zero supporting data'!AB72</f>
        <v>260299.88663819869</v>
      </c>
      <c r="AC77" s="11">
        <f>'Net zero Activity data'!BE6-'Net zero supporting data'!AC72</f>
        <v>252399.28870975645</v>
      </c>
      <c r="AD77" s="11">
        <f>'Net zero Activity data'!BF6-'Net zero supporting data'!AD72</f>
        <v>244285.71788530995</v>
      </c>
      <c r="AE77" s="11">
        <f>'Net zero Activity data'!BG6-'Net zero supporting data'!AE72</f>
        <v>235903.18662093638</v>
      </c>
      <c r="AF77" s="11">
        <f>'Net zero Activity data'!BH6-'Net zero supporting data'!AF72</f>
        <v>226925.00430461613</v>
      </c>
      <c r="AG77" s="11">
        <f>'Net zero Activity data'!BI6-'Net zero supporting data'!AG72</f>
        <v>217628.74400251987</v>
      </c>
      <c r="AH77" s="11">
        <f>'Net zero Activity data'!BJ6-'Net zero supporting data'!AH72</f>
        <v>208008.9828003333</v>
      </c>
      <c r="AI77" s="11">
        <f>'Net zero Activity data'!BK6-'Net zero supporting data'!AI72</f>
        <v>198209.30687664234</v>
      </c>
      <c r="AJ77" s="11">
        <f>'Net zero Activity data'!BL6-'Net zero supporting data'!AJ72</f>
        <v>188008.00658667117</v>
      </c>
      <c r="AK77" s="11">
        <f>'Net zero Activity data'!BM6-'Net zero supporting data'!AK72</f>
        <v>176129.65741051</v>
      </c>
      <c r="AL77" s="11">
        <f>'Net zero Activity data'!BN6-'Net zero supporting data'!AL72</f>
        <v>163941.03097015485</v>
      </c>
      <c r="AM77" s="11">
        <f>'Net zero Activity data'!BO6-'Net zero supporting data'!AM72</f>
        <v>151679.66336037684</v>
      </c>
      <c r="AN77" s="11">
        <f>'Net zero Activity data'!BP6-'Net zero supporting data'!AN72</f>
        <v>139115.39277930721</v>
      </c>
    </row>
    <row r="78" spans="1:40" x14ac:dyDescent="0.25">
      <c r="A78" t="s">
        <v>1113</v>
      </c>
      <c r="B78" s="11">
        <f>'Net zero Activity data'!AD7-'Net zero supporting data'!B73</f>
        <v>607535.8223887221</v>
      </c>
      <c r="C78" s="11">
        <f>'Net zero Activity data'!AE7-'Net zero supporting data'!C73</f>
        <v>611637.9383715794</v>
      </c>
      <c r="D78" s="11">
        <f>'Net zero Activity data'!AF7-'Net zero supporting data'!D73</f>
        <v>615226.25076324551</v>
      </c>
      <c r="E78" s="11">
        <f>'Net zero Activity data'!AG7-'Net zero supporting data'!E73</f>
        <v>615690.40649266425</v>
      </c>
      <c r="F78" s="11">
        <f>'Net zero Activity data'!AH7-'Net zero supporting data'!F73</f>
        <v>616489.86922710971</v>
      </c>
      <c r="G78" s="11">
        <f>'Net zero Activity data'!AI7-'Net zero supporting data'!G73</f>
        <v>621077.03893446608</v>
      </c>
      <c r="H78" s="11">
        <f>'Net zero Activity data'!AJ7-'Net zero supporting data'!H73</f>
        <v>624745.09504091064</v>
      </c>
      <c r="I78" s="11">
        <f>'Net zero Activity data'!AK7-'Net zero supporting data'!I73</f>
        <v>624777.25677741505</v>
      </c>
      <c r="J78" s="11">
        <f>'Net zero Activity data'!AL7-'Net zero supporting data'!J73</f>
        <v>608224.56275168678</v>
      </c>
      <c r="K78" s="11">
        <f>'Net zero Activity data'!AM7-'Net zero supporting data'!K73</f>
        <v>586839.6566157036</v>
      </c>
      <c r="L78" s="11">
        <f>'Net zero Activity data'!AN7-'Net zero supporting data'!L73</f>
        <v>563332.48006088834</v>
      </c>
      <c r="M78" s="11">
        <f>'Net zero Activity data'!AO7-'Net zero supporting data'!M73</f>
        <v>539364.07962470234</v>
      </c>
      <c r="N78" s="11">
        <f>'Net zero Activity data'!AP7-'Net zero supporting data'!N73</f>
        <v>516012.07839543634</v>
      </c>
      <c r="O78" s="11">
        <f>'Net zero Activity data'!AQ7-'Net zero supporting data'!O73</f>
        <v>494665.79316660797</v>
      </c>
      <c r="P78" s="11">
        <f>'Net zero Activity data'!AR7-'Net zero supporting data'!P73</f>
        <v>473163.82552141143</v>
      </c>
      <c r="Q78" s="11">
        <f>'Net zero Activity data'!AS7-'Net zero supporting data'!Q73</f>
        <v>451786.86556476285</v>
      </c>
      <c r="R78" s="11">
        <f>'Net zero Activity data'!AT7-'Net zero supporting data'!R73</f>
        <v>429282.54660132079</v>
      </c>
      <c r="S78" s="11">
        <f>'Net zero Activity data'!AU7-'Net zero supporting data'!S73</f>
        <v>407217.76328494743</v>
      </c>
      <c r="T78" s="11">
        <f>'Net zero Activity data'!AV7-'Net zero supporting data'!T73</f>
        <v>385606.43875207601</v>
      </c>
      <c r="U78" s="11">
        <f>'Net zero Activity data'!AW7-'Net zero supporting data'!U73</f>
        <v>378770.74995483784</v>
      </c>
      <c r="V78" s="11">
        <f>'Net zero Activity data'!AX7-'Net zero supporting data'!V73</f>
        <v>371832.10568553722</v>
      </c>
      <c r="W78" s="11">
        <f>'Net zero Activity data'!AY7-'Net zero supporting data'!W73</f>
        <v>364631.15862136282</v>
      </c>
      <c r="X78" s="11">
        <f>'Net zero Activity data'!AZ7-'Net zero supporting data'!X73</f>
        <v>357681.17775465507</v>
      </c>
      <c r="Y78" s="11">
        <f>'Net zero Activity data'!BA7-'Net zero supporting data'!Y73</f>
        <v>349556.78003187611</v>
      </c>
      <c r="Z78" s="11">
        <f>'Net zero Activity data'!BB7-'Net zero supporting data'!Z73</f>
        <v>341194.51226192858</v>
      </c>
      <c r="AA78" s="11">
        <f>'Net zero Activity data'!BC7-'Net zero supporting data'!AA73</f>
        <v>332498.77252459538</v>
      </c>
      <c r="AB78" s="11">
        <f>'Net zero Activity data'!BD7-'Net zero supporting data'!AB73</f>
        <v>323130.89375776396</v>
      </c>
      <c r="AC78" s="11">
        <f>'Net zero Activity data'!BE7-'Net zero supporting data'!AC73</f>
        <v>313323.25495004258</v>
      </c>
      <c r="AD78" s="11">
        <f>'Net zero Activity data'!BF7-'Net zero supporting data'!AD73</f>
        <v>303251.23599555722</v>
      </c>
      <c r="AE78" s="11">
        <f>'Net zero Activity data'!BG7-'Net zero supporting data'!AE73</f>
        <v>292845.3351156452</v>
      </c>
      <c r="AF78" s="11">
        <f>'Net zero Activity data'!BH7-'Net zero supporting data'!AF73</f>
        <v>281700.00534366147</v>
      </c>
      <c r="AG78" s="11">
        <f>'Net zero Activity data'!BI7-'Net zero supporting data'!AG73</f>
        <v>270159.82014105923</v>
      </c>
      <c r="AH78" s="11">
        <f>'Net zero Activity data'!BJ7-'Net zero supporting data'!AH73</f>
        <v>258218.04761420691</v>
      </c>
      <c r="AI78" s="11">
        <f>'Net zero Activity data'!BK7-'Net zero supporting data'!AI73</f>
        <v>246052.93267445266</v>
      </c>
      <c r="AJ78" s="11">
        <f>'Net zero Activity data'!BL7-'Net zero supporting data'!AJ73</f>
        <v>233389.24955586775</v>
      </c>
      <c r="AK78" s="11">
        <f>'Net zero Activity data'!BM7-'Net zero supporting data'!AK73</f>
        <v>218643.71264752967</v>
      </c>
      <c r="AL78" s="11">
        <f>'Net zero Activity data'!BN7-'Net zero supporting data'!AL73</f>
        <v>203513.0039629509</v>
      </c>
      <c r="AM78" s="11">
        <f>'Net zero Activity data'!BO7-'Net zero supporting data'!AM73</f>
        <v>188291.99589564023</v>
      </c>
      <c r="AN78" s="11">
        <f>'Net zero Activity data'!BP7-'Net zero supporting data'!AN73</f>
        <v>172694.97034672624</v>
      </c>
    </row>
    <row r="79" spans="1:40" x14ac:dyDescent="0.25">
      <c r="A79" t="s">
        <v>1355</v>
      </c>
      <c r="B79" s="11">
        <f>'Net zero Activity data'!AD8-'Net zero supporting data'!B74</f>
        <v>5984261.233029482</v>
      </c>
      <c r="C79" s="11">
        <f>'Net zero Activity data'!AE8-'Net zero supporting data'!C74</f>
        <v>5953794.0597159145</v>
      </c>
      <c r="D79" s="11">
        <f>'Net zero Activity data'!AF8-'Net zero supporting data'!D74</f>
        <v>5898185.8883474981</v>
      </c>
      <c r="E79" s="11">
        <f>'Net zero Activity data'!AG8-'Net zero supporting data'!E74</f>
        <v>5745970.6114831753</v>
      </c>
      <c r="F79" s="11">
        <f>'Net zero Activity data'!AH8-'Net zero supporting data'!F74</f>
        <v>5599829.6425982891</v>
      </c>
      <c r="G79" s="11">
        <f>'Net zero Activity data'!AI8-'Net zero supporting data'!G74</f>
        <v>5551992.8329450591</v>
      </c>
      <c r="H79" s="11">
        <f>'Net zero Activity data'!AJ8-'Net zero supporting data'!H74</f>
        <v>5474731.2958658384</v>
      </c>
      <c r="I79" s="11">
        <f>'Net zero Activity data'!AK8-'Net zero supporting data'!I74</f>
        <v>5301139.6705897786</v>
      </c>
      <c r="J79" s="11">
        <f>'Net zero Activity data'!AL8-'Net zero supporting data'!J74</f>
        <v>4718721.9406965245</v>
      </c>
      <c r="K79" s="11">
        <f>'Net zero Activity data'!AM8-'Net zero supporting data'!K74</f>
        <v>4523072.7478905283</v>
      </c>
      <c r="L79" s="11">
        <f>'Net zero Activity data'!AN8-'Net zero supporting data'!L74</f>
        <v>4278227.3703548536</v>
      </c>
      <c r="M79" s="11">
        <f>'Net zero Activity data'!AO8-'Net zero supporting data'!M74</f>
        <v>4026889.4398241127</v>
      </c>
      <c r="N79" s="11">
        <f>'Net zero Activity data'!AP8-'Net zero supporting data'!N74</f>
        <v>3794090.1121081165</v>
      </c>
      <c r="O79" s="11">
        <f>'Net zero Activity data'!AQ8-'Net zero supporting data'!O74</f>
        <v>3608426.0030869627</v>
      </c>
      <c r="P79" s="11">
        <f>'Net zero Activity data'!AR8-'Net zero supporting data'!P74</f>
        <v>3428232.4379288801</v>
      </c>
      <c r="Q79" s="11">
        <f>'Net zero Activity data'!AS8-'Net zero supporting data'!Q74</f>
        <v>3252489.8257658826</v>
      </c>
      <c r="R79" s="11">
        <f>'Net zero Activity data'!AT8-'Net zero supporting data'!R74</f>
        <v>3057287.2890912439</v>
      </c>
      <c r="S79" s="11">
        <f>'Net zero Activity data'!AU8-'Net zero supporting data'!S74</f>
        <v>2874286.1528186258</v>
      </c>
      <c r="T79" s="11">
        <f>'Net zero Activity data'!AV8-'Net zero supporting data'!T74</f>
        <v>2703240.5344398236</v>
      </c>
      <c r="U79" s="11">
        <f>'Net zero Activity data'!AW8-'Net zero supporting data'!U74</f>
        <v>2627932.4201403293</v>
      </c>
      <c r="V79" s="11">
        <f>'Net zero Activity data'!AX8-'Net zero supporting data'!V74</f>
        <v>2551517.6719860937</v>
      </c>
      <c r="W79" s="11">
        <f>'Net zero Activity data'!AY8-'Net zero supporting data'!W74</f>
        <v>2471695.2926483443</v>
      </c>
      <c r="X79" s="11">
        <f>'Net zero Activity data'!AZ8-'Net zero supporting data'!X74</f>
        <v>2397035.9416705882</v>
      </c>
      <c r="Y79" s="11">
        <f>'Net zero Activity data'!BA8-'Net zero supporting data'!Y74</f>
        <v>2305665.2124879626</v>
      </c>
      <c r="Z79" s="11">
        <f>'Net zero Activity data'!BB8-'Net zero supporting data'!Z74</f>
        <v>2215237.5159586868</v>
      </c>
      <c r="AA79" s="11">
        <f>'Net zero Activity data'!BC8-'Net zero supporting data'!AA74</f>
        <v>2122444.3220487293</v>
      </c>
      <c r="AB79" s="11">
        <f>'Net zero Activity data'!BD8-'Net zero supporting data'!AB74</f>
        <v>2023243.2519637062</v>
      </c>
      <c r="AC79" s="11">
        <f>'Net zero Activity data'!BE8-'Net zero supporting data'!AC74</f>
        <v>1921659.899854315</v>
      </c>
      <c r="AD79" s="11">
        <f>'Net zero Activity data'!BF8-'Net zero supporting data'!AD74</f>
        <v>1820491.2309719264</v>
      </c>
      <c r="AE79" s="11">
        <f>'Net zero Activity data'!BG8-'Net zero supporting data'!AE74</f>
        <v>1742002.8960381304</v>
      </c>
      <c r="AF79" s="11">
        <f>'Net zero Activity data'!BH8-'Net zero supporting data'!AF74</f>
        <v>1657041.4458625703</v>
      </c>
      <c r="AG79" s="11">
        <f>'Net zero Activity data'!BI8-'Net zero supporting data'!AG74</f>
        <v>1570268.5883510234</v>
      </c>
      <c r="AH79" s="11">
        <f>'Net zero Activity data'!BJ8-'Net zero supporting data'!AH74</f>
        <v>1481949.8715953329</v>
      </c>
      <c r="AI79" s="11">
        <f>'Net zero Activity data'!BK8-'Net zero supporting data'!AI74</f>
        <v>1394353.1777038174</v>
      </c>
      <c r="AJ79" s="11">
        <f>'Net zero Activity data'!BL8-'Net zero supporting data'!AJ74</f>
        <v>1305526.198539339</v>
      </c>
      <c r="AK79" s="11">
        <f>'Net zero Activity data'!BM8-'Net zero supporting data'!AK74</f>
        <v>1198655.8703131573</v>
      </c>
      <c r="AL79" s="11">
        <f>'Net zero Activity data'!BN8-'Net zero supporting data'!AL74</f>
        <v>1092434.159531889</v>
      </c>
      <c r="AM79" s="11">
        <f>'Net zero Activity data'!BO8-'Net zero supporting data'!AM74</f>
        <v>989955.48753190879</v>
      </c>
      <c r="AN79" s="11">
        <f>'Net zero Activity data'!BP8-'Net zero supporting data'!AN74</f>
        <v>888514.0226432397</v>
      </c>
    </row>
    <row r="80" spans="1:40" x14ac:dyDescent="0.25">
      <c r="A80" t="s">
        <v>1032</v>
      </c>
      <c r="B80" s="11">
        <f>'Net zero Activity data'!AD10-'Net zero supporting data'!B75</f>
        <v>543007.49179039791</v>
      </c>
      <c r="C80" s="11">
        <f>'Net zero Activity data'!AE10-'Net zero supporting data'!C75</f>
        <v>563264.94874187512</v>
      </c>
      <c r="D80" s="11">
        <f>'Net zero Activity data'!AF10-'Net zero supporting data'!D75</f>
        <v>581463.66332741594</v>
      </c>
      <c r="E80" s="11">
        <f>'Net zero Activity data'!AG10-'Net zero supporting data'!E75</f>
        <v>590003.82779140584</v>
      </c>
      <c r="F80" s="11">
        <f>'Net zero Activity data'!AH10-'Net zero supporting data'!F75</f>
        <v>598674.66430219111</v>
      </c>
      <c r="G80" s="11">
        <f>'Net zero Activity data'!AI10-'Net zero supporting data'!G75</f>
        <v>617814.32044813794</v>
      </c>
      <c r="H80" s="11">
        <f>'Net zero Activity data'!AJ10-'Net zero supporting data'!H75</f>
        <v>633958.70908242883</v>
      </c>
      <c r="I80" s="11">
        <f>'Net zero Activity data'!AK10-'Net zero supporting data'!I75</f>
        <v>638671.61459478887</v>
      </c>
      <c r="J80" s="11">
        <f>'Net zero Activity data'!AL10-'Net zero supporting data'!J75</f>
        <v>591407.68067539216</v>
      </c>
      <c r="K80" s="11">
        <f>'Net zero Activity data'!AM10-'Net zero supporting data'!K75</f>
        <v>586757.90258888388</v>
      </c>
      <c r="L80" s="11">
        <f>'Net zero Activity data'!AN10-'Net zero supporting data'!L75</f>
        <v>574306.8598560812</v>
      </c>
      <c r="M80" s="11">
        <f>'Net zero Activity data'!AO10-'Net zero supporting data'!M75</f>
        <v>559254.11890540598</v>
      </c>
      <c r="N80" s="11">
        <f>'Net zero Activity data'!AP10-'Net zero supporting data'!N75</f>
        <v>545032.53219002089</v>
      </c>
      <c r="O80" s="11">
        <f>'Net zero Activity data'!AQ10-'Net zero supporting data'!O75</f>
        <v>536085.63044852018</v>
      </c>
      <c r="P80" s="11">
        <f>'Net zero Activity data'!AR10-'Net zero supporting data'!P75</f>
        <v>526652.19279826165</v>
      </c>
      <c r="Q80" s="11">
        <f>'Net zero Activity data'!AS10-'Net zero supporting data'!Q75</f>
        <v>516596.17130484013</v>
      </c>
      <c r="R80" s="11">
        <f>'Net zero Activity data'!AT10-'Net zero supporting data'!R75</f>
        <v>502001.89586807939</v>
      </c>
      <c r="S80" s="11">
        <f>'Net zero Activity data'!AU10-'Net zero supporting data'!S75</f>
        <v>487857.06514722103</v>
      </c>
      <c r="T80" s="11">
        <f>'Net zero Activity data'!AV10-'Net zero supporting data'!T75</f>
        <v>474249.87205735</v>
      </c>
      <c r="U80" s="11">
        <f>'Net zero Activity data'!AW10-'Net zero supporting data'!U75</f>
        <v>476553.21387688583</v>
      </c>
      <c r="V80" s="11">
        <f>'Net zero Activity data'!AX10-'Net zero supporting data'!V75</f>
        <v>478298.72531129984</v>
      </c>
      <c r="W80" s="11">
        <f>'Net zero Activity data'!AY10-'Net zero supporting data'!W75</f>
        <v>479001.2902155582</v>
      </c>
      <c r="X80" s="11">
        <f>'Net zero Activity data'!AZ10-'Net zero supporting data'!X75</f>
        <v>480290.38557535032</v>
      </c>
      <c r="Y80" s="11">
        <f>'Net zero Activity data'!BA10-'Net zero supporting data'!Y75</f>
        <v>477714.49184492079</v>
      </c>
      <c r="Z80" s="11">
        <f>'Net zero Activity data'!BB10-'Net zero supporting data'!Z75</f>
        <v>474678.15431408148</v>
      </c>
      <c r="AA80" s="11">
        <f>'Net zero Activity data'!BC10-'Net zero supporting data'!AA75</f>
        <v>470429.71691869677</v>
      </c>
      <c r="AB80" s="11">
        <f>'Net zero Activity data'!BD10-'Net zero supporting data'!AB75</f>
        <v>463946.16754036688</v>
      </c>
      <c r="AC80" s="11">
        <f>'Net zero Activity data'!BE10-'Net zero supporting data'!AC75</f>
        <v>455981.8771820548</v>
      </c>
      <c r="AD80" s="11">
        <f>'Net zero Activity data'!BF10-'Net zero supporting data'!AD75</f>
        <v>447106.3638360668</v>
      </c>
      <c r="AE80" s="11">
        <f>'Net zero Activity data'!BG10-'Net zero supporting data'!AE75</f>
        <v>440129.68598783703</v>
      </c>
      <c r="AF80" s="11">
        <f>'Net zero Activity data'!BH10-'Net zero supporting data'!AF75</f>
        <v>430742.54256785789</v>
      </c>
      <c r="AG80" s="11">
        <f>'Net zero Activity data'!BI10-'Net zero supporting data'!AG75</f>
        <v>420009.76804858563</v>
      </c>
      <c r="AH80" s="11">
        <f>'Net zero Activity data'!BJ10-'Net zero supporting data'!AH75</f>
        <v>407918.91255439457</v>
      </c>
      <c r="AI80" s="11">
        <f>'Net zero Activity data'!BK10-'Net zero supporting data'!AI75</f>
        <v>395027.4255953721</v>
      </c>
      <c r="AJ80" s="11">
        <f>'Net zero Activity data'!BL10-'Net zero supporting data'!AJ75</f>
        <v>380731.58538646495</v>
      </c>
      <c r="AK80" s="11">
        <f>'Net zero Activity data'!BM10-'Net zero supporting data'!AK75</f>
        <v>359895.96220477682</v>
      </c>
      <c r="AL80" s="11">
        <f>'Net zero Activity data'!BN10-'Net zero supporting data'!AL75</f>
        <v>337755.79325632239</v>
      </c>
      <c r="AM80" s="11">
        <f>'Net zero Activity data'!BO10-'Net zero supporting data'!AM75</f>
        <v>315231.77379218023</v>
      </c>
      <c r="AN80" s="11">
        <f>'Net zero Activity data'!BP10-'Net zero supporting data'!AN75</f>
        <v>291456.000712618</v>
      </c>
    </row>
    <row r="82" spans="1:48" x14ac:dyDescent="0.25">
      <c r="A82" t="s">
        <v>1366</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1367</v>
      </c>
      <c r="B83">
        <f>'Intermediate calculations'!Y11-(('Intermediate calculations'!Y11-'Net zero supporting data'!B100)+('Intermediate calculations'!Y11-'Net zero supporting data'!B64))</f>
        <v>40.795969839954637</v>
      </c>
      <c r="C83">
        <f>'Intermediate calculations'!Z11-(('Intermediate calculations'!Z11-'Net zero supporting data'!C100)+('Intermediate calculations'!Z11-'Net zero supporting data'!C64))</f>
        <v>40.075960285152689</v>
      </c>
      <c r="D83">
        <f>'Intermediate calculations'!AA11-(('Intermediate calculations'!AA11-'Net zero supporting data'!D100)+('Intermediate calculations'!AA11-'Net zero supporting data'!D64))</f>
        <v>39.399615271435337</v>
      </c>
      <c r="E83">
        <f>'Intermediate calculations'!AB11-(('Intermediate calculations'!AB11-'Net zero supporting data'!E100)+('Intermediate calculations'!AB11-'Net zero supporting data'!E64))</f>
        <v>38.76194023059638</v>
      </c>
      <c r="F83">
        <f>'Intermediate calculations'!AC11-(('Intermediate calculations'!AC11-'Net zero supporting data'!F100)+('Intermediate calculations'!AC11-'Net zero supporting data'!F64))</f>
        <v>38.158751387251051</v>
      </c>
      <c r="G83">
        <f>'Intermediate calculations'!AD11-(('Intermediate calculations'!AD11-'Net zero supporting data'!G100)+('Intermediate calculations'!AD11-'Net zero supporting data'!G64))</f>
        <v>37.586509237828665</v>
      </c>
      <c r="H83">
        <f>'Intermediate calculations'!AE11-(('Intermediate calculations'!AE11-'Net zero supporting data'!H100)+('Intermediate calculations'!AE11-'Net zero supporting data'!H64))</f>
        <v>37.042192699997493</v>
      </c>
      <c r="I83">
        <f>'Intermediate calculations'!AF11-(('Intermediate calculations'!AF11-'Net zero supporting data'!I100)+('Intermediate calculations'!AF11-'Net zero supporting data'!I64))</f>
        <v>36.523202565791273</v>
      </c>
      <c r="J83">
        <f>'Intermediate calculations'!AG11-(('Intermediate calculations'!AG11-'Net zero supporting data'!J100)+('Intermediate calculations'!AG11-'Net zero supporting data'!J64))</f>
        <v>36.027286433617057</v>
      </c>
      <c r="K83">
        <f>'Intermediate calculations'!AH11-(('Intermediate calculations'!AH11-'Net zero supporting data'!K100)+('Intermediate calculations'!AH11-'Net zero supporting data'!K64))</f>
        <v>35.268059791442646</v>
      </c>
      <c r="L83">
        <f>'Intermediate calculations'!AI11-(('Intermediate calculations'!AI11-'Net zero supporting data'!L100)+('Intermediate calculations'!AI11-'Net zero supporting data'!L64))</f>
        <v>34.535505259456571</v>
      </c>
      <c r="M83">
        <f>'Intermediate calculations'!AJ11-(('Intermediate calculations'!AJ11-'Net zero supporting data'!M100)+('Intermediate calculations'!AJ11-'Net zero supporting data'!M64))</f>
        <v>33.827673063285062</v>
      </c>
      <c r="N83">
        <f>'Intermediate calculations'!AK11-(('Intermediate calculations'!AK11-'Net zero supporting data'!N100)+('Intermediate calculations'!AK11-'Net zero supporting data'!N64))</f>
        <v>33.14282886754885</v>
      </c>
      <c r="O83">
        <f>'Intermediate calculations'!AL11-(('Intermediate calculations'!AL11-'Net zero supporting data'!O100)+('Intermediate calculations'!AL11-'Net zero supporting data'!O64))</f>
        <v>32.47942281395666</v>
      </c>
      <c r="P83">
        <f>'Intermediate calculations'!AM11-(('Intermediate calculations'!AM11-'Net zero supporting data'!P100)+('Intermediate calculations'!AM11-'Net zero supporting data'!P64))</f>
        <v>31.836063953521773</v>
      </c>
      <c r="Q83">
        <f>'Intermediate calculations'!AN11-(('Intermediate calculations'!AN11-'Net zero supporting data'!Q100)+('Intermediate calculations'!AN11-'Net zero supporting data'!Q64))</f>
        <v>31.211498980602183</v>
      </c>
      <c r="R83">
        <f>'Intermediate calculations'!AO11-(('Intermediate calculations'!AO11-'Net zero supporting data'!R100)+('Intermediate calculations'!AO11-'Net zero supporting data'!R64))</f>
        <v>30.604594426435614</v>
      </c>
      <c r="S83">
        <f>'Intermediate calculations'!AP11-(('Intermediate calculations'!AP11-'Net zero supporting data'!S100)+('Intermediate calculations'!AP11-'Net zero supporting data'!S64))</f>
        <v>30.014321656447635</v>
      </c>
      <c r="T83">
        <f>'Intermediate calculations'!AQ11-(('Intermediate calculations'!AQ11-'Net zero supporting data'!T100)+('Intermediate calculations'!AQ11-'Net zero supporting data'!T64))</f>
        <v>29.439744156380275</v>
      </c>
      <c r="U83">
        <f>'Intermediate calculations'!AR11-(('Intermediate calculations'!AR11-'Net zero supporting data'!U100)+('Intermediate calculations'!AR11-'Net zero supporting data'!U64))</f>
        <v>29.085840080597983</v>
      </c>
      <c r="V83">
        <f>'Intermediate calculations'!AS11-(('Intermediate calculations'!AS11-'Net zero supporting data'!V100)+('Intermediate calculations'!AS11-'Net zero supporting data'!V64))</f>
        <v>28.741788723352062</v>
      </c>
      <c r="W83">
        <f>'Intermediate calculations'!AT11-(('Intermediate calculations'!AT11-'Net zero supporting data'!W100)+('Intermediate calculations'!AT11-'Net zero supporting data'!W64))</f>
        <v>28.407048558672031</v>
      </c>
      <c r="X83">
        <f>'Intermediate calculations'!AU11-(('Intermediate calculations'!AU11-'Net zero supporting data'!X100)+('Intermediate calculations'!AU11-'Net zero supporting data'!X64))</f>
        <v>28.081122206477136</v>
      </c>
      <c r="Y83">
        <f>'Intermediate calculations'!AV11-(('Intermediate calculations'!AV11-'Net zero supporting data'!Y100)+('Intermediate calculations'!AV11-'Net zero supporting data'!Y64))</f>
        <v>27.763551742204051</v>
      </c>
      <c r="Z83">
        <f>'Intermediate calculations'!AW11-(('Intermediate calculations'!AW11-'Net zero supporting data'!Z100)+('Intermediate calculations'!AW11-'Net zero supporting data'!Z64))</f>
        <v>27.45391461423446</v>
      </c>
      <c r="AA83">
        <f>'Intermediate calculations'!AX11-(('Intermediate calculations'!AX11-'Net zero supporting data'!AA100)+('Intermediate calculations'!AX11-'Net zero supporting data'!AA64))</f>
        <v>27.151820076919073</v>
      </c>
      <c r="AB83">
        <f>'Intermediate calculations'!AY11-(('Intermediate calculations'!AY11-'Net zero supporting data'!AB100)+('Intermediate calculations'!AY11-'Net zero supporting data'!AB64))</f>
        <v>26.8569060629186</v>
      </c>
      <c r="AC83">
        <f>'Intermediate calculations'!AZ11-(('Intermediate calculations'!AZ11-'Net zero supporting data'!AC100)+('Intermediate calculations'!AZ11-'Net zero supporting data'!AC64))</f>
        <v>26.568836431438047</v>
      </c>
      <c r="AD83">
        <f>'Intermediate calculations'!BA11-(('Intermediate calculations'!BA11-'Net zero supporting data'!AD100)+('Intermediate calculations'!BA11-'Net zero supporting data'!AD64))</f>
        <v>26.287298539367189</v>
      </c>
      <c r="AE83">
        <f>'Intermediate calculations'!BB11-(('Intermediate calculations'!BB11-'Net zero supporting data'!AE100)+('Intermediate calculations'!BB11-'Net zero supporting data'!AE64))</f>
        <v>26.012001090859165</v>
      </c>
      <c r="AF83">
        <f>'Intermediate calculations'!BC11-(('Intermediate calculations'!BC11-'Net zero supporting data'!AF100)+('Intermediate calculations'!BC11-'Net zero supporting data'!AF64))</f>
        <v>25.742672227866628</v>
      </c>
      <c r="AG83">
        <f>'Intermediate calculations'!BD11-(('Intermediate calculations'!BD11-'Net zero supporting data'!AG100)+('Intermediate calculations'!BD11-'Net zero supporting data'!AG64))</f>
        <v>25.479057829915334</v>
      </c>
      <c r="AH83">
        <f>'Intermediate calculations'!BE11-(('Intermediate calculations'!BE11-'Net zero supporting data'!AH100)+('Intermediate calculations'!BE11-'Net zero supporting data'!AH64))</f>
        <v>25.220919996164682</v>
      </c>
      <c r="AI83">
        <f>'Intermediate calculations'!BF11-(('Intermediate calculations'!BF11-'Net zero supporting data'!AI100)+('Intermediate calculations'!BF11-'Net zero supporting data'!AI64))</f>
        <v>24.968035686771785</v>
      </c>
      <c r="AJ83">
        <f>'Intermediate calculations'!BG11-(('Intermediate calculations'!BG11-'Net zero supporting data'!AJ100)+('Intermediate calculations'!BG11-'Net zero supporting data'!AJ64))</f>
        <v>24.720195503888963</v>
      </c>
      <c r="AK83">
        <f>'Intermediate calculations'!BH11-(('Intermediate calculations'!BH11-'Net zero supporting data'!AK100)+('Intermediate calculations'!BH11-'Net zero supporting data'!AK64))</f>
        <v>24.477202595402424</v>
      </c>
      <c r="AL83">
        <f>'Intermediate calculations'!BI11-(('Intermediate calculations'!BI11-'Net zero supporting data'!AL100)+('Intermediate calculations'!BI11-'Net zero supporting data'!AL64))</f>
        <v>24.238871666858714</v>
      </c>
      <c r="AM83">
        <f>'Intermediate calculations'!BJ11-(('Intermediate calculations'!BJ11-'Net zero supporting data'!AM100)+('Intermediate calculations'!BJ11-'Net zero supporting data'!AM64))</f>
        <v>24.00502808900055</v>
      </c>
      <c r="AN83">
        <f>'Intermediate calculations'!BK11-(('Intermediate calculations'!BK11-'Net zero supporting data'!AN100)+('Intermediate calculations'!BK11-'Net zero supporting data'!AN64))</f>
        <v>23.775507090008769</v>
      </c>
    </row>
    <row r="84" spans="1:48" x14ac:dyDescent="0.25">
      <c r="A84" t="s">
        <v>1374</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20" customFormat="1" ht="15.75" x14ac:dyDescent="0.25">
      <c r="A86" s="116" t="s">
        <v>988</v>
      </c>
      <c r="B86" s="116" t="s">
        <v>1045</v>
      </c>
      <c r="C86" s="116"/>
      <c r="D86" s="116"/>
      <c r="E86" s="116"/>
      <c r="F86" s="116"/>
      <c r="G86" s="116"/>
      <c r="H86" s="116"/>
      <c r="I86" s="116"/>
      <c r="J86" s="118"/>
      <c r="K86" s="118"/>
      <c r="L86" s="118"/>
      <c r="M86" s="118"/>
      <c r="N86" s="118"/>
      <c r="O86" s="118"/>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row>
    <row r="87" spans="1:48" x14ac:dyDescent="0.25">
      <c r="A87" t="s">
        <v>1063</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1064</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1065</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1066</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1067</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1068</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1069</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1070</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1071</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1072</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1111</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1361</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1110</v>
      </c>
      <c r="B100">
        <f>'Intermediate calculations'!Y11</f>
        <v>40.795969839954637</v>
      </c>
      <c r="C100">
        <f>'Intermediate calculations'!Z11-('Intermediate calculations'!Z11*C98)</f>
        <v>40.075960285152689</v>
      </c>
      <c r="D100">
        <f>'Intermediate calculations'!AA11-('Intermediate calculations'!AA11*D98)</f>
        <v>39.399615271435337</v>
      </c>
      <c r="E100">
        <f>'Intermediate calculations'!AB11-('Intermediate calculations'!AB11*E98)</f>
        <v>38.76194023059638</v>
      </c>
      <c r="F100">
        <f>'Intermediate calculations'!AC11-('Intermediate calculations'!AC11*F98)</f>
        <v>38.158751387251051</v>
      </c>
      <c r="G100">
        <f>'Intermediate calculations'!AD11-('Intermediate calculations'!AD11*G98)</f>
        <v>37.586509237828665</v>
      </c>
      <c r="H100">
        <f>'Intermediate calculations'!AE11-('Intermediate calculations'!AE11*H98)</f>
        <v>37.042192699997493</v>
      </c>
      <c r="I100">
        <f>'Intermediate calculations'!AF11-('Intermediate calculations'!AF11*I98)</f>
        <v>36.523202565791273</v>
      </c>
      <c r="J100">
        <f>'Intermediate calculations'!AG11-('Intermediate calculations'!AG11*J98)</f>
        <v>36.027286433617057</v>
      </c>
      <c r="K100">
        <f>'Intermediate calculations'!AH11-('Intermediate calculations'!AH11*K98)</f>
        <v>35.339164750699588</v>
      </c>
      <c r="L100">
        <f>'Intermediate calculations'!AI11-('Intermediate calculations'!AI11*L98)</f>
        <v>34.675893492218592</v>
      </c>
      <c r="M100">
        <f>'Intermediate calculations'!AJ11-('Intermediate calculations'!AJ11*M98)</f>
        <v>34.03563006982165</v>
      </c>
      <c r="N100">
        <f>'Intermediate calculations'!AK11-('Intermediate calculations'!AK11*N98)</f>
        <v>33.416736544140164</v>
      </c>
      <c r="O100">
        <f>'Intermediate calculations'!AL11-('Intermediate calculations'!AL11*O98)</f>
        <v>32.817750134935373</v>
      </c>
      <c r="P100">
        <f>'Intermediate calculations'!AM11-('Intermediate calculations'!AM11*P98)</f>
        <v>32.23735887730566</v>
      </c>
      <c r="Q100">
        <f>'Intermediate calculations'!AN11-('Intermediate calculations'!AN11*Q98)</f>
        <v>31.674381380738236</v>
      </c>
      <c r="R100">
        <f>'Intermediate calculations'!AO11-('Intermediate calculations'!AO11*R98)</f>
        <v>31.127749886716568</v>
      </c>
      <c r="S100">
        <f>'Intermediate calculations'!AP11-('Intermediate calculations'!AP11*S98)</f>
        <v>30.596495998921835</v>
      </c>
      <c r="T100">
        <f>'Intermediate calculations'!AQ11-('Intermediate calculations'!AQ11*T98)</f>
        <v>30.079738594562453</v>
      </c>
      <c r="U100">
        <f>'Intermediate calculations'!AR11-('Intermediate calculations'!AR11*U98)</f>
        <v>29.766673571869465</v>
      </c>
      <c r="V100">
        <f>'Intermediate calculations'!AS11-('Intermediate calculations'!AS11*V98)</f>
        <v>29.462684187514654</v>
      </c>
      <c r="W100">
        <f>'Intermediate calculations'!AT11-('Intermediate calculations'!AT11*W98)</f>
        <v>29.167259033480839</v>
      </c>
      <c r="X100">
        <f>'Intermediate calculations'!AU11-('Intermediate calculations'!AU11*X98)</f>
        <v>28.879928746267513</v>
      </c>
      <c r="Y100">
        <f>'Intermediate calculations'!AV11-('Intermediate calculations'!AV11*Y98)</f>
        <v>28.600261520736229</v>
      </c>
      <c r="Z100">
        <f>'Intermediate calculations'!AW11-('Intermediate calculations'!AW11*Z98)</f>
        <v>28.327859206784186</v>
      </c>
      <c r="AA100">
        <f>'Intermediate calculations'!AX11-('Intermediate calculations'!AX11*AA98)</f>
        <v>28.062353900279195</v>
      </c>
      <c r="AB100">
        <f>'Intermediate calculations'!AY11-('Intermediate calculations'!AY11*AB98)</f>
        <v>27.803404955003838</v>
      </c>
      <c r="AC100">
        <f>'Intermediate calculations'!AZ11-('Intermediate calculations'!AZ11*AC98)</f>
        <v>27.550696354717886</v>
      </c>
      <c r="AD100">
        <f>'Intermediate calculations'!BA11-('Intermediate calculations'!BA11*AD98)</f>
        <v>27.303934394480837</v>
      </c>
      <c r="AE100">
        <f>'Intermediate calculations'!BB11-('Intermediate calculations'!BB11*AE98)</f>
        <v>27.062845628564045</v>
      </c>
      <c r="AF100">
        <f>'Intermediate calculations'!BC11-('Intermediate calculations'!BC11*AF98)</f>
        <v>26.827175048996263</v>
      </c>
      <c r="AG100">
        <f>'Intermediate calculations'!BD11-('Intermediate calculations'!BD11*AG98)</f>
        <v>26.596684464320283</v>
      </c>
      <c r="AH100">
        <f>'Intermediate calculations'!BE11-('Intermediate calculations'!BE11*AH98)</f>
        <v>26.371151052719465</v>
      </c>
      <c r="AI100">
        <f>'Intermediate calculations'!BF11-('Intermediate calculations'!BF11*AI98)</f>
        <v>26.150366067482427</v>
      </c>
      <c r="AJ100">
        <f>'Intermediate calculations'!BG11-('Intermediate calculations'!BG11*AJ98)</f>
        <v>25.934133675954939</v>
      </c>
      <c r="AK100">
        <f>'Intermediate calculations'!BH11-('Intermediate calculations'!BH11*AK98)</f>
        <v>25.722269915794612</v>
      </c>
      <c r="AL100">
        <f>'Intermediate calculations'!BI11-('Intermediate calculations'!BI11*AL98)</f>
        <v>25.514601754588121</v>
      </c>
      <c r="AM100">
        <f>'Intermediate calculations'!BJ11-('Intermediate calculations'!BJ11*AM98)</f>
        <v>25.310966240785774</v>
      </c>
      <c r="AN100">
        <f>'Intermediate calculations'!BK11-('Intermediate calculations'!BK11*AN98)</f>
        <v>25.11120973551488</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1053</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1054</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1055</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1056</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1058</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1057</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1059</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1060</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1061</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1062</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1029</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1073</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1074</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1075</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1076</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1030</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1077</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1078</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1079</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1080</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1081</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50516.434561102935</v>
      </c>
      <c r="L122">
        <f>'Net zero Activity data'!AN5*'Net zero supporting data'!L112</f>
        <v>101202.54397229118</v>
      </c>
      <c r="M122">
        <f>'Net zero Activity data'!AO5*'Net zero supporting data'!M112</f>
        <v>151951.52811396675</v>
      </c>
      <c r="N122">
        <f>'Net zero Activity data'!AP5*'Net zero supporting data'!N112</f>
        <v>203060.3086278337</v>
      </c>
      <c r="O122">
        <f>'Net zero Activity data'!AQ5*'Net zero supporting data'!O112</f>
        <v>255491.44699143368</v>
      </c>
      <c r="P122">
        <f>'Net zero Activity data'!AR5*'Net zero supporting data'!P112</f>
        <v>308697.8905539909</v>
      </c>
      <c r="Q122">
        <f>'Net zero Activity data'!AS5*'Net zero supporting data'!Q112</f>
        <v>362980.76679730648</v>
      </c>
      <c r="R122">
        <f>'Net zero Activity data'!AT5*'Net zero supporting data'!R112</f>
        <v>417358.03141795064</v>
      </c>
      <c r="S122">
        <f>'Net zero Activity data'!AU5*'Net zero supporting data'!S112</f>
        <v>473231.58037996799</v>
      </c>
      <c r="T122">
        <f>'Net zero Activity data'!AV5*'Net zero supporting data'!T112</f>
        <v>531101.46078121569</v>
      </c>
      <c r="U122">
        <f>'Net zero Activity data'!AW5*'Net zero supporting data'!U112</f>
        <v>539675.75723929238</v>
      </c>
      <c r="V122">
        <f>'Net zero Activity data'!AX5*'Net zero supporting data'!V112</f>
        <v>548710.57262622658</v>
      </c>
      <c r="W122">
        <f>'Net zero Activity data'!AY5*'Net zero supporting data'!W112</f>
        <v>558013.21856921527</v>
      </c>
      <c r="X122">
        <f>'Net zero Activity data'!AZ5*'Net zero supporting data'!X112</f>
        <v>568430.29050218954</v>
      </c>
      <c r="Y122">
        <f>'Net zero Activity data'!BA5*'Net zero supporting data'!Y112</f>
        <v>577739.67810823955</v>
      </c>
      <c r="Z122">
        <f>'Net zero Activity data'!BB5*'Net zero supporting data'!Z112</f>
        <v>587415.32058983657</v>
      </c>
      <c r="AA122">
        <f>'Net zero Activity data'!BC5*'Net zero supporting data'!AA112</f>
        <v>597333.24170330388</v>
      </c>
      <c r="AB122">
        <f>'Net zero Activity data'!BD5*'Net zero supporting data'!AB112</f>
        <v>606890.40967761877</v>
      </c>
      <c r="AC122">
        <f>'Net zero Activity data'!BE5*'Net zero supporting data'!AC112</f>
        <v>616492.51552670426</v>
      </c>
      <c r="AD122">
        <f>'Net zero Activity data'!BF5*'Net zero supporting data'!AD112</f>
        <v>626508.62992137682</v>
      </c>
      <c r="AE122">
        <f>'Net zero Activity data'!BG5*'Net zero supporting data'!AE112</f>
        <v>636852.97658555862</v>
      </c>
      <c r="AF122">
        <f>'Net zero Activity data'!BH5*'Net zero supporting data'!AF112</f>
        <v>646649.31782206241</v>
      </c>
      <c r="AG122">
        <f>'Net zero Activity data'!BI5*'Net zero supporting data'!AG112</f>
        <v>656638.45173174108</v>
      </c>
      <c r="AH122">
        <f>'Net zero Activity data'!BJ5*'Net zero supporting data'!AH112</f>
        <v>666839.1420592583</v>
      </c>
      <c r="AI122">
        <f>'Net zero Activity data'!BK5*'Net zero supporting data'!AI112</f>
        <v>677784.69880231167</v>
      </c>
      <c r="AJ122">
        <f>'Net zero Activity data'!BL5*'Net zero supporting data'!AJ112</f>
        <v>688822.43792530417</v>
      </c>
      <c r="AK122">
        <f>'Net zero Activity data'!BM5*'Net zero supporting data'!AK112</f>
        <v>694941.28752820613</v>
      </c>
      <c r="AL122">
        <f>'Net zero Activity data'!BN5*'Net zero supporting data'!AL112</f>
        <v>700753.68841409602</v>
      </c>
      <c r="AM122">
        <f>'Net zero Activity data'!BO5*'Net zero supporting data'!AM112</f>
        <v>707283.69670395192</v>
      </c>
      <c r="AN122">
        <f>'Net zero Activity data'!BP5*'Net zero supporting data'!AN112</f>
        <v>713566.02330765349</v>
      </c>
    </row>
    <row r="123" spans="1:40" x14ac:dyDescent="0.25">
      <c r="A123" t="s">
        <v>1083</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41856.474350628152</v>
      </c>
      <c r="L123">
        <f>'Net zero Activity data'!AN6*'Net zero supporting data'!L113</f>
        <v>83853.53643418412</v>
      </c>
      <c r="M123">
        <f>'Net zero Activity data'!AO6*'Net zero supporting data'!M113</f>
        <v>125902.69472300104</v>
      </c>
      <c r="N123">
        <f>'Net zero Activity data'!AP6*'Net zero supporting data'!N113</f>
        <v>168249.97000591934</v>
      </c>
      <c r="O123">
        <f>'Net zero Activity data'!AQ6*'Net zero supporting data'!O113</f>
        <v>211692.91322147363</v>
      </c>
      <c r="P123">
        <f>'Net zero Activity data'!AR6*'Net zero supporting data'!P113</f>
        <v>255778.25217330674</v>
      </c>
      <c r="Q123">
        <f>'Net zero Activity data'!AS6*'Net zero supporting data'!Q113</f>
        <v>300755.49248919677</v>
      </c>
      <c r="R123">
        <f>'Net zero Activity data'!AT6*'Net zero supporting data'!R113</f>
        <v>345810.94031773054</v>
      </c>
      <c r="S123">
        <f>'Net zero Activity data'!AU6*'Net zero supporting data'!S113</f>
        <v>392106.16660054488</v>
      </c>
      <c r="T123">
        <f>'Net zero Activity data'!AV6*'Net zero supporting data'!T113</f>
        <v>440055.49607586442</v>
      </c>
      <c r="U123">
        <f>'Net zero Activity data'!AW6*'Net zero supporting data'!U113</f>
        <v>447159.91314112797</v>
      </c>
      <c r="V123">
        <f>'Net zero Activity data'!AX6*'Net zero supporting data'!V113</f>
        <v>454645.90303315921</v>
      </c>
      <c r="W123">
        <f>'Net zero Activity data'!AY6*'Net zero supporting data'!W113</f>
        <v>462353.80967163551</v>
      </c>
      <c r="X123">
        <f>'Net zero Activity data'!AZ6*'Net zero supporting data'!X113</f>
        <v>470985.09784467128</v>
      </c>
      <c r="Y123">
        <f>'Net zero Activity data'!BA6*'Net zero supporting data'!Y113</f>
        <v>478698.59043254139</v>
      </c>
      <c r="Z123">
        <f>'Net zero Activity data'!BB6*'Net zero supporting data'!Z113</f>
        <v>486715.55134586449</v>
      </c>
      <c r="AA123">
        <f>'Net zero Activity data'!BC6*'Net zero supporting data'!AA113</f>
        <v>494933.25741130894</v>
      </c>
      <c r="AB123">
        <f>'Net zero Activity data'!BD6*'Net zero supporting data'!AB113</f>
        <v>502852.053732884</v>
      </c>
      <c r="AC123">
        <f>'Net zero Activity data'!BE6*'Net zero supporting data'!AC113</f>
        <v>510808.08429355494</v>
      </c>
      <c r="AD123">
        <f>'Net zero Activity data'!BF6*'Net zero supporting data'!AD113</f>
        <v>519107.15050628356</v>
      </c>
      <c r="AE123">
        <f>'Net zero Activity data'!BG6*'Net zero supporting data'!AE113</f>
        <v>527678.18059946282</v>
      </c>
      <c r="AF123">
        <f>'Net zero Activity data'!BH6*'Net zero supporting data'!AF113</f>
        <v>535795.14905256592</v>
      </c>
      <c r="AG123">
        <f>'Net zero Activity data'!BI6*'Net zero supporting data'!AG113</f>
        <v>544071.86000629968</v>
      </c>
      <c r="AH123">
        <f>'Net zero Activity data'!BJ6*'Net zero supporting data'!AH113</f>
        <v>552523.86056338542</v>
      </c>
      <c r="AI123">
        <f>'Net zero Activity data'!BK6*'Net zero supporting data'!AI113</f>
        <v>561593.03615048679</v>
      </c>
      <c r="AJ123">
        <f>'Net zero Activity data'!BL6*'Net zero supporting data'!AJ113</f>
        <v>570738.59142382338</v>
      </c>
      <c r="AK123">
        <f>'Net zero Activity data'!BM6*'Net zero supporting data'!AK113</f>
        <v>575808.4953805136</v>
      </c>
      <c r="AL123">
        <f>'Net zero Activity data'!BN6*'Net zero supporting data'!AL113</f>
        <v>580624.48468596535</v>
      </c>
      <c r="AM123">
        <f>'Net zero Activity data'!BO6*'Net zero supporting data'!AM113</f>
        <v>586035.06298327446</v>
      </c>
      <c r="AN123">
        <f>'Net zero Activity data'!BP6*'Net zero supporting data'!AN113</f>
        <v>591240.41931205569</v>
      </c>
    </row>
    <row r="124" spans="1:40" x14ac:dyDescent="0.25">
      <c r="A124" t="s">
        <v>1082</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36677.478538481468</v>
      </c>
      <c r="L124">
        <f>'Net zero Activity data'!AN7*'Net zero supporting data'!L114</f>
        <v>73478.149573159346</v>
      </c>
      <c r="M124">
        <f>'Net zero Activity data'!AO7*'Net zero supporting data'!M114</f>
        <v>110324.47083232547</v>
      </c>
      <c r="N124">
        <f>'Net zero Activity data'!AP7*'Net zero supporting data'!N114</f>
        <v>147432.02239869608</v>
      </c>
      <c r="O124">
        <f>'Net zero Activity data'!AQ7*'Net zero supporting data'!O114</f>
        <v>185499.672437478</v>
      </c>
      <c r="P124">
        <f>'Net zero Activity data'!AR7*'Net zero supporting data'!P114</f>
        <v>224130.2331417212</v>
      </c>
      <c r="Q124">
        <f>'Net zero Activity data'!AS7*'Net zero supporting data'!Q114</f>
        <v>263542.33824611164</v>
      </c>
      <c r="R124">
        <f>'Net zero Activity data'!AT7*'Net zero supporting data'!R114</f>
        <v>303022.97407152056</v>
      </c>
      <c r="S124">
        <f>'Net zero Activity data'!AU7*'Net zero supporting data'!S114</f>
        <v>343589.98777167441</v>
      </c>
      <c r="T124">
        <f>'Net zero Activity data'!AV7*'Net zero supporting data'!T114</f>
        <v>385606.43875207601</v>
      </c>
      <c r="U124">
        <f>'Net zero Activity data'!AW7*'Net zero supporting data'!U114</f>
        <v>391831.81029810815</v>
      </c>
      <c r="V124">
        <f>'Net zero Activity data'!AX7*'Net zero supporting data'!V114</f>
        <v>398391.54180593271</v>
      </c>
      <c r="W124">
        <f>'Net zero Activity data'!AY7*'Net zero supporting data'!W114</f>
        <v>405145.73180151434</v>
      </c>
      <c r="X124">
        <f>'Net zero Activity data'!AZ7*'Net zero supporting data'!X114</f>
        <v>412709.05125537131</v>
      </c>
      <c r="Y124">
        <f>'Net zero Activity data'!BA7*'Net zero supporting data'!Y114</f>
        <v>419468.1360382514</v>
      </c>
      <c r="Z124">
        <f>'Net zero Activity data'!BB7*'Net zero supporting data'!Z114</f>
        <v>426493.14032741083</v>
      </c>
      <c r="AA124">
        <f>'Net zero Activity data'!BC7*'Net zero supporting data'!AA114</f>
        <v>433694.05111903755</v>
      </c>
      <c r="AB124">
        <f>'Net zero Activity data'!BD7*'Net zero supporting data'!AB114</f>
        <v>440633.03694240557</v>
      </c>
      <c r="AC124">
        <f>'Net zero Activity data'!BE7*'Net zero supporting data'!AC114</f>
        <v>447604.64992863243</v>
      </c>
      <c r="AD124">
        <f>'Net zero Activity data'!BF7*'Net zero supporting data'!AD114</f>
        <v>454876.8539933358</v>
      </c>
      <c r="AE124">
        <f>'Net zero Activity data'!BG7*'Net zero supporting data'!AE114</f>
        <v>462387.37123522925</v>
      </c>
      <c r="AF124">
        <f>'Net zero Activity data'!BH7*'Net zero supporting data'!AF114</f>
        <v>469500.00890610251</v>
      </c>
      <c r="AG124">
        <f>'Net zero Activity data'!BI7*'Net zero supporting data'!AG114</f>
        <v>476752.62377833982</v>
      </c>
      <c r="AH124">
        <f>'Net zero Activity data'!BJ7*'Net zero supporting data'!AH114</f>
        <v>484158.83927663806</v>
      </c>
      <c r="AI124">
        <f>'Net zero Activity data'!BK7*'Net zero supporting data'!AI114</f>
        <v>492105.86534890532</v>
      </c>
      <c r="AJ124">
        <f>'Net zero Activity data'!BL7*'Net zero supporting data'!AJ114</f>
        <v>500119.82047685952</v>
      </c>
      <c r="AK124">
        <f>'Net zero Activity data'!BM7*'Net zero supporting data'!AK114</f>
        <v>504562.41380199173</v>
      </c>
      <c r="AL124">
        <f>'Net zero Activity data'!BN7*'Net zero supporting data'!AL114</f>
        <v>508782.50990737736</v>
      </c>
      <c r="AM124">
        <f>'Net zero Activity data'!BO7*'Net zero supporting data'!AM114</f>
        <v>513523.62516992819</v>
      </c>
      <c r="AN124">
        <f>'Net zero Activity data'!BP7*'Net zero supporting data'!AN114</f>
        <v>518084.91104017879</v>
      </c>
    </row>
    <row r="125" spans="1:40" x14ac:dyDescent="0.25">
      <c r="A125" t="s">
        <v>1019</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282692.04674315802</v>
      </c>
      <c r="L125">
        <f>'Net zero Activity data'!AN8*'Net zero supporting data'!L115</f>
        <v>558029.6570028069</v>
      </c>
      <c r="M125">
        <f>'Net zero Activity data'!AO8*'Net zero supporting data'!M115</f>
        <v>823681.93087311392</v>
      </c>
      <c r="N125">
        <f>'Net zero Activity data'!AP8*'Net zero supporting data'!N115</f>
        <v>1084025.7463166048</v>
      </c>
      <c r="O125">
        <f>'Net zero Activity data'!AQ8*'Net zero supporting data'!O115</f>
        <v>1353159.7511576109</v>
      </c>
      <c r="P125">
        <f>'Net zero Activity data'!AR8*'Net zero supporting data'!P115</f>
        <v>1623899.5758610484</v>
      </c>
      <c r="Q125">
        <f>'Net zero Activity data'!AS8*'Net zero supporting data'!Q115</f>
        <v>1897285.7316967649</v>
      </c>
      <c r="R125">
        <f>'Net zero Activity data'!AT8*'Net zero supporting data'!R115</f>
        <v>2158085.1452408778</v>
      </c>
      <c r="S125">
        <f>'Net zero Activity data'!AU8*'Net zero supporting data'!S115</f>
        <v>2425178.9414407155</v>
      </c>
      <c r="T125">
        <f>'Net zero Activity data'!AV8*'Net zero supporting data'!T115</f>
        <v>2703240.5344398231</v>
      </c>
      <c r="U125">
        <f>'Net zero Activity data'!AW8*'Net zero supporting data'!U115</f>
        <v>2718550.7794555132</v>
      </c>
      <c r="V125">
        <f>'Net zero Activity data'!AX8*'Net zero supporting data'!V115</f>
        <v>2733768.9342708145</v>
      </c>
      <c r="W125">
        <f>'Net zero Activity data'!AY8*'Net zero supporting data'!W115</f>
        <v>2746328.102942605</v>
      </c>
      <c r="X125">
        <f>'Net zero Activity data'!AZ8*'Net zero supporting data'!X115</f>
        <v>2765810.7019276023</v>
      </c>
      <c r="Y125">
        <f>'Net zero Activity data'!BA8*'Net zero supporting data'!Y115</f>
        <v>2766798.2549855555</v>
      </c>
      <c r="Z125">
        <f>'Net zero Activity data'!BB8*'Net zero supporting data'!Z115</f>
        <v>2769046.8949483591</v>
      </c>
      <c r="AA125">
        <f>'Net zero Activity data'!BC8*'Net zero supporting data'!AA115</f>
        <v>2768405.637454865</v>
      </c>
      <c r="AB125">
        <f>'Net zero Activity data'!BD8*'Net zero supporting data'!AB115</f>
        <v>2758968.0708596003</v>
      </c>
      <c r="AC125">
        <f>'Net zero Activity data'!BE8*'Net zero supporting data'!AC115</f>
        <v>2745228.4283633083</v>
      </c>
      <c r="AD125">
        <f>'Net zero Activity data'!BF8*'Net zero supporting data'!AD115</f>
        <v>2730736.8464578888</v>
      </c>
      <c r="AE125">
        <f>'Net zero Activity data'!BG8*'Net zero supporting data'!AE115</f>
        <v>2750530.8884812584</v>
      </c>
      <c r="AF125">
        <f>'Net zero Activity data'!BH8*'Net zero supporting data'!AF115</f>
        <v>2761735.7431042837</v>
      </c>
      <c r="AG125">
        <f>'Net zero Activity data'!BI8*'Net zero supporting data'!AG115</f>
        <v>2771062.2147371005</v>
      </c>
      <c r="AH125">
        <f>'Net zero Activity data'!BJ8*'Net zero supporting data'!AH115</f>
        <v>2778656.0092412499</v>
      </c>
      <c r="AI125">
        <f>'Net zero Activity data'!BK8*'Net zero supporting data'!AI115</f>
        <v>2788706.3554076352</v>
      </c>
      <c r="AJ125">
        <f>'Net zero Activity data'!BL8*'Net zero supporting data'!AJ115</f>
        <v>2797556.1397271552</v>
      </c>
      <c r="AK125">
        <f>'Net zero Activity data'!BM8*'Net zero supporting data'!AK115</f>
        <v>2766128.931491903</v>
      </c>
      <c r="AL125">
        <f>'Net zero Activity data'!BN8*'Net zero supporting data'!AL115</f>
        <v>2731085.3988297237</v>
      </c>
      <c r="AM125">
        <f>'Net zero Activity data'!BO8*'Net zero supporting data'!AM115</f>
        <v>2699878.6023597526</v>
      </c>
      <c r="AN125">
        <f>'Net zero Activity data'!BP8*'Net zero supporting data'!AN115</f>
        <v>2665542.06792972</v>
      </c>
    </row>
    <row r="126" spans="1:40" x14ac:dyDescent="0.25">
      <c r="A126" t="s">
        <v>1084</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250689.17352695137</v>
      </c>
      <c r="L126">
        <f>'Net zero Activity data'!AN9*'Net zero supporting data'!L116</f>
        <v>494856.48828550795</v>
      </c>
      <c r="M126">
        <f>'Net zero Activity data'!AO9*'Net zero supporting data'!M116</f>
        <v>730434.91983087454</v>
      </c>
      <c r="N126">
        <f>'Net zero Activity data'!AP9*'Net zero supporting data'!N116</f>
        <v>961305.85050717776</v>
      </c>
      <c r="O126">
        <f>'Net zero Activity data'!AQ9*'Net zero supporting data'!O116</f>
        <v>1199971.8548001454</v>
      </c>
      <c r="P126">
        <f>'Net zero Activity data'!AR9*'Net zero supporting data'!P116</f>
        <v>1440061.8880277222</v>
      </c>
      <c r="Q126">
        <f>'Net zero Activity data'!AS9*'Net zero supporting data'!Q116</f>
        <v>1682498.6677310932</v>
      </c>
      <c r="R126">
        <f>'Net zero Activity data'!AT9*'Net zero supporting data'!R116</f>
        <v>1913773.619364552</v>
      </c>
      <c r="S126">
        <f>'Net zero Activity data'!AU9*'Net zero supporting data'!S116</f>
        <v>2150630.3820323325</v>
      </c>
      <c r="T126">
        <f>'Net zero Activity data'!AV9*'Net zero supporting data'!T116</f>
        <v>2397213.3041258808</v>
      </c>
      <c r="U126">
        <f>'Net zero Activity data'!AW9*'Net zero supporting data'!U116</f>
        <v>2410790.3138567754</v>
      </c>
      <c r="V126">
        <f>'Net zero Activity data'!AX9*'Net zero supporting data'!V116</f>
        <v>2424285.6586929862</v>
      </c>
      <c r="W126">
        <f>'Net zero Activity data'!AY9*'Net zero supporting data'!W116</f>
        <v>2435423.0346849514</v>
      </c>
      <c r="X126">
        <f>'Net zero Activity data'!AZ9*'Net zero supporting data'!X116</f>
        <v>2452700.056426364</v>
      </c>
      <c r="Y126">
        <f>'Net zero Activity data'!BA9*'Net zero supporting data'!Y116</f>
        <v>2453575.8110249261</v>
      </c>
      <c r="Z126">
        <f>'Net zero Activity data'!BB9*'Net zero supporting data'!Z116</f>
        <v>2455569.8879730729</v>
      </c>
      <c r="AA126">
        <f>'Net zero Activity data'!BC9*'Net zero supporting data'!AA116</f>
        <v>2455001.2256675214</v>
      </c>
      <c r="AB126">
        <f>'Net zero Activity data'!BD9*'Net zero supporting data'!AB116</f>
        <v>2446632.0628377581</v>
      </c>
      <c r="AC126">
        <f>'Net zero Activity data'!BE9*'Net zero supporting data'!AC116</f>
        <v>2434447.8515674621</v>
      </c>
      <c r="AD126">
        <f>'Net zero Activity data'!BF9*'Net zero supporting data'!AD116</f>
        <v>2421596.8261041655</v>
      </c>
      <c r="AE126">
        <f>'Net zero Activity data'!BG9*'Net zero supporting data'!AE116</f>
        <v>2439150.0331814932</v>
      </c>
      <c r="AF126">
        <f>'Net zero Activity data'!BH9*'Net zero supporting data'!AF116</f>
        <v>2449086.4136962513</v>
      </c>
      <c r="AG126">
        <f>'Net zero Activity data'!BI9*'Net zero supporting data'!AG116</f>
        <v>2457357.0583517682</v>
      </c>
      <c r="AH126">
        <f>'Net zero Activity data'!BJ9*'Net zero supporting data'!AH116</f>
        <v>2464091.1780063906</v>
      </c>
      <c r="AI126">
        <f>'Net zero Activity data'!BK9*'Net zero supporting data'!AI116</f>
        <v>2473003.7491350728</v>
      </c>
      <c r="AJ126">
        <f>'Net zero Activity data'!BL9*'Net zero supporting data'!AJ116</f>
        <v>2480851.6710787979</v>
      </c>
      <c r="AK126">
        <f>'Net zero Activity data'!BM9*'Net zero supporting data'!AK116</f>
        <v>2452982.2600022531</v>
      </c>
      <c r="AL126">
        <f>'Net zero Activity data'!BN9*'Net zero supporting data'!AL116</f>
        <v>2421905.9197169244</v>
      </c>
      <c r="AM126">
        <f>'Net zero Activity data'!BO9*'Net zero supporting data'!AM116</f>
        <v>2394231.9681303464</v>
      </c>
      <c r="AN126">
        <f>'Net zero Activity data'!BP9*'Net zero supporting data'!AN116</f>
        <v>2363782.588541449</v>
      </c>
    </row>
    <row r="127" spans="1:40" x14ac:dyDescent="0.25">
      <c r="A127" t="s">
        <v>1085</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51952.52262505742</v>
      </c>
      <c r="L127">
        <f>'Net zero Activity data'!AN10*'Net zero supporting data'!L117</f>
        <v>106121.91975601501</v>
      </c>
      <c r="M127">
        <f>'Net zero Activity data'!AO10*'Net zero supporting data'!M117</f>
        <v>162056.59127372559</v>
      </c>
      <c r="N127">
        <f>'Net zero Activity data'!AP10*'Net zero supporting data'!N117</f>
        <v>220608.40588643699</v>
      </c>
      <c r="O127">
        <f>'Net zero Activity data'!AQ10*'Net zero supporting data'!O117</f>
        <v>284795.49117577629</v>
      </c>
      <c r="P127">
        <f>'Net zero Activity data'!AR10*'Net zero supporting data'!P117</f>
        <v>353411.33990409662</v>
      </c>
      <c r="Q127">
        <f>'Net zero Activity data'!AS10*'Net zero supporting data'!Q117</f>
        <v>426909.33600886085</v>
      </c>
      <c r="R127">
        <f>'Net zero Activity data'!AT10*'Net zero supporting data'!R117</f>
        <v>502001.89586807927</v>
      </c>
      <c r="S127">
        <f>'Net zero Activity data'!AU10*'Net zero supporting data'!S117</f>
        <v>583141.64818378747</v>
      </c>
      <c r="T127">
        <f>'Net zero Activity data'!AV10*'Net zero supporting data'!T117</f>
        <v>671853.98541457916</v>
      </c>
      <c r="U127">
        <f>'Net zero Activity data'!AW10*'Net zero supporting data'!U117</f>
        <v>698396.95137129817</v>
      </c>
      <c r="V127">
        <f>'Net zero Activity data'!AX10*'Net zero supporting data'!V117</f>
        <v>725989.13663322304</v>
      </c>
      <c r="W127">
        <f>'Net zero Activity data'!AY10*'Net zero supporting data'!W117</f>
        <v>753983.51237634174</v>
      </c>
      <c r="X127">
        <f>'Net zero Activity data'!AZ10*'Net zero supporting data'!X117</f>
        <v>785090.05334432272</v>
      </c>
      <c r="Y127">
        <f>'Net zero Activity data'!BA10*'Net zero supporting data'!Y117</f>
        <v>812114.63613636547</v>
      </c>
      <c r="Z127">
        <f>'Net zero Activity data'!BB10*'Net zero supporting data'!Z117</f>
        <v>840575.89826451952</v>
      </c>
      <c r="AA127">
        <f>'Net zero Activity data'!BC10*'Net zero supporting data'!AA117</f>
        <v>869272.3030019399</v>
      </c>
      <c r="AB127">
        <f>'Net zero Activity data'!BD10*'Net zero supporting data'!AB117</f>
        <v>896259.64183934545</v>
      </c>
      <c r="AC127">
        <f>'Net zero Activity data'!BE10*'Net zero supporting data'!AC117</f>
        <v>922820.46572558756</v>
      </c>
      <c r="AD127">
        <f>'Net zero Activity data'!BF10*'Net zero supporting data'!AD117</f>
        <v>950101.02315164194</v>
      </c>
      <c r="AE127">
        <f>'Net zero Activity data'!BG10*'Net zero supporting data'!AE117</f>
        <v>984500.61339384585</v>
      </c>
      <c r="AF127">
        <f>'Net zero Activity data'!BH10*'Net zero supporting data'!AF117</f>
        <v>1017031.0032852201</v>
      </c>
      <c r="AG127">
        <f>'Net zero Activity data'!BI10*'Net zero supporting data'!AG117</f>
        <v>1050024.4201214642</v>
      </c>
      <c r="AH127">
        <f>'Net zero Activity data'!BJ10*'Net zero supporting data'!AH117</f>
        <v>1083534.6114726108</v>
      </c>
      <c r="AI127">
        <f>'Net zero Activity data'!BK10*'Net zero supporting data'!AI117</f>
        <v>1119244.3725202212</v>
      </c>
      <c r="AJ127">
        <f>'Net zero Activity data'!BL10*'Net zero supporting data'!AJ117</f>
        <v>1155792.3127803404</v>
      </c>
      <c r="AK127">
        <f>'Net zero Activity data'!BM10*'Net zero supporting data'!AK117</f>
        <v>1176582.9533617711</v>
      </c>
      <c r="AL127">
        <f>'Net zero Activity data'!BN10*'Net zero supporting data'!AL117</f>
        <v>1196218.4344494757</v>
      </c>
      <c r="AM127">
        <f>'Net zero Activity data'!BO10*'Net zero supporting data'!AM117</f>
        <v>1217940.9441970605</v>
      </c>
      <c r="AN127">
        <f>'Net zero Activity data'!BP10*'Net zero supporting data'!AN117</f>
        <v>1238688.0030286266</v>
      </c>
    </row>
    <row r="128" spans="1:40" x14ac:dyDescent="0.25">
      <c r="A128" t="s">
        <v>1020</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1165639.1707902127</v>
      </c>
      <c r="L128">
        <f>'Net zero Activity data'!AN11*'Net zero supporting data'!L118</f>
        <v>2334775.2792629246</v>
      </c>
      <c r="M128">
        <f>'Net zero Activity data'!AO11*'Net zero supporting data'!M118</f>
        <v>3508184.1559202848</v>
      </c>
      <c r="N128">
        <f>'Net zero Activity data'!AP11*'Net zero supporting data'!N118</f>
        <v>4686706.0089952843</v>
      </c>
      <c r="O128">
        <f>'Net zero Activity data'!AQ11*'Net zero supporting data'!O118</f>
        <v>5871341.9277322581</v>
      </c>
      <c r="P128">
        <f>'Net zero Activity data'!AR11*'Net zero supporting data'!P118</f>
        <v>7054860.3726867102</v>
      </c>
      <c r="Q128">
        <f>'Net zero Activity data'!AS11*'Net zero supporting data'!Q118</f>
        <v>8243024.616124019</v>
      </c>
      <c r="R128">
        <f>'Net zero Activity data'!AT11*'Net zero supporting data'!R118</f>
        <v>9436057.9154241774</v>
      </c>
      <c r="S128">
        <f>'Net zero Activity data'!AU11*'Net zero supporting data'!S118</f>
        <v>10634918.988675276</v>
      </c>
      <c r="T128">
        <f>'Net zero Activity data'!AV11*'Net zero supporting data'!T118</f>
        <v>11840258.182290889</v>
      </c>
      <c r="U128">
        <f>'Net zero Activity data'!AW11*'Net zero supporting data'!U118</f>
        <v>11856311.44945066</v>
      </c>
      <c r="V128">
        <f>'Net zero Activity data'!AX11*'Net zero supporting data'!V118</f>
        <v>11874038.413694549</v>
      </c>
      <c r="W128">
        <f>'Net zero Activity data'!AY11*'Net zero supporting data'!W118</f>
        <v>11893311.517627144</v>
      </c>
      <c r="X128">
        <f>'Net zero Activity data'!AZ11*'Net zero supporting data'!X118</f>
        <v>11914351.787815455</v>
      </c>
      <c r="Y128">
        <f>'Net zero Activity data'!BA11*'Net zero supporting data'!Y118</f>
        <v>11936372.025618004</v>
      </c>
      <c r="Z128">
        <f>'Net zero Activity data'!BB11*'Net zero supporting data'!Z118</f>
        <v>11950025.942373471</v>
      </c>
      <c r="AA128">
        <f>'Net zero Activity data'!BC11*'Net zero supporting data'!AA118</f>
        <v>11964936.52000352</v>
      </c>
      <c r="AB128">
        <f>'Net zero Activity data'!BD11*'Net zero supporting data'!AB118</f>
        <v>11980859.438539572</v>
      </c>
      <c r="AC128">
        <f>'Net zero Activity data'!BE11*'Net zero supporting data'!AC118</f>
        <v>11997888.113162747</v>
      </c>
      <c r="AD128">
        <f>'Net zero Activity data'!BF11*'Net zero supporting data'!AD118</f>
        <v>12016107.6050875</v>
      </c>
      <c r="AE128">
        <f>'Net zero Activity data'!BG11*'Net zero supporting data'!AE118</f>
        <v>12026348.73961799</v>
      </c>
      <c r="AF128">
        <f>'Net zero Activity data'!BH11*'Net zero supporting data'!AF118</f>
        <v>12037337.500620987</v>
      </c>
      <c r="AG128">
        <f>'Net zero Activity data'!BI11*'Net zero supporting data'!AG118</f>
        <v>12049288.549253291</v>
      </c>
      <c r="AH128">
        <f>'Net zero Activity data'!BJ11*'Net zero supporting data'!AH118</f>
        <v>12062178.384688715</v>
      </c>
      <c r="AI128">
        <f>'Net zero Activity data'!BK11*'Net zero supporting data'!AI118</f>
        <v>12076158.078923797</v>
      </c>
      <c r="AJ128">
        <f>'Net zero Activity data'!BL11*'Net zero supporting data'!AJ118</f>
        <v>12081791.670360491</v>
      </c>
      <c r="AK128">
        <f>'Net zero Activity data'!BM11*'Net zero supporting data'!AK118</f>
        <v>12086520.292832198</v>
      </c>
      <c r="AL128">
        <f>'Net zero Activity data'!BN11*'Net zero supporting data'!AL118</f>
        <v>12091865.359044226</v>
      </c>
      <c r="AM128">
        <f>'Net zero Activity data'!BO11*'Net zero supporting data'!AM118</f>
        <v>12098148.618367771</v>
      </c>
      <c r="AN128">
        <f>'Net zero Activity data'!BP11*'Net zero supporting data'!AN118</f>
        <v>12105023.449831137</v>
      </c>
    </row>
    <row r="129" spans="1:40" x14ac:dyDescent="0.25">
      <c r="A129" t="s">
        <v>1086</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116117.31203274149</v>
      </c>
      <c r="L129">
        <f>'Net zero Activity data'!AN12*'Net zero supporting data'!L119</f>
        <v>232582.97801086606</v>
      </c>
      <c r="M129">
        <f>'Net zero Activity data'!AO12*'Net zero supporting data'!M119</f>
        <v>349474.28373152262</v>
      </c>
      <c r="N129">
        <f>'Net zero Activity data'!AP12*'Net zero supporting data'!N119</f>
        <v>466874.92809914716</v>
      </c>
      <c r="O129">
        <f>'Net zero Activity data'!AQ12*'Net zero supporting data'!O119</f>
        <v>584884.63647907553</v>
      </c>
      <c r="P129">
        <f>'Net zero Activity data'!AR12*'Net zero supporting data'!P119</f>
        <v>702783.02563162637</v>
      </c>
      <c r="Q129">
        <f>'Net zero Activity data'!AS12*'Net zero supporting data'!Q119</f>
        <v>821144.21463304432</v>
      </c>
      <c r="R129">
        <f>'Net zero Activity data'!AT12*'Net zero supporting data'!R119</f>
        <v>939990.44368210214</v>
      </c>
      <c r="S129">
        <f>'Net zero Activity data'!AU12*'Net zero supporting data'!S119</f>
        <v>1059417.2172626711</v>
      </c>
      <c r="T129">
        <f>'Net zero Activity data'!AV12*'Net zero supporting data'!T119</f>
        <v>1179489.3208412381</v>
      </c>
      <c r="U129">
        <f>'Net zero Activity data'!AW12*'Net zero supporting data'!U119</f>
        <v>1181088.4968801425</v>
      </c>
      <c r="V129">
        <f>'Net zero Activity data'!AX12*'Net zero supporting data'!V119</f>
        <v>1182854.401364208</v>
      </c>
      <c r="W129">
        <f>'Net zero Activity data'!AY12*'Net zero supporting data'!W119</f>
        <v>1184774.3274264589</v>
      </c>
      <c r="X129">
        <f>'Net zero Activity data'!AZ12*'Net zero supporting data'!X119</f>
        <v>1186870.2930390877</v>
      </c>
      <c r="Y129">
        <f>'Net zero Activity data'!BA12*'Net zero supporting data'!Y119</f>
        <v>1189063.8799466209</v>
      </c>
      <c r="Z129">
        <f>'Net zero Activity data'!BB12*'Net zero supporting data'!Z119</f>
        <v>1190424.0402364379</v>
      </c>
      <c r="AA129">
        <f>'Net zero Activity data'!BC12*'Net zero supporting data'!AA119</f>
        <v>1191909.3851344504</v>
      </c>
      <c r="AB129">
        <f>'Net zero Activity data'!BD12*'Net zero supporting data'!AB119</f>
        <v>1193495.5762529846</v>
      </c>
      <c r="AC129">
        <f>'Net zero Activity data'!BE12*'Net zero supporting data'!AC119</f>
        <v>1195191.9193188946</v>
      </c>
      <c r="AD129">
        <f>'Net zero Activity data'!BF12*'Net zero supporting data'!AD119</f>
        <v>1197006.8878631226</v>
      </c>
      <c r="AE129">
        <f>'Net zero Activity data'!BG12*'Net zero supporting data'!AE119</f>
        <v>1198027.0775098382</v>
      </c>
      <c r="AF129">
        <f>'Net zero Activity data'!BH12*'Net zero supporting data'!AF119</f>
        <v>1199121.7433568803</v>
      </c>
      <c r="AG129">
        <f>'Net zero Activity data'!BI12*'Net zero supporting data'!AG119</f>
        <v>1200312.2692742744</v>
      </c>
      <c r="AH129">
        <f>'Net zero Activity data'!BJ12*'Net zero supporting data'!AH119</f>
        <v>1201596.3141835502</v>
      </c>
      <c r="AI129">
        <f>'Net zero Activity data'!BK12*'Net zero supporting data'!AI119</f>
        <v>1202988.9274023706</v>
      </c>
      <c r="AJ129">
        <f>'Net zero Activity data'!BL12*'Net zero supporting data'!AJ119</f>
        <v>1203550.128081888</v>
      </c>
      <c r="AK129">
        <f>'Net zero Activity data'!BM12*'Net zero supporting data'!AK119</f>
        <v>1204021.178596311</v>
      </c>
      <c r="AL129">
        <f>'Net zero Activity data'!BN12*'Net zero supporting data'!AL119</f>
        <v>1204553.6372994247</v>
      </c>
      <c r="AM129">
        <f>'Net zero Activity data'!BO12*'Net zero supporting data'!AM119</f>
        <v>1205179.5558527282</v>
      </c>
      <c r="AN129">
        <f>'Net zero Activity data'!BP12*'Net zero supporting data'!AN119</f>
        <v>1205864.4049640216</v>
      </c>
    </row>
    <row r="130" spans="1:40" x14ac:dyDescent="0.25">
      <c r="A130" t="s">
        <v>1087</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89042.999323930257</v>
      </c>
      <c r="V130">
        <f>'Net zero Activity data'!AX13*'Net zero supporting data'!V120</f>
        <v>178503.63245221123</v>
      </c>
      <c r="W130">
        <f>'Net zero Activity data'!AY13*'Net zero supporting data'!W120</f>
        <v>268423.29477046075</v>
      </c>
      <c r="X130">
        <f>'Net zero Activity data'!AZ13*'Net zero supporting data'!X120</f>
        <v>358853.39023829426</v>
      </c>
      <c r="Y130">
        <f>'Net zero Activity data'!BA13*'Net zero supporting data'!Y120</f>
        <v>449800.25312212447</v>
      </c>
      <c r="Z130">
        <f>'Net zero Activity data'!BB13*'Net zero supporting data'!Z120</f>
        <v>540677.91236858501</v>
      </c>
      <c r="AA130">
        <f>'Net zero Activity data'!BC13*'Net zero supporting data'!AA120</f>
        <v>631940.82810415968</v>
      </c>
      <c r="AB130">
        <f>'Net zero Activity data'!BD13*'Net zero supporting data'!AB120</f>
        <v>723602.27579853823</v>
      </c>
      <c r="AC130">
        <f>'Net zero Activity data'!BE13*'Net zero supporting data'!AC120</f>
        <v>815698.14199890976</v>
      </c>
      <c r="AD130">
        <f>'Net zero Activity data'!BF13*'Net zero supporting data'!AD120</f>
        <v>908267.55813138268</v>
      </c>
      <c r="AE130">
        <f>'Net zero Activity data'!BG13*'Net zero supporting data'!AE120</f>
        <v>909323.33522019465</v>
      </c>
      <c r="AF130">
        <f>'Net zero Activity data'!BH13*'Net zero supporting data'!AF120</f>
        <v>910443.21430895536</v>
      </c>
      <c r="AG130">
        <f>'Net zero Activity data'!BI13*'Net zero supporting data'!AG120</f>
        <v>911650.70033883909</v>
      </c>
      <c r="AH130">
        <f>'Net zero Activity data'!BJ13*'Net zero supporting data'!AH120</f>
        <v>912943.54688910535</v>
      </c>
      <c r="AI130">
        <f>'Net zero Activity data'!BK13*'Net zero supporting data'!AI120</f>
        <v>914338.18908024009</v>
      </c>
      <c r="AJ130">
        <f>'Net zero Activity data'!BL13*'Net zero supporting data'!AJ120</f>
        <v>914825.33808553673</v>
      </c>
      <c r="AK130">
        <f>'Net zero Activity data'!BM13*'Net zero supporting data'!AK120</f>
        <v>915204.55384563713</v>
      </c>
      <c r="AL130">
        <f>'Net zero Activity data'!BN13*'Net zero supporting data'!AL120</f>
        <v>915639.08088041621</v>
      </c>
      <c r="AM130">
        <f>'Net zero Activity data'!BO13*'Net zero supporting data'!AM120</f>
        <v>916163.3913276816</v>
      </c>
      <c r="AN130">
        <f>'Net zero Activity data'!BP13*'Net zero supporting data'!AN120</f>
        <v>916740.65987774823</v>
      </c>
    </row>
    <row r="131" spans="1:40" x14ac:dyDescent="0.25">
      <c r="A131" t="s">
        <v>1088</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86424.08757910876</v>
      </c>
      <c r="V131">
        <f>'Net zero Activity data'!AX14*'Net zero supporting data'!V121</f>
        <v>173253.52561538146</v>
      </c>
      <c r="W131">
        <f>'Net zero Activity data'!AY14*'Net zero supporting data'!W121</f>
        <v>260528.49198309419</v>
      </c>
      <c r="X131">
        <f>'Net zero Activity data'!AZ14*'Net zero supporting data'!X121</f>
        <v>348298.87876069726</v>
      </c>
      <c r="Y131">
        <f>'Net zero Activity data'!BA14*'Net zero supporting data'!Y121</f>
        <v>436570.83391265012</v>
      </c>
      <c r="Z131">
        <f>'Net zero Activity data'!BB14*'Net zero supporting data'!Z121</f>
        <v>524775.62082833226</v>
      </c>
      <c r="AA131">
        <f>'Net zero Activity data'!BC14*'Net zero supporting data'!AA121</f>
        <v>613354.33315991948</v>
      </c>
      <c r="AB131">
        <f>'Net zero Activity data'!BD14*'Net zero supporting data'!AB121</f>
        <v>702319.8559221105</v>
      </c>
      <c r="AC131">
        <f>'Net zero Activity data'!BE14*'Net zero supporting data'!AC121</f>
        <v>791707.02017541218</v>
      </c>
      <c r="AD131">
        <f>'Net zero Activity data'!BF14*'Net zero supporting data'!AD121</f>
        <v>881553.80642163591</v>
      </c>
      <c r="AE131">
        <f>'Net zero Activity data'!BG14*'Net zero supporting data'!AE121</f>
        <v>882578.5312431301</v>
      </c>
      <c r="AF131">
        <f>'Net zero Activity data'!BH14*'Net zero supporting data'!AF121</f>
        <v>883665.47271163296</v>
      </c>
      <c r="AG131">
        <f>'Net zero Activity data'!BI14*'Net zero supporting data'!AG121</f>
        <v>884837.44444652018</v>
      </c>
      <c r="AH131">
        <f>'Net zero Activity data'!BJ14*'Net zero supporting data'!AH121</f>
        <v>886092.26609824924</v>
      </c>
      <c r="AI131">
        <f>'Net zero Activity data'!BK14*'Net zero supporting data'!AI121</f>
        <v>887445.88940140931</v>
      </c>
      <c r="AJ131">
        <f>'Net zero Activity data'!BL14*'Net zero supporting data'!AJ121</f>
        <v>887918.71049478545</v>
      </c>
      <c r="AK131">
        <f>'Net zero Activity data'!BM14*'Net zero supporting data'!AK121</f>
        <v>888286.7728501769</v>
      </c>
      <c r="AL131">
        <f>'Net zero Activity data'!BN14*'Net zero supporting data'!AL121</f>
        <v>888708.51967805088</v>
      </c>
      <c r="AM131">
        <f>'Net zero Activity data'!BO14*'Net zero supporting data'!AM121</f>
        <v>889217.40922980837</v>
      </c>
      <c r="AN131">
        <f>'Net zero Activity data'!BP14*'Net zero supporting data'!AN121</f>
        <v>889777.69929310854</v>
      </c>
    </row>
    <row r="132" spans="1:40" x14ac:dyDescent="0.25">
      <c r="A132" t="s">
        <v>1099</v>
      </c>
      <c r="B132" s="11">
        <f>'Activity data'!AD5-'Net zero supporting data'!B122</f>
        <v>590659.82732236863</v>
      </c>
      <c r="C132" s="11">
        <f>'Activity data'!AE5-'Net zero supporting data'!C122</f>
        <v>594647.99563903548</v>
      </c>
      <c r="D132" s="11">
        <f>'Activity data'!AF5-'Net zero supporting data'!D122</f>
        <v>598136.63268648856</v>
      </c>
      <c r="E132" s="11">
        <f>'Activity data'!AG5-'Net zero supporting data'!E122</f>
        <v>598587.8952012012</v>
      </c>
      <c r="F132" s="11">
        <f>'Activity data'!AH5-'Net zero supporting data'!F122</f>
        <v>599365.15063746762</v>
      </c>
      <c r="G132" s="11">
        <f>'Activity data'!AI5-'Net zero supporting data'!G122</f>
        <v>603824.89896406408</v>
      </c>
      <c r="H132" s="11">
        <f>'Activity data'!AJ5-'Net zero supporting data'!H122</f>
        <v>607391.06462310744</v>
      </c>
      <c r="I132" s="11">
        <f>'Activity data'!AK5-'Net zero supporting data'!I122</f>
        <v>607422.33297804231</v>
      </c>
      <c r="J132" s="11">
        <f>'Activity data'!AL5-'Net zero supporting data'!J122</f>
        <v>591329.43600858422</v>
      </c>
      <c r="K132" s="11">
        <f>'Activity data'!AM5-'Net zero supporting data'!K122</f>
        <v>548587.39087892254</v>
      </c>
      <c r="L132" s="11">
        <f>'Activity data'!AN5-'Net zero supporting data'!L122</f>
        <v>503786.36069229036</v>
      </c>
      <c r="M132" s="11">
        <f>'Activity data'!AO5-'Net zero supporting data'!M122</f>
        <v>458589.80953456572</v>
      </c>
      <c r="N132" s="11">
        <f>'Activity data'!AP5-'Net zero supporting data'!N122</f>
        <v>413919.23873432516</v>
      </c>
      <c r="O132" s="11">
        <f>'Activity data'!AQ5-'Net zero supporting data'!O122</f>
        <v>370713.07994835492</v>
      </c>
      <c r="P132" s="11">
        <f>'Activity data'!AR5-'Net zero supporting data'!P122</f>
        <v>327110.91351997288</v>
      </c>
      <c r="Q132" s="11">
        <f>'Activity data'!AS5-'Net zero supporting data'!Q122</f>
        <v>283260.45026099461</v>
      </c>
      <c r="R132" s="11">
        <f>'Activity data'!AT5-'Net zero supporting data'!R122</f>
        <v>238370.3990401167</v>
      </c>
      <c r="S132" s="11">
        <f>'Activity data'!AU5-'Net zero supporting data'!S122</f>
        <v>193366.88195377117</v>
      </c>
      <c r="T132" s="11">
        <f>'Activity data'!AV5-'Net zero supporting data'!T122</f>
        <v>148056.41745563305</v>
      </c>
      <c r="U132" s="11">
        <f>'Activity data'!AW5-'Net zero supporting data'!U122</f>
        <v>151573.73168355797</v>
      </c>
      <c r="V132" s="11">
        <f>'Activity data'!AX5-'Net zero supporting data'!V122</f>
        <v>155260.91063277225</v>
      </c>
      <c r="W132" s="11">
        <f>'Activity data'!AY5-'Net zero supporting data'!W122</f>
        <v>159066.1254976273</v>
      </c>
      <c r="X132" s="11">
        <f>'Activity data'!AZ5-'Net zero supporting data'!X122</f>
        <v>163234.39028322638</v>
      </c>
      <c r="Y132" s="11">
        <f>'Activity data'!BA5-'Net zero supporting data'!Y122</f>
        <v>167130.17279682355</v>
      </c>
      <c r="Z132" s="11">
        <f>'Activity data'!BB5-'Net zero supporting data'!Z122</f>
        <v>171176.16980835109</v>
      </c>
      <c r="AA132" s="11">
        <f>'Activity data'!BC5-'Net zero supporting data'!AA122</f>
        <v>175338.54525566369</v>
      </c>
      <c r="AB132" s="11">
        <f>'Activity data'!BD5-'Net zero supporting data'!AB122</f>
        <v>179440.77674064843</v>
      </c>
      <c r="AC132" s="11">
        <f>'Activity data'!BE5-'Net zero supporting data'!AC122</f>
        <v>183601.59631483781</v>
      </c>
      <c r="AD132" s="11">
        <f>'Activity data'!BF5-'Net zero supporting data'!AD122</f>
        <v>187932.22795496613</v>
      </c>
      <c r="AE132" s="11">
        <f>'Activity data'!BG5-'Net zero supporting data'!AE122</f>
        <v>192409.66423681017</v>
      </c>
      <c r="AF132" s="11">
        <f>'Activity data'!BH5-'Net zero supporting data'!AF122</f>
        <v>196769.64373012539</v>
      </c>
      <c r="AG132" s="11">
        <f>'Activity data'!BI5-'Net zero supporting data'!AG122</f>
        <v>201235.86871995719</v>
      </c>
      <c r="AH132" s="11">
        <f>'Activity data'!BJ5-'Net zero supporting data'!AH122</f>
        <v>205815.62736985681</v>
      </c>
      <c r="AI132" s="11">
        <f>'Activity data'!BK5-'Net zero supporting data'!AI122</f>
        <v>210676.3187986213</v>
      </c>
      <c r="AJ132" s="11">
        <f>'Activity data'!BL5-'Net zero supporting data'!AJ122</f>
        <v>215618.78834216448</v>
      </c>
      <c r="AK132" s="11">
        <f>'Activity data'!BM5-'Net zero supporting data'!AK122</f>
        <v>219064.28578347783</v>
      </c>
      <c r="AL132" s="11">
        <f>'Activity data'!BN5-'Net zero supporting data'!AL122</f>
        <v>222444.63635251496</v>
      </c>
      <c r="AM132" s="11">
        <f>'Activity data'!BO5-'Net zero supporting data'!AM122</f>
        <v>226085.30689731752</v>
      </c>
      <c r="AN132" s="11">
        <f>'Activity data'!BP5-'Net zero supporting data'!AN122</f>
        <v>229680.53757490241</v>
      </c>
    </row>
    <row r="133" spans="1:40" x14ac:dyDescent="0.25">
      <c r="A133" t="s">
        <v>1100</v>
      </c>
      <c r="B133" s="11">
        <f>'Activity data'!AD6-'Net zero supporting data'!B123</f>
        <v>489403.85692424828</v>
      </c>
      <c r="C133" s="11">
        <f>'Activity data'!AE6-'Net zero supporting data'!C123</f>
        <v>492708.33924377221</v>
      </c>
      <c r="D133" s="11">
        <f>'Activity data'!AF6-'Net zero supporting data'!D123</f>
        <v>495598.9242259477</v>
      </c>
      <c r="E133" s="11">
        <f>'Activity data'!AG6-'Net zero supporting data'!E123</f>
        <v>495972.82745242387</v>
      </c>
      <c r="F133" s="11">
        <f>'Activity data'!AH6-'Net zero supporting data'!F123</f>
        <v>496616.83909961605</v>
      </c>
      <c r="G133" s="11">
        <f>'Activity data'!AI6-'Net zero supporting data'!G123</f>
        <v>500312.05914165312</v>
      </c>
      <c r="H133" s="11">
        <f>'Activity data'!AJ6-'Net zero supporting data'!H123</f>
        <v>503266.88211628905</v>
      </c>
      <c r="I133" s="11">
        <f>'Activity data'!AK6-'Net zero supporting data'!I123</f>
        <v>503292.79018180649</v>
      </c>
      <c r="J133" s="11">
        <f>'Activity data'!AL6-'Net zero supporting data'!J123</f>
        <v>489958.67554996983</v>
      </c>
      <c r="K133" s="11">
        <f>'Activity data'!AM6-'Net zero supporting data'!K123</f>
        <v>454543.8381568215</v>
      </c>
      <c r="L133" s="11">
        <f>'Activity data'!AN6-'Net zero supporting data'!L123</f>
        <v>417422.98457361205</v>
      </c>
      <c r="M133" s="11">
        <f>'Activity data'!AO6-'Net zero supporting data'!M123</f>
        <v>379974.41361435439</v>
      </c>
      <c r="N133" s="11">
        <f>'Activity data'!AP6-'Net zero supporting data'!N123</f>
        <v>342961.65495129803</v>
      </c>
      <c r="O133" s="11">
        <f>'Activity data'!AQ6-'Net zero supporting data'!O123</f>
        <v>307162.26624292257</v>
      </c>
      <c r="P133" s="11">
        <f>'Activity data'!AR6-'Net zero supporting data'!P123</f>
        <v>271034.75691654894</v>
      </c>
      <c r="Q133" s="11">
        <f>'Activity data'!AS6-'Net zero supporting data'!Q123</f>
        <v>234701.51593053836</v>
      </c>
      <c r="R133" s="11">
        <f>'Activity data'!AT6-'Net zero supporting data'!R123</f>
        <v>197506.90206181095</v>
      </c>
      <c r="S133" s="11">
        <f>'Activity data'!AU6-'Net zero supporting data'!S123</f>
        <v>160218.27361883892</v>
      </c>
      <c r="T133" s="11">
        <f>'Activity data'!AV6-'Net zero supporting data'!T123</f>
        <v>122675.31732038164</v>
      </c>
      <c r="U133" s="11">
        <f>'Activity data'!AW6-'Net zero supporting data'!U123</f>
        <v>125589.66339494806</v>
      </c>
      <c r="V133" s="11">
        <f>'Activity data'!AX6-'Net zero supporting data'!V123</f>
        <v>128644.75452429696</v>
      </c>
      <c r="W133" s="11">
        <f>'Activity data'!AY6-'Net zero supporting data'!W123</f>
        <v>131797.64684089122</v>
      </c>
      <c r="X133" s="11">
        <f>'Activity data'!AZ6-'Net zero supporting data'!X123</f>
        <v>135251.351948959</v>
      </c>
      <c r="Y133" s="11">
        <f>'Activity data'!BA6-'Net zero supporting data'!Y123</f>
        <v>138479.28603165381</v>
      </c>
      <c r="Z133" s="11">
        <f>'Activity data'!BB6-'Net zero supporting data'!Z123</f>
        <v>141831.68355549098</v>
      </c>
      <c r="AA133" s="11">
        <f>'Activity data'!BC6-'Net zero supporting data'!AA123</f>
        <v>145280.50892612129</v>
      </c>
      <c r="AB133" s="11">
        <f>'Activity data'!BD6-'Net zero supporting data'!AB123</f>
        <v>148679.50072796596</v>
      </c>
      <c r="AC133" s="11">
        <f>'Activity data'!BE6-'Net zero supporting data'!AC123</f>
        <v>152127.03694657987</v>
      </c>
      <c r="AD133" s="11">
        <f>'Activity data'!BF6-'Net zero supporting data'!AD123</f>
        <v>155715.27459125774</v>
      </c>
      <c r="AE133" s="11">
        <f>'Activity data'!BG6-'Net zero supporting data'!AE123</f>
        <v>159425.15036764275</v>
      </c>
      <c r="AF133" s="11">
        <f>'Activity data'!BH6-'Net zero supporting data'!AF123</f>
        <v>163037.7048049611</v>
      </c>
      <c r="AG133" s="11">
        <f>'Activity data'!BI6-'Net zero supporting data'!AG123</f>
        <v>166738.2912251075</v>
      </c>
      <c r="AH133" s="11">
        <f>'Activity data'!BJ6-'Net zero supporting data'!AH123</f>
        <v>170532.94839216711</v>
      </c>
      <c r="AI133" s="11">
        <f>'Activity data'!BK6-'Net zero supporting data'!AI123</f>
        <v>174560.37843314337</v>
      </c>
      <c r="AJ133" s="11">
        <f>'Activity data'!BL6-'Net zero supporting data'!AJ123</f>
        <v>178655.5674835078</v>
      </c>
      <c r="AK133" s="11">
        <f>'Activity data'!BM6-'Net zero supporting data'!AK123</f>
        <v>181510.40822059591</v>
      </c>
      <c r="AL133" s="11">
        <f>'Activity data'!BN6-'Net zero supporting data'!AL123</f>
        <v>184311.27012065519</v>
      </c>
      <c r="AM133" s="11">
        <f>'Activity data'!BO6-'Net zero supporting data'!AM123</f>
        <v>187327.8257149203</v>
      </c>
      <c r="AN133" s="11">
        <f>'Activity data'!BP6-'Net zero supporting data'!AN123</f>
        <v>190306.73113349068</v>
      </c>
    </row>
    <row r="134" spans="1:40" x14ac:dyDescent="0.25">
      <c r="A134" t="s">
        <v>1101</v>
      </c>
      <c r="B134" s="11">
        <f>'Activity data'!AD7-'Net zero supporting data'!B124</f>
        <v>607535.8223887221</v>
      </c>
      <c r="C134" s="11">
        <f>'Activity data'!AE7-'Net zero supporting data'!C124</f>
        <v>611637.9383715794</v>
      </c>
      <c r="D134" s="11">
        <f>'Activity data'!AF7-'Net zero supporting data'!D124</f>
        <v>615226.25076324551</v>
      </c>
      <c r="E134" s="11">
        <f>'Activity data'!AG7-'Net zero supporting data'!E124</f>
        <v>615690.40649266425</v>
      </c>
      <c r="F134" s="11">
        <f>'Activity data'!AH7-'Net zero supporting data'!F124</f>
        <v>616489.86922710971</v>
      </c>
      <c r="G134" s="11">
        <f>'Activity data'!AI7-'Net zero supporting data'!G124</f>
        <v>621077.03893446608</v>
      </c>
      <c r="H134" s="11">
        <f>'Activity data'!AJ7-'Net zero supporting data'!H124</f>
        <v>624745.09504091064</v>
      </c>
      <c r="I134" s="11">
        <f>'Activity data'!AK7-'Net zero supporting data'!I124</f>
        <v>624777.25677741505</v>
      </c>
      <c r="J134" s="11">
        <f>'Activity data'!AL7-'Net zero supporting data'!J124</f>
        <v>608224.56275168678</v>
      </c>
      <c r="K134" s="11">
        <f>'Activity data'!AM7-'Net zero supporting data'!K124</f>
        <v>579543.59905697335</v>
      </c>
      <c r="L134" s="11">
        <f>'Activity data'!AN7-'Net zero supporting data'!L124</f>
        <v>548796.15236755321</v>
      </c>
      <c r="M134" s="11">
        <f>'Activity data'!AO7-'Net zero supporting data'!M124</f>
        <v>517660.90503473656</v>
      </c>
      <c r="N134" s="11">
        <f>'Activity data'!AP7-'Net zero supporting data'!N124</f>
        <v>487175.51203095319</v>
      </c>
      <c r="O134" s="11">
        <f>'Activity data'!AQ7-'Net zero supporting data'!O124</f>
        <v>458596.41241487605</v>
      </c>
      <c r="P134" s="11">
        <f>'Activity data'!AR7-'Net zero supporting data'!P124</f>
        <v>429844.53676292731</v>
      </c>
      <c r="Q134" s="11">
        <f>'Activity data'!AS7-'Net zero supporting data'!Q124</f>
        <v>401162.91358528379</v>
      </c>
      <c r="R134" s="11">
        <f>'Activity data'!AT7-'Net zero supporting data'!R124</f>
        <v>371440.55439963454</v>
      </c>
      <c r="S134" s="11">
        <f>'Activity data'!AU7-'Net zero supporting data'!S124</f>
        <v>342054.14491445746</v>
      </c>
      <c r="T134" s="11">
        <f>'Activity data'!AV7-'Net zero supporting data'!T124</f>
        <v>312955.95029153989</v>
      </c>
      <c r="U134" s="11">
        <f>'Activity data'!AW7-'Net zero supporting data'!U124</f>
        <v>319167.664022538</v>
      </c>
      <c r="V134" s="11">
        <f>'Activity data'!AX7-'Net zero supporting data'!V124</f>
        <v>325693.4124033234</v>
      </c>
      <c r="W134" s="11">
        <f>'Activity data'!AY7-'Net zero supporting data'!W124</f>
        <v>332421.59352438099</v>
      </c>
      <c r="X134" s="11">
        <f>'Activity data'!AZ7-'Net zero supporting data'!X124</f>
        <v>339860.33469534235</v>
      </c>
      <c r="Y134" s="11">
        <f>'Activity data'!BA7-'Net zero supporting data'!Y124</f>
        <v>346683.71060695656</v>
      </c>
      <c r="Z134" s="11">
        <f>'Activity data'!BB7-'Net zero supporting data'!Z124</f>
        <v>353772.39265358233</v>
      </c>
      <c r="AA134" s="11">
        <f>'Activity data'!BC7-'Net zero supporting data'!AA124</f>
        <v>361054.07261018641</v>
      </c>
      <c r="AB134" s="11">
        <f>'Activity data'!BD7-'Net zero supporting data'!AB124</f>
        <v>368164.75480209797</v>
      </c>
      <c r="AC134" s="11">
        <f>'Activity data'!BE7-'Net zero supporting data'!AC124</f>
        <v>375349.29367981094</v>
      </c>
      <c r="AD134" s="11">
        <f>'Activity data'!BF7-'Net zero supporting data'!AD124</f>
        <v>382833.74267947424</v>
      </c>
      <c r="AE134" s="11">
        <f>'Activity data'!BG7-'Net zero supporting data'!AE124</f>
        <v>390568.48789635027</v>
      </c>
      <c r="AF134" s="11">
        <f>'Activity data'!BH7-'Net zero supporting data'!AF124</f>
        <v>398016.63726186217</v>
      </c>
      <c r="AG134" s="11">
        <f>'Activity data'!BI7-'Net zero supporting data'!AG124</f>
        <v>405632.39154340711</v>
      </c>
      <c r="AH134" s="11">
        <f>'Activity data'!BJ7-'Net zero supporting data'!AH124</f>
        <v>413428.9235647376</v>
      </c>
      <c r="AI134" s="11">
        <f>'Activity data'!BK7-'Net zero supporting data'!AI124</f>
        <v>421739.75275491166</v>
      </c>
      <c r="AJ134" s="11">
        <f>'Activity data'!BL7-'Net zero supporting data'!AJ124</f>
        <v>430162.58368396555</v>
      </c>
      <c r="AK134" s="11">
        <f>'Activity data'!BM7-'Net zero supporting data'!AK124</f>
        <v>435557.60446145479</v>
      </c>
      <c r="AL134" s="11">
        <f>'Activity data'!BN7-'Net zero supporting data'!AL124</f>
        <v>440792.90985256556</v>
      </c>
      <c r="AM134" s="11">
        <f>'Activity data'!BO7-'Net zero supporting data'!AM124</f>
        <v>446513.06424852065</v>
      </c>
      <c r="AN134" s="11">
        <f>'Activity data'!BP7-'Net zero supporting data'!AN124</f>
        <v>452111.55158187886</v>
      </c>
    </row>
    <row r="135" spans="1:40" x14ac:dyDescent="0.25">
      <c r="A135" t="s">
        <v>1102</v>
      </c>
      <c r="B135" s="11">
        <f>'Activity data'!AD8-'Net zero supporting data'!B125</f>
        <v>5984261.233029482</v>
      </c>
      <c r="C135" s="11">
        <f>'Activity data'!AE8-'Net zero supporting data'!C125</f>
        <v>5953794.0597159145</v>
      </c>
      <c r="D135" s="11">
        <f>'Activity data'!AF8-'Net zero supporting data'!D125</f>
        <v>5898185.8883474981</v>
      </c>
      <c r="E135" s="11">
        <f>'Activity data'!AG8-'Net zero supporting data'!E125</f>
        <v>5745970.6114831753</v>
      </c>
      <c r="F135" s="11">
        <f>'Activity data'!AH8-'Net zero supporting data'!F125</f>
        <v>5599829.6425982891</v>
      </c>
      <c r="G135" s="11">
        <f>'Activity data'!AI8-'Net zero supporting data'!G125</f>
        <v>5551992.8329450591</v>
      </c>
      <c r="H135" s="11">
        <f>'Activity data'!AJ8-'Net zero supporting data'!H125</f>
        <v>5474731.2958658384</v>
      </c>
      <c r="I135" s="11">
        <f>'Activity data'!AK8-'Net zero supporting data'!I125</f>
        <v>5301139.6705897786</v>
      </c>
      <c r="J135" s="11">
        <f>'Activity data'!AL8-'Net zero supporting data'!J125</f>
        <v>4718721.9406965245</v>
      </c>
      <c r="K135" s="11">
        <f>'Activity data'!AM8-'Net zero supporting data'!K125</f>
        <v>4551331.1065032762</v>
      </c>
      <c r="L135" s="11">
        <f>'Activity data'!AN8-'Net zero supporting data'!L125</f>
        <v>4338270.7116527045</v>
      </c>
      <c r="M135" s="11">
        <f>'Activity data'!AO8-'Net zero supporting data'!M125</f>
        <v>4122118.0546876062</v>
      </c>
      <c r="N135" s="11">
        <f>'Activity data'!AP8-'Net zero supporting data'!N125</f>
        <v>3928298.5403157049</v>
      </c>
      <c r="O135" s="11">
        <f>'Activity data'!AQ8-'Net zero supporting data'!O125</f>
        <v>3786882.0832636841</v>
      </c>
      <c r="P135" s="11">
        <f>'Activity data'!AR8-'Net zero supporting data'!P125</f>
        <v>3655926.161052926</v>
      </c>
      <c r="Q135" s="11">
        <f>'Activity data'!AS8-'Net zero supporting data'!Q125</f>
        <v>3534849.2337997369</v>
      </c>
      <c r="R135" s="11">
        <f>'Activity data'!AT8-'Net zero supporting data'!R125</f>
        <v>3398239.5138859516</v>
      </c>
      <c r="S135" s="11">
        <f>'Activity data'!AU8-'Net zero supporting data'!S125</f>
        <v>3280219.2455766341</v>
      </c>
      <c r="T135" s="11">
        <f>'Activity data'!AV8-'Net zero supporting data'!T125</f>
        <v>3181720.1135845887</v>
      </c>
      <c r="U135" s="11">
        <f>'Activity data'!AW8-'Net zero supporting data'!U125</f>
        <v>3284692.8064905186</v>
      </c>
      <c r="V135" s="11">
        <f>'Activity data'!AX8-'Net zero supporting data'!V125</f>
        <v>3390296.58414962</v>
      </c>
      <c r="W135" s="11">
        <f>'Activity data'!AY8-'Net zero supporting data'!W125</f>
        <v>3495467.1080928179</v>
      </c>
      <c r="X135" s="11">
        <f>'Activity data'!AZ8-'Net zero supporting data'!X125</f>
        <v>3612188.3852299815</v>
      </c>
      <c r="Y135" s="11">
        <f>'Activity data'!BA8-'Net zero supporting data'!Y125</f>
        <v>3708260.4938481557</v>
      </c>
      <c r="Z135" s="11">
        <f>'Activity data'!BB8-'Net zero supporting data'!Z125</f>
        <v>3808262.6982354545</v>
      </c>
      <c r="AA135" s="11">
        <f>'Activity data'!BC8-'Net zero supporting data'!AA125</f>
        <v>3906748.8219874375</v>
      </c>
      <c r="AB135" s="11">
        <f>'Activity data'!BD8-'Net zero supporting data'!AB125</f>
        <v>3995235.7019313774</v>
      </c>
      <c r="AC135" s="11">
        <f>'Activity data'!BE8-'Net zero supporting data'!AC125</f>
        <v>4079325.2473066431</v>
      </c>
      <c r="AD135" s="11">
        <f>'Activity data'!BF8-'Net zero supporting data'!AD125</f>
        <v>4163850.8700122307</v>
      </c>
      <c r="AE135" s="11">
        <f>'Activity data'!BG8-'Net zero supporting data'!AE125</f>
        <v>4251850.0667479904</v>
      </c>
      <c r="AF135" s="11">
        <f>'Activity data'!BH8-'Net zero supporting data'!AF125</f>
        <v>4328430.4846563516</v>
      </c>
      <c r="AG135" s="11">
        <f>'Activity data'!BI8-'Net zero supporting data'!AG125</f>
        <v>4403398.6490044277</v>
      </c>
      <c r="AH135" s="11">
        <f>'Activity data'!BJ8-'Net zero supporting data'!AH125</f>
        <v>4476885.490701139</v>
      </c>
      <c r="AI135" s="11">
        <f>'Activity data'!BK8-'Net zero supporting data'!AI125</f>
        <v>4555439.7675834261</v>
      </c>
      <c r="AJ135" s="11">
        <f>'Activity data'!BL8-'Net zero supporting data'!AJ125</f>
        <v>4633377.2473163065</v>
      </c>
      <c r="AK135" s="11">
        <f>'Activity data'!BM8-'Net zero supporting data'!AK125</f>
        <v>4646923.7250341326</v>
      </c>
      <c r="AL135" s="11">
        <f>'Activity data'!BN8-'Net zero supporting data'!AL125</f>
        <v>4653910.181956673</v>
      </c>
      <c r="AM135" s="11">
        <f>'Activity data'!BO8-'Net zero supporting data'!AM125</f>
        <v>4666571.6493674181</v>
      </c>
      <c r="AN135" s="11">
        <f>'Activity data'!BP8-'Net zero supporting data'!AN125</f>
        <v>4673311.4025284145</v>
      </c>
    </row>
    <row r="136" spans="1:40" x14ac:dyDescent="0.25">
      <c r="A136" t="s">
        <v>1103</v>
      </c>
      <c r="B136" s="11">
        <f>'Activity data'!AD9-'Net zero supporting data'!B126</f>
        <v>5306797.6972148223</v>
      </c>
      <c r="C136" s="11">
        <f>'Activity data'!AE9-'Net zero supporting data'!C126</f>
        <v>5279779.6378612826</v>
      </c>
      <c r="D136" s="11">
        <f>'Activity data'!AF9-'Net zero supporting data'!D126</f>
        <v>5230466.731176083</v>
      </c>
      <c r="E136" s="11">
        <f>'Activity data'!AG9-'Net zero supporting data'!E126</f>
        <v>5095483.3724473435</v>
      </c>
      <c r="F136" s="11">
        <f>'Activity data'!AH9-'Net zero supporting data'!F126</f>
        <v>4965886.6641909359</v>
      </c>
      <c r="G136" s="11">
        <f>'Activity data'!AI9-'Net zero supporting data'!G126</f>
        <v>4923465.3424229762</v>
      </c>
      <c r="H136" s="11">
        <f>'Activity data'!AJ9-'Net zero supporting data'!H126</f>
        <v>4854950.3944470631</v>
      </c>
      <c r="I136" s="11">
        <f>'Activity data'!AK9-'Net zero supporting data'!I126</f>
        <v>4701010.6512777284</v>
      </c>
      <c r="J136" s="11">
        <f>'Activity data'!AL9-'Net zero supporting data'!J126</f>
        <v>4184527.0040138983</v>
      </c>
      <c r="K136" s="11">
        <f>'Activity data'!AM9-'Net zero supporting data'!K126</f>
        <v>4036086.0755783771</v>
      </c>
      <c r="L136" s="11">
        <f>'Activity data'!AN9-'Net zero supporting data'!L126</f>
        <v>3847145.7254278688</v>
      </c>
      <c r="M136" s="11">
        <f>'Activity data'!AO9-'Net zero supporting data'!M126</f>
        <v>3655463.1805720273</v>
      </c>
      <c r="N136" s="11">
        <f>'Activity data'!AP9-'Net zero supporting data'!N126</f>
        <v>3483585.498015814</v>
      </c>
      <c r="O136" s="11">
        <f>'Activity data'!AQ9-'Net zero supporting data'!O126</f>
        <v>3358178.4511960968</v>
      </c>
      <c r="P136" s="11">
        <f>'Activity data'!AR9-'Net zero supporting data'!P126</f>
        <v>3242047.7277261792</v>
      </c>
      <c r="Q136" s="11">
        <f>'Activity data'!AS9-'Net zero supporting data'!Q126</f>
        <v>3134677.6224261811</v>
      </c>
      <c r="R136" s="11">
        <f>'Activity data'!AT9-'Net zero supporting data'!R126</f>
        <v>3013533.1538233906</v>
      </c>
      <c r="S136" s="11">
        <f>'Activity data'!AU9-'Net zero supporting data'!S126</f>
        <v>2908873.6706056935</v>
      </c>
      <c r="T136" s="11">
        <f>'Activity data'!AV9-'Net zero supporting data'!T126</f>
        <v>2821525.3837448228</v>
      </c>
      <c r="U136" s="11">
        <f>'Activity data'!AW9-'Net zero supporting data'!U126</f>
        <v>2912840.7906614025</v>
      </c>
      <c r="V136" s="11">
        <f>'Activity data'!AX9-'Net zero supporting data'!V126</f>
        <v>3006489.4236798515</v>
      </c>
      <c r="W136" s="11">
        <f>'Activity data'!AY9-'Net zero supporting data'!W126</f>
        <v>3099753.8505728757</v>
      </c>
      <c r="X136" s="11">
        <f>'Activity data'!AZ9-'Net zero supporting data'!X126</f>
        <v>3203261.3982228134</v>
      </c>
      <c r="Y136" s="11">
        <f>'Activity data'!BA9-'Net zero supporting data'!Y126</f>
        <v>3288457.4190728921</v>
      </c>
      <c r="Z136" s="11">
        <f>'Activity data'!BB9-'Net zero supporting data'!Z126</f>
        <v>3377138.6191899301</v>
      </c>
      <c r="AA136" s="11">
        <f>'Activity data'!BC9-'Net zero supporting data'!AA126</f>
        <v>3464475.3704416901</v>
      </c>
      <c r="AB136" s="11">
        <f>'Activity data'!BD9-'Net zero supporting data'!AB126</f>
        <v>3542944.8677504668</v>
      </c>
      <c r="AC136" s="11">
        <f>'Activity data'!BE9-'Net zero supporting data'!AC126</f>
        <v>3617514.8419511728</v>
      </c>
      <c r="AD136" s="11">
        <f>'Activity data'!BF9-'Net zero supporting data'!AD126</f>
        <v>3692471.5262372601</v>
      </c>
      <c r="AE136" s="11">
        <f>'Activity data'!BG9-'Net zero supporting data'!AE126</f>
        <v>3770508.5497576511</v>
      </c>
      <c r="AF136" s="11">
        <f>'Activity data'!BH9-'Net zero supporting data'!AF126</f>
        <v>3838419.4863933683</v>
      </c>
      <c r="AG136" s="11">
        <f>'Activity data'!BI9-'Net zero supporting data'!AG126</f>
        <v>3904900.6887397747</v>
      </c>
      <c r="AH136" s="11">
        <f>'Activity data'!BJ9-'Net zero supporting data'!AH126</f>
        <v>3970068.2653387473</v>
      </c>
      <c r="AI136" s="11">
        <f>'Activity data'!BK9-'Net zero supporting data'!AI126</f>
        <v>4039729.6052154903</v>
      </c>
      <c r="AJ136" s="11">
        <f>'Activity data'!BL9-'Net zero supporting data'!AJ126</f>
        <v>4108843.9740352142</v>
      </c>
      <c r="AK136" s="11">
        <f>'Activity data'!BM9-'Net zero supporting data'!AK126</f>
        <v>4120856.8882378149</v>
      </c>
      <c r="AL136" s="11">
        <f>'Activity data'!BN9-'Net zero supporting data'!AL126</f>
        <v>4127052.4255087478</v>
      </c>
      <c r="AM136" s="11">
        <f>'Activity data'!BO9-'Net zero supporting data'!AM126</f>
        <v>4138280.5192503519</v>
      </c>
      <c r="AN136" s="11">
        <f>'Activity data'!BP9-'Net zero supporting data'!AN126</f>
        <v>4144257.2814874621</v>
      </c>
    </row>
    <row r="137" spans="1:40" x14ac:dyDescent="0.25">
      <c r="A137" t="s">
        <v>1104</v>
      </c>
      <c r="B137" s="11">
        <f>'Activity data'!AD10-'Net zero supporting data'!B127</f>
        <v>543007.49179039791</v>
      </c>
      <c r="C137" s="11">
        <f>'Activity data'!AE10-'Net zero supporting data'!C127</f>
        <v>563264.94874187512</v>
      </c>
      <c r="D137" s="11">
        <f>'Activity data'!AF10-'Net zero supporting data'!D127</f>
        <v>581463.66332741594</v>
      </c>
      <c r="E137" s="11">
        <f>'Activity data'!AG10-'Net zero supporting data'!E127</f>
        <v>590003.82779140584</v>
      </c>
      <c r="F137" s="11">
        <f>'Activity data'!AH10-'Net zero supporting data'!F127</f>
        <v>598674.66430219111</v>
      </c>
      <c r="G137" s="11">
        <f>'Activity data'!AI10-'Net zero supporting data'!G127</f>
        <v>617814.32044813794</v>
      </c>
      <c r="H137" s="11">
        <f>'Activity data'!AJ10-'Net zero supporting data'!H127</f>
        <v>633958.70908242883</v>
      </c>
      <c r="I137" s="11">
        <f>'Activity data'!AK10-'Net zero supporting data'!I127</f>
        <v>638671.61459478887</v>
      </c>
      <c r="J137" s="11">
        <f>'Activity data'!AL10-'Net zero supporting data'!J127</f>
        <v>591407.68067539216</v>
      </c>
      <c r="K137" s="11">
        <f>'Activity data'!AM10-'Net zero supporting data'!K127</f>
        <v>568428.89929603797</v>
      </c>
      <c r="L137" s="11">
        <f>'Activity data'!AN10-'Net zero supporting data'!L127</f>
        <v>537107.73921131459</v>
      </c>
      <c r="M137" s="11">
        <f>'Activity data'!AO10-'Net zero supporting data'!M127</f>
        <v>502841.53256207984</v>
      </c>
      <c r="N137" s="11">
        <f>'Activity data'!AP10-'Net zero supporting data'!N127</f>
        <v>468776.47697487072</v>
      </c>
      <c r="O137" s="11">
        <f>'Activity data'!AQ10-'Net zero supporting data'!O127</f>
        <v>438284.91479958204</v>
      </c>
      <c r="P137" s="11">
        <f>'Activity data'!AR10-'Net zero supporting data'!P127</f>
        <v>406108.43028205569</v>
      </c>
      <c r="Q137" s="11">
        <f>'Activity data'!AS10-'Net zero supporting data'!Q127</f>
        <v>372004.44489554758</v>
      </c>
      <c r="R137" s="11">
        <f>'Activity data'!AT10-'Net zero supporting data'!R127</f>
        <v>333302.0977482358</v>
      </c>
      <c r="S137" s="11">
        <f>'Activity data'!AU10-'Net zero supporting data'!S127</f>
        <v>293445.29552439321</v>
      </c>
      <c r="T137" s="11">
        <f>'Activity data'!AV10-'Net zero supporting data'!T127</f>
        <v>252068.34581172885</v>
      </c>
      <c r="U137" s="11">
        <f>'Activity data'!AW10-'Net zero supporting data'!U127</f>
        <v>275248.01829173381</v>
      </c>
      <c r="V137" s="11">
        <f>'Activity data'!AX10-'Net zero supporting data'!V127</f>
        <v>300145.5328395681</v>
      </c>
      <c r="W137" s="11">
        <f>'Activity data'!AY10-'Net zero supporting data'!W127</f>
        <v>326604.03532531112</v>
      </c>
      <c r="X137" s="11">
        <f>'Activity data'!AZ10-'Net zero supporting data'!X127</f>
        <v>355857.40828349988</v>
      </c>
      <c r="Y137" s="11">
        <f>'Activity data'!BA10-'Net zero supporting data'!Y127</f>
        <v>384926.9513913003</v>
      </c>
      <c r="Z137" s="11">
        <f>'Activity data'!BB10-'Net zero supporting data'!Z127</f>
        <v>416207.54003638367</v>
      </c>
      <c r="AA137" s="11">
        <f>'Activity data'!BC10-'Net zero supporting data'!AA127</f>
        <v>449261.25329756213</v>
      </c>
      <c r="AB137" s="11">
        <f>'Activity data'!BD10-'Net zero supporting data'!AB127</f>
        <v>483176.5894201654</v>
      </c>
      <c r="AC137" s="11">
        <f>'Activity data'!BE10-'Net zero supporting data'!AC127</f>
        <v>518591.69616672245</v>
      </c>
      <c r="AD137" s="11">
        <f>'Activity data'!BF10-'Net zero supporting data'!AD127</f>
        <v>556182.30427583866</v>
      </c>
      <c r="AE137" s="11">
        <f>'Activity data'!BG10-'Net zero supporting data'!AE127</f>
        <v>588341.7619008004</v>
      </c>
      <c r="AF137" s="11">
        <f>'Activity data'!BH10-'Net zero supporting data'!AF127</f>
        <v>620458.00805316563</v>
      </c>
      <c r="AG137" s="11">
        <f>'Activity data'!BI10-'Net zero supporting data'!AG127</f>
        <v>653861.57174329343</v>
      </c>
      <c r="AH137" s="11">
        <f>'Activity data'!BJ10-'Net zero supporting data'!AH127</f>
        <v>688623.76684629964</v>
      </c>
      <c r="AI137" s="11">
        <f>'Activity data'!BK10-'Net zero supporting data'!AI127</f>
        <v>725826.38173866342</v>
      </c>
      <c r="AJ137" s="11">
        <f>'Activity data'!BL10-'Net zero supporting data'!AJ127</f>
        <v>764720.22619092278</v>
      </c>
      <c r="AK137" s="11">
        <f>'Activity data'!BM10-'Net zero supporting data'!AK127</f>
        <v>794666.23799628392</v>
      </c>
      <c r="AL137" s="11">
        <f>'Activity data'!BN10-'Net zero supporting data'!AL127</f>
        <v>824657.24722555443</v>
      </c>
      <c r="AM137" s="11">
        <f>'Activity data'!BO10-'Net zero supporting data'!AM127</f>
        <v>856841.43190656742</v>
      </c>
      <c r="AN137" s="11">
        <f>'Activity data'!BP10-'Net zero supporting data'!AN127</f>
        <v>889222.51053063385</v>
      </c>
    </row>
    <row r="138" spans="1:40" x14ac:dyDescent="0.25">
      <c r="A138" t="s">
        <v>1105</v>
      </c>
      <c r="B138" s="11">
        <f>'Activity data'!AD11-'Net zero supporting data'!B128</f>
        <v>19015978.109920204</v>
      </c>
      <c r="C138" s="11">
        <f>'Activity data'!AE11-'Net zero supporting data'!C128</f>
        <v>19026240.670801673</v>
      </c>
      <c r="D138" s="11">
        <f>'Activity data'!AF11-'Net zero supporting data'!D128</f>
        <v>19049833.423283767</v>
      </c>
      <c r="E138" s="11">
        <f>'Activity data'!AG11-'Net zero supporting data'!E128</f>
        <v>19084859.062341545</v>
      </c>
      <c r="F138" s="11">
        <f>'Activity data'!AH11-'Net zero supporting data'!F128</f>
        <v>19132134.129473589</v>
      </c>
      <c r="G138" s="11">
        <f>'Activity data'!AI11-'Net zero supporting data'!G128</f>
        <v>19192608.724077564</v>
      </c>
      <c r="H138" s="11">
        <f>'Activity data'!AJ11-'Net zero supporting data'!H128</f>
        <v>19259245.436183929</v>
      </c>
      <c r="I138" s="11">
        <f>'Activity data'!AK11-'Net zero supporting data'!I128</f>
        <v>19331009.292671949</v>
      </c>
      <c r="J138" s="11">
        <f>'Activity data'!AL11-'Net zero supporting data'!J128</f>
        <v>19402108.703371886</v>
      </c>
      <c r="K138" s="11">
        <f>'Activity data'!AM11-'Net zero supporting data'!K128</f>
        <v>18265566.583530858</v>
      </c>
      <c r="L138" s="11">
        <f>'Activity data'!AN11-'Net zero supporting data'!L128</f>
        <v>17129471.079805076</v>
      </c>
      <c r="M138" s="11">
        <f>'Activity data'!AO11-'Net zero supporting data'!M128</f>
        <v>15993428.789181691</v>
      </c>
      <c r="N138" s="11">
        <f>'Activity data'!AP11-'Net zero supporting data'!N128</f>
        <v>14856870.556404058</v>
      </c>
      <c r="O138" s="11">
        <f>'Activity data'!AQ11-'Net zero supporting data'!O128</f>
        <v>13719388.56186486</v>
      </c>
      <c r="P138" s="11">
        <f>'Activity data'!AR11-'Net zero supporting data'!P128</f>
        <v>12565518.450475276</v>
      </c>
      <c r="Q138" s="11">
        <f>'Activity data'!AS11-'Net zero supporting data'!Q128</f>
        <v>11410739.739984103</v>
      </c>
      <c r="R138" s="11">
        <f>'Activity data'!AT11-'Net zero supporting data'!R128</f>
        <v>10253900.007719891</v>
      </c>
      <c r="S138" s="11">
        <f>'Activity data'!AU11-'Net zero supporting data'!S128</f>
        <v>9094889.0893378798</v>
      </c>
      <c r="T138" s="11">
        <f>'Activity data'!AV11-'Net zero supporting data'!T128</f>
        <v>7933052.0753759257</v>
      </c>
      <c r="U138" s="11">
        <f>'Activity data'!AW11-'Net zero supporting data'!U128</f>
        <v>7945792.0503166169</v>
      </c>
      <c r="V138" s="11">
        <f>'Activity data'!AX11-'Net zero supporting data'!V128</f>
        <v>7959659.7450790033</v>
      </c>
      <c r="W138" s="11">
        <f>'Activity data'!AY11-'Net zero supporting data'!W128</f>
        <v>7974570.4736647326</v>
      </c>
      <c r="X138" s="11">
        <f>'Activity data'!AZ11-'Net zero supporting data'!X128</f>
        <v>7990673.251972463</v>
      </c>
      <c r="Y138" s="11">
        <f>'Activity data'!BA11-'Net zero supporting data'!Y128</f>
        <v>8007440.8826827537</v>
      </c>
      <c r="Z138" s="11">
        <f>'Activity data'!BB11-'Net zero supporting data'!Z128</f>
        <v>8018602.3952601645</v>
      </c>
      <c r="AA138" s="11">
        <f>'Activity data'!BC11-'Net zero supporting data'!AA128</f>
        <v>8030612.3285601325</v>
      </c>
      <c r="AB138" s="11">
        <f>'Activity data'!BD11-'Net zero supporting data'!AB128</f>
        <v>8043307.2925400734</v>
      </c>
      <c r="AC138" s="11">
        <f>'Activity data'!BE11-'Net zero supporting data'!AC128</f>
        <v>8056750.5274997521</v>
      </c>
      <c r="AD138" s="11">
        <f>'Activity data'!BF11-'Net zero supporting data'!AD128</f>
        <v>8070999.7253830805</v>
      </c>
      <c r="AE138" s="11">
        <f>'Activity data'!BG11-'Net zero supporting data'!AE128</f>
        <v>8079895.1825707797</v>
      </c>
      <c r="AF138" s="11">
        <f>'Activity data'!BH11-'Net zero supporting data'!AF128</f>
        <v>8089296.8971535414</v>
      </c>
      <c r="AG138" s="11">
        <f>'Activity data'!BI11-'Net zero supporting data'!AG128</f>
        <v>8099349.5385251958</v>
      </c>
      <c r="AH138" s="11">
        <f>'Activity data'!BJ11-'Net zero supporting data'!AH128</f>
        <v>8110037.7914580386</v>
      </c>
      <c r="AI138" s="11">
        <f>'Activity data'!BK11-'Net zero supporting data'!AI128</f>
        <v>8121463.7289434019</v>
      </c>
      <c r="AJ138" s="11">
        <f>'Activity data'!BL11-'Net zero supporting data'!AJ128</f>
        <v>8127280.4398370385</v>
      </c>
      <c r="AK138" s="11">
        <f>'Activity data'!BM11-'Net zero supporting data'!AK128</f>
        <v>8132490.5352855045</v>
      </c>
      <c r="AL138" s="11">
        <f>'Activity data'!BN11-'Net zero supporting data'!AL128</f>
        <v>8138117.507589357</v>
      </c>
      <c r="AM138" s="11">
        <f>'Activity data'!BO11-'Net zero supporting data'!AM128</f>
        <v>8144378.2670984995</v>
      </c>
      <c r="AN138" s="11">
        <f>'Activity data'!BP11-'Net zero supporting data'!AN128</f>
        <v>8151039.886566354</v>
      </c>
    </row>
    <row r="139" spans="1:40" x14ac:dyDescent="0.25">
      <c r="A139" t="s">
        <v>1106</v>
      </c>
      <c r="B139" s="11">
        <f>'Activity data'!AD12-'Net zero supporting data'!B129</f>
        <v>2841467.9934363523</v>
      </c>
      <c r="C139" s="11">
        <f>'Activity data'!AE12-'Net zero supporting data'!C129</f>
        <v>2843001.4795450778</v>
      </c>
      <c r="D139" s="11">
        <f>'Activity data'!AF12-'Net zero supporting data'!D129</f>
        <v>2846526.8333642413</v>
      </c>
      <c r="E139" s="11">
        <f>'Activity data'!AG12-'Net zero supporting data'!E129</f>
        <v>2851760.5495452886</v>
      </c>
      <c r="F139" s="11">
        <f>'Activity data'!AH12-'Net zero supporting data'!F129</f>
        <v>2858824.6400362835</v>
      </c>
      <c r="G139" s="11">
        <f>'Activity data'!AI12-'Net zero supporting data'!G129</f>
        <v>2867861.0737127396</v>
      </c>
      <c r="H139" s="11">
        <f>'Activity data'!AJ12-'Net zero supporting data'!H129</f>
        <v>2877818.283567714</v>
      </c>
      <c r="I139" s="11">
        <f>'Activity data'!AK12-'Net zero supporting data'!I129</f>
        <v>2888541.6184452334</v>
      </c>
      <c r="J139" s="11">
        <f>'Activity data'!AL12-'Net zero supporting data'!J129</f>
        <v>2899165.6683199373</v>
      </c>
      <c r="K139" s="11">
        <f>'Activity data'!AM12-'Net zero supporting data'!K129</f>
        <v>2787396.1914864993</v>
      </c>
      <c r="L139" s="11">
        <f>'Activity data'!AN12-'Net zero supporting data'!L129</f>
        <v>2675867.6273671109</v>
      </c>
      <c r="M139" s="11">
        <f>'Activity data'!AO12-'Net zero supporting data'!M129</f>
        <v>2564559.8345021061</v>
      </c>
      <c r="N139" s="11">
        <f>'Activity data'!AP12-'Net zero supporting data'!N129</f>
        <v>2453429.6161559271</v>
      </c>
      <c r="O139" s="11">
        <f>'Activity data'!AQ12-'Net zero supporting data'!O129</f>
        <v>2342465.8964492301</v>
      </c>
      <c r="P139" s="11">
        <f>'Activity data'!AR12-'Net zero supporting data'!P129</f>
        <v>2228997.7180592455</v>
      </c>
      <c r="Q139" s="11">
        <f>'Activity data'!AS12-'Net zero supporting data'!Q129</f>
        <v>2115625.1719118473</v>
      </c>
      <c r="R139" s="11">
        <f>'Activity data'!AT12-'Net zero supporting data'!R129</f>
        <v>2002187.1770175863</v>
      </c>
      <c r="S139" s="11">
        <f>'Activity data'!AU12-'Net zero supporting data'!S129</f>
        <v>1888715.0242795248</v>
      </c>
      <c r="T139" s="11">
        <f>'Activity data'!AV12-'Net zero supporting data'!T129</f>
        <v>1775143.2463963323</v>
      </c>
      <c r="U139" s="11">
        <f>'Activity data'!AW12-'Net zero supporting data'!U129</f>
        <v>1777846.5088322097</v>
      </c>
      <c r="V139" s="11">
        <f>'Activity data'!AX12-'Net zero supporting data'!V129</f>
        <v>1780801.6453490814</v>
      </c>
      <c r="W139" s="11">
        <f>'Activity data'!AY12-'Net zero supporting data'!W129</f>
        <v>1783989.6482838218</v>
      </c>
      <c r="X139" s="11">
        <f>'Activity data'!AZ12-'Net zero supporting data'!X129</f>
        <v>1787443.7933660038</v>
      </c>
      <c r="Y139" s="11">
        <f>'Activity data'!BA12-'Net zero supporting data'!Y129</f>
        <v>1791046.0948569409</v>
      </c>
      <c r="Z139" s="11">
        <f>'Activity data'!BB12-'Net zero supporting data'!Z129</f>
        <v>1793393.9872260594</v>
      </c>
      <c r="AA139" s="11">
        <f>'Activity data'!BC12-'Net zero supporting data'!AA129</f>
        <v>1795931.2474095442</v>
      </c>
      <c r="AB139" s="11">
        <f>'Activity data'!BD12-'Net zero supporting data'!AB129</f>
        <v>1798621.291609491</v>
      </c>
      <c r="AC139" s="11">
        <f>'Activity data'!BE12-'Net zero supporting data'!AC129</f>
        <v>1801478.222389295</v>
      </c>
      <c r="AD139" s="11">
        <f>'Activity data'!BF12-'Net zero supporting data'!AD129</f>
        <v>1804514.8971497228</v>
      </c>
      <c r="AE139" s="11">
        <f>'Activity data'!BG12-'Net zero supporting data'!AE129</f>
        <v>1806354.1982195182</v>
      </c>
      <c r="AF139" s="11">
        <f>'Activity data'!BH12-'Net zero supporting data'!AF129</f>
        <v>1808306.3850462101</v>
      </c>
      <c r="AG139" s="11">
        <f>'Activity data'!BI12-'Net zero supporting data'!AG129</f>
        <v>1810403.766830557</v>
      </c>
      <c r="AH139" s="11">
        <f>'Activity data'!BJ12-'Net zero supporting data'!AH129</f>
        <v>1812642.8845510224</v>
      </c>
      <c r="AI139" s="11">
        <f>'Activity data'!BK12-'Net zero supporting data'!AI129</f>
        <v>1815046.5151524981</v>
      </c>
      <c r="AJ139" s="11">
        <f>'Activity data'!BL12-'Net zero supporting data'!AJ129</f>
        <v>1816196.2791890069</v>
      </c>
      <c r="AK139" s="11">
        <f>'Activity data'!BM12-'Net zero supporting data'!AK129</f>
        <v>1817210.3244557597</v>
      </c>
      <c r="AL139" s="11">
        <f>'Activity data'!BN12-'Net zero supporting data'!AL129</f>
        <v>1818317.3657607662</v>
      </c>
      <c r="AM139" s="11">
        <f>'Activity data'!BO12-'Net zero supporting data'!AM129</f>
        <v>1819565.84082614</v>
      </c>
      <c r="AN139" s="11">
        <f>'Activity data'!BP12-'Net zero supporting data'!AN129</f>
        <v>1820903.6797850288</v>
      </c>
    </row>
    <row r="140" spans="1:40" x14ac:dyDescent="0.25">
      <c r="A140" t="s">
        <v>1107</v>
      </c>
      <c r="B140" s="11">
        <f>'Activity data'!AD13-'Net zero supporting data'!B130</f>
        <v>2067614.642656798</v>
      </c>
      <c r="C140" s="11">
        <f>'Activity data'!AE13-'Net zero supporting data'!C130</f>
        <v>2072988.7168994576</v>
      </c>
      <c r="D140" s="11">
        <f>'Activity data'!AF13-'Net zero supporting data'!D130</f>
        <v>2080235.7608107477</v>
      </c>
      <c r="E140" s="11">
        <f>'Activity data'!AG13-'Net zero supporting data'!E130</f>
        <v>2089062.4763060827</v>
      </c>
      <c r="F140" s="11">
        <f>'Activity data'!AH13-'Net zero supporting data'!F130</f>
        <v>2099634.7522200332</v>
      </c>
      <c r="G140" s="11">
        <f>'Activity data'!AI13-'Net zero supporting data'!G130</f>
        <v>2112133.6230614381</v>
      </c>
      <c r="H140" s="11">
        <f>'Activity data'!AJ13-'Net zero supporting data'!H130</f>
        <v>2125379.9594243024</v>
      </c>
      <c r="I140" s="11">
        <f>'Activity data'!AK13-'Net zero supporting data'!I130</f>
        <v>2139218.7685610452</v>
      </c>
      <c r="J140" s="11">
        <f>'Activity data'!AL13-'Net zero supporting data'!J130</f>
        <v>2152691.6803786336</v>
      </c>
      <c r="K140" s="11">
        <f>'Activity data'!AM13-'Net zero supporting data'!K130</f>
        <v>2158871.1518625161</v>
      </c>
      <c r="L140" s="11">
        <f>'Activity data'!AN13-'Net zero supporting data'!L130</f>
        <v>2165535.0758280959</v>
      </c>
      <c r="M140" s="11">
        <f>'Activity data'!AO13-'Net zero supporting data'!M130</f>
        <v>2172757.6865047915</v>
      </c>
      <c r="N140" s="11">
        <f>'Activity data'!AP13-'Net zero supporting data'!N130</f>
        <v>2180592.4512838051</v>
      </c>
      <c r="O140" s="11">
        <f>'Activity data'!AQ13-'Net zero supporting data'!O130</f>
        <v>2189144.7698348155</v>
      </c>
      <c r="P140" s="11">
        <f>'Activity data'!AR13-'Net zero supporting data'!P130</f>
        <v>2194649.3351718113</v>
      </c>
      <c r="Q140" s="11">
        <f>'Activity data'!AS13-'Net zero supporting data'!Q130</f>
        <v>2200656.3872116311</v>
      </c>
      <c r="R140" s="11">
        <f>'Activity data'!AT13-'Net zero supporting data'!R130</f>
        <v>2207016.5011669281</v>
      </c>
      <c r="S140" s="11">
        <f>'Activity data'!AU13-'Net zero supporting data'!S130</f>
        <v>2213874.2752633416</v>
      </c>
      <c r="T140" s="11">
        <f>'Activity data'!AV13-'Net zero supporting data'!T130</f>
        <v>2221232.0213697874</v>
      </c>
      <c r="U140" s="11">
        <f>'Activity data'!AW13-'Net zero supporting data'!U130</f>
        <v>2137031.9837743263</v>
      </c>
      <c r="V140" s="11">
        <f>'Activity data'!AX13-'Net zero supporting data'!V130</f>
        <v>2052791.773200429</v>
      </c>
      <c r="W140" s="11">
        <f>'Activity data'!AY13-'Net zero supporting data'!W130</f>
        <v>1968437.494983379</v>
      </c>
      <c r="X140" s="11">
        <f>'Activity data'!AZ13-'Net zero supporting data'!X130</f>
        <v>1883980.2987510446</v>
      </c>
      <c r="Y140" s="11">
        <f>'Activity data'!BA13-'Net zero supporting data'!Y130</f>
        <v>1799201.0124884979</v>
      </c>
      <c r="Z140" s="11">
        <f>'Activity data'!BB13-'Net zero supporting data'!Z130</f>
        <v>1712146.7225005189</v>
      </c>
      <c r="AA140" s="11">
        <f>'Activity data'!BC13-'Net zero supporting data'!AA130</f>
        <v>1624990.7008392676</v>
      </c>
      <c r="AB140" s="11">
        <f>'Activity data'!BD13-'Net zero supporting data'!AB130</f>
        <v>1537654.8360718936</v>
      </c>
      <c r="AC140" s="11">
        <f>'Activity data'!BE13-'Net zero supporting data'!AC130</f>
        <v>1450130.0302202841</v>
      </c>
      <c r="AD140" s="11">
        <f>'Activity data'!BF13-'Net zero supporting data'!AD130</f>
        <v>1362401.3371970737</v>
      </c>
      <c r="AE140" s="11">
        <f>'Activity data'!BG13-'Net zero supporting data'!AE130</f>
        <v>1363985.0028302919</v>
      </c>
      <c r="AF140" s="11">
        <f>'Activity data'!BH13-'Net zero supporting data'!AF130</f>
        <v>1365664.8214634331</v>
      </c>
      <c r="AG140" s="11">
        <f>'Activity data'!BI13-'Net zero supporting data'!AG130</f>
        <v>1367476.0505082584</v>
      </c>
      <c r="AH140" s="11">
        <f>'Activity data'!BJ13-'Net zero supporting data'!AH130</f>
        <v>1369415.3203336578</v>
      </c>
      <c r="AI140" s="11">
        <f>'Activity data'!BK13-'Net zero supporting data'!AI130</f>
        <v>1371507.2836203598</v>
      </c>
      <c r="AJ140" s="11">
        <f>'Activity data'!BL13-'Net zero supporting data'!AJ130</f>
        <v>1372238.0071283048</v>
      </c>
      <c r="AK140" s="11">
        <f>'Activity data'!BM13-'Net zero supporting data'!AK130</f>
        <v>1372806.8307684558</v>
      </c>
      <c r="AL140" s="11">
        <f>'Activity data'!BN13-'Net zero supporting data'!AL130</f>
        <v>1373458.6213206244</v>
      </c>
      <c r="AM140" s="11">
        <f>'Activity data'!BO13-'Net zero supporting data'!AM130</f>
        <v>1374245.0869915225</v>
      </c>
      <c r="AN140" s="11">
        <f>'Activity data'!BP13-'Net zero supporting data'!AN130</f>
        <v>1375110.9898166223</v>
      </c>
    </row>
    <row r="141" spans="1:40" x14ac:dyDescent="0.25">
      <c r="A141" t="s">
        <v>1108</v>
      </c>
      <c r="B141" s="11">
        <f>'Activity data'!AD14-'Net zero supporting data'!B131</f>
        <v>4013604.8945690775</v>
      </c>
      <c r="C141" s="11">
        <f>'Activity data'!AE14-'Net zero supporting data'!C131</f>
        <v>4024036.9210401229</v>
      </c>
      <c r="D141" s="11">
        <f>'Activity data'!AF14-'Net zero supporting data'!D131</f>
        <v>4038104.7121620388</v>
      </c>
      <c r="E141" s="11">
        <f>'Activity data'!AG14-'Net zero supporting data'!E131</f>
        <v>4055238.9245941597</v>
      </c>
      <c r="F141" s="11">
        <f>'Activity data'!AH14-'Net zero supporting data'!F131</f>
        <v>4075761.5778388875</v>
      </c>
      <c r="G141" s="11">
        <f>'Activity data'!AI14-'Net zero supporting data'!G131</f>
        <v>4100024.0918251434</v>
      </c>
      <c r="H141" s="11">
        <f>'Activity data'!AJ14-'Net zero supporting data'!H131</f>
        <v>4125737.5682942332</v>
      </c>
      <c r="I141" s="11">
        <f>'Activity data'!AK14-'Net zero supporting data'!I131</f>
        <v>4152601.1389714396</v>
      </c>
      <c r="J141" s="11">
        <f>'Activity data'!AL14-'Net zero supporting data'!J131</f>
        <v>4178754.4383820524</v>
      </c>
      <c r="K141" s="11">
        <f>'Activity data'!AM14-'Net zero supporting data'!K131</f>
        <v>4190749.8830272364</v>
      </c>
      <c r="L141" s="11">
        <f>'Activity data'!AN14-'Net zero supporting data'!L131</f>
        <v>4203685.735431009</v>
      </c>
      <c r="M141" s="11">
        <f>'Activity data'!AO14-'Net zero supporting data'!M131</f>
        <v>4217706.0973328296</v>
      </c>
      <c r="N141" s="11">
        <f>'Activity data'!AP14-'Net zero supporting data'!N131</f>
        <v>4232914.7583744442</v>
      </c>
      <c r="O141" s="11">
        <f>'Activity data'!AQ14-'Net zero supporting data'!O131</f>
        <v>4249516.3179146415</v>
      </c>
      <c r="P141" s="11">
        <f>'Activity data'!AR14-'Net zero supporting data'!P131</f>
        <v>4260201.6506276326</v>
      </c>
      <c r="Q141" s="11">
        <f>'Activity data'!AS14-'Net zero supporting data'!Q131</f>
        <v>4271862.3987049302</v>
      </c>
      <c r="R141" s="11">
        <f>'Activity data'!AT14-'Net zero supporting data'!R131</f>
        <v>4284208.5022652121</v>
      </c>
      <c r="S141" s="11">
        <f>'Activity data'!AU14-'Net zero supporting data'!S131</f>
        <v>4297520.6519817803</v>
      </c>
      <c r="T141" s="11">
        <f>'Activity data'!AV14-'Net zero supporting data'!T131</f>
        <v>4311803.335600174</v>
      </c>
      <c r="U141" s="11">
        <f>'Activity data'!AW14-'Net zero supporting data'!U131</f>
        <v>4234780.291376329</v>
      </c>
      <c r="V141" s="11">
        <f>'Activity data'!AX14-'Net zero supporting data'!V131</f>
        <v>4158084.6147691547</v>
      </c>
      <c r="W141" s="11">
        <f>'Activity data'!AY14-'Net zero supporting data'!W131</f>
        <v>4081613.0410684757</v>
      </c>
      <c r="X141" s="11">
        <f>'Activity data'!AZ14-'Net zero supporting data'!X131</f>
        <v>4005437.1057480182</v>
      </c>
      <c r="Y141" s="11">
        <f>'Activity data'!BA14-'Net zero supporting data'!Y131</f>
        <v>3929137.5052138511</v>
      </c>
      <c r="Z141" s="11">
        <f>'Activity data'!BB14-'Net zero supporting data'!Z131</f>
        <v>3848354.5527411029</v>
      </c>
      <c r="AA141" s="11">
        <f>'Activity data'!BC14-'Net zero supporting data'!AA131</f>
        <v>3767748.046553791</v>
      </c>
      <c r="AB141" s="11">
        <f>'Activity data'!BD14-'Net zero supporting data'!AB131</f>
        <v>3687179.2435910804</v>
      </c>
      <c r="AC141" s="11">
        <f>'Activity data'!BE14-'Net zero supporting data'!AC131</f>
        <v>3606665.3141324334</v>
      </c>
      <c r="AD141" s="11">
        <f>'Activity data'!BF14-'Net zero supporting data'!AD131</f>
        <v>3526215.2256865436</v>
      </c>
      <c r="AE141" s="11">
        <f>'Activity data'!BG14-'Net zero supporting data'!AE131</f>
        <v>3530314.1249725199</v>
      </c>
      <c r="AF141" s="11">
        <f>'Activity data'!BH14-'Net zero supporting data'!AF131</f>
        <v>3534661.8908465318</v>
      </c>
      <c r="AG141" s="11">
        <f>'Activity data'!BI14-'Net zero supporting data'!AG131</f>
        <v>3539349.7777860807</v>
      </c>
      <c r="AH141" s="11">
        <f>'Activity data'!BJ14-'Net zero supporting data'!AH131</f>
        <v>3544369.0643929965</v>
      </c>
      <c r="AI141" s="11">
        <f>'Activity data'!BK14-'Net zero supporting data'!AI131</f>
        <v>3549783.5576056368</v>
      </c>
      <c r="AJ141" s="11">
        <f>'Activity data'!BL14-'Net zero supporting data'!AJ131</f>
        <v>3551674.8419791413</v>
      </c>
      <c r="AK141" s="11">
        <f>'Activity data'!BM14-'Net zero supporting data'!AK131</f>
        <v>3553147.0914007076</v>
      </c>
      <c r="AL141" s="11">
        <f>'Activity data'!BN14-'Net zero supporting data'!AL131</f>
        <v>3554834.0787122035</v>
      </c>
      <c r="AM141" s="11">
        <f>'Activity data'!BO14-'Net zero supporting data'!AM131</f>
        <v>3556869.636919233</v>
      </c>
      <c r="AN141" s="11">
        <f>'Activity data'!BP14-'Net zero supporting data'!AN131</f>
        <v>3559110.7971724337</v>
      </c>
    </row>
    <row r="142" spans="1:40" x14ac:dyDescent="0.25">
      <c r="A142" t="s">
        <v>1089</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1090</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1091</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1092</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1093</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1094</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1095</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1096</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1097</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1098</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20" customFormat="1" ht="15.75" x14ac:dyDescent="0.25">
      <c r="A153" s="116" t="s">
        <v>1117</v>
      </c>
      <c r="B153" s="116"/>
      <c r="C153" s="116"/>
      <c r="D153" s="116"/>
      <c r="E153" s="116"/>
      <c r="F153" s="116"/>
      <c r="G153" s="116"/>
      <c r="H153" s="116"/>
      <c r="I153" s="116"/>
      <c r="J153" s="118"/>
      <c r="K153" s="118"/>
      <c r="L153" s="118"/>
      <c r="M153" s="118"/>
      <c r="N153" s="118"/>
      <c r="O153" s="118"/>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row>
    <row r="154" spans="1:48" x14ac:dyDescent="0.25">
      <c r="A154" t="s">
        <v>1118</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1119</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1126</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1129</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21012.861138236782</v>
      </c>
      <c r="L157">
        <f>'Net zero Activity data'!AN47*'Net zero supporting data'!L154</f>
        <v>42012.399989634585</v>
      </c>
      <c r="M157">
        <f>'Net zero Activity data'!AO47*'Net zero supporting data'!M154</f>
        <v>63003.486298686716</v>
      </c>
      <c r="N157">
        <f>'Net zero Activity data'!AP47*'Net zero supporting data'!N154</f>
        <v>83986.069583964112</v>
      </c>
      <c r="O157">
        <f>'Net zero Activity data'!AQ47*'Net zero supporting data'!O154</f>
        <v>104956.78435346541</v>
      </c>
      <c r="P157">
        <f>'Net zero Activity data'!AR47*'Net zero supporting data'!P154</f>
        <v>125906.06253143285</v>
      </c>
      <c r="Q157">
        <f>'Net zero Activity data'!AS47*'Net zero supporting data'!Q154</f>
        <v>146839.00134199616</v>
      </c>
      <c r="R157">
        <f>'Net zero Activity data'!AT47*'Net zero supporting data'!R154</f>
        <v>167754.49419817957</v>
      </c>
      <c r="S157">
        <f>'Net zero Activity data'!AU47*'Net zero supporting data'!S154</f>
        <v>188662.30719943435</v>
      </c>
      <c r="T157">
        <f>'Net zero Activity data'!AV47*'Net zero supporting data'!T154</f>
        <v>209549.40172341844</v>
      </c>
      <c r="U157">
        <f>'Net zero Activity data'!AW47*'Net zero supporting data'!U154</f>
        <v>230412.17327259103</v>
      </c>
      <c r="V157">
        <f>'Net zero Activity data'!AX47*'Net zero supporting data'!V154</f>
        <v>251262.42519131346</v>
      </c>
      <c r="W157">
        <f>'Net zero Activity data'!AY47*'Net zero supporting data'!W154</f>
        <v>272094.88598280016</v>
      </c>
      <c r="X157">
        <f>'Net zero Activity data'!AZ47*'Net zero supporting data'!X154</f>
        <v>292911.35462651629</v>
      </c>
      <c r="Y157">
        <f>'Net zero Activity data'!BA47*'Net zero supporting data'!Y154</f>
        <v>313702.83673059795</v>
      </c>
      <c r="Z157">
        <f>'Net zero Activity data'!BB47*'Net zero supporting data'!Z154</f>
        <v>334493.22300009103</v>
      </c>
      <c r="AA157">
        <f>'Net zero Activity data'!BC47*'Net zero supporting data'!AA154</f>
        <v>355264.58853305603</v>
      </c>
      <c r="AB157">
        <f>'Net zero Activity data'!BD47*'Net zero supporting data'!AB154</f>
        <v>376020.90062515473</v>
      </c>
      <c r="AC157">
        <f>'Net zero Activity data'!BE47*'Net zero supporting data'!AC154</f>
        <v>396769.70161400299</v>
      </c>
      <c r="AD157">
        <f>'Net zero Activity data'!BF47*'Net zero supporting data'!AD154</f>
        <v>417506.62430061895</v>
      </c>
      <c r="AE157">
        <f>'Net zero Activity data'!BG47*'Net zero supporting data'!AE154</f>
        <v>417359.23893084063</v>
      </c>
      <c r="AF157">
        <f>'Net zero Activity data'!BH47*'Net zero supporting data'!AF154</f>
        <v>417208.80628598569</v>
      </c>
      <c r="AG157">
        <f>'Net zero Activity data'!BI47*'Net zero supporting data'!AG154</f>
        <v>417068.38250034227</v>
      </c>
      <c r="AH157">
        <f>'Net zero Activity data'!BJ47*'Net zero supporting data'!AH154</f>
        <v>416928.86767827626</v>
      </c>
      <c r="AI157">
        <f>'Net zero Activity data'!BK47*'Net zero supporting data'!AI154</f>
        <v>416790.05211704015</v>
      </c>
      <c r="AJ157">
        <f>'Net zero Activity data'!BL47*'Net zero supporting data'!AJ154</f>
        <v>416646.1292257469</v>
      </c>
      <c r="AK157">
        <f>'Net zero Activity data'!BM47*'Net zero supporting data'!AK154</f>
        <v>416502.18125863961</v>
      </c>
      <c r="AL157">
        <f>'Net zero Activity data'!BN47*'Net zero supporting data'!AL154</f>
        <v>416412.87360964552</v>
      </c>
      <c r="AM157">
        <f>'Net zero Activity data'!BO47*'Net zero supporting data'!AM154</f>
        <v>416327.97650027968</v>
      </c>
      <c r="AN157">
        <f>'Net zero Activity data'!BP47*'Net zero supporting data'!AN154</f>
        <v>416236.8434606563</v>
      </c>
    </row>
    <row r="158" spans="1:48" x14ac:dyDescent="0.25">
      <c r="A158" t="s">
        <v>1130</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138.68488351236277</v>
      </c>
      <c r="L158">
        <f>'Net zero Activity data'!AN48*'Net zero supporting data'!L155</f>
        <v>277.28183993158831</v>
      </c>
      <c r="M158">
        <f>'Net zero Activity data'!AO48*'Net zero supporting data'!M155</f>
        <v>415.82300957133236</v>
      </c>
      <c r="N158">
        <f>'Net zero Activity data'!AP48*'Net zero supporting data'!N155</f>
        <v>554.30805925416314</v>
      </c>
      <c r="O158">
        <f>'Net zero Activity data'!AQ48*'Net zero supporting data'!O155</f>
        <v>692.71477673287177</v>
      </c>
      <c r="P158">
        <f>'Net zero Activity data'!AR48*'Net zero supporting data'!P155</f>
        <v>830.98001270745692</v>
      </c>
      <c r="Q158">
        <f>'Net zero Activity data'!AS48*'Net zero supporting data'!Q155</f>
        <v>969.13740885717493</v>
      </c>
      <c r="R158">
        <f>'Net zero Activity data'!AT48*'Net zero supporting data'!R155</f>
        <v>1107.1796617079854</v>
      </c>
      <c r="S158">
        <f>'Net zero Activity data'!AU48*'Net zero supporting data'!S155</f>
        <v>1245.171227516267</v>
      </c>
      <c r="T158">
        <f>'Net zero Activity data'!AV48*'Net zero supporting data'!T155</f>
        <v>1383.0260513745618</v>
      </c>
      <c r="U158">
        <f>'Net zero Activity data'!AW48*'Net zero supporting data'!U155</f>
        <v>1520.7203435991009</v>
      </c>
      <c r="V158">
        <f>'Net zero Activity data'!AX48*'Net zero supporting data'!V155</f>
        <v>1658.3320062626692</v>
      </c>
      <c r="W158">
        <f>'Net zero Activity data'!AY48*'Net zero supporting data'!W155</f>
        <v>1795.8262474864814</v>
      </c>
      <c r="X158">
        <f>'Net zero Activity data'!AZ48*'Net zero supporting data'!X155</f>
        <v>1933.2149405350076</v>
      </c>
      <c r="Y158">
        <f>'Net zero Activity data'!BA48*'Net zero supporting data'!Y155</f>
        <v>2070.4387224219472</v>
      </c>
      <c r="Z158">
        <f>'Net zero Activity data'!BB48*'Net zero supporting data'!Z155</f>
        <v>2207.6552718006014</v>
      </c>
      <c r="AA158">
        <f>'Net zero Activity data'!BC48*'Net zero supporting data'!AA155</f>
        <v>2344.7462843181702</v>
      </c>
      <c r="AB158">
        <f>'Net zero Activity data'!BD48*'Net zero supporting data'!AB155</f>
        <v>2481.7379441260218</v>
      </c>
      <c r="AC158">
        <f>'Net zero Activity data'!BE48*'Net zero supporting data'!AC155</f>
        <v>2618.6800306524201</v>
      </c>
      <c r="AD158">
        <f>'Net zero Activity data'!BF48*'Net zero supporting data'!AD155</f>
        <v>2755.5437203840856</v>
      </c>
      <c r="AE158">
        <f>'Net zero Activity data'!BG48*'Net zero supporting data'!AE155</f>
        <v>2754.5709769435489</v>
      </c>
      <c r="AF158">
        <f>'Net zero Activity data'!BH48*'Net zero supporting data'!AF155</f>
        <v>2753.578121487506</v>
      </c>
      <c r="AG158">
        <f>'Net zero Activity data'!BI48*'Net zero supporting data'!AG155</f>
        <v>2752.6513245022593</v>
      </c>
      <c r="AH158">
        <f>'Net zero Activity data'!BJ48*'Net zero supporting data'!AH155</f>
        <v>2751.7305266766239</v>
      </c>
      <c r="AI158">
        <f>'Net zero Activity data'!BK48*'Net zero supporting data'!AI155</f>
        <v>2750.8143439724654</v>
      </c>
      <c r="AJ158">
        <f>'Net zero Activity data'!BL48*'Net zero supporting data'!AJ155</f>
        <v>2749.8644528899299</v>
      </c>
      <c r="AK158">
        <f>'Net zero Activity data'!BM48*'Net zero supporting data'!AK155</f>
        <v>2748.9143963070219</v>
      </c>
      <c r="AL158">
        <f>'Net zero Activity data'!BN48*'Net zero supporting data'!AL155</f>
        <v>2748.3249658236609</v>
      </c>
      <c r="AM158">
        <f>'Net zero Activity data'!BO48*'Net zero supporting data'!AM155</f>
        <v>2747.7646449018466</v>
      </c>
      <c r="AN158">
        <f>'Net zero Activity data'!BP48*'Net zero supporting data'!AN155</f>
        <v>2747.163166840332</v>
      </c>
    </row>
    <row r="159" spans="1:48" x14ac:dyDescent="0.25">
      <c r="A159" t="s">
        <v>1133</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1021610.8991261652</v>
      </c>
      <c r="L159">
        <f>'Net zero Activity data'!AN50*'Net zero supporting data'!L156</f>
        <v>2046653.1899897084</v>
      </c>
      <c r="M159">
        <f>'Net zero Activity data'!AO50*'Net zero supporting data'!M156</f>
        <v>3072967.0177402776</v>
      </c>
      <c r="N159">
        <f>'Net zero Activity data'!AP50*'Net zero supporting data'!N156</f>
        <v>4106557.1289120787</v>
      </c>
      <c r="O159">
        <f>'Net zero Activity data'!AQ50*'Net zero supporting data'!O156</f>
        <v>5166889.7290099021</v>
      </c>
      <c r="P159">
        <f>'Net zero Activity data'!AR50*'Net zero supporting data'!P156</f>
        <v>6242901.5877150558</v>
      </c>
      <c r="Q159">
        <f>'Net zero Activity data'!AS50*'Net zero supporting data'!Q156</f>
        <v>7340682.5076849777</v>
      </c>
      <c r="R159">
        <f>'Net zero Activity data'!AT50*'Net zero supporting data'!R156</f>
        <v>8440372.2756539229</v>
      </c>
      <c r="S159">
        <f>'Net zero Activity data'!AU50*'Net zero supporting data'!S156</f>
        <v>9570321.9066678304</v>
      </c>
      <c r="T159">
        <f>'Net zero Activity data'!AV50*'Net zero supporting data'!T156</f>
        <v>10740644.021890193</v>
      </c>
      <c r="U159">
        <f>'Net zero Activity data'!AW50*'Net zero supporting data'!U156</f>
        <v>12005449.403109441</v>
      </c>
      <c r="V159">
        <f>'Net zero Activity data'!AX50*'Net zero supporting data'!V156</f>
        <v>13316110.837933373</v>
      </c>
      <c r="W159">
        <f>'Net zero Activity data'!AY50*'Net zero supporting data'!W156</f>
        <v>14670356.452698855</v>
      </c>
      <c r="X159">
        <f>'Net zero Activity data'!AZ50*'Net zero supporting data'!X156</f>
        <v>16093780.554827316</v>
      </c>
      <c r="Y159">
        <f>'Net zero Activity data'!BA50*'Net zero supporting data'!Y156</f>
        <v>17525736.638215356</v>
      </c>
      <c r="Z159">
        <f>'Net zero Activity data'!BB50*'Net zero supporting data'!Z156</f>
        <v>19007197.132327951</v>
      </c>
      <c r="AA159">
        <f>'Net zero Activity data'!BC50*'Net zero supporting data'!AA156</f>
        <v>20536121.843155097</v>
      </c>
      <c r="AB159">
        <f>'Net zero Activity data'!BD50*'Net zero supporting data'!AB156</f>
        <v>22092029.108533982</v>
      </c>
      <c r="AC159">
        <f>'Net zero Activity data'!BE50*'Net zero supporting data'!AC156</f>
        <v>23688318.648596849</v>
      </c>
      <c r="AD159">
        <f>'Net zero Activity data'!BF50*'Net zero supporting data'!AD156</f>
        <v>25340190.782866891</v>
      </c>
      <c r="AE159">
        <f>'Net zero Activity data'!BG50*'Net zero supporting data'!AE156</f>
        <v>25758585.207900394</v>
      </c>
      <c r="AF159">
        <f>'Net zero Activity data'!BH50*'Net zero supporting data'!AF156</f>
        <v>26154814.635639042</v>
      </c>
      <c r="AG159">
        <f>'Net zero Activity data'!BI50*'Net zero supporting data'!AG156</f>
        <v>26558841.885923892</v>
      </c>
      <c r="AH159">
        <f>'Net zero Activity data'!BJ50*'Net zero supporting data'!AH156</f>
        <v>26971425.889832456</v>
      </c>
      <c r="AI159">
        <f>'Net zero Activity data'!BK50*'Net zero supporting data'!AI156</f>
        <v>27414137.263382852</v>
      </c>
      <c r="AJ159">
        <f>'Net zero Activity data'!BL50*'Net zero supporting data'!AJ156</f>
        <v>27860577.107672378</v>
      </c>
      <c r="AK159">
        <f>'Net zero Activity data'!BM50*'Net zero supporting data'!AK156</f>
        <v>28108064.227408718</v>
      </c>
      <c r="AL159">
        <f>'Net zero Activity data'!BN50*'Net zero supporting data'!AL156</f>
        <v>28343156.515560344</v>
      </c>
      <c r="AM159">
        <f>'Net zero Activity data'!BO50*'Net zero supporting data'!AM156</f>
        <v>28607273.636978794</v>
      </c>
      <c r="AN159">
        <f>'Net zero Activity data'!BP50*'Net zero supporting data'!AN156</f>
        <v>28861372.857795686</v>
      </c>
    </row>
    <row r="160" spans="1:48" x14ac:dyDescent="0.25">
      <c r="A160" t="s">
        <v>1135</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2987160.4013411109</v>
      </c>
      <c r="L160">
        <f>'Net zero Activity data'!AN51*'Net zero supporting data'!L156</f>
        <v>5984354.0918025235</v>
      </c>
      <c r="M160">
        <f>'Net zero Activity data'!AO51*'Net zero supporting data'!M156</f>
        <v>8985265.7189470865</v>
      </c>
      <c r="N160">
        <f>'Net zero Activity data'!AP51*'Net zero supporting data'!N156</f>
        <v>12007452.986086715</v>
      </c>
      <c r="O160">
        <f>'Net zero Activity data'!AQ51*'Net zero supporting data'!O156</f>
        <v>15107834.509005563</v>
      </c>
      <c r="P160">
        <f>'Net zero Activity data'!AR51*'Net zero supporting data'!P156</f>
        <v>18254061.72569517</v>
      </c>
      <c r="Q160">
        <f>'Net zero Activity data'!AS51*'Net zero supporting data'!Q156</f>
        <v>21463941.041085083</v>
      </c>
      <c r="R160">
        <f>'Net zero Activity data'!AT51*'Net zero supporting data'!R156</f>
        <v>24679401.772217266</v>
      </c>
      <c r="S160">
        <f>'Net zero Activity data'!AU51*'Net zero supporting data'!S156</f>
        <v>27983341.458218891</v>
      </c>
      <c r="T160">
        <f>'Net zero Activity data'!AV51*'Net zero supporting data'!T156</f>
        <v>31405329.107720546</v>
      </c>
      <c r="U160">
        <f>'Net zero Activity data'!AW51*'Net zero supporting data'!U156</f>
        <v>35103583.06469471</v>
      </c>
      <c r="V160">
        <f>'Net zero Activity data'!AX51*'Net zero supporting data'!V156</f>
        <v>38935918.781766459</v>
      </c>
      <c r="W160">
        <f>'Net zero Activity data'!AY51*'Net zero supporting data'!W156</f>
        <v>42895693.366764992</v>
      </c>
      <c r="X160">
        <f>'Net zero Activity data'!AZ51*'Net zero supporting data'!X156</f>
        <v>47057743.826318234</v>
      </c>
      <c r="Y160">
        <f>'Net zero Activity data'!BA51*'Net zero supporting data'!Y156</f>
        <v>51244741.549634427</v>
      </c>
      <c r="Z160">
        <f>'Net zero Activity data'!BB51*'Net zero supporting data'!Z156</f>
        <v>55576488.722603709</v>
      </c>
      <c r="AA160">
        <f>'Net zero Activity data'!BC51*'Net zero supporting data'!AA156</f>
        <v>60047019.877587743</v>
      </c>
      <c r="AB160">
        <f>'Net zero Activity data'!BD51*'Net zero supporting data'!AB156</f>
        <v>64596447.233222045</v>
      </c>
      <c r="AC160">
        <f>'Net zero Activity data'!BE51*'Net zero supporting data'!AC156</f>
        <v>69263951.17942059</v>
      </c>
      <c r="AD160">
        <f>'Net zero Activity data'!BF51*'Net zero supporting data'!AD156</f>
        <v>74093977.006074309</v>
      </c>
      <c r="AE160">
        <f>'Net zero Activity data'!BG51*'Net zero supporting data'!AE156</f>
        <v>75317350.072738901</v>
      </c>
      <c r="AF160">
        <f>'Net zero Activity data'!BH51*'Net zero supporting data'!AF156</f>
        <v>76475913.335326776</v>
      </c>
      <c r="AG160">
        <f>'Net zero Activity data'!BI51*'Net zero supporting data'!AG156</f>
        <v>77657277.203063458</v>
      </c>
      <c r="AH160">
        <f>'Net zero Activity data'!BJ51*'Net zero supporting data'!AH156</f>
        <v>78863660.768231586</v>
      </c>
      <c r="AI160">
        <f>'Net zero Activity data'!BK51*'Net zero supporting data'!AI156</f>
        <v>80158135.881431937</v>
      </c>
      <c r="AJ160">
        <f>'Net zero Activity data'!BL51*'Net zero supporting data'!AJ156</f>
        <v>81463512.934068352</v>
      </c>
      <c r="AK160">
        <f>'Net zero Activity data'!BM51*'Net zero supporting data'!AK156</f>
        <v>82187158.036671251</v>
      </c>
      <c r="AL160">
        <f>'Net zero Activity data'!BN51*'Net zero supporting data'!AL156</f>
        <v>82874561.014094353</v>
      </c>
      <c r="AM160">
        <f>'Net zero Activity data'!BO51*'Net zero supporting data'!AM156</f>
        <v>83646831.755422786</v>
      </c>
      <c r="AN160">
        <f>'Net zero Activity data'!BP51*'Net zero supporting data'!AN156</f>
        <v>84389810.448274508</v>
      </c>
    </row>
    <row r="161" spans="1:40" x14ac:dyDescent="0.25">
      <c r="A161" t="s">
        <v>1134</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159796.23871003627</v>
      </c>
      <c r="L161">
        <f>'Net zero Activity data'!AN52*'Net zero supporting data'!L156</f>
        <v>320129.20181645744</v>
      </c>
      <c r="M161">
        <f>'Net zero Activity data'!AO52*'Net zero supporting data'!M156</f>
        <v>480661.05357226706</v>
      </c>
      <c r="N161">
        <f>'Net zero Activity data'!AP52*'Net zero supporting data'!N156</f>
        <v>642331.03210755368</v>
      </c>
      <c r="O161">
        <f>'Net zero Activity data'!AQ52*'Net zero supporting data'!O156</f>
        <v>808183.96243767568</v>
      </c>
      <c r="P161">
        <f>'Net zero Activity data'!AR52*'Net zero supporting data'!P156</f>
        <v>976489.37888884079</v>
      </c>
      <c r="Q161">
        <f>'Net zero Activity data'!AS52*'Net zero supporting data'!Q156</f>
        <v>1148199.8237254056</v>
      </c>
      <c r="R161">
        <f>'Net zero Activity data'!AT52*'Net zero supporting data'!R156</f>
        <v>1320208.8428340091</v>
      </c>
      <c r="S161">
        <f>'Net zero Activity data'!AU52*'Net zero supporting data'!S156</f>
        <v>1496950.9871496763</v>
      </c>
      <c r="T161">
        <f>'Net zero Activity data'!AV52*'Net zero supporting data'!T156</f>
        <v>1680008.031912677</v>
      </c>
      <c r="U161">
        <f>'Net zero Activity data'!AW52*'Net zero supporting data'!U156</f>
        <v>1877843.7664295314</v>
      </c>
      <c r="V161">
        <f>'Net zero Activity data'!AX52*'Net zero supporting data'!V156</f>
        <v>2082852.1191069623</v>
      </c>
      <c r="W161">
        <f>'Net zero Activity data'!AY52*'Net zero supporting data'!W156</f>
        <v>2294677.7326690187</v>
      </c>
      <c r="X161">
        <f>'Net zero Activity data'!AZ52*'Net zero supporting data'!X156</f>
        <v>2517323.9650104069</v>
      </c>
      <c r="Y161">
        <f>'Net zero Activity data'!BA52*'Net zero supporting data'!Y156</f>
        <v>2741304.735300824</v>
      </c>
      <c r="Z161">
        <f>'Net zero Activity data'!BB52*'Net zero supporting data'!Z156</f>
        <v>2973028.7849944923</v>
      </c>
      <c r="AA161">
        <f>'Net zero Activity data'!BC52*'Net zero supporting data'!AA156</f>
        <v>3212176.9952083649</v>
      </c>
      <c r="AB161">
        <f>'Net zero Activity data'!BD52*'Net zero supporting data'!AB156</f>
        <v>3455545.7073098389</v>
      </c>
      <c r="AC161">
        <f>'Net zero Activity data'!BE52*'Net zero supporting data'!AC156</f>
        <v>3705230.8512451705</v>
      </c>
      <c r="AD161">
        <f>'Net zero Activity data'!BF52*'Net zero supporting data'!AD156</f>
        <v>3963609.9994238494</v>
      </c>
      <c r="AE161">
        <f>'Net zero Activity data'!BG52*'Net zero supporting data'!AE156</f>
        <v>4029053.5606415197</v>
      </c>
      <c r="AF161">
        <f>'Net zero Activity data'!BH52*'Net zero supporting data'!AF156</f>
        <v>4091030.162763739</v>
      </c>
      <c r="AG161">
        <f>'Net zero Activity data'!BI52*'Net zero supporting data'!AG156</f>
        <v>4154226.4687028211</v>
      </c>
      <c r="AH161">
        <f>'Net zero Activity data'!BJ52*'Net zero supporting data'!AH156</f>
        <v>4218761.1873837877</v>
      </c>
      <c r="AI161">
        <f>'Net zero Activity data'!BK52*'Net zero supporting data'!AI156</f>
        <v>4288008.3071903754</v>
      </c>
      <c r="AJ161">
        <f>'Net zero Activity data'!BL52*'Net zero supporting data'!AJ156</f>
        <v>4357838.6192874573</v>
      </c>
      <c r="AK161">
        <f>'Net zero Activity data'!BM52*'Net zero supporting data'!AK156</f>
        <v>4396549.5520867016</v>
      </c>
      <c r="AL161">
        <f>'Net zero Activity data'!BN52*'Net zero supporting data'!AL156</f>
        <v>4433321.7355358973</v>
      </c>
      <c r="AM161">
        <f>'Net zero Activity data'!BO52*'Net zero supporting data'!AM156</f>
        <v>4474633.8658368671</v>
      </c>
      <c r="AN161">
        <f>'Net zero Activity data'!BP52*'Net zero supporting data'!AN156</f>
        <v>4514379.0367041901</v>
      </c>
    </row>
    <row r="162" spans="1:40" x14ac:dyDescent="0.25">
      <c r="A162" t="s">
        <v>1136</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1006988.3270459684</v>
      </c>
      <c r="L162">
        <f>'Net zero Activity data'!AN53*'Net zero supporting data'!L156</f>
        <v>1987779.1300504368</v>
      </c>
      <c r="M162">
        <f>'Net zero Activity data'!AO53*'Net zero supporting data'!M156</f>
        <v>2934069.4198641614</v>
      </c>
      <c r="N162">
        <f>'Net zero Activity data'!AP53*'Net zero supporting data'!N156</f>
        <v>3861450.243592802</v>
      </c>
      <c r="O162">
        <f>'Net zero Activity data'!AQ53*'Net zero supporting data'!O156</f>
        <v>4820142.9426210793</v>
      </c>
      <c r="P162">
        <f>'Net zero Activity data'!AR53*'Net zero supporting data'!P156</f>
        <v>5784555.7949944437</v>
      </c>
      <c r="Q162">
        <f>'Net zero Activity data'!AS53*'Net zero supporting data'!Q156</f>
        <v>6758395.246348585</v>
      </c>
      <c r="R162">
        <f>'Net zero Activity data'!AT53*'Net zero supporting data'!R156</f>
        <v>7687398.9737791028</v>
      </c>
      <c r="S162">
        <f>'Net zero Activity data'!AU53*'Net zero supporting data'!S156</f>
        <v>8638824.1663102414</v>
      </c>
      <c r="T162">
        <f>'Net zero Activity data'!AV53*'Net zero supporting data'!T156</f>
        <v>9629318.1741034966</v>
      </c>
      <c r="U162">
        <f>'Net zero Activity data'!AW53*'Net zero supporting data'!U156</f>
        <v>10652240.932227943</v>
      </c>
      <c r="V162">
        <f>'Net zero Activity data'!AX53*'Net zero supporting data'!V156</f>
        <v>11685677.48842012</v>
      </c>
      <c r="W162">
        <f>'Net zero Activity data'!AY53*'Net zero supporting data'!W156</f>
        <v>12717642.699507488</v>
      </c>
      <c r="X162">
        <f>'Net zero Activity data'!AZ53*'Net zero supporting data'!X156</f>
        <v>13793082.519461613</v>
      </c>
      <c r="Y162">
        <f>'Net zero Activity data'!BA53*'Net zero supporting data'!Y156</f>
        <v>14783579.401119335</v>
      </c>
      <c r="Z162">
        <f>'Net zero Activity data'!BB53*'Net zero supporting data'!Z156</f>
        <v>15781967.309688352</v>
      </c>
      <c r="AA162">
        <f>'Net zero Activity data'!BC53*'Net zero supporting data'!AA156</f>
        <v>16764457.044533806</v>
      </c>
      <c r="AB162">
        <f>'Net zero Activity data'!BD53*'Net zero supporting data'!AB156</f>
        <v>17690089.315566182</v>
      </c>
      <c r="AC162">
        <f>'Net zero Activity data'!BE53*'Net zero supporting data'!AC156</f>
        <v>18579881.277670458</v>
      </c>
      <c r="AD162">
        <f>'Net zero Activity data'!BF53*'Net zero supporting data'!AD156</f>
        <v>19454527.711674765</v>
      </c>
      <c r="AE162">
        <f>'Net zero Activity data'!BG53*'Net zero supporting data'!AE156</f>
        <v>19595545.964520771</v>
      </c>
      <c r="AF162">
        <f>'Net zero Activity data'!BH53*'Net zero supporting data'!AF156</f>
        <v>19675372.460820362</v>
      </c>
      <c r="AG162">
        <f>'Net zero Activity data'!BI53*'Net zero supporting data'!AG156</f>
        <v>19741816.835007552</v>
      </c>
      <c r="AH162">
        <f>'Net zero Activity data'!BJ53*'Net zero supporting data'!AH156</f>
        <v>19795917.136107363</v>
      </c>
      <c r="AI162">
        <f>'Net zero Activity data'!BK53*'Net zero supporting data'!AI156</f>
        <v>19867518.593516011</v>
      </c>
      <c r="AJ162">
        <f>'Net zero Activity data'!BL53*'Net zero supporting data'!AJ156</f>
        <v>19930566.914891161</v>
      </c>
      <c r="AK162">
        <f>'Net zero Activity data'!BM53*'Net zero supporting data'!AK156</f>
        <v>19706670.755030002</v>
      </c>
      <c r="AL162">
        <f>'Net zero Activity data'!BN53*'Net zero supporting data'!AL156</f>
        <v>19457010.89557644</v>
      </c>
      <c r="AM162">
        <f>'Net zero Activity data'!BO53*'Net zero supporting data'!AM156</f>
        <v>19234685.010346912</v>
      </c>
      <c r="AN162">
        <f>'Net zero Activity data'!BP53*'Net zero supporting data'!AN156</f>
        <v>18990062.002656356</v>
      </c>
    </row>
    <row r="163" spans="1:40" x14ac:dyDescent="0.25">
      <c r="A163" t="s">
        <v>1137</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1234029.4862132245</v>
      </c>
      <c r="L163">
        <f>'Net zero Activity data'!AN55*'Net zero supporting data'!L156</f>
        <v>2520716.44446604</v>
      </c>
      <c r="M163">
        <f>'Net zero Activity data'!AO55*'Net zero supporting data'!M156</f>
        <v>3849334.006555588</v>
      </c>
      <c r="N163">
        <f>'Net zero Activity data'!AP55*'Net zero supporting data'!N156</f>
        <v>5240116.6298526302</v>
      </c>
      <c r="O163">
        <f>'Net zero Activity data'!AQ55*'Net zero supporting data'!O156</f>
        <v>6764753.9694632431</v>
      </c>
      <c r="P163">
        <f>'Net zero Activity data'!AR55*'Net zero supporting data'!P156</f>
        <v>8394587.8307251409</v>
      </c>
      <c r="Q163">
        <f>'Net zero Activity data'!AS55*'Net zero supporting data'!Q156</f>
        <v>10140387.452919399</v>
      </c>
      <c r="R163">
        <f>'Net zero Activity data'!AT55*'Net zero supporting data'!R156</f>
        <v>11924062.785304755</v>
      </c>
      <c r="S163">
        <f>'Net zero Activity data'!AU55*'Net zero supporting data'!S156</f>
        <v>13851377.221684562</v>
      </c>
      <c r="T163">
        <f>'Net zero Activity data'!AV55*'Net zero supporting data'!T156</f>
        <v>15958563.444839923</v>
      </c>
      <c r="U163">
        <f>'Net zero Activity data'!AW55*'Net zero supporting data'!U156</f>
        <v>18247943.050290298</v>
      </c>
      <c r="V163">
        <f>'Net zero Activity data'!AX55*'Net zero supporting data'!V156</f>
        <v>20693324.350962956</v>
      </c>
      <c r="W163">
        <f>'Net zero Activity data'!AY55*'Net zero supporting data'!W156</f>
        <v>23282204.428027779</v>
      </c>
      <c r="X163">
        <f>'Net zero Activity data'!AZ55*'Net zero supporting data'!X156</f>
        <v>26107567.384403825</v>
      </c>
      <c r="Y163">
        <f>'Net zero Activity data'!BA55*'Net zero supporting data'!Y156</f>
        <v>28935266.947775807</v>
      </c>
      <c r="Z163">
        <f>'Net zero Activity data'!BB55*'Net zero supporting data'!Z156</f>
        <v>31945950.385347657</v>
      </c>
      <c r="AA163">
        <f>'Net zero Activity data'!BC55*'Net zero supporting data'!AA156</f>
        <v>35101337.11948631</v>
      </c>
      <c r="AB163">
        <f>'Net zero Activity data'!BD55*'Net zero supporting data'!AB156</f>
        <v>38319977.260133699</v>
      </c>
      <c r="AC163">
        <f>'Net zero Activity data'!BE55*'Net zero supporting data'!AC156</f>
        <v>41647574.641747445</v>
      </c>
      <c r="AD163">
        <f>'Net zero Activity data'!BF55*'Net zero supporting data'!AD156</f>
        <v>45135543.692925103</v>
      </c>
      <c r="AE163">
        <f>'Net zero Activity data'!BG55*'Net zero supporting data'!AE156</f>
        <v>46769732.237681463</v>
      </c>
      <c r="AF163">
        <f>'Net zero Activity data'!BH55*'Net zero supporting data'!AF156</f>
        <v>48315122.463048764</v>
      </c>
      <c r="AG163">
        <f>'Net zero Activity data'!BI55*'Net zero supporting data'!AG156</f>
        <v>49882509.268139593</v>
      </c>
      <c r="AH163">
        <f>'Net zero Activity data'!BJ55*'Net zero supporting data'!AH156</f>
        <v>51474445.987532601</v>
      </c>
      <c r="AI163">
        <f>'Net zero Activity data'!BK55*'Net zero supporting data'!AI156</f>
        <v>53170875.567917414</v>
      </c>
      <c r="AJ163">
        <f>'Net zero Activity data'!BL55*'Net zero supporting data'!AJ156</f>
        <v>54907123.7292182</v>
      </c>
      <c r="AK163">
        <f>'Net zero Activity data'!BM55*'Net zero supporting data'!AK156</f>
        <v>55894804.87417081</v>
      </c>
      <c r="AL163">
        <f>'Net zero Activity data'!BN55*'Net zero supporting data'!AL156</f>
        <v>56827608.958125845</v>
      </c>
      <c r="AM163">
        <f>'Net zero Activity data'!BO55*'Net zero supporting data'!AM156</f>
        <v>57859559.523319177</v>
      </c>
      <c r="AN163">
        <f>'Net zero Activity data'!BP55*'Net zero supporting data'!AN156</f>
        <v>58845170.271622084</v>
      </c>
    </row>
    <row r="164" spans="1:40" x14ac:dyDescent="0.25">
      <c r="A164" t="s">
        <v>1138</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189679.54614201703</v>
      </c>
      <c r="L164">
        <f>'Net zero Activity data'!AN56*'Net zero supporting data'!L156</f>
        <v>379928.13420466008</v>
      </c>
      <c r="M164">
        <f>'Net zero Activity data'!AO56*'Net zero supporting data'!M156</f>
        <v>570872.01181345375</v>
      </c>
      <c r="N164">
        <f>'Net zero Activity data'!AP56*'Net zero supporting data'!N156</f>
        <v>762647.90251054754</v>
      </c>
      <c r="O164">
        <f>'Net zero Activity data'!AQ56*'Net zero supporting data'!O156</f>
        <v>955418.70932654559</v>
      </c>
      <c r="P164">
        <f>'Net zero Activity data'!AR56*'Net zero supporting data'!P156</f>
        <v>1148007.6743468957</v>
      </c>
      <c r="Q164">
        <f>'Net zero Activity data'!AS56*'Net zero supporting data'!Q156</f>
        <v>1341352.6305605567</v>
      </c>
      <c r="R164">
        <f>'Net zero Activity data'!AT56*'Net zero supporting data'!R156</f>
        <v>1535489.9076993796</v>
      </c>
      <c r="S164">
        <f>'Net zero Activity data'!AU56*'Net zero supporting data'!S156</f>
        <v>1730575.5139144144</v>
      </c>
      <c r="T164">
        <f>'Net zero Activity data'!AV56*'Net zero supporting data'!T156</f>
        <v>1926715.2773346871</v>
      </c>
      <c r="U164">
        <f>'Net zero Activity data'!AW56*'Net zero supporting data'!U156</f>
        <v>2122260.3135738685</v>
      </c>
      <c r="V164">
        <f>'Net zero Activity data'!AX56*'Net zero supporting data'!V156</f>
        <v>2318654.6303061517</v>
      </c>
      <c r="W164">
        <f>'Net zero Activity data'!AY56*'Net zero supporting data'!W156</f>
        <v>2515952.9496917515</v>
      </c>
      <c r="X164">
        <f>'Net zero Activity data'!AZ56*'Net zero supporting data'!X156</f>
        <v>2714281.1041773516</v>
      </c>
      <c r="Y164">
        <f>'Net zero Activity data'!BA56*'Net zero supporting data'!Y156</f>
        <v>2913533.2165441266</v>
      </c>
      <c r="Z164">
        <f>'Net zero Activity data'!BB56*'Net zero supporting data'!Z156</f>
        <v>3111323.7151741907</v>
      </c>
      <c r="AA164">
        <f>'Net zero Activity data'!BC56*'Net zero supporting data'!AA156</f>
        <v>3309906.2175728036</v>
      </c>
      <c r="AB164">
        <f>'Net zero Activity data'!BD56*'Net zero supporting data'!AB156</f>
        <v>3509270.508192692</v>
      </c>
      <c r="AC164">
        <f>'Net zero Activity data'!BE56*'Net zero supporting data'!AC156</f>
        <v>3709494.8892347123</v>
      </c>
      <c r="AD164">
        <f>'Net zero Activity data'!BF56*'Net zero supporting data'!AD156</f>
        <v>3910661.0245115715</v>
      </c>
      <c r="AE164">
        <f>'Net zero Activity data'!BG56*'Net zero supporting data'!AE156</f>
        <v>3913994.0177712366</v>
      </c>
      <c r="AF164">
        <f>'Net zero Activity data'!BH56*'Net zero supporting data'!AF156</f>
        <v>3917570.3272363669</v>
      </c>
      <c r="AG164">
        <f>'Net zero Activity data'!BI56*'Net zero supporting data'!AG156</f>
        <v>3921459.8147163717</v>
      </c>
      <c r="AH164">
        <f>'Net zero Activity data'!BJ56*'Net zero supporting data'!AH156</f>
        <v>3925654.8318305947</v>
      </c>
      <c r="AI164">
        <f>'Net zero Activity data'!BK56*'Net zero supporting data'!AI156</f>
        <v>3930204.5451967255</v>
      </c>
      <c r="AJ164">
        <f>'Net zero Activity data'!BL56*'Net zero supporting data'!AJ156</f>
        <v>3932038.0063460055</v>
      </c>
      <c r="AK164">
        <f>'Net zero Activity data'!BM56*'Net zero supporting data'!AK156</f>
        <v>3933576.9439294124</v>
      </c>
      <c r="AL164">
        <f>'Net zero Activity data'!BN56*'Net zero supporting data'!AL156</f>
        <v>3935316.5040928018</v>
      </c>
      <c r="AM164">
        <f>'Net zero Activity data'!BO56*'Net zero supporting data'!AM156</f>
        <v>3937361.4006725471</v>
      </c>
      <c r="AN164">
        <f>'Net zero Activity data'!BP56*'Net zero supporting data'!AN156</f>
        <v>3939598.8253309694</v>
      </c>
    </row>
    <row r="165" spans="1:40" x14ac:dyDescent="0.25">
      <c r="A165" t="s">
        <v>1139</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23961.531359565099</v>
      </c>
      <c r="L165">
        <f>'Net zero Activity data'!AN58*'Net zero supporting data'!L156</f>
        <v>48070.989864241419</v>
      </c>
      <c r="M165">
        <f>'Net zero Activity data'!AO58*'Net zero supporting data'!M156</f>
        <v>72346.978276593596</v>
      </c>
      <c r="N165">
        <f>'Net zero Activity data'!AP58*'Net zero supporting data'!N156</f>
        <v>96810.473119324539</v>
      </c>
      <c r="O165">
        <f>'Net zero Activity data'!AQ58*'Net zero supporting data'!O156</f>
        <v>121487.70668358388</v>
      </c>
      <c r="P165">
        <f>'Net zero Activity data'!AR58*'Net zero supporting data'!P156</f>
        <v>146151.82241682103</v>
      </c>
      <c r="Q165">
        <f>'Net zero Activity data'!AS58*'Net zero supporting data'!Q156</f>
        <v>170977.16967413423</v>
      </c>
      <c r="R165">
        <f>'Net zero Activity data'!AT58*'Net zero supporting data'!R156</f>
        <v>195967.2120614145</v>
      </c>
      <c r="S165">
        <f>'Net zero Activity data'!AU58*'Net zero supporting data'!S156</f>
        <v>221148.14978365944</v>
      </c>
      <c r="T165">
        <f>'Net zero Activity data'!AV58*'Net zero supporting data'!T156</f>
        <v>246536.8101797296</v>
      </c>
      <c r="U165">
        <f>'Net zero Activity data'!AW58*'Net zero supporting data'!U156</f>
        <v>271781.7689918995</v>
      </c>
      <c r="V165">
        <f>'Net zero Activity data'!AX58*'Net zero supporting data'!V156</f>
        <v>297184.50657255779</v>
      </c>
      <c r="W165">
        <f>'Net zero Activity data'!AY58*'Net zero supporting data'!W156</f>
        <v>322752.90208382934</v>
      </c>
      <c r="X165">
        <f>'Net zero Activity data'!AZ58*'Net zero supporting data'!X156</f>
        <v>348508.1618571807</v>
      </c>
      <c r="Y165">
        <f>'Net zero Activity data'!BA58*'Net zero supporting data'!Y156</f>
        <v>374428.4204303156</v>
      </c>
      <c r="Z165">
        <f>'Net zero Activity data'!BB58*'Net zero supporting data'!Z156</f>
        <v>400069.29057861277</v>
      </c>
      <c r="AA165">
        <f>'Net zero Activity data'!BC58*'Net zero supporting data'!AA156</f>
        <v>425848.52946352353</v>
      </c>
      <c r="AB165">
        <f>'Net zero Activity data'!BD58*'Net zero supporting data'!AB156</f>
        <v>451762.62452013331</v>
      </c>
      <c r="AC165">
        <f>'Net zero Activity data'!BE58*'Net zero supporting data'!AC156</f>
        <v>477824.50675036997</v>
      </c>
      <c r="AD165">
        <f>'Net zero Activity data'!BF58*'Net zero supporting data'!AD156</f>
        <v>504047.71860202955</v>
      </c>
      <c r="AE165">
        <f>'Net zero Activity data'!BG58*'Net zero supporting data'!AE156</f>
        <v>504633.627487802</v>
      </c>
      <c r="AF165">
        <f>'Net zero Activity data'!BH58*'Net zero supporting data'!AF156</f>
        <v>505255.11010572268</v>
      </c>
      <c r="AG165">
        <f>'Net zero Activity data'!BI58*'Net zero supporting data'!AG156</f>
        <v>505925.21064290236</v>
      </c>
      <c r="AH165">
        <f>'Net zero Activity data'!BJ58*'Net zero supporting data'!AH156</f>
        <v>506642.68243668182</v>
      </c>
      <c r="AI165">
        <f>'Net zero Activity data'!BK58*'Net zero supporting data'!AI156</f>
        <v>507416.64624108531</v>
      </c>
      <c r="AJ165">
        <f>'Net zero Activity data'!BL58*'Net zero supporting data'!AJ156</f>
        <v>507686.99206874444</v>
      </c>
      <c r="AK165">
        <f>'Net zero Activity data'!BM58*'Net zero supporting data'!AK156</f>
        <v>507897.4397909221</v>
      </c>
      <c r="AL165">
        <f>'Net zero Activity data'!BN58*'Net zero supporting data'!AL156</f>
        <v>508138.58278737776</v>
      </c>
      <c r="AM165">
        <f>'Net zero Activity data'!BO58*'Net zero supporting data'!AM156</f>
        <v>508429.55154698761</v>
      </c>
      <c r="AN165">
        <f>'Net zero Activity data'!BP58*'Net zero supporting data'!AN156</f>
        <v>508749.90967612789</v>
      </c>
    </row>
    <row r="166" spans="1:40" x14ac:dyDescent="0.25">
      <c r="A166" t="s">
        <v>1140</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331325.30658282369</v>
      </c>
      <c r="L166">
        <f>'Net zero Activity data'!AN62*'Net zero supporting data'!L156</f>
        <v>668942.27336560027</v>
      </c>
      <c r="M166">
        <f>'Net zero Activity data'!AO62*'Net zero supporting data'!M156</f>
        <v>1010229.4598703339</v>
      </c>
      <c r="N166">
        <f>'Net zero Activity data'!AP62*'Net zero supporting data'!N156</f>
        <v>1361063.7802969115</v>
      </c>
      <c r="O166">
        <f>'Net zero Activity data'!AQ62*'Net zero supporting data'!O156</f>
        <v>1740844.7466583005</v>
      </c>
      <c r="P166">
        <f>'Net zero Activity data'!AR62*'Net zero supporting data'!P156</f>
        <v>2142410.9533344842</v>
      </c>
      <c r="Q166">
        <f>'Net zero Activity data'!AS62*'Net zero supporting data'!Q156</f>
        <v>2568054.2036531433</v>
      </c>
      <c r="R166">
        <f>'Net zero Activity data'!AT62*'Net zero supporting data'!R156</f>
        <v>2997444.7566000982</v>
      </c>
      <c r="S166">
        <f>'Net zero Activity data'!AU62*'Net zero supporting data'!S156</f>
        <v>3458397.910685733</v>
      </c>
      <c r="T166">
        <f>'Net zero Activity data'!AV62*'Net zero supporting data'!T156</f>
        <v>3960097.8900497956</v>
      </c>
      <c r="U166">
        <f>'Net zero Activity data'!AW62*'Net zero supporting data'!U156</f>
        <v>4478732.5833961433</v>
      </c>
      <c r="V166">
        <f>'Net zero Activity data'!AX62*'Net zero supporting data'!V156</f>
        <v>5025109.8336826079</v>
      </c>
      <c r="W166">
        <f>'Net zero Activity data'!AY62*'Net zero supporting data'!W156</f>
        <v>5595547.4033869365</v>
      </c>
      <c r="X166">
        <f>'Net zero Activity data'!AZ62*'Net zero supporting data'!X156</f>
        <v>6212313.8846792281</v>
      </c>
      <c r="Y166">
        <f>'Net zero Activity data'!BA62*'Net zero supporting data'!Y156</f>
        <v>6817753.9009072687</v>
      </c>
      <c r="Z166">
        <f>'Net zero Activity data'!BB62*'Net zero supporting data'!Z156</f>
        <v>7457107.7016911237</v>
      </c>
      <c r="AA166">
        <f>'Net zero Activity data'!BC62*'Net zero supporting data'!AA156</f>
        <v>8119563.8231615275</v>
      </c>
      <c r="AB166">
        <f>'Net zero Activity data'!BD62*'Net zero supporting data'!AB156</f>
        <v>8785791.9538232218</v>
      </c>
      <c r="AC166">
        <f>'Net zero Activity data'!BE62*'Net zero supporting data'!AC156</f>
        <v>9466733.9265088961</v>
      </c>
      <c r="AD166">
        <f>'Net zero Activity data'!BF62*'Net zero supporting data'!AD156</f>
        <v>10174253.43833629</v>
      </c>
      <c r="AE166">
        <f>'Net zero Activity data'!BG62*'Net zero supporting data'!AE156</f>
        <v>10395508.814017462</v>
      </c>
      <c r="AF166">
        <f>'Net zero Activity data'!BH62*'Net zero supporting data'!AF156</f>
        <v>10589871.364092372</v>
      </c>
      <c r="AG166">
        <f>'Net zero Activity data'!BI62*'Net zero supporting data'!AG156</f>
        <v>10782771.091804203</v>
      </c>
      <c r="AH166">
        <f>'Net zero Activity data'!BJ62*'Net zero supporting data'!AH156</f>
        <v>10974724.091920447</v>
      </c>
      <c r="AI166">
        <f>'Net zero Activity data'!BK62*'Net zero supporting data'!AI156</f>
        <v>11182772.076226573</v>
      </c>
      <c r="AJ166">
        <f>'Net zero Activity data'!BL62*'Net zero supporting data'!AJ156</f>
        <v>11393811.937865872</v>
      </c>
      <c r="AK166">
        <f>'Net zero Activity data'!BM62*'Net zero supporting data'!AK156</f>
        <v>11442270.037470413</v>
      </c>
      <c r="AL166">
        <f>'Net zero Activity data'!BN62*'Net zero supporting data'!AL156</f>
        <v>11477073.75954205</v>
      </c>
      <c r="AM166">
        <f>'Net zero Activity data'!BO62*'Net zero supporting data'!AM156</f>
        <v>11529888.557408424</v>
      </c>
      <c r="AN166">
        <f>'Net zero Activity data'!BP62*'Net zero supporting data'!AN156</f>
        <v>11570864.246683992</v>
      </c>
    </row>
    <row r="167" spans="1:40" x14ac:dyDescent="0.25">
      <c r="A167" t="s">
        <v>1141</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550374.7686826397</v>
      </c>
      <c r="L167">
        <f>'Net zero Activity data'!AN64*'Net zero supporting data'!L156</f>
        <v>1126459.9187495885</v>
      </c>
      <c r="M167">
        <f>'Net zero Activity data'!AO64*'Net zero supporting data'!M156</f>
        <v>1726440.6145166317</v>
      </c>
      <c r="N167">
        <f>'Net zero Activity data'!AP64*'Net zero supporting data'!N156</f>
        <v>2356330.699168453</v>
      </c>
      <c r="O167">
        <f>'Net zero Activity data'!AQ64*'Net zero supporting data'!O156</f>
        <v>3035693.5980384485</v>
      </c>
      <c r="P167">
        <f>'Net zero Activity data'!AR64*'Net zero supporting data'!P156</f>
        <v>3756618.9111931785</v>
      </c>
      <c r="Q167">
        <f>'Net zero Activity data'!AS64*'Net zero supporting data'!Q156</f>
        <v>4525021.7180519188</v>
      </c>
      <c r="R167">
        <f>'Net zero Activity data'!AT64*'Net zero supporting data'!R156</f>
        <v>5321884.8030361002</v>
      </c>
      <c r="S167">
        <f>'Net zero Activity data'!AU64*'Net zero supporting data'!S156</f>
        <v>6176986.637362197</v>
      </c>
      <c r="T167">
        <f>'Net zero Activity data'!AV64*'Net zero supporting data'!T156</f>
        <v>7102601.3586834669</v>
      </c>
      <c r="U167">
        <f>'Net zero Activity data'!AW64*'Net zero supporting data'!U156</f>
        <v>8070851.0792959863</v>
      </c>
      <c r="V167">
        <f>'Net zero Activity data'!AX64*'Net zero supporting data'!V156</f>
        <v>9099328.4394559823</v>
      </c>
      <c r="W167">
        <f>'Net zero Activity data'!AY64*'Net zero supporting data'!W156</f>
        <v>10186201.141314814</v>
      </c>
      <c r="X167">
        <f>'Net zero Activity data'!AZ64*'Net zero supporting data'!X156</f>
        <v>11359447.571015706</v>
      </c>
      <c r="Y167">
        <f>'Net zero Activity data'!BA64*'Net zero supporting data'!Y156</f>
        <v>12554707.208287515</v>
      </c>
      <c r="Z167">
        <f>'Net zero Activity data'!BB64*'Net zero supporting data'!Z156</f>
        <v>13820058.102319013</v>
      </c>
      <c r="AA167">
        <f>'Net zero Activity data'!BC64*'Net zero supporting data'!AA156</f>
        <v>15150701.803725313</v>
      </c>
      <c r="AB167">
        <f>'Net zero Activity data'!BD64*'Net zero supporting data'!AB156</f>
        <v>16524821.770482181</v>
      </c>
      <c r="AC167">
        <f>'Net zero Activity data'!BE64*'Net zero supporting data'!AC156</f>
        <v>17957442.71858006</v>
      </c>
      <c r="AD167">
        <f>'Net zero Activity data'!BF64*'Net zero supporting data'!AD156</f>
        <v>19465897.500140045</v>
      </c>
      <c r="AE167">
        <f>'Net zero Activity data'!BG64*'Net zero supporting data'!AE156</f>
        <v>20051785.886330549</v>
      </c>
      <c r="AF167">
        <f>'Net zero Activity data'!BH64*'Net zero supporting data'!AF156</f>
        <v>20616420.447791386</v>
      </c>
      <c r="AG167">
        <f>'Net zero Activity data'!BI64*'Net zero supporting data'!AG156</f>
        <v>21193117.54339879</v>
      </c>
      <c r="AH167">
        <f>'Net zero Activity data'!BJ64*'Net zero supporting data'!AH156</f>
        <v>21782872.504020832</v>
      </c>
      <c r="AI167">
        <f>'Net zero Activity data'!BK64*'Net zero supporting data'!AI156</f>
        <v>22410328.289350692</v>
      </c>
      <c r="AJ167">
        <f>'Net zero Activity data'!BL64*'Net zero supporting data'!AJ156</f>
        <v>23050451.569076337</v>
      </c>
      <c r="AK167">
        <f>'Net zero Activity data'!BM64*'Net zero supporting data'!AK156</f>
        <v>23466382.140440848</v>
      </c>
      <c r="AL167">
        <f>'Net zero Activity data'!BN64*'Net zero supporting data'!AL156</f>
        <v>23869779.068654221</v>
      </c>
      <c r="AM167">
        <f>'Net zero Activity data'!BO64*'Net zero supporting data'!AM156</f>
        <v>24308404.199043918</v>
      </c>
      <c r="AN167">
        <f>'Net zero Activity data'!BP64*'Net zero supporting data'!AN156</f>
        <v>24737345.98038318</v>
      </c>
    </row>
    <row r="168" spans="1:40" x14ac:dyDescent="0.25">
      <c r="A168" t="s">
        <v>1142</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2269040.6463579885</v>
      </c>
      <c r="L168">
        <f>'Net zero Activity data'!AN65*'Net zero supporting data'!L156</f>
        <v>4691290.3993634423</v>
      </c>
      <c r="M168">
        <f>'Net zero Activity data'!AO65*'Net zero supporting data'!M156</f>
        <v>7240971.9360713121</v>
      </c>
      <c r="N168">
        <f>'Net zero Activity data'!AP65*'Net zero supporting data'!N156</f>
        <v>9983421.4632076193</v>
      </c>
      <c r="O168">
        <f>'Net zero Activity data'!AQ65*'Net zero supporting data'!O156</f>
        <v>13136431.15022574</v>
      </c>
      <c r="P168">
        <f>'Net zero Activity data'!AR65*'Net zero supporting data'!P156</f>
        <v>16645681.83910732</v>
      </c>
      <c r="Q168">
        <f>'Net zero Activity data'!AS65*'Net zero supporting data'!Q156</f>
        <v>20538812.884396065</v>
      </c>
      <c r="R168">
        <f>'Net zero Activity data'!AT65*'Net zero supporting data'!R156</f>
        <v>24594703.161820695</v>
      </c>
      <c r="S168">
        <f>'Net zero Activity data'!AU65*'Net zero supporting data'!S156</f>
        <v>29138665.03819216</v>
      </c>
      <c r="T168">
        <f>'Net zero Activity data'!AV65*'Net zero supporting data'!T156</f>
        <v>34294073.034873791</v>
      </c>
      <c r="U168">
        <f>'Net zero Activity data'!AW65*'Net zero supporting data'!U156</f>
        <v>39815082.7495251</v>
      </c>
      <c r="V168">
        <f>'Net zero Activity data'!AX65*'Net zero supporting data'!V156</f>
        <v>45827786.285366982</v>
      </c>
      <c r="W168">
        <f>'Net zero Activity data'!AY65*'Net zero supporting data'!W156</f>
        <v>52302540.559290394</v>
      </c>
      <c r="X168">
        <f>'Net zero Activity data'!AZ65*'Net zero supporting data'!X156</f>
        <v>59528440.480726257</v>
      </c>
      <c r="Y168">
        <f>'Net zero Activity data'!BA65*'Net zero supporting data'!Y156</f>
        <v>66809343.072633505</v>
      </c>
      <c r="Z168">
        <f>'Net zero Activity data'!BB65*'Net zero supporting data'!Z156</f>
        <v>74741647.104276747</v>
      </c>
      <c r="AA168">
        <f>'Net zero Activity data'!BC65*'Net zero supporting data'!AA156</f>
        <v>83185074.068854779</v>
      </c>
      <c r="AB168">
        <f>'Net zero Activity data'!BD65*'Net zero supporting data'!AB156</f>
        <v>91904139.926908508</v>
      </c>
      <c r="AC168">
        <f>'Net zero Activity data'!BE65*'Net zero supporting data'!AC156</f>
        <v>101049438.82702747</v>
      </c>
      <c r="AD168">
        <f>'Net zero Activity data'!BF65*'Net zero supporting data'!AD156</f>
        <v>110791519.28408885</v>
      </c>
      <c r="AE168">
        <f>'Net zero Activity data'!BG65*'Net zero supporting data'!AE156</f>
        <v>115498279.08870003</v>
      </c>
      <c r="AF168">
        <f>'Net zero Activity data'!BH65*'Net zero supporting data'!AF156</f>
        <v>119936819.40973952</v>
      </c>
      <c r="AG168">
        <f>'Net zero Activity data'!BI65*'Net zero supporting data'!AG156</f>
        <v>124447871.04988216</v>
      </c>
      <c r="AH168">
        <f>'Net zero Activity data'!BJ65*'Net zero supporting data'!AH156</f>
        <v>129040612.57341461</v>
      </c>
      <c r="AI168">
        <f>'Net zero Activity data'!BK65*'Net zero supporting data'!AI156</f>
        <v>133959373.36411482</v>
      </c>
      <c r="AJ168">
        <f>'Net zero Activity data'!BL65*'Net zero supporting data'!AJ156</f>
        <v>139056170.88479108</v>
      </c>
      <c r="AK168">
        <f>'Net zero Activity data'!BM65*'Net zero supporting data'!AK156</f>
        <v>141894297.90583265</v>
      </c>
      <c r="AL168">
        <f>'Net zero Activity data'!BN65*'Net zero supporting data'!AL156</f>
        <v>144583021.35277233</v>
      </c>
      <c r="AM168">
        <f>'Net zero Activity data'!BO65*'Net zero supporting data'!AM156</f>
        <v>147589886.64164224</v>
      </c>
      <c r="AN168">
        <f>'Net zero Activity data'!BP65*'Net zero supporting data'!AN156</f>
        <v>150475031.64504376</v>
      </c>
    </row>
    <row r="169" spans="1:40" x14ac:dyDescent="0.25">
      <c r="A169" t="s">
        <v>1131</v>
      </c>
      <c r="B169">
        <f>'Net zero Activity data'!AD47-'Net zero supporting data'!B157</f>
        <v>420412.44040319067</v>
      </c>
      <c r="C169">
        <f>'Net zero Activity data'!AE47-'Net zero supporting data'!C157</f>
        <v>420360.56587981997</v>
      </c>
      <c r="D169">
        <f>'Net zero Activity data'!AF47-'Net zero supporting data'!D157</f>
        <v>420273.60787048884</v>
      </c>
      <c r="E169">
        <f>'Net zero Activity data'!AG47-'Net zero supporting data'!E157</f>
        <v>420199.60117124248</v>
      </c>
      <c r="F169">
        <f>'Net zero Activity data'!AH47-'Net zero supporting data'!F157</f>
        <v>420175.38543738599</v>
      </c>
      <c r="G169">
        <f>'Net zero Activity data'!AI47-'Net zero supporting data'!G157</f>
        <v>420150.87527111539</v>
      </c>
      <c r="H169">
        <f>'Net zero Activity data'!AJ47-'Net zero supporting data'!H157</f>
        <v>420076.1535853711</v>
      </c>
      <c r="I169">
        <f>'Net zero Activity data'!AK47-'Net zero supporting data'!I157</f>
        <v>420017.59651775297</v>
      </c>
      <c r="J169">
        <f>'Net zero Activity data'!AL47-'Net zero supporting data'!J157</f>
        <v>420013.65412402141</v>
      </c>
      <c r="K169">
        <f>'Net zero Activity data'!AM47-'Net zero supporting data'!K157</f>
        <v>399244.36162649881</v>
      </c>
      <c r="L169">
        <f>'Net zero Activity data'!AN47-'Net zero supporting data'!L157</f>
        <v>378111.59990671126</v>
      </c>
      <c r="M169">
        <f>'Net zero Activity data'!AO47-'Net zero supporting data'!M157</f>
        <v>357019.75569255801</v>
      </c>
      <c r="N169">
        <f>'Net zero Activity data'!AP47-'Net zero supporting data'!N157</f>
        <v>335944.27833585639</v>
      </c>
      <c r="O169">
        <f>'Net zero Activity data'!AQ47-'Net zero supporting data'!O157</f>
        <v>314870.35306039621</v>
      </c>
      <c r="P169">
        <f>'Net zero Activity data'!AR47-'Net zero supporting data'!P157</f>
        <v>293780.81257334334</v>
      </c>
      <c r="Q169">
        <f>'Net zero Activity data'!AS47-'Net zero supporting data'!Q157</f>
        <v>272701.00249227858</v>
      </c>
      <c r="R169">
        <f>'Net zero Activity data'!AT47-'Net zero supporting data'!R157</f>
        <v>251631.74129726941</v>
      </c>
      <c r="S169">
        <f>'Net zero Activity data'!AU47-'Net zero supporting data'!S157</f>
        <v>230587.26435486422</v>
      </c>
      <c r="T169">
        <f>'Net zero Activity data'!AV47-'Net zero supporting data'!T157</f>
        <v>209549.40172341844</v>
      </c>
      <c r="U169">
        <f>'Net zero Activity data'!AW47-'Net zero supporting data'!U157</f>
        <v>188519.05085939262</v>
      </c>
      <c r="V169">
        <f>'Net zero Activity data'!AX47-'Net zero supporting data'!V157</f>
        <v>167508.28346087559</v>
      </c>
      <c r="W169">
        <f>'Net zero Activity data'!AY47-'Net zero supporting data'!W157</f>
        <v>146512.6309138154</v>
      </c>
      <c r="X169">
        <f>'Net zero Activity data'!AZ47-'Net zero supporting data'!X157</f>
        <v>125533.43769707828</v>
      </c>
      <c r="Y169">
        <f>'Net zero Activity data'!BA47-'Net zero supporting data'!Y157</f>
        <v>104567.61224353255</v>
      </c>
      <c r="Z169">
        <f>'Net zero Activity data'!BB47-'Net zero supporting data'!Z157</f>
        <v>83623.305750022642</v>
      </c>
      <c r="AA169">
        <f>'Net zero Activity data'!BC47-'Net zero supporting data'!AA157</f>
        <v>62693.750917597965</v>
      </c>
      <c r="AB169">
        <f>'Net zero Activity data'!BD47-'Net zero supporting data'!AB157</f>
        <v>41780.100069461449</v>
      </c>
      <c r="AC169">
        <f>'Net zero Activity data'!BE47-'Net zero supporting data'!AC157</f>
        <v>20882.615874421026</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1132</v>
      </c>
      <c r="B170">
        <f>'Net zero Activity data'!AD48-'Net zero supporting data'!B158</f>
        <v>2774.7221066610591</v>
      </c>
      <c r="C170">
        <f>'Net zero Activity data'!AE48-'Net zero supporting data'!C158</f>
        <v>2774.3797348068124</v>
      </c>
      <c r="D170">
        <f>'Net zero Activity data'!AF48-'Net zero supporting data'!D158</f>
        <v>2773.8058119452267</v>
      </c>
      <c r="E170">
        <f>'Net zero Activity data'!AG48-'Net zero supporting data'!E158</f>
        <v>2773.3173677302011</v>
      </c>
      <c r="F170">
        <f>'Net zero Activity data'!AH48-'Net zero supporting data'!F158</f>
        <v>2773.1575438867476</v>
      </c>
      <c r="G170">
        <f>'Net zero Activity data'!AI48-'Net zero supporting data'!G158</f>
        <v>2772.995776789362</v>
      </c>
      <c r="H170">
        <f>'Net zero Activity data'!AJ48-'Net zero supporting data'!H158</f>
        <v>2772.5026136634497</v>
      </c>
      <c r="I170">
        <f>'Net zero Activity data'!AK48-'Net zero supporting data'!I158</f>
        <v>2772.1161370171699</v>
      </c>
      <c r="J170">
        <f>'Net zero Activity data'!AL48-'Net zero supporting data'!J158</f>
        <v>2772.0901172185418</v>
      </c>
      <c r="K170">
        <f>'Net zero Activity data'!AM48-'Net zero supporting data'!K158</f>
        <v>2635.0127867348924</v>
      </c>
      <c r="L170">
        <f>'Net zero Activity data'!AN48-'Net zero supporting data'!L158</f>
        <v>2495.5365593842944</v>
      </c>
      <c r="M170">
        <f>'Net zero Activity data'!AO48-'Net zero supporting data'!M158</f>
        <v>2356.330387570883</v>
      </c>
      <c r="N170">
        <f>'Net zero Activity data'!AP48-'Net zero supporting data'!N158</f>
        <v>2217.2322370166526</v>
      </c>
      <c r="O170">
        <f>'Net zero Activity data'!AQ48-'Net zero supporting data'!O158</f>
        <v>2078.1443301986155</v>
      </c>
      <c r="P170">
        <f>'Net zero Activity data'!AR48-'Net zero supporting data'!P158</f>
        <v>1938.9533629840662</v>
      </c>
      <c r="Q170">
        <f>'Net zero Activity data'!AS48-'Net zero supporting data'!Q158</f>
        <v>1799.8266164490394</v>
      </c>
      <c r="R170">
        <f>'Net zero Activity data'!AT48-'Net zero supporting data'!R158</f>
        <v>1660.769492561978</v>
      </c>
      <c r="S170">
        <f>'Net zero Activity data'!AU48-'Net zero supporting data'!S158</f>
        <v>1521.8759447421041</v>
      </c>
      <c r="T170">
        <f>'Net zero Activity data'!AV48-'Net zero supporting data'!T158</f>
        <v>1383.0260513745618</v>
      </c>
      <c r="U170">
        <f>'Net zero Activity data'!AW48-'Net zero supporting data'!U158</f>
        <v>1244.2257356719915</v>
      </c>
      <c r="V170">
        <f>'Net zero Activity data'!AX48-'Net zero supporting data'!V158</f>
        <v>1105.5546708417789</v>
      </c>
      <c r="W170">
        <f>'Net zero Activity data'!AY48-'Net zero supporting data'!W158</f>
        <v>966.98336403118174</v>
      </c>
      <c r="X170">
        <f>'Net zero Activity data'!AZ48-'Net zero supporting data'!X158</f>
        <v>828.5206888007167</v>
      </c>
      <c r="Y170">
        <f>'Net zero Activity data'!BA48-'Net zero supporting data'!Y158</f>
        <v>690.14624080731483</v>
      </c>
      <c r="Z170">
        <f>'Net zero Activity data'!BB48-'Net zero supporting data'!Z158</f>
        <v>551.91381795014922</v>
      </c>
      <c r="AA170">
        <f>'Net zero Activity data'!BC48-'Net zero supporting data'!AA158</f>
        <v>413.7787560561469</v>
      </c>
      <c r="AB170">
        <f>'Net zero Activity data'!BD48-'Net zero supporting data'!AB158</f>
        <v>275.74866045844556</v>
      </c>
      <c r="AC170">
        <f>'Net zero Activity data'!BE48-'Net zero supporting data'!AC158</f>
        <v>137.82526477117881</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1143</v>
      </c>
      <c r="B171">
        <f>'Net zero Activity data'!AD50-'Net zero supporting data'!B159</f>
        <v>20306692.035354737</v>
      </c>
      <c r="C171">
        <f>'Net zero Activity data'!AE50-'Net zero supporting data'!C159</f>
        <v>20443803.960096341</v>
      </c>
      <c r="D171">
        <f>'Net zero Activity data'!AF50-'Net zero supporting data'!D159</f>
        <v>20563742.16288035</v>
      </c>
      <c r="E171">
        <f>'Net zero Activity data'!AG50-'Net zero supporting data'!E159</f>
        <v>20579256.420816109</v>
      </c>
      <c r="F171">
        <f>'Net zero Activity data'!AH50-'Net zero supporting data'!F159</f>
        <v>20605978.208970584</v>
      </c>
      <c r="G171">
        <f>'Net zero Activity data'!AI50-'Net zero supporting data'!G159</f>
        <v>20759302.900500614</v>
      </c>
      <c r="H171">
        <f>'Net zero Activity data'!AJ50-'Net zero supporting data'!H159</f>
        <v>20881906.511640951</v>
      </c>
      <c r="I171">
        <f>'Net zero Activity data'!AK50-'Net zero supporting data'!I159</f>
        <v>20882981.507475685</v>
      </c>
      <c r="J171">
        <f>'Net zero Activity data'!AL50-'Net zero supporting data'!J159</f>
        <v>20329712.963385038</v>
      </c>
      <c r="K171">
        <f>'Net zero Activity data'!AM50-'Net zero supporting data'!K159</f>
        <v>19410607.083397139</v>
      </c>
      <c r="L171">
        <f>'Net zero Activity data'!AN50-'Net zero supporting data'!L159</f>
        <v>18419878.709907375</v>
      </c>
      <c r="M171">
        <f>'Net zero Activity data'!AO50-'Net zero supporting data'!M159</f>
        <v>17413479.767194904</v>
      </c>
      <c r="N171">
        <f>'Net zero Activity data'!AP50-'Net zero supporting data'!N159</f>
        <v>16426228.515648315</v>
      </c>
      <c r="O171">
        <f>'Net zero Activity data'!AQ50-'Net zero supporting data'!O159</f>
        <v>15500669.187029706</v>
      </c>
      <c r="P171">
        <f>'Net zero Activity data'!AR50-'Net zero supporting data'!P159</f>
        <v>14566770.37133513</v>
      </c>
      <c r="Q171">
        <f>'Net zero Activity data'!AS50-'Net zero supporting data'!Q159</f>
        <v>13632696.085700674</v>
      </c>
      <c r="R171">
        <f>'Net zero Activity data'!AT50-'Net zero supporting data'!R159</f>
        <v>12660558.413480887</v>
      </c>
      <c r="S171">
        <f>'Net zero Activity data'!AU50-'Net zero supporting data'!S159</f>
        <v>11697060.108149571</v>
      </c>
      <c r="T171">
        <f>'Net zero Activity data'!AV50-'Net zero supporting data'!T159</f>
        <v>10740644.021890193</v>
      </c>
      <c r="U171">
        <f>'Net zero Activity data'!AW50-'Net zero supporting data'!U159</f>
        <v>9822640.4207259025</v>
      </c>
      <c r="V171">
        <f>'Net zero Activity data'!AX50-'Net zero supporting data'!V159</f>
        <v>8877407.2252889127</v>
      </c>
      <c r="W171">
        <f>'Net zero Activity data'!AY50-'Net zero supporting data'!W159</f>
        <v>7899422.7052993793</v>
      </c>
      <c r="X171">
        <f>'Net zero Activity data'!AZ50-'Net zero supporting data'!X159</f>
        <v>6897334.5234974157</v>
      </c>
      <c r="Y171">
        <f>'Net zero Activity data'!BA50-'Net zero supporting data'!Y159</f>
        <v>5841912.2127384432</v>
      </c>
      <c r="Z171">
        <f>'Net zero Activity data'!BB50-'Net zero supporting data'!Z159</f>
        <v>4751799.2830819786</v>
      </c>
      <c r="AA171">
        <f>'Net zero Activity data'!BC50-'Net zero supporting data'!AA159</f>
        <v>3624021.5017332435</v>
      </c>
      <c r="AB171">
        <f>'Net zero Activity data'!BD50-'Net zero supporting data'!AB159</f>
        <v>2454669.9009482116</v>
      </c>
      <c r="AC171">
        <f>'Net zero Activity data'!BE50-'Net zero supporting data'!AC159</f>
        <v>1246753.6130840331</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1144</v>
      </c>
      <c r="B172">
        <f>'Net zero Activity data'!AD51-'Net zero supporting data'!B160</f>
        <v>59376173.827164091</v>
      </c>
      <c r="C172">
        <f>'Net zero Activity data'!AE51-'Net zero supporting data'!C160</f>
        <v>59777085.086519398</v>
      </c>
      <c r="D172">
        <f>'Net zero Activity data'!AF51-'Net zero supporting data'!D160</f>
        <v>60127780.884959757</v>
      </c>
      <c r="E172">
        <f>'Net zero Activity data'!AG51-'Net zero supporting data'!E160</f>
        <v>60173144.121590778</v>
      </c>
      <c r="F172">
        <f>'Net zero Activity data'!AH51-'Net zero supporting data'!F160</f>
        <v>60251277.848919205</v>
      </c>
      <c r="G172">
        <f>'Net zero Activity data'!AI51-'Net zero supporting data'!G160</f>
        <v>60699594.764369212</v>
      </c>
      <c r="H172">
        <f>'Net zero Activity data'!AJ51-'Net zero supporting data'!H160</f>
        <v>61058084.138917878</v>
      </c>
      <c r="I172">
        <f>'Net zero Activity data'!AK51-'Net zero supporting data'!I160</f>
        <v>61061227.395310163</v>
      </c>
      <c r="J172">
        <f>'Net zero Activity data'!AL51-'Net zero supporting data'!J160</f>
        <v>59443486.347687379</v>
      </c>
      <c r="K172">
        <f>'Net zero Activity data'!AM51-'Net zero supporting data'!K160</f>
        <v>56756047.625481106</v>
      </c>
      <c r="L172">
        <f>'Net zero Activity data'!AN51-'Net zero supporting data'!L160</f>
        <v>53859186.82622271</v>
      </c>
      <c r="M172">
        <f>'Net zero Activity data'!AO51-'Net zero supporting data'!M160</f>
        <v>50916505.740700155</v>
      </c>
      <c r="N172">
        <f>'Net zero Activity data'!AP51-'Net zero supporting data'!N160</f>
        <v>48029811.94434686</v>
      </c>
      <c r="O172">
        <f>'Net zero Activity data'!AQ51-'Net zero supporting data'!O160</f>
        <v>45323503.527016692</v>
      </c>
      <c r="P172">
        <f>'Net zero Activity data'!AR51-'Net zero supporting data'!P160</f>
        <v>42592810.693288736</v>
      </c>
      <c r="Q172">
        <f>'Net zero Activity data'!AS51-'Net zero supporting data'!Q160</f>
        <v>39861604.790586591</v>
      </c>
      <c r="R172">
        <f>'Net zero Activity data'!AT51-'Net zero supporting data'!R160</f>
        <v>37019102.658325903</v>
      </c>
      <c r="S172">
        <f>'Net zero Activity data'!AU51-'Net zero supporting data'!S160</f>
        <v>34201861.782267541</v>
      </c>
      <c r="T172">
        <f>'Net zero Activity data'!AV51-'Net zero supporting data'!T160</f>
        <v>31405329.107720546</v>
      </c>
      <c r="U172">
        <f>'Net zero Activity data'!AW51-'Net zero supporting data'!U160</f>
        <v>28721113.416568391</v>
      </c>
      <c r="V172">
        <f>'Net zero Activity data'!AX51-'Net zero supporting data'!V160</f>
        <v>25957279.187844291</v>
      </c>
      <c r="W172">
        <f>'Net zero Activity data'!AY51-'Net zero supporting data'!W160</f>
        <v>23097681.04364267</v>
      </c>
      <c r="X172">
        <f>'Net zero Activity data'!AZ51-'Net zero supporting data'!X160</f>
        <v>20167604.496993512</v>
      </c>
      <c r="Y172">
        <f>'Net zero Activity data'!BA51-'Net zero supporting data'!Y160</f>
        <v>17081580.516544789</v>
      </c>
      <c r="Z172">
        <f>'Net zero Activity data'!BB51-'Net zero supporting data'!Z160</f>
        <v>13894122.180650905</v>
      </c>
      <c r="AA172">
        <f>'Net zero Activity data'!BC51-'Net zero supporting data'!AA160</f>
        <v>10596532.919574283</v>
      </c>
      <c r="AB172">
        <f>'Net zero Activity data'!BD51-'Net zero supporting data'!AB160</f>
        <v>7177383.0259135291</v>
      </c>
      <c r="AC172">
        <f>'Net zero Activity data'!BE51-'Net zero supporting data'!AC160</f>
        <v>3645471.1147063226</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1145</v>
      </c>
      <c r="B173">
        <f>'Net zero Activity data'!AD52-'Net zero supporting data'!B161</f>
        <v>3176290.5139993029</v>
      </c>
      <c r="C173">
        <f>'Net zero Activity data'!AE52-'Net zero supporting data'!C161</f>
        <v>3197737.005882604</v>
      </c>
      <c r="D173">
        <f>'Net zero Activity data'!AF52-'Net zero supporting data'!D161</f>
        <v>3216497.2537410799</v>
      </c>
      <c r="E173">
        <f>'Net zero Activity data'!AG52-'Net zero supporting data'!E161</f>
        <v>3218923.9311254267</v>
      </c>
      <c r="F173">
        <f>'Net zero Activity data'!AH52-'Net zero supporting data'!F161</f>
        <v>3223103.6449894267</v>
      </c>
      <c r="G173">
        <f>'Net zero Activity data'!AI52-'Net zero supporting data'!G161</f>
        <v>3247086.0721824337</v>
      </c>
      <c r="H173">
        <f>'Net zero Activity data'!AJ52-'Net zero supporting data'!H161</f>
        <v>3266263.2324195178</v>
      </c>
      <c r="I173">
        <f>'Net zero Activity data'!AK52-'Net zero supporting data'!I161</f>
        <v>3266431.378913614</v>
      </c>
      <c r="J173">
        <f>'Net zero Activity data'!AL52-'Net zero supporting data'!J161</f>
        <v>3179891.3543133633</v>
      </c>
      <c r="K173">
        <f>'Net zero Activity data'!AM52-'Net zero supporting data'!K161</f>
        <v>3036128.5354906889</v>
      </c>
      <c r="L173">
        <f>'Net zero Activity data'!AN52-'Net zero supporting data'!L161</f>
        <v>2881162.8163481168</v>
      </c>
      <c r="M173">
        <f>'Net zero Activity data'!AO52-'Net zero supporting data'!M161</f>
        <v>2723745.9702428458</v>
      </c>
      <c r="N173">
        <f>'Net zero Activity data'!AP52-'Net zero supporting data'!N161</f>
        <v>2569324.1284302147</v>
      </c>
      <c r="O173">
        <f>'Net zero Activity data'!AQ52-'Net zero supporting data'!O161</f>
        <v>2424551.8873130269</v>
      </c>
      <c r="P173">
        <f>'Net zero Activity data'!AR52-'Net zero supporting data'!P161</f>
        <v>2278475.2174072955</v>
      </c>
      <c r="Q173">
        <f>'Net zero Activity data'!AS52-'Net zero supporting data'!Q161</f>
        <v>2132371.101204325</v>
      </c>
      <c r="R173">
        <f>'Net zero Activity data'!AT52-'Net zero supporting data'!R161</f>
        <v>1980313.264251014</v>
      </c>
      <c r="S173">
        <f>'Net zero Activity data'!AU52-'Net zero supporting data'!S161</f>
        <v>1829606.762071827</v>
      </c>
      <c r="T173">
        <f>'Net zero Activity data'!AV52-'Net zero supporting data'!T161</f>
        <v>1680008.031912677</v>
      </c>
      <c r="U173">
        <f>'Net zero Activity data'!AW52-'Net zero supporting data'!U161</f>
        <v>1536417.6270787073</v>
      </c>
      <c r="V173">
        <f>'Net zero Activity data'!AX52-'Net zero supporting data'!V161</f>
        <v>1388568.0794046409</v>
      </c>
      <c r="W173">
        <f>'Net zero Activity data'!AY52-'Net zero supporting data'!W161</f>
        <v>1235595.7022063942</v>
      </c>
      <c r="X173">
        <f>'Net zero Activity data'!AZ52-'Net zero supporting data'!X161</f>
        <v>1078853.1278616018</v>
      </c>
      <c r="Y173">
        <f>'Net zero Activity data'!BA52-'Net zero supporting data'!Y161</f>
        <v>913768.24510027375</v>
      </c>
      <c r="Z173">
        <f>'Net zero Activity data'!BB52-'Net zero supporting data'!Z161</f>
        <v>743257.19624862168</v>
      </c>
      <c r="AA173">
        <f>'Net zero Activity data'!BC52-'Net zero supporting data'!AA161</f>
        <v>566854.76386029832</v>
      </c>
      <c r="AB173">
        <f>'Net zero Activity data'!BD52-'Net zero supporting data'!AB161</f>
        <v>383949.52303442499</v>
      </c>
      <c r="AC173">
        <f>'Net zero Activity data'!BE52-'Net zero supporting data'!AC161</f>
        <v>195012.15006553382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1146</v>
      </c>
      <c r="B174">
        <f>'Net zero Activity data'!AD53-'Net zero supporting data'!B162</f>
        <v>25580123.432886433</v>
      </c>
      <c r="C174">
        <f>'Net zero Activity data'!AE53-'Net zero supporting data'!C162</f>
        <v>25449889.470219385</v>
      </c>
      <c r="D174">
        <f>'Net zero Activity data'!AF53-'Net zero supporting data'!D162</f>
        <v>25212188.635966018</v>
      </c>
      <c r="E174">
        <f>'Net zero Activity data'!AG53-'Net zero supporting data'!E162</f>
        <v>24561534.291354593</v>
      </c>
      <c r="F174">
        <f>'Net zero Activity data'!AH53-'Net zero supporting data'!F162</f>
        <v>23936844.980994303</v>
      </c>
      <c r="G174">
        <f>'Net zero Activity data'!AI53-'Net zero supporting data'!G162</f>
        <v>23732363.350277517</v>
      </c>
      <c r="H174">
        <f>'Net zero Activity data'!AJ53-'Net zero supporting data'!H162</f>
        <v>23402103.761308923</v>
      </c>
      <c r="I174">
        <f>'Net zero Activity data'!AK53-'Net zero supporting data'!I162</f>
        <v>22660074.790887624</v>
      </c>
      <c r="J174">
        <f>'Net zero Activity data'!AL53-'Net zero supporting data'!J162</f>
        <v>20170491.392031085</v>
      </c>
      <c r="K174">
        <f>'Net zero Activity data'!AM53-'Net zero supporting data'!K162</f>
        <v>19132778.213873398</v>
      </c>
      <c r="L174">
        <f>'Net zero Activity data'!AN53-'Net zero supporting data'!L162</f>
        <v>17890012.170453932</v>
      </c>
      <c r="M174">
        <f>'Net zero Activity data'!AO53-'Net zero supporting data'!M162</f>
        <v>16626393.379230244</v>
      </c>
      <c r="N174">
        <f>'Net zero Activity data'!AP53-'Net zero supporting data'!N162</f>
        <v>15445800.974371206</v>
      </c>
      <c r="O174">
        <f>'Net zero Activity data'!AQ53-'Net zero supporting data'!O162</f>
        <v>14460428.827863239</v>
      </c>
      <c r="P174">
        <f>'Net zero Activity data'!AR53-'Net zero supporting data'!P162</f>
        <v>13497296.854987036</v>
      </c>
      <c r="Q174">
        <f>'Net zero Activity data'!AS53-'Net zero supporting data'!Q162</f>
        <v>12551305.457504515</v>
      </c>
      <c r="R174">
        <f>'Net zero Activity data'!AT53-'Net zero supporting data'!R162</f>
        <v>11531098.460668655</v>
      </c>
      <c r="S174">
        <f>'Net zero Activity data'!AU53-'Net zero supporting data'!S162</f>
        <v>10558562.869934743</v>
      </c>
      <c r="T174">
        <f>'Net zero Activity data'!AV53-'Net zero supporting data'!T162</f>
        <v>9629318.1741034966</v>
      </c>
      <c r="U174">
        <f>'Net zero Activity data'!AW53-'Net zero supporting data'!U162</f>
        <v>8715469.8536410443</v>
      </c>
      <c r="V174">
        <f>'Net zero Activity data'!AX53-'Net zero supporting data'!V162</f>
        <v>7790451.6589467432</v>
      </c>
      <c r="W174">
        <f>'Net zero Activity data'!AY53-'Net zero supporting data'!W162</f>
        <v>6847961.4535809513</v>
      </c>
      <c r="X174">
        <f>'Net zero Activity data'!AZ53-'Net zero supporting data'!X162</f>
        <v>5911321.0797692575</v>
      </c>
      <c r="Y174">
        <f>'Net zero Activity data'!BA53-'Net zero supporting data'!Y162</f>
        <v>4927859.8003731053</v>
      </c>
      <c r="Z174">
        <f>'Net zero Activity data'!BB53-'Net zero supporting data'!Z162</f>
        <v>3945491.8274220824</v>
      </c>
      <c r="AA174">
        <f>'Net zero Activity data'!BC53-'Net zero supporting data'!AA162</f>
        <v>2958433.5960941929</v>
      </c>
      <c r="AB174">
        <f>'Net zero Activity data'!BD53-'Net zero supporting data'!AB162</f>
        <v>1965565.4795073457</v>
      </c>
      <c r="AC174">
        <f>'Net zero Activity data'!BE53-'Net zero supporting data'!AC162</f>
        <v>977888.48829843849</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1147</v>
      </c>
      <c r="B175">
        <f>'Net zero Activity data'!AD55-'Net zero supporting data'!B163</f>
        <v>21926718.430943619</v>
      </c>
      <c r="C175">
        <f>'Net zero Activity data'!AE55-'Net zero supporting data'!C163</f>
        <v>22744717.374636751</v>
      </c>
      <c r="D175">
        <f>'Net zero Activity data'!AF55-'Net zero supporting data'!D163</f>
        <v>23479584.013781186</v>
      </c>
      <c r="E175">
        <f>'Net zero Activity data'!AG55-'Net zero supporting data'!E163</f>
        <v>23824437.048752092</v>
      </c>
      <c r="F175">
        <f>'Net zero Activity data'!AH55-'Net zero supporting data'!F163</f>
        <v>24174566.639240544</v>
      </c>
      <c r="G175">
        <f>'Net zero Activity data'!AI55-'Net zero supporting data'!G163</f>
        <v>24947428.630137805</v>
      </c>
      <c r="H175">
        <f>'Net zero Activity data'!AJ55-'Net zero supporting data'!H163</f>
        <v>25599341.300176006</v>
      </c>
      <c r="I175">
        <f>'Net zero Activity data'!AK55-'Net zero supporting data'!I163</f>
        <v>25789649.083629292</v>
      </c>
      <c r="J175">
        <f>'Net zero Activity data'!AL55-'Net zero supporting data'!J163</f>
        <v>23881124.824466091</v>
      </c>
      <c r="K175">
        <f>'Net zero Activity data'!AM55-'Net zero supporting data'!K163</f>
        <v>23446560.238051262</v>
      </c>
      <c r="L175">
        <f>'Net zero Activity data'!AN55-'Net zero supporting data'!L163</f>
        <v>22686448.00019436</v>
      </c>
      <c r="M175">
        <f>'Net zero Activity data'!AO55-'Net zero supporting data'!M163</f>
        <v>21812892.703814995</v>
      </c>
      <c r="N175">
        <f>'Net zero Activity data'!AP55-'Net zero supporting data'!N163</f>
        <v>20960466.519410517</v>
      </c>
      <c r="O175">
        <f>'Net zero Activity data'!AQ55-'Net zero supporting data'!O163</f>
        <v>20294261.908389729</v>
      </c>
      <c r="P175">
        <f>'Net zero Activity data'!AR55-'Net zero supporting data'!P163</f>
        <v>19587371.605025329</v>
      </c>
      <c r="Q175">
        <f>'Net zero Activity data'!AS55-'Net zero supporting data'!Q163</f>
        <v>18832148.126850314</v>
      </c>
      <c r="R175">
        <f>'Net zero Activity data'!AT55-'Net zero supporting data'!R163</f>
        <v>17886094.177957136</v>
      </c>
      <c r="S175">
        <f>'Net zero Activity data'!AU55-'Net zero supporting data'!S163</f>
        <v>16929461.048725575</v>
      </c>
      <c r="T175">
        <f>'Net zero Activity data'!AV55-'Net zero supporting data'!T163</f>
        <v>15958563.444839923</v>
      </c>
      <c r="U175">
        <f>'Net zero Activity data'!AW55-'Net zero supporting data'!U163</f>
        <v>14930135.222964786</v>
      </c>
      <c r="V175">
        <f>'Net zero Activity data'!AX55-'Net zero supporting data'!V163</f>
        <v>13795549.567308631</v>
      </c>
      <c r="W175">
        <f>'Net zero Activity data'!AY55-'Net zero supporting data'!W163</f>
        <v>12536571.615091875</v>
      </c>
      <c r="X175">
        <f>'Net zero Activity data'!AZ55-'Net zero supporting data'!X163</f>
        <v>11188957.450458772</v>
      </c>
      <c r="Y175">
        <f>'Net zero Activity data'!BA55-'Net zero supporting data'!Y163</f>
        <v>9645088.9825919233</v>
      </c>
      <c r="Z175">
        <f>'Net zero Activity data'!BB55-'Net zero supporting data'!Z163</f>
        <v>7986487.5963369012</v>
      </c>
      <c r="AA175">
        <f>'Net zero Activity data'!BC55-'Net zero supporting data'!AA163</f>
        <v>6194353.609321095</v>
      </c>
      <c r="AB175">
        <f>'Net zero Activity data'!BD55-'Net zero supporting data'!AB163</f>
        <v>4257775.2511259466</v>
      </c>
      <c r="AC175">
        <f>'Net zero Activity data'!BE55-'Net zero supporting data'!AC163</f>
        <v>2191977.6127235293</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1148</v>
      </c>
      <c r="B176">
        <f>'Net zero Activity data'!AD56-'Net zero supporting data'!B164</f>
        <v>3713267.9007940013</v>
      </c>
      <c r="C176">
        <f>'Net zero Activity data'!AE56-'Net zero supporting data'!C164</f>
        <v>3715271.8806934743</v>
      </c>
      <c r="D176">
        <f>'Net zero Activity data'!AF56-'Net zero supporting data'!D164</f>
        <v>3719878.8596233376</v>
      </c>
      <c r="E176">
        <f>'Net zero Activity data'!AG56-'Net zero supporting data'!E164</f>
        <v>3726718.3490498737</v>
      </c>
      <c r="F176">
        <f>'Net zero Activity data'!AH56-'Net zero supporting data'!F164</f>
        <v>3735949.7957982123</v>
      </c>
      <c r="G176">
        <f>'Net zero Activity data'!AI56-'Net zero supporting data'!G164</f>
        <v>3747758.7266698419</v>
      </c>
      <c r="H176">
        <f>'Net zero Activity data'!AJ56-'Net zero supporting data'!H164</f>
        <v>3760770.9400121542</v>
      </c>
      <c r="I176">
        <f>'Net zero Activity data'!AK56-'Net zero supporting data'!I164</f>
        <v>3774784.3356520622</v>
      </c>
      <c r="J176">
        <f>'Net zero Activity data'!AL56-'Net zero supporting data'!J164</f>
        <v>3788667.984339043</v>
      </c>
      <c r="K176">
        <f>'Net zero Activity data'!AM56-'Net zero supporting data'!K164</f>
        <v>3603911.3766983235</v>
      </c>
      <c r="L176">
        <f>'Net zero Activity data'!AN56-'Net zero supporting data'!L164</f>
        <v>3419353.2078419402</v>
      </c>
      <c r="M176">
        <f>'Net zero Activity data'!AO56-'Net zero supporting data'!M164</f>
        <v>3234941.4002762372</v>
      </c>
      <c r="N176">
        <f>'Net zero Activity data'!AP56-'Net zero supporting data'!N164</f>
        <v>3050591.6100421897</v>
      </c>
      <c r="O176">
        <f>'Net zero Activity data'!AQ56-'Net zero supporting data'!O164</f>
        <v>2866256.1279796367</v>
      </c>
      <c r="P176">
        <f>'Net zero Activity data'!AR56-'Net zero supporting data'!P164</f>
        <v>2678684.5734760901</v>
      </c>
      <c r="Q176">
        <f>'Net zero Activity data'!AS56-'Net zero supporting data'!Q164</f>
        <v>2491083.4567553196</v>
      </c>
      <c r="R176">
        <f>'Net zero Activity data'!AT56-'Net zero supporting data'!R164</f>
        <v>2303234.8615490696</v>
      </c>
      <c r="S176">
        <f>'Net zero Activity data'!AU56-'Net zero supporting data'!S164</f>
        <v>2115147.8503398402</v>
      </c>
      <c r="T176">
        <f>'Net zero Activity data'!AV56-'Net zero supporting data'!T164</f>
        <v>1926715.2773346871</v>
      </c>
      <c r="U176">
        <f>'Net zero Activity data'!AW56-'Net zero supporting data'!U164</f>
        <v>1736394.8020149833</v>
      </c>
      <c r="V176">
        <f>'Net zero Activity data'!AX56-'Net zero supporting data'!V164</f>
        <v>1545769.7535374337</v>
      </c>
      <c r="W176">
        <f>'Net zero Activity data'!AY56-'Net zero supporting data'!W164</f>
        <v>1354743.895987865</v>
      </c>
      <c r="X176">
        <f>'Net zero Activity data'!AZ56-'Net zero supporting data'!X164</f>
        <v>1163263.3303617211</v>
      </c>
      <c r="Y176">
        <f>'Net zero Activity data'!BA56-'Net zero supporting data'!Y164</f>
        <v>971177.73884804128</v>
      </c>
      <c r="Z176">
        <f>'Net zero Activity data'!BB56-'Net zero supporting data'!Z164</f>
        <v>777830.92879354628</v>
      </c>
      <c r="AA176">
        <f>'Net zero Activity data'!BC56-'Net zero supporting data'!AA164</f>
        <v>584101.09721872862</v>
      </c>
      <c r="AB176">
        <f>'Net zero Activity data'!BD56-'Net zero supporting data'!AB164</f>
        <v>389918.945354742</v>
      </c>
      <c r="AC176">
        <f>'Net zero Activity data'!BE56-'Net zero supporting data'!AC164</f>
        <v>195236.57311761472</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1149</v>
      </c>
      <c r="B177">
        <f>'Net zero Activity data'!AD58-'Net zero supporting data'!B165</f>
        <v>458973.32091148273</v>
      </c>
      <c r="C177">
        <f>'Net zero Activity data'!AE58-'Net zero supporting data'!C165</f>
        <v>460166.26888693759</v>
      </c>
      <c r="D177">
        <f>'Net zero Activity data'!AF58-'Net zero supporting data'!D165</f>
        <v>461774.98249446077</v>
      </c>
      <c r="E177">
        <f>'Net zero Activity data'!AG58-'Net zero supporting data'!E165</f>
        <v>463734.35482625524</v>
      </c>
      <c r="F177">
        <f>'Net zero Activity data'!AH58-'Net zero supporting data'!F165</f>
        <v>466081.21022460121</v>
      </c>
      <c r="G177">
        <f>'Net zero Activity data'!AI58-'Net zero supporting data'!G165</f>
        <v>468855.7350994841</v>
      </c>
      <c r="H177">
        <f>'Net zero Activity data'!AJ58-'Net zero supporting data'!H165</f>
        <v>471796.18389731337</v>
      </c>
      <c r="I177">
        <f>'Net zero Activity data'!AK58-'Net zero supporting data'!I165</f>
        <v>474868.15101145091</v>
      </c>
      <c r="J177">
        <f>'Net zero Activity data'!AL58-'Net zero supporting data'!J165</f>
        <v>477858.89549143787</v>
      </c>
      <c r="K177">
        <f>'Net zero Activity data'!AM58-'Net zero supporting data'!K165</f>
        <v>455269.09583173686</v>
      </c>
      <c r="L177">
        <f>'Net zero Activity data'!AN58-'Net zero supporting data'!L165</f>
        <v>432638.9087781728</v>
      </c>
      <c r="M177">
        <f>'Net zero Activity data'!AO58-'Net zero supporting data'!M165</f>
        <v>409966.21023403027</v>
      </c>
      <c r="N177">
        <f>'Net zero Activity data'!AP58-'Net zero supporting data'!N165</f>
        <v>387241.8924772981</v>
      </c>
      <c r="O177">
        <f>'Net zero Activity data'!AQ58-'Net zero supporting data'!O165</f>
        <v>364463.1200507516</v>
      </c>
      <c r="P177">
        <f>'Net zero Activity data'!AR58-'Net zero supporting data'!P165</f>
        <v>341020.91897258238</v>
      </c>
      <c r="Q177">
        <f>'Net zero Activity data'!AS58-'Net zero supporting data'!Q165</f>
        <v>317529.02939482074</v>
      </c>
      <c r="R177">
        <f>'Net zero Activity data'!AT58-'Net zero supporting data'!R165</f>
        <v>293950.8180921218</v>
      </c>
      <c r="S177">
        <f>'Net zero Activity data'!AU58-'Net zero supporting data'!S165</f>
        <v>270292.18306891713</v>
      </c>
      <c r="T177">
        <f>'Net zero Activity data'!AV58-'Net zero supporting data'!T165</f>
        <v>246536.8101797296</v>
      </c>
      <c r="U177">
        <f>'Net zero Activity data'!AW58-'Net zero supporting data'!U165</f>
        <v>222366.90190246317</v>
      </c>
      <c r="V177">
        <f>'Net zero Activity data'!AX58-'Net zero supporting data'!V165</f>
        <v>198123.00438170508</v>
      </c>
      <c r="W177">
        <f>'Net zero Activity data'!AY58-'Net zero supporting data'!W165</f>
        <v>173790.0241989849</v>
      </c>
      <c r="X177">
        <f>'Net zero Activity data'!AZ58-'Net zero supporting data'!X165</f>
        <v>149360.64079593442</v>
      </c>
      <c r="Y177">
        <f>'Net zero Activity data'!BA58-'Net zero supporting data'!Y165</f>
        <v>124809.47347677173</v>
      </c>
      <c r="Z177">
        <f>'Net zero Activity data'!BB58-'Net zero supporting data'!Z165</f>
        <v>100017.32264465303</v>
      </c>
      <c r="AA177">
        <f>'Net zero Activity data'!BC58-'Net zero supporting data'!AA165</f>
        <v>75149.740493562771</v>
      </c>
      <c r="AB177">
        <f>'Net zero Activity data'!BD58-'Net zero supporting data'!AB165</f>
        <v>50195.847168903507</v>
      </c>
      <c r="AC177">
        <f>'Net zero Activity data'!BE58-'Net zero supporting data'!AC165</f>
        <v>25148.658250019245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1150</v>
      </c>
      <c r="B178">
        <f>'Net zero Activity data'!AD62-'Net zero supporting data'!B166</f>
        <v>7962493.0176485498</v>
      </c>
      <c r="C178">
        <f>'Net zero Activity data'!AE62-'Net zero supporting data'!C166</f>
        <v>7948420.2349363761</v>
      </c>
      <c r="D178">
        <f>'Net zero Activity data'!AF62-'Net zero supporting data'!D166</f>
        <v>7903825.4386084108</v>
      </c>
      <c r="E178">
        <f>'Net zero Activity data'!AG62-'Net zero supporting data'!E166</f>
        <v>7729417.4240341056</v>
      </c>
      <c r="F178">
        <f>'Net zero Activity data'!AH62-'Net zero supporting data'!F166</f>
        <v>7564486.4534051092</v>
      </c>
      <c r="G178">
        <f>'Net zero Activity data'!AI62-'Net zero supporting data'!G166</f>
        <v>7537866.2435460119</v>
      </c>
      <c r="H178">
        <f>'Net zero Activity data'!AJ62-'Net zero supporting data'!H166</f>
        <v>7473245.2870888608</v>
      </c>
      <c r="I178">
        <f>'Net zero Activity data'!AK62-'Net zero supporting data'!I166</f>
        <v>7274217.1594508123</v>
      </c>
      <c r="J178">
        <f>'Net zero Activity data'!AL62-'Net zero supporting data'!J166</f>
        <v>6488265.1411964083</v>
      </c>
      <c r="K178">
        <f>'Net zero Activity data'!AM62-'Net zero supporting data'!K166</f>
        <v>6295180.8250736501</v>
      </c>
      <c r="L178">
        <f>'Net zero Activity data'!AN62-'Net zero supporting data'!L166</f>
        <v>6020480.4602904022</v>
      </c>
      <c r="M178">
        <f>'Net zero Activity data'!AO62-'Net zero supporting data'!M166</f>
        <v>5724633.6059318911</v>
      </c>
      <c r="N178">
        <f>'Net zero Activity data'!AP62-'Net zero supporting data'!N166</f>
        <v>5444255.1211876459</v>
      </c>
      <c r="O178">
        <f>'Net zero Activity data'!AQ62-'Net zero supporting data'!O166</f>
        <v>5222534.2399749011</v>
      </c>
      <c r="P178">
        <f>'Net zero Activity data'!AR62-'Net zero supporting data'!P166</f>
        <v>4998958.8911137972</v>
      </c>
      <c r="Q178">
        <f>'Net zero Activity data'!AS62-'Net zero supporting data'!Q166</f>
        <v>4769243.5210701246</v>
      </c>
      <c r="R178">
        <f>'Net zero Activity data'!AT62-'Net zero supporting data'!R166</f>
        <v>4496167.134900149</v>
      </c>
      <c r="S178">
        <f>'Net zero Activity data'!AU62-'Net zero supporting data'!S166</f>
        <v>4226930.7797270073</v>
      </c>
      <c r="T178">
        <f>'Net zero Activity data'!AV62-'Net zero supporting data'!T166</f>
        <v>3960097.8900497956</v>
      </c>
      <c r="U178">
        <f>'Net zero Activity data'!AW62-'Net zero supporting data'!U166</f>
        <v>3664417.5682332078</v>
      </c>
      <c r="V178">
        <f>'Net zero Activity data'!AX62-'Net zero supporting data'!V166</f>
        <v>3350073.2224550713</v>
      </c>
      <c r="W178">
        <f>'Net zero Activity data'!AY62-'Net zero supporting data'!W166</f>
        <v>3012987.0633621952</v>
      </c>
      <c r="X178">
        <f>'Net zero Activity data'!AZ62-'Net zero supporting data'!X166</f>
        <v>2662420.2362910956</v>
      </c>
      <c r="Y178">
        <f>'Net zero Activity data'!BA62-'Net zero supporting data'!Y166</f>
        <v>2272584.6336357538</v>
      </c>
      <c r="Z178">
        <f>'Net zero Activity data'!BB62-'Net zero supporting data'!Z166</f>
        <v>1864276.9254227774</v>
      </c>
      <c r="AA178">
        <f>'Net zero Activity data'!BC62-'Net zero supporting data'!AA166</f>
        <v>1432864.2040873244</v>
      </c>
      <c r="AB178">
        <f>'Net zero Activity data'!BD62-'Net zero supporting data'!AB166</f>
        <v>976199.10598035343</v>
      </c>
      <c r="AC178">
        <f>'Net zero Activity data'!BE62-'Net zero supporting data'!AC166</f>
        <v>498249.15402678028</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1151</v>
      </c>
      <c r="B179">
        <f>'Net zero Activity data'!AD64-'Net zero supporting data'!B167</f>
        <v>10020306.329217177</v>
      </c>
      <c r="C179">
        <f>'Net zero Activity data'!AE64-'Net zero supporting data'!C167</f>
        <v>10245530.611890748</v>
      </c>
      <c r="D179">
        <f>'Net zero Activity data'!AF64-'Net zero supporting data'!D167</f>
        <v>10449243.508515857</v>
      </c>
      <c r="E179">
        <f>'Net zero Activity data'!AG64-'Net zero supporting data'!E167</f>
        <v>10554411.620731648</v>
      </c>
      <c r="F179">
        <f>'Net zero Activity data'!AH64-'Net zero supporting data'!F167</f>
        <v>10662479.048547674</v>
      </c>
      <c r="G179">
        <f>'Net zero Activity data'!AI64-'Net zero supporting data'!G167</f>
        <v>10877640.996510897</v>
      </c>
      <c r="H179">
        <f>'Net zero Activity data'!AJ64-'Net zero supporting data'!H167</f>
        <v>11061624.227815729</v>
      </c>
      <c r="I179">
        <f>'Net zero Activity data'!AK64-'Net zero supporting data'!I167</f>
        <v>11131459.696017046</v>
      </c>
      <c r="J179">
        <f>'Net zero Activity data'!AL64-'Net zero supporting data'!J167</f>
        <v>10689378.789319342</v>
      </c>
      <c r="K179">
        <f>'Net zero Activity data'!AM64-'Net zero supporting data'!K167</f>
        <v>10457120.604970153</v>
      </c>
      <c r="L179">
        <f>'Net zero Activity data'!AN64-'Net zero supporting data'!L167</f>
        <v>10138139.268746298</v>
      </c>
      <c r="M179">
        <f>'Net zero Activity data'!AO64-'Net zero supporting data'!M167</f>
        <v>9783163.4822609127</v>
      </c>
      <c r="N179">
        <f>'Net zero Activity data'!AP64-'Net zero supporting data'!N167</f>
        <v>9425322.796673812</v>
      </c>
      <c r="O179">
        <f>'Net zero Activity data'!AQ64-'Net zero supporting data'!O167</f>
        <v>9107080.7941153459</v>
      </c>
      <c r="P179">
        <f>'Net zero Activity data'!AR64-'Net zero supporting data'!P167</f>
        <v>8765444.1261174157</v>
      </c>
      <c r="Q179">
        <f>'Net zero Activity data'!AS64-'Net zero supporting data'!Q167</f>
        <v>8403611.7620964199</v>
      </c>
      <c r="R179">
        <f>'Net zero Activity data'!AT64-'Net zero supporting data'!R167</f>
        <v>7982827.2045541508</v>
      </c>
      <c r="S179">
        <f>'Net zero Activity data'!AU64-'Net zero supporting data'!S167</f>
        <v>7549650.3345537968</v>
      </c>
      <c r="T179">
        <f>'Net zero Activity data'!AV64-'Net zero supporting data'!T167</f>
        <v>7102601.3586834669</v>
      </c>
      <c r="U179">
        <f>'Net zero Activity data'!AW64-'Net zero supporting data'!U167</f>
        <v>6603423.6103330785</v>
      </c>
      <c r="V179">
        <f>'Net zero Activity data'!AX64-'Net zero supporting data'!V167</f>
        <v>6066218.9596373197</v>
      </c>
      <c r="W179">
        <f>'Net zero Activity data'!AY64-'Net zero supporting data'!W167</f>
        <v>5484877.5376310498</v>
      </c>
      <c r="X179">
        <f>'Net zero Activity data'!AZ64-'Net zero supporting data'!X167</f>
        <v>4868334.6732924413</v>
      </c>
      <c r="Y179">
        <f>'Net zero Activity data'!BA64-'Net zero supporting data'!Y167</f>
        <v>4184902.4027625006</v>
      </c>
      <c r="Z179">
        <f>'Net zero Activity data'!BB64-'Net zero supporting data'!Z167</f>
        <v>3455014.5255797468</v>
      </c>
      <c r="AA179">
        <f>'Net zero Activity data'!BC64-'Net zero supporting data'!AA167</f>
        <v>2673653.2594809309</v>
      </c>
      <c r="AB179">
        <f>'Net zero Activity data'!BD64-'Net zero supporting data'!AB167</f>
        <v>1836091.3078313451</v>
      </c>
      <c r="AC179">
        <f>'Net zero Activity data'!BE64-'Net zero supporting data'!AC167</f>
        <v>945128.56413578615</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1152</v>
      </c>
      <c r="B180">
        <f>'Net zero Activity data'!AD65-'Net zero supporting data'!B168</f>
        <v>50365202.067184903</v>
      </c>
      <c r="C180">
        <f>'Net zero Activity data'!AE65-'Net zero supporting data'!C168</f>
        <v>51299976.920555025</v>
      </c>
      <c r="D180">
        <f>'Net zero Activity data'!AF65-'Net zero supporting data'!D168</f>
        <v>51912223.777118228</v>
      </c>
      <c r="E180">
        <f>'Net zero Activity data'!AG65-'Net zero supporting data'!E168</f>
        <v>51238823.634402134</v>
      </c>
      <c r="F180">
        <f>'Net zero Activity data'!AH65-'Net zero supporting data'!F168</f>
        <v>50585762.638668038</v>
      </c>
      <c r="G180">
        <f>'Net zero Activity data'!AI65-'Net zero supporting data'!G168</f>
        <v>51232888.031359024</v>
      </c>
      <c r="H180">
        <f>'Net zero Activity data'!AJ65-'Net zero supporting data'!H168</f>
        <v>51482243.814409688</v>
      </c>
      <c r="I180">
        <f>'Net zero Activity data'!AK65-'Net zero supporting data'!I168</f>
        <v>50339040.399750598</v>
      </c>
      <c r="J180">
        <f>'Net zero Activity data'!AL65-'Net zero supporting data'!J168</f>
        <v>43086910.518574804</v>
      </c>
      <c r="K180">
        <f>'Net zero Activity data'!AM65-'Net zero supporting data'!K168</f>
        <v>43111772.280801773</v>
      </c>
      <c r="L180">
        <f>'Net zero Activity data'!AN65-'Net zero supporting data'!L168</f>
        <v>42221613.594270974</v>
      </c>
      <c r="M180">
        <f>'Net zero Activity data'!AO65-'Net zero supporting data'!M168</f>
        <v>41032174.304404095</v>
      </c>
      <c r="N180">
        <f>'Net zero Activity data'!AP65-'Net zero supporting data'!N168</f>
        <v>39933685.852830477</v>
      </c>
      <c r="O180">
        <f>'Net zero Activity data'!AQ65-'Net zero supporting data'!O168</f>
        <v>39409293.450677216</v>
      </c>
      <c r="P180">
        <f>'Net zero Activity data'!AR65-'Net zero supporting data'!P168</f>
        <v>38839924.291250415</v>
      </c>
      <c r="Q180">
        <f>'Net zero Activity data'!AS65-'Net zero supporting data'!Q168</f>
        <v>38143509.642449841</v>
      </c>
      <c r="R180">
        <f>'Net zero Activity data'!AT65-'Net zero supporting data'!R168</f>
        <v>36892054.74273105</v>
      </c>
      <c r="S180">
        <f>'Net zero Activity data'!AU65-'Net zero supporting data'!S168</f>
        <v>35613923.935568199</v>
      </c>
      <c r="T180">
        <f>'Net zero Activity data'!AV65-'Net zero supporting data'!T168</f>
        <v>34294073.034873791</v>
      </c>
      <c r="U180">
        <f>'Net zero Activity data'!AW65-'Net zero supporting data'!U168</f>
        <v>32575976.795065984</v>
      </c>
      <c r="V180">
        <f>'Net zero Activity data'!AX65-'Net zero supporting data'!V168</f>
        <v>30551857.523577973</v>
      </c>
      <c r="W180">
        <f>'Net zero Activity data'!AY65-'Net zero supporting data'!W168</f>
        <v>28162906.455002502</v>
      </c>
      <c r="X180">
        <f>'Net zero Activity data'!AZ65-'Net zero supporting data'!X168</f>
        <v>25512188.777454093</v>
      </c>
      <c r="Y180">
        <f>'Net zero Activity data'!BA65-'Net zero supporting data'!Y168</f>
        <v>22269781.024211138</v>
      </c>
      <c r="Z180">
        <f>'Net zero Activity data'!BB65-'Net zero supporting data'!Z168</f>
        <v>18685411.776069164</v>
      </c>
      <c r="AA180">
        <f>'Net zero Activity data'!BC65-'Net zero supporting data'!AA168</f>
        <v>14679718.953327283</v>
      </c>
      <c r="AB180">
        <f>'Net zero Activity data'!BD65-'Net zero supporting data'!AB168</f>
        <v>10211571.102989793</v>
      </c>
      <c r="AC180">
        <f>'Net zero Activity data'!BE65-'Net zero supporting data'!AC168</f>
        <v>5318391.517211929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1120</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1121</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1122</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1123</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1124</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20" customFormat="1" ht="15.75" x14ac:dyDescent="0.25">
      <c r="A187" s="116" t="s">
        <v>98</v>
      </c>
      <c r="B187" s="116"/>
      <c r="C187" s="116"/>
      <c r="D187" s="116"/>
      <c r="E187" s="116"/>
      <c r="F187" s="116"/>
      <c r="G187" s="116"/>
      <c r="H187" s="116"/>
      <c r="I187" s="116"/>
      <c r="J187" s="118"/>
      <c r="K187" s="118"/>
      <c r="L187" s="118"/>
      <c r="M187" s="118"/>
      <c r="N187" s="118"/>
      <c r="O187" s="118"/>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row>
    <row r="188" spans="1:48" x14ac:dyDescent="0.25">
      <c r="A188" t="s">
        <v>1220</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1221</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1222</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1223</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1224</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1225</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1226</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1227</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1237</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1238</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125344.58676347569</v>
      </c>
      <c r="L197">
        <f>'Net zero Activity data'!AN9*'Net zero supporting data'!L196</f>
        <v>247428.24414275397</v>
      </c>
      <c r="M197">
        <f>'Net zero Activity data'!AO9*'Net zero supporting data'!M196</f>
        <v>365217.45991543727</v>
      </c>
      <c r="N197">
        <f>'Net zero Activity data'!AP9*'Net zero supporting data'!N196</f>
        <v>480652.92525358888</v>
      </c>
      <c r="O197">
        <f>'Net zero Activity data'!AQ9*'Net zero supporting data'!O196</f>
        <v>599985.92740007269</v>
      </c>
      <c r="P197">
        <f>'Net zero Activity data'!AR9*'Net zero supporting data'!P196</f>
        <v>720030.94401386112</v>
      </c>
      <c r="Q197">
        <f>'Net zero Activity data'!AS9*'Net zero supporting data'!Q196</f>
        <v>841249.33386554662</v>
      </c>
      <c r="R197">
        <f>'Net zero Activity data'!AT9*'Net zero supporting data'!R196</f>
        <v>956886.80968227598</v>
      </c>
      <c r="S197">
        <f>'Net zero Activity data'!AU9*'Net zero supporting data'!S196</f>
        <v>1075315.1910161662</v>
      </c>
      <c r="T197">
        <f>'Net zero Activity data'!AV9*'Net zero supporting data'!T196</f>
        <v>1198606.6520629404</v>
      </c>
      <c r="U197">
        <f>'Net zero Activity data'!AW9*'Net zero supporting data'!U196</f>
        <v>1245574.9954926674</v>
      </c>
      <c r="V197">
        <f>'Net zero Activity data'!AX9*'Net zero supporting data'!V196</f>
        <v>1292952.3513029262</v>
      </c>
      <c r="W197">
        <f>'Net zero Activity data'!AY9*'Net zero supporting data'!W196</f>
        <v>1339482.6690767233</v>
      </c>
      <c r="X197">
        <f>'Net zero Activity data'!AZ9*'Net zero supporting data'!X196</f>
        <v>1389863.3653082731</v>
      </c>
      <c r="Y197">
        <f>'Net zero Activity data'!BA9*'Net zero supporting data'!Y196</f>
        <v>1431252.5564312071</v>
      </c>
      <c r="Z197">
        <f>'Net zero Activity data'!BB9*'Net zero supporting data'!Z196</f>
        <v>1473341.9327838439</v>
      </c>
      <c r="AA197">
        <f>'Net zero Activity data'!BC9*'Net zero supporting data'!AA196</f>
        <v>1513917.4224949717</v>
      </c>
      <c r="AB197">
        <f>'Net zero Activity data'!BD9*'Net zero supporting data'!AB196</f>
        <v>1549533.639797247</v>
      </c>
      <c r="AC197">
        <f>'Net zero Activity data'!BE9*'Net zero supporting data'!AC196</f>
        <v>1582391.1035188506</v>
      </c>
      <c r="AD197">
        <f>'Net zero Activity data'!BF9*'Net zero supporting data'!AD196</f>
        <v>1614397.8840694439</v>
      </c>
      <c r="AE197">
        <f>'Net zero Activity data'!BG9*'Net zero supporting data'!AE196</f>
        <v>1666752.5226740206</v>
      </c>
      <c r="AF197">
        <f>'Net zero Activity data'!BH9*'Net zero supporting data'!AF196</f>
        <v>1714360.4895873761</v>
      </c>
      <c r="AG197">
        <f>'Net zero Activity data'!BI9*'Net zero supporting data'!AG196</f>
        <v>1761105.8918187674</v>
      </c>
      <c r="AH197">
        <f>'Net zero Activity data'!BJ9*'Net zero supporting data'!AH196</f>
        <v>1807000.1972046869</v>
      </c>
      <c r="AI197">
        <f>'Net zero Activity data'!BK9*'Net zero supporting data'!AI196</f>
        <v>1854752.8118513047</v>
      </c>
      <c r="AJ197">
        <f>'Net zero Activity data'!BL9*'Net zero supporting data'!AJ196</f>
        <v>1901986.2811604119</v>
      </c>
      <c r="AK197">
        <f>'Net zero Activity data'!BM9*'Net zero supporting data'!AK196</f>
        <v>1921502.7703350987</v>
      </c>
      <c r="AL197">
        <f>'Net zero Activity data'!BN9*'Net zero supporting data'!AL196</f>
        <v>1937524.7357735401</v>
      </c>
      <c r="AM197">
        <f>'Net zero Activity data'!BO9*'Net zero supporting data'!AM196</f>
        <v>1955289.4406397836</v>
      </c>
      <c r="AN197">
        <f>'Net zero Activity data'!BP9*'Net zero supporting data'!AN196</f>
        <v>1969818.8237845411</v>
      </c>
    </row>
    <row r="198" spans="1:48" x14ac:dyDescent="0.25">
      <c r="A198" t="s">
        <v>1239</v>
      </c>
      <c r="B198" s="11">
        <f>'Net zero Activity data'!AD9-'Net zero supporting data'!B197</f>
        <v>5306797.6972148223</v>
      </c>
      <c r="C198" s="11">
        <f>'Net zero Activity data'!AE9-'Net zero supporting data'!C197</f>
        <v>5279779.6378612826</v>
      </c>
      <c r="D198" s="11">
        <f>'Net zero Activity data'!AF9-'Net zero supporting data'!D197</f>
        <v>5230466.731176083</v>
      </c>
      <c r="E198" s="11">
        <f>'Net zero Activity data'!AG9-'Net zero supporting data'!E197</f>
        <v>5095483.3724473435</v>
      </c>
      <c r="F198" s="11">
        <f>'Net zero Activity data'!AH9-'Net zero supporting data'!F197</f>
        <v>4965886.6641909359</v>
      </c>
      <c r="G198" s="11">
        <f>'Net zero Activity data'!AI9-'Net zero supporting data'!G197</f>
        <v>4923465.3424229762</v>
      </c>
      <c r="H198" s="11">
        <f>'Net zero Activity data'!AJ9-'Net zero supporting data'!H197</f>
        <v>4854950.3944470631</v>
      </c>
      <c r="I198" s="11">
        <f>'Net zero Activity data'!AK9-'Net zero supporting data'!I197</f>
        <v>4701010.6512777284</v>
      </c>
      <c r="J198" s="11">
        <f>'Net zero Activity data'!AL9-'Net zero supporting data'!J197</f>
        <v>4184527.0040138983</v>
      </c>
      <c r="K198" s="11">
        <f>'Net zero Activity data'!AM9-'Net zero supporting data'!K197</f>
        <v>4052808.305352381</v>
      </c>
      <c r="L198" s="11">
        <f>'Net zero Activity data'!AN9-'Net zero supporting data'!L197</f>
        <v>3876375.8249031459</v>
      </c>
      <c r="M198" s="11">
        <f>'Net zero Activity data'!AO9-'Net zero supporting data'!M197</f>
        <v>3692754.316922755</v>
      </c>
      <c r="N198" s="11">
        <f>'Net zero Activity data'!AP9-'Net zero supporting data'!N197</f>
        <v>3524788.1185263186</v>
      </c>
      <c r="O198" s="11">
        <f>'Net zero Activity data'!AQ9-'Net zero supporting data'!O197</f>
        <v>3399920.255267079</v>
      </c>
      <c r="P198" s="11">
        <f>'Net zero Activity data'!AR9-'Net zero supporting data'!P197</f>
        <v>3280140.9671742562</v>
      </c>
      <c r="Q198" s="11">
        <f>'Net zero Activity data'!AS9-'Net zero supporting data'!Q197</f>
        <v>3164699.875018009</v>
      </c>
      <c r="R198" s="11">
        <f>'Net zero Activity data'!AT9-'Net zero supporting data'!R197</f>
        <v>3030141.563993874</v>
      </c>
      <c r="S198" s="11">
        <f>'Net zero Activity data'!AU9-'Net zero supporting data'!S197</f>
        <v>2907333.664599264</v>
      </c>
      <c r="T198" s="11">
        <f>'Net zero Activity data'!AV9-'Net zero supporting data'!T197</f>
        <v>2796748.8548135278</v>
      </c>
      <c r="U198" s="11">
        <f>'Net zero Activity data'!AW9-'Net zero supporting data'!U197</f>
        <v>2772408.8609352917</v>
      </c>
      <c r="V198" s="11">
        <f>'Net zero Activity data'!AX9-'Net zero supporting data'!V197</f>
        <v>2747523.7465187181</v>
      </c>
      <c r="W198" s="11">
        <f>'Net zero Activity data'!AY9-'Net zero supporting data'!W197</f>
        <v>2719555.722064862</v>
      </c>
      <c r="X198" s="11">
        <f>'Net zero Activity data'!AZ9-'Net zero supporting data'!X197</f>
        <v>2697970.0620690002</v>
      </c>
      <c r="Y198" s="11">
        <f>'Net zero Activity data'!BA9-'Net zero supporting data'!Y197</f>
        <v>2658040.4619436702</v>
      </c>
      <c r="Z198" s="11">
        <f>'Net zero Activity data'!BB9-'Net zero supporting data'!Z197</f>
        <v>2619274.5471712775</v>
      </c>
      <c r="AA198" s="11">
        <f>'Net zero Activity data'!BC9-'Net zero supporting data'!AA197</f>
        <v>2577751.2869508974</v>
      </c>
      <c r="AB198" s="11">
        <f>'Net zero Activity data'!BD9-'Net zero supporting data'!AB197</f>
        <v>2528186.46493235</v>
      </c>
      <c r="AC198" s="11">
        <f>'Net zero Activity data'!BE9-'Net zero supporting data'!AC197</f>
        <v>2475021.9824269195</v>
      </c>
      <c r="AD198" s="11">
        <f>'Net zero Activity data'!BF9-'Net zero supporting data'!AD197</f>
        <v>2421596.826104166</v>
      </c>
      <c r="AE198" s="11">
        <f>'Net zero Activity data'!BG9-'Net zero supporting data'!AE197</f>
        <v>2398497.5326284682</v>
      </c>
      <c r="AF198" s="11">
        <f>'Net zero Activity data'!BH9-'Net zero supporting data'!AF197</f>
        <v>2367450.1999063762</v>
      </c>
      <c r="AG198" s="11">
        <f>'Net zero Activity data'!BI9-'Net zero supporting data'!AG197</f>
        <v>2334489.2054341799</v>
      </c>
      <c r="AH198" s="11">
        <f>'Net zero Activity data'!BJ9-'Net zero supporting data'!AH197</f>
        <v>2299818.4328059647</v>
      </c>
      <c r="AI198" s="11">
        <f>'Net zero Activity data'!BK9-'Net zero supporting data'!AI197</f>
        <v>2266920.1033738162</v>
      </c>
      <c r="AJ198" s="11">
        <f>'Net zero Activity data'!BL9-'Net zero supporting data'!AJ197</f>
        <v>2232766.5039709178</v>
      </c>
      <c r="AK198" s="11">
        <f>'Net zero Activity data'!BM9-'Net zero supporting data'!AK197</f>
        <v>2166800.9963353234</v>
      </c>
      <c r="AL198" s="11">
        <f>'Net zero Activity data'!BN9-'Net zero supporting data'!AL197</f>
        <v>2098985.1304213344</v>
      </c>
      <c r="AM198" s="11">
        <f>'Net zero Activity data'!BO9-'Net zero supporting data'!AM197</f>
        <v>2035097.1729107942</v>
      </c>
      <c r="AN198" s="11">
        <f>'Net zero Activity data'!BP9-'Net zero supporting data'!AN197</f>
        <v>1969818.8237845411</v>
      </c>
    </row>
    <row r="199" spans="1:48" x14ac:dyDescent="0.25">
      <c r="A199" t="s">
        <v>1240</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20" customFormat="1" ht="15.75" x14ac:dyDescent="0.25">
      <c r="A201" s="116" t="s">
        <v>1377</v>
      </c>
      <c r="B201" s="116"/>
      <c r="C201" s="116"/>
      <c r="D201" s="116"/>
      <c r="E201" s="116"/>
      <c r="F201" s="116"/>
      <c r="G201" s="116"/>
      <c r="H201" s="116"/>
      <c r="I201" s="116"/>
      <c r="J201" s="118"/>
      <c r="K201" s="118"/>
      <c r="L201" s="118"/>
      <c r="M201" s="118"/>
      <c r="N201" s="118"/>
      <c r="O201" s="118"/>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row>
    <row r="202" spans="1:48" x14ac:dyDescent="0.25">
      <c r="A202" t="s">
        <v>1371</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1372</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1373</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922747.3207158983</v>
      </c>
      <c r="C205">
        <f>'Intermediate calculations'!Z5-('Intermediate calculations'!Z5*'Net zero supporting data'!C202)</f>
        <v>946929.78710430325</v>
      </c>
      <c r="D205">
        <f>'Intermediate calculations'!AA5-('Intermediate calculations'!AA5*'Net zero supporting data'!D202)</f>
        <v>967753.43855981517</v>
      </c>
      <c r="E205">
        <f>'Intermediate calculations'!AB5-('Intermediate calculations'!AB5*'Net zero supporting data'!E202)</f>
        <v>974224.96445503132</v>
      </c>
      <c r="F205">
        <f>'Intermediate calculations'!AC5-('Intermediate calculations'!AC5*'Net zero supporting data'!F202)</f>
        <v>980795.51892939687</v>
      </c>
      <c r="G205">
        <f>'Intermediate calculations'!AD5-('Intermediate calculations'!AD5*'Net zero supporting data'!G202)</f>
        <v>1002305.7050279677</v>
      </c>
      <c r="H205">
        <f>'Intermediate calculations'!AE5-('Intermediate calculations'!AE5*'Net zero supporting data'!H202)</f>
        <v>1019250.3297235784</v>
      </c>
      <c r="I205">
        <f>'Intermediate calculations'!AF5-('Intermediate calculations'!AF5*'Net zero supporting data'!I202)</f>
        <v>1019775.3408088246</v>
      </c>
      <c r="J205">
        <f>'Intermediate calculations'!AG5-('Intermediate calculations'!AG5*'Net zero supporting data'!J202)</f>
        <v>947181.8859397734</v>
      </c>
      <c r="K205">
        <f>'Intermediate calculations'!AH5-('Intermediate calculations'!AH5*'Net zero supporting data'!K202)</f>
        <v>970800.87564342248</v>
      </c>
      <c r="L205">
        <f>'Intermediate calculations'!AI5-('Intermediate calculations'!AI5*'Net zero supporting data'!L202)</f>
        <v>984754.70838670584</v>
      </c>
      <c r="M205">
        <f>'Intermediate calculations'!AJ5-('Intermediate calculations'!AJ5*'Net zero supporting data'!M202)</f>
        <v>996095.98180571548</v>
      </c>
      <c r="N205">
        <f>'Intermediate calculations'!AK5-('Intermediate calculations'!AK5*'Net zero supporting data'!N202)</f>
        <v>1010149.3057157442</v>
      </c>
      <c r="O205">
        <f>'Intermediate calculations'!AL5-('Intermediate calculations'!AL5*'Net zero supporting data'!O202)</f>
        <v>1034920.8649849799</v>
      </c>
      <c r="P205">
        <f>'Intermediate calculations'!AM5-('Intermediate calculations'!AM5*'Net zero supporting data'!P202)</f>
        <v>1061608.37663488</v>
      </c>
      <c r="Q205">
        <f>'Intermediate calculations'!AN5-('Intermediate calculations'!AN5*'Net zero supporting data'!Q202)</f>
        <v>1090286.5999875015</v>
      </c>
      <c r="R205">
        <f>'Intermediate calculations'!AO5-('Intermediate calculations'!AO5*'Net zero supporting data'!R202)</f>
        <v>1113537.2808151557</v>
      </c>
      <c r="S205">
        <f>'Intermediate calculations'!AP5-('Intermediate calculations'!AP5*'Net zero supporting data'!S202)</f>
        <v>1140968.7280320448</v>
      </c>
      <c r="T205">
        <f>'Intermediate calculations'!AQ5-('Intermediate calculations'!AQ5*'Net zero supporting data'!T202)</f>
        <v>1173596.4614552942</v>
      </c>
      <c r="U205">
        <f>'Intermediate calculations'!AR5-('Intermediate calculations'!AR5*'Net zero supporting data'!U202)</f>
        <v>1211128.8581757166</v>
      </c>
      <c r="V205">
        <f>'Intermediate calculations'!AS5-('Intermediate calculations'!AS5*'Net zero supporting data'!V202)</f>
        <v>1250023.2059560118</v>
      </c>
      <c r="W205">
        <f>'Intermediate calculations'!AT5-('Intermediate calculations'!AT5*'Net zero supporting data'!W202)</f>
        <v>1289257.6251007575</v>
      </c>
      <c r="X205">
        <f>'Intermediate calculations'!AU5-('Intermediate calculations'!AU5*'Net zero supporting data'!X202)</f>
        <v>1333032.8613254772</v>
      </c>
      <c r="Y205">
        <f>'Intermediate calculations'!AV5-('Intermediate calculations'!AV5*'Net zero supporting data'!Y202)</f>
        <v>1370182.2246440765</v>
      </c>
      <c r="Z205">
        <f>'Intermediate calculations'!AW5-('Intermediate calculations'!AW5*'Net zero supporting data'!Z202)</f>
        <v>1409277.2110859216</v>
      </c>
      <c r="AA205">
        <f>'Intermediate calculations'!AX5-('Intermediate calculations'!AX5*'Net zero supporting data'!AA202)</f>
        <v>1448454.4621297615</v>
      </c>
      <c r="AB205">
        <f>'Intermediate calculations'!AY5-('Intermediate calculations'!AY5*'Net zero supporting data'!AB202)</f>
        <v>1484743.6254240694</v>
      </c>
      <c r="AC205">
        <f>'Intermediate calculations'!AZ5-('Intermediate calculations'!AZ5*'Net zero supporting data'!AC202)</f>
        <v>1520130.3118330671</v>
      </c>
      <c r="AD205">
        <f>'Intermediate calculations'!BA5-('Intermediate calculations'!BA5*'Net zero supporting data'!AD202)</f>
        <v>1556364.1234566639</v>
      </c>
      <c r="AE205">
        <f>'Intermediate calculations'!BB5-('Intermediate calculations'!BB5*'Net zero supporting data'!AE202)</f>
        <v>1604810.3331392002</v>
      </c>
      <c r="AF205">
        <f>'Intermediate calculations'!BC5-('Intermediate calculations'!BC5*'Net zero supporting data'!AF202)</f>
        <v>1650204.4285975173</v>
      </c>
      <c r="AG205">
        <f>'Intermediate calculations'!BD5-('Intermediate calculations'!BD5*'Net zero supporting data'!AG202)</f>
        <v>1696081.0795214726</v>
      </c>
      <c r="AH205">
        <f>'Intermediate calculations'!BE5-('Intermediate calculations'!BE5*'Net zero supporting data'!AH202)</f>
        <v>1742518.3111137189</v>
      </c>
      <c r="AI205">
        <f>'Intermediate calculations'!BF5-('Intermediate calculations'!BF5*'Net zero supporting data'!AI202)</f>
        <v>1792033.8687331674</v>
      </c>
      <c r="AJ205">
        <f>'Intermediate calculations'!BG5-('Intermediate calculations'!BG5*'Net zero supporting data'!AJ202)</f>
        <v>1842571.6235034969</v>
      </c>
      <c r="AK205">
        <f>'Intermediate calculations'!BH5-('Intermediate calculations'!BH5*'Net zero supporting data'!AK202)</f>
        <v>1869384.0495638195</v>
      </c>
      <c r="AL205">
        <f>'Intermediate calculations'!BI5-('Intermediate calculations'!BI5*'Net zero supporting data'!AL202)</f>
        <v>1894360.4349683383</v>
      </c>
      <c r="AM205">
        <f>'Intermediate calculations'!BJ5-('Intermediate calculations'!BJ5*'Net zero supporting data'!AM202)</f>
        <v>1922324.8113703979</v>
      </c>
      <c r="AN205">
        <f>'Intermediate calculations'!BK5-('Intermediate calculations'!BK5*'Net zero supporting data'!AN202)</f>
        <v>1948723.3634344698</v>
      </c>
    </row>
    <row r="206" spans="1:48" x14ac:dyDescent="0.25">
      <c r="A206" t="s">
        <v>332</v>
      </c>
      <c r="B206">
        <f>'Intermediate calculations'!Y19+('Intermediate calculations'!Y19*'Net zero supporting data'!B203)</f>
        <v>168454.70578324009</v>
      </c>
      <c r="C206">
        <f>'Intermediate calculations'!Z19+('Intermediate calculations'!Z19*'Net zero supporting data'!C203)</f>
        <v>170977.41273547855</v>
      </c>
      <c r="D206">
        <f>'Intermediate calculations'!AA19+('Intermediate calculations'!AA19*'Net zero supporting data'!D203)</f>
        <v>173588.01659296342</v>
      </c>
      <c r="E206">
        <f>'Intermediate calculations'!AB19+('Intermediate calculations'!AB19*'Net zero supporting data'!E203)</f>
        <v>176274.34236080549</v>
      </c>
      <c r="F206">
        <f>'Intermediate calculations'!AC19+('Intermediate calculations'!AC19*'Net zero supporting data'!F203)</f>
        <v>179060.85939248081</v>
      </c>
      <c r="G206">
        <f>'Intermediate calculations'!AD19+('Intermediate calculations'!AD19*'Net zero supporting data'!G203)</f>
        <v>181972.78235475381</v>
      </c>
      <c r="H206">
        <f>'Intermediate calculations'!AE19+('Intermediate calculations'!AE19*'Net zero supporting data'!H203)</f>
        <v>184916.6349890753</v>
      </c>
      <c r="I206">
        <f>'Intermediate calculations'!AF19+('Intermediate calculations'!AF19*'Net zero supporting data'!I203)</f>
        <v>187884.16989003346</v>
      </c>
      <c r="J206">
        <f>'Intermediate calculations'!AG19+('Intermediate calculations'!AG19*'Net zero supporting data'!J203)</f>
        <v>190794.8920411696</v>
      </c>
      <c r="K206">
        <f>'Intermediate calculations'!AH19+('Intermediate calculations'!AH19*'Net zero supporting data'!K203)</f>
        <v>193996.30018368791</v>
      </c>
      <c r="L206">
        <f>'Intermediate calculations'!AI19+('Intermediate calculations'!AI19*'Net zero supporting data'!L203)</f>
        <v>197232.73316687887</v>
      </c>
      <c r="M206">
        <f>'Intermediate calculations'!AJ19+('Intermediate calculations'!AJ19*'Net zero supporting data'!M203)</f>
        <v>200514.81352156136</v>
      </c>
      <c r="N206">
        <f>'Intermediate calculations'!AK19+('Intermediate calculations'!AK19*'Net zero supporting data'!N203)</f>
        <v>203851.33601610569</v>
      </c>
      <c r="O206">
        <f>'Intermediate calculations'!AL19+('Intermediate calculations'!AL19*'Net zero supporting data'!O203)</f>
        <v>207256.05471758905</v>
      </c>
      <c r="P206">
        <f>'Intermediate calculations'!AM19+('Intermediate calculations'!AM19*'Net zero supporting data'!P203)</f>
        <v>210372.0033379565</v>
      </c>
      <c r="Q206">
        <f>'Intermediate calculations'!AN19+('Intermediate calculations'!AN19*'Net zero supporting data'!Q203)</f>
        <v>213534.19182983847</v>
      </c>
      <c r="R206">
        <f>'Intermediate calculations'!AO19+('Intermediate calculations'!AO19*'Net zero supporting data'!R203)</f>
        <v>216730.92032818843</v>
      </c>
      <c r="S206">
        <f>'Intermediate calculations'!AP19+('Intermediate calculations'!AP19*'Net zero supporting data'!S203)</f>
        <v>219978.88297666865</v>
      </c>
      <c r="T206">
        <f>'Intermediate calculations'!AQ19+('Intermediate calculations'!AQ19*'Net zero supporting data'!T203)</f>
        <v>223281.03468658013</v>
      </c>
      <c r="U206">
        <f>'Intermediate calculations'!AR19+('Intermediate calculations'!AR19*'Net zero supporting data'!U203)</f>
        <v>225975.92971254914</v>
      </c>
      <c r="V206">
        <f>'Intermediate calculations'!AS19+('Intermediate calculations'!AS19*'Net zero supporting data'!V203)</f>
        <v>228704.32335466353</v>
      </c>
      <c r="W206">
        <f>'Intermediate calculations'!AT19+('Intermediate calculations'!AT19*'Net zero supporting data'!W203)</f>
        <v>231464.83237594849</v>
      </c>
      <c r="X206">
        <f>'Intermediate calculations'!AU19+('Intermediate calculations'!AU19*'Net zero supporting data'!X203)</f>
        <v>234265.79543011615</v>
      </c>
      <c r="Y206">
        <f>'Intermediate calculations'!AV19+('Intermediate calculations'!AV19*'Net zero supporting data'!Y203)</f>
        <v>237086.69131387922</v>
      </c>
      <c r="Z206">
        <f>'Intermediate calculations'!AW19+('Intermediate calculations'!AW19*'Net zero supporting data'!Z203)</f>
        <v>239658.66557635827</v>
      </c>
      <c r="AA206">
        <f>'Intermediate calculations'!AX19+('Intermediate calculations'!AX19*'Net zero supporting data'!AA203)</f>
        <v>242257.66358379624</v>
      </c>
      <c r="AB206">
        <f>'Intermediate calculations'!AY19+('Intermediate calculations'!AY19*'Net zero supporting data'!AB203)</f>
        <v>244878.08731752608</v>
      </c>
      <c r="AC206">
        <f>'Intermediate calculations'!AZ19+('Intermediate calculations'!AZ19*'Net zero supporting data'!AC203)</f>
        <v>247524.05348182892</v>
      </c>
      <c r="AD206">
        <f>'Intermediate calculations'!BA19+('Intermediate calculations'!BA19*'Net zero supporting data'!AD203)</f>
        <v>250199.45087535022</v>
      </c>
      <c r="AE206">
        <f>'Intermediate calculations'!BB19+('Intermediate calculations'!BB19*'Net zero supporting data'!AE203)</f>
        <v>252243.46784842768</v>
      </c>
      <c r="AF206">
        <f>'Intermediate calculations'!BC19+('Intermediate calculations'!BC19*'Net zero supporting data'!AF203)</f>
        <v>254297.37685418557</v>
      </c>
      <c r="AG206">
        <f>'Intermediate calculations'!BD19+('Intermediate calculations'!BD19*'Net zero supporting data'!AG203)</f>
        <v>256368.66305962947</v>
      </c>
      <c r="AH206">
        <f>'Intermediate calculations'!BE19+('Intermediate calculations'!BE19*'Net zero supporting data'!AH203)</f>
        <v>258457.66391012949</v>
      </c>
      <c r="AI206">
        <f>'Intermediate calculations'!BF19+('Intermediate calculations'!BF19*'Net zero supporting data'!AI203)</f>
        <v>260569.98991423211</v>
      </c>
      <c r="AJ206">
        <f>'Intermediate calculations'!BG19+('Intermediate calculations'!BG19*'Net zero supporting data'!AJ203)</f>
        <v>262417.1148392504</v>
      </c>
      <c r="AK206">
        <f>'Intermediate calculations'!BH19+('Intermediate calculations'!BH19*'Net zero supporting data'!AK203)</f>
        <v>264225.21236493823</v>
      </c>
      <c r="AL206">
        <f>'Intermediate calculations'!BI19+('Intermediate calculations'!BI19*'Net zero supporting data'!AL203)</f>
        <v>266041.51262672548</v>
      </c>
      <c r="AM206">
        <f>'Intermediate calculations'!BJ19+('Intermediate calculations'!BJ19*'Net zero supporting data'!AM203)</f>
        <v>267876.77838664112</v>
      </c>
      <c r="AN206">
        <f>'Intermediate calculations'!BK19+('Intermediate calculations'!BK19*'Net zero supporting data'!AN203)</f>
        <v>269721.02434287441</v>
      </c>
    </row>
    <row r="207" spans="1:48" x14ac:dyDescent="0.25">
      <c r="A207" t="s">
        <v>338</v>
      </c>
      <c r="B207">
        <f>'Intermediate calculations'!Y39+('Intermediate calculations'!Y39*'Net zero supporting data'!B204)</f>
        <v>1794081.3978567999</v>
      </c>
      <c r="C207">
        <f>'Intermediate calculations'!Z39+('Intermediate calculations'!Z39*'Net zero supporting data'!C204)</f>
        <v>1859704.051977712</v>
      </c>
      <c r="D207">
        <f>'Intermediate calculations'!AA39+('Intermediate calculations'!AA39*'Net zero supporting data'!D204)</f>
        <v>1911902.1211526673</v>
      </c>
      <c r="E207">
        <f>'Intermediate calculations'!AB39+('Intermediate calculations'!AB39*'Net zero supporting data'!E204)</f>
        <v>1909686.0015640706</v>
      </c>
      <c r="F207">
        <f>'Intermediate calculations'!AC39+('Intermediate calculations'!AC39*'Net zero supporting data'!F204)</f>
        <v>1906854.9554363207</v>
      </c>
      <c r="G207">
        <f>'Intermediate calculations'!AD39+('Intermediate calculations'!AD39*'Net zero supporting data'!G204)</f>
        <v>1958657.2544878039</v>
      </c>
      <c r="H207">
        <f>'Intermediate calculations'!AE39+('Intermediate calculations'!AE39*'Net zero supporting data'!H204)</f>
        <v>1993072.7177320495</v>
      </c>
      <c r="I207">
        <f>'Intermediate calculations'!AF39+('Intermediate calculations'!AF39*'Net zero supporting data'!I204)</f>
        <v>1965854.3880988103</v>
      </c>
      <c r="J207">
        <f>'Intermediate calculations'!AG39+('Intermediate calculations'!AG39*'Net zero supporting data'!J204)</f>
        <v>1665769.2743366272</v>
      </c>
      <c r="K207">
        <f>'Intermediate calculations'!AH39+('Intermediate calculations'!AH39*'Net zero supporting data'!K204)</f>
        <v>1806152.9417259558</v>
      </c>
      <c r="L207">
        <f>'Intermediate calculations'!AI39+('Intermediate calculations'!AI39*'Net zero supporting data'!L204)</f>
        <v>1915456.3821868389</v>
      </c>
      <c r="M207">
        <f>'Intermediate calculations'!AJ39+('Intermediate calculations'!AJ39*'Net zero supporting data'!M204)</f>
        <v>2019428.1684463944</v>
      </c>
      <c r="N207">
        <f>'Intermediate calculations'!AK39+('Intermediate calculations'!AK39*'Net zero supporting data'!N204)</f>
        <v>2139498.8974967212</v>
      </c>
      <c r="O207">
        <f>'Intermediate calculations'!AL39+('Intermediate calculations'!AL39*'Net zero supporting data'!O204)</f>
        <v>2310757.3905001306</v>
      </c>
      <c r="P207">
        <f>'Intermediate calculations'!AM39+('Intermediate calculations'!AM39*'Net zero supporting data'!P204)</f>
        <v>2502333.9386614943</v>
      </c>
      <c r="Q207">
        <f>'Intermediate calculations'!AN39+('Intermediate calculations'!AN39*'Net zero supporting data'!Q204)</f>
        <v>2712333.2635192098</v>
      </c>
      <c r="R207">
        <f>'Intermediate calculations'!AO39+('Intermediate calculations'!AO39*'Net zero supporting data'!R204)</f>
        <v>2907943.7798464429</v>
      </c>
      <c r="S207">
        <f>'Intermediate calculations'!AP39+('Intermediate calculations'!AP39*'Net zero supporting data'!S204)</f>
        <v>3132996.4701751671</v>
      </c>
      <c r="T207">
        <f>'Intermediate calculations'!AQ39+('Intermediate calculations'!AQ39*'Net zero supporting data'!T204)</f>
        <v>3394570.4585476774</v>
      </c>
      <c r="U207">
        <f>'Intermediate calculations'!AR39+('Intermediate calculations'!AR39*'Net zero supporting data'!U204)</f>
        <v>3649605.4809397757</v>
      </c>
      <c r="V207">
        <f>'Intermediate calculations'!AS39+('Intermediate calculations'!AS39*'Net zero supporting data'!V204)</f>
        <v>3920391.6597318738</v>
      </c>
      <c r="W207">
        <f>'Intermediate calculations'!AT39+('Intermediate calculations'!AT39*'Net zero supporting data'!W204)</f>
        <v>4202418.2819510857</v>
      </c>
      <c r="X207">
        <f>'Intermediate calculations'!AU39+('Intermediate calculations'!AU39*'Net zero supporting data'!X204)</f>
        <v>4518035.3079562578</v>
      </c>
      <c r="Y207">
        <f>'Intermediate calculations'!AV39+('Intermediate calculations'!AV39*'Net zero supporting data'!Y204)</f>
        <v>4809677.2441579532</v>
      </c>
      <c r="Z207">
        <f>'Intermediate calculations'!AW39+('Intermediate calculations'!AW39*'Net zero supporting data'!Z204)</f>
        <v>5125159.067143783</v>
      </c>
      <c r="AA207">
        <f>'Intermediate calculations'!AX39+('Intermediate calculations'!AX39*'Net zero supporting data'!AA204)</f>
        <v>5452295.8521975912</v>
      </c>
      <c r="AB207">
        <f>'Intermediate calculations'!AY39+('Intermediate calculations'!AY39*'Net zero supporting data'!AB204)</f>
        <v>5774875.6508872472</v>
      </c>
      <c r="AC207">
        <f>'Intermediate calculations'!AZ39+('Intermediate calculations'!AZ39*'Net zero supporting data'!AC204)</f>
        <v>6103800.2936769947</v>
      </c>
      <c r="AD207">
        <f>'Intermediate calculations'!BA39+('Intermediate calculations'!BA39*'Net zero supporting data'!AD204)</f>
        <v>6449451.9030732112</v>
      </c>
      <c r="AE207">
        <f>'Intermediate calculations'!BB39+('Intermediate calculations'!BB39*'Net zero supporting data'!AE204)</f>
        <v>6798898.5420555612</v>
      </c>
      <c r="AF207">
        <f>'Intermediate calculations'!BC39+('Intermediate calculations'!BC39*'Net zero supporting data'!AF204)</f>
        <v>7136740.9944427228</v>
      </c>
      <c r="AG207">
        <f>'Intermediate calculations'!BD39+('Intermediate calculations'!BD39*'Net zero supporting data'!AG204)</f>
        <v>7483821.5879225461</v>
      </c>
      <c r="AH207">
        <f>'Intermediate calculations'!BE39+('Intermediate calculations'!BE39*'Net zero supporting data'!AH204)</f>
        <v>7840832.0244871723</v>
      </c>
      <c r="AI207">
        <f>'Intermediate calculations'!BF39+('Intermediate calculations'!BF39*'Net zero supporting data'!AI204)</f>
        <v>8223438.4306168221</v>
      </c>
      <c r="AJ207">
        <f>'Intermediate calculations'!BG39+('Intermediate calculations'!BG39*'Net zero supporting data'!AJ204)</f>
        <v>8622679.0219451152</v>
      </c>
      <c r="AK207">
        <f>'Intermediate calculations'!BH39+('Intermediate calculations'!BH39*'Net zero supporting data'!AK204)</f>
        <v>8881223.7589926142</v>
      </c>
      <c r="AL207">
        <f>'Intermediate calculations'!BI39+('Intermediate calculations'!BI39*'Net zero supporting data'!AL204)</f>
        <v>9132964.4542802386</v>
      </c>
      <c r="AM207">
        <f>'Intermediate calculations'!BJ39+('Intermediate calculations'!BJ39*'Net zero supporting data'!AM204)</f>
        <v>9408412.108071804</v>
      </c>
      <c r="AN207">
        <f>'Intermediate calculations'!BK39+('Intermediate calculations'!BK39*'Net zero supporting data'!AN204)</f>
        <v>9678919.2638116367</v>
      </c>
    </row>
    <row r="209" spans="1:48" s="120" customFormat="1" ht="15.75" x14ac:dyDescent="0.25">
      <c r="A209" s="116" t="s">
        <v>1378</v>
      </c>
      <c r="B209" s="116"/>
      <c r="C209" s="116"/>
      <c r="D209" s="116"/>
      <c r="E209" s="116"/>
      <c r="F209" s="116"/>
      <c r="G209" s="116"/>
      <c r="H209" s="116"/>
      <c r="I209" s="116"/>
      <c r="J209" s="118"/>
      <c r="K209" s="118"/>
      <c r="L209" s="118"/>
      <c r="M209" s="118"/>
      <c r="N209" s="118"/>
      <c r="O209" s="118"/>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row>
    <row r="210" spans="1:48" x14ac:dyDescent="0.25">
      <c r="A210" t="s">
        <v>1371</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20" customFormat="1" ht="15.75" x14ac:dyDescent="0.25">
      <c r="A212" s="116" t="s">
        <v>1257</v>
      </c>
      <c r="B212" s="116"/>
      <c r="C212" s="116"/>
      <c r="D212" s="116"/>
      <c r="E212" s="116"/>
      <c r="F212" s="116"/>
      <c r="G212" s="116"/>
      <c r="H212" s="116"/>
      <c r="I212" s="116"/>
      <c r="J212" s="118"/>
      <c r="K212" s="118"/>
      <c r="L212" s="118"/>
      <c r="M212" s="118"/>
      <c r="N212" s="118"/>
      <c r="O212" s="118"/>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row>
    <row r="213" spans="1:48" x14ac:dyDescent="0.25">
      <c r="A213" t="s">
        <v>1262</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1263</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1264</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1265</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5703125" customWidth="1"/>
    <col min="10" max="10" width="14" customWidth="1"/>
    <col min="11" max="16" width="9.7109375" customWidth="1"/>
    <col min="17" max="17" width="9.5703125" customWidth="1"/>
    <col min="19" max="19" width="10" customWidth="1"/>
    <col min="32" max="33" width="9.42578125" customWidth="1"/>
    <col min="34" max="34" width="9.7109375" customWidth="1"/>
  </cols>
  <sheetData>
    <row r="1" spans="1:55" ht="18.75" x14ac:dyDescent="0.3">
      <c r="D1" s="1" t="s">
        <v>658</v>
      </c>
    </row>
    <row r="2" spans="1:55" x14ac:dyDescent="0.25">
      <c r="K2" s="85">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102" t="str">
        <f>B4&amp;" "&amp;C4</f>
        <v>FS Cattle</v>
      </c>
      <c r="B4" s="102" t="s">
        <v>1005</v>
      </c>
      <c r="C4" s="102" t="s">
        <v>1109</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100">
        <f>IF('Net zero activities &amp; levers'!$C$5="Off",('Activity data'!AD5*EF!$H4)*kgtoGg,IF('Net zero activities &amp; levers'!$C$5="On",(((('Activity data'!AD5-'Net zero supporting data'!B15)*EF!$H4)+('Net zero supporting data'!B15*'Net zero supporting data'!B25))*kgtoGg)))</f>
        <v>72.319515891788683</v>
      </c>
      <c r="L4" s="100">
        <f>IF('Net zero activities &amp; levers'!$C$5="Off",('Activity data'!AE5*EF!$H4)*kgtoGg,IF('Net zero activities &amp; levers'!$C$5="On",(((('Activity data'!AE5-'Net zero supporting data'!C15)*EF!$H4)+('Net zero supporting data'!C15*'Net zero supporting data'!C25))*kgtoGg)))</f>
        <v>72.807821323468076</v>
      </c>
      <c r="M4" s="100">
        <f>IF('Net zero activities &amp; levers'!$C$5="Off",('Activity data'!AF5*EF!$H4)*kgtoGg,IF('Net zero activities &amp; levers'!$C$5="On",(((('Activity data'!AF5-'Net zero supporting data'!D15)*EF!$H4)+('Net zero supporting data'!D15*'Net zero supporting data'!D25))*kgtoGg)))</f>
        <v>73.234964885165326</v>
      </c>
      <c r="N4" s="100">
        <f>IF('Net zero activities &amp; levers'!$C$5="Off",('Activity data'!AG5*EF!$H4)*kgtoGg,IF('Net zero activities &amp; levers'!$C$5="On",(((('Activity data'!AG5-'Net zero supporting data'!E15)*EF!$H4)+('Net zero supporting data'!E15*'Net zero supporting data'!E25))*kgtoGg)))</f>
        <v>73.290216800217806</v>
      </c>
      <c r="O4" s="100">
        <f>IF('Net zero activities &amp; levers'!$C$5="Off",('Activity data'!AH5*EF!$H4)*kgtoGg,IF('Net zero activities &amp; levers'!$C$5="On",(((('Activity data'!AH5-'Net zero supporting data'!F15)*EF!$H4)+('Net zero supporting data'!F15*'Net zero supporting data'!F25))*kgtoGg)))</f>
        <v>73.385382806563399</v>
      </c>
      <c r="P4" s="100">
        <f>IF('Net zero activities &amp; levers'!$C$5="Off",('Activity data'!AI5*EF!$H4)*kgtoGg,IF('Net zero activities &amp; levers'!$C$5="On",(((('Activity data'!AI5-'Net zero supporting data'!G15)*EF!$H4)+('Net zero supporting data'!G15*'Net zero supporting data'!G25))*kgtoGg)))</f>
        <v>73.931427797367633</v>
      </c>
      <c r="Q4" s="100">
        <f>IF('Net zero activities &amp; levers'!$C$5="Off",('Activity data'!AJ5*EF!$H4)*kgtoGg,IF('Net zero activities &amp; levers'!$C$5="On",(((('Activity data'!AJ5-'Net zero supporting data'!H15)*EF!$H4)+('Net zero supporting data'!H15*'Net zero supporting data'!H25))*kgtoGg)))</f>
        <v>74.368063847632101</v>
      </c>
      <c r="R4" s="100">
        <f>IF('Net zero activities &amp; levers'!$C$5="Off",('Activity data'!AK5*EF!$H4)*kgtoGg,IF('Net zero activities &amp; levers'!$C$5="On",(((('Activity data'!AK5-'Net zero supporting data'!I15)*EF!$H4)+('Net zero supporting data'!I15*'Net zero supporting data'!I25))*kgtoGg)))</f>
        <v>74.371892298776103</v>
      </c>
      <c r="S4" s="100">
        <f>IF('Net zero activities &amp; levers'!$C$5="Off",('Activity data'!AL5*EF!$H4)*kgtoGg,IF('Net zero activities &amp; levers'!$C$5="On",(((('Activity data'!AL5-'Net zero supporting data'!J15)*EF!$H4)+('Net zero supporting data'!J15*'Net zero supporting data'!J25))*kgtoGg)))</f>
        <v>72.401501789227453</v>
      </c>
      <c r="T4" s="100">
        <f>IF('Net zero activities &amp; levers'!$C$5="Off",('Activity data'!AM5*EF!$H4)*kgtoGg,IF('Net zero activities &amp; levers'!$C$5="On",(((('Activity data'!AM5-'Net zero supporting data'!K15)*EF!$H4)+('Net zero supporting data'!K15*'Net zero supporting data'!K25))*kgtoGg)))</f>
        <v>73.330101236769167</v>
      </c>
      <c r="U4" s="100">
        <f>IF('Net zero activities &amp; levers'!$C$5="Off",('Activity data'!AN5*EF!$H4)*kgtoGg,IF('Net zero activities &amp; levers'!$C$5="On",(((('Activity data'!AN5-'Net zero supporting data'!L15)*EF!$H4)+('Net zero supporting data'!L15*'Net zero supporting data'!L25))*kgtoGg)))</f>
        <v>73.980649316566172</v>
      </c>
      <c r="V4" s="100">
        <f>IF('Net zero activities &amp; levers'!$C$5="Off",('Activity data'!AO5*EF!$H4)*kgtoGg,IF('Net zero activities &amp; levers'!$C$5="On",(((('Activity data'!AO5-'Net zero supporting data'!M15)*EF!$H4)+('Net zero supporting data'!M15*'Net zero supporting data'!M25))*kgtoGg)))</f>
        <v>74.543654717542466</v>
      </c>
      <c r="W4" s="100">
        <f>IF('Net zero activities &amp; levers'!$C$5="Off",('Activity data'!AP5*EF!$H4)*kgtoGg,IF('Net zero activities &amp; levers'!$C$5="On",(((('Activity data'!AP5-'Net zero supporting data'!N15)*EF!$H4)+('Net zero supporting data'!N15*'Net zero supporting data'!N25))*kgtoGg)))</f>
        <v>75.167664942993852</v>
      </c>
      <c r="X4" s="100">
        <f>IF('Net zero activities &amp; levers'!$C$5="Off",('Activity data'!AQ5*EF!$H4)*kgtoGg,IF('Net zero activities &amp; levers'!$C$5="On",(((('Activity data'!AQ5-'Net zero supporting data'!O15)*EF!$H4)+('Net zero supporting data'!O15*'Net zero supporting data'!O25))*kgtoGg)))</f>
        <v>76.082718802782452</v>
      </c>
      <c r="Y4" s="100">
        <f>IF('Net zero activities &amp; levers'!$C$5="Off",('Activity data'!AR5*EF!$H4)*kgtoGg,IF('Net zero activities &amp; levers'!$C$5="On",(((('Activity data'!AR5-'Net zero supporting data'!P15)*EF!$H4)+('Net zero supporting data'!P15*'Net zero supporting data'!P25))*kgtoGg)))</f>
        <v>76.993733311709462</v>
      </c>
      <c r="Z4" s="100">
        <f>IF('Net zero activities &amp; levers'!$C$5="Off",('Activity data'!AS5*EF!$H4)*kgtoGg,IF('Net zero activities &amp; levers'!$C$5="On",(((('Activity data'!AS5-'Net zero supporting data'!Q15)*EF!$H4)+('Net zero supporting data'!Q15*'Net zero supporting data'!Q25))*kgtoGg)))</f>
        <v>77.953619825070376</v>
      </c>
      <c r="AA4" s="100">
        <f>IF('Net zero activities &amp; levers'!$C$5="Off",('Activity data'!AT5*EF!$H4)*kgtoGg,IF('Net zero activities &amp; levers'!$C$5="On",(((('Activity data'!AT5-'Net zero supporting data'!R15)*EF!$H4)+('Net zero supporting data'!R15*'Net zero supporting data'!R25))*kgtoGg)))</f>
        <v>78.747386592943755</v>
      </c>
      <c r="AB4" s="100">
        <f>IF('Net zero activities &amp; levers'!$C$5="Off",('Activity data'!AU5*EF!$H4)*kgtoGg,IF('Net zero activities &amp; levers'!$C$5="On",(((('Activity data'!AU5-'Net zero supporting data'!S15)*EF!$H4)+('Net zero supporting data'!S15*'Net zero supporting data'!S25))*kgtoGg)))</f>
        <v>79.654126408136719</v>
      </c>
      <c r="AC4" s="100">
        <f>IF('Net zero activities &amp; levers'!$C$5="Off",('Activity data'!AV5*EF!$H4)*kgtoGg,IF('Net zero activities &amp; levers'!$C$5="On",(((('Activity data'!AV5-'Net zero supporting data'!T15)*EF!$H4)+('Net zero supporting data'!T15*'Net zero supporting data'!T25))*kgtoGg)))</f>
        <v>80.707000646825037</v>
      </c>
      <c r="AD4" s="100">
        <f>IF('Net zero activities &amp; levers'!$C$5="Off",('Activity data'!AW5*EF!$H4)*kgtoGg,IF('Net zero activities &amp; levers'!$C$5="On",(((('Activity data'!AW5-'Net zero supporting data'!U15)*EF!$H4)+('Net zero supporting data'!U15*'Net zero supporting data'!U25))*kgtoGg)))</f>
        <v>82.085766574173292</v>
      </c>
      <c r="AE4" s="100">
        <f>IF('Net zero activities &amp; levers'!$C$5="Off",('Activity data'!AX5*EF!$H4)*kgtoGg,IF('Net zero activities &amp; levers'!$C$5="On",(((('Activity data'!AX5-'Net zero supporting data'!V15)*EF!$H4)+('Net zero supporting data'!V15*'Net zero supporting data'!V25))*kgtoGg)))</f>
        <v>83.537510727879962</v>
      </c>
      <c r="AF4" s="100">
        <f>IF('Net zero activities &amp; levers'!$C$5="Off",('Activity data'!AY5*EF!$H4)*kgtoGg,IF('Net zero activities &amp; levers'!$C$5="On",(((('Activity data'!AY5-'Net zero supporting data'!W15)*EF!$H4)+('Net zero supporting data'!W15*'Net zero supporting data'!W25))*kgtoGg)))</f>
        <v>85.03309038225575</v>
      </c>
      <c r="AG4" s="100">
        <f>IF('Net zero activities &amp; levers'!$C$5="Off",('Activity data'!AZ5*EF!$H4)*kgtoGg,IF('Net zero activities &amp; levers'!$C$5="On",(((('Activity data'!AZ5-'Net zero supporting data'!X15)*EF!$H4)+('Net zero supporting data'!X15*'Net zero supporting data'!X25))*kgtoGg)))</f>
        <v>86.701775418104972</v>
      </c>
      <c r="AH4" s="100">
        <f>IF('Net zero activities &amp; levers'!$C$5="Off",('Activity data'!BA5*EF!$H4)*kgtoGg,IF('Net zero activities &amp; levers'!$C$5="On",(((('Activity data'!BA5-'Net zero supporting data'!Y15)*EF!$H4)+('Net zero supporting data'!Y15*'Net zero supporting data'!Y25))*kgtoGg)))</f>
        <v>88.204818090339998</v>
      </c>
      <c r="AI4" s="100">
        <f>IF('Net zero activities &amp; levers'!$C$5="Off",('Activity data'!BB5*EF!$H4)*kgtoGg,IF('Net zero activities &amp; levers'!$C$5="On",(((('Activity data'!BB5-'Net zero supporting data'!Z15)*EF!$H4)+('Net zero supporting data'!Z15*'Net zero supporting data'!Z25))*kgtoGg)))</f>
        <v>89.767009482404617</v>
      </c>
      <c r="AJ4" s="100">
        <f>IF('Net zero activities &amp; levers'!$C$5="Off",('Activity data'!BC5*EF!$H4)*kgtoGg,IF('Net zero activities &amp; levers'!$C$5="On",(((('Activity data'!BC5-'Net zero supporting data'!AA15)*EF!$H4)+('Net zero supporting data'!AA15*'Net zero supporting data'!AA25))*kgtoGg)))</f>
        <v>91.369572139628204</v>
      </c>
      <c r="AK4" s="100">
        <f>IF('Net zero activities &amp; levers'!$C$5="Off",('Activity data'!BD5*EF!$H4)*kgtoGg,IF('Net zero activities &amp; levers'!$C$5="On",(((('Activity data'!BD5-'Net zero supporting data'!AB15)*EF!$H4)+('Net zero supporting data'!AB15*'Net zero supporting data'!AB25))*kgtoGg)))</f>
        <v>92.920310418277609</v>
      </c>
      <c r="AL4" s="100">
        <f>IF('Net zero activities &amp; levers'!$C$5="Off",('Activity data'!BE5*EF!$H4)*kgtoGg,IF('Net zero activities &amp; levers'!$C$5="On",(((('Activity data'!BE5-'Net zero supporting data'!AC15)*EF!$H4)+('Net zero supporting data'!AC15*'Net zero supporting data'!AC25))*kgtoGg)))</f>
        <v>94.481267853232154</v>
      </c>
      <c r="AM4" s="100">
        <f>IF('Net zero activities &amp; levers'!$C$5="Off",('Activity data'!BF5*EF!$H4)*kgtoGg,IF('Net zero activities &amp; levers'!$C$5="On",(((('Activity data'!BF5-'Net zero supporting data'!AD15)*EF!$H4)+('Net zero supporting data'!AD15*'Net zero supporting data'!AD25))*kgtoGg)))</f>
        <v>96.109108959439808</v>
      </c>
      <c r="AN4" s="100">
        <f>IF('Net zero activities &amp; levers'!$C$5="Off",('Activity data'!BG5*EF!$H4)*kgtoGg,IF('Net zero activities &amp; levers'!$C$5="On",(((('Activity data'!BG5-'Net zero supporting data'!AE15)*EF!$H4)+('Net zero supporting data'!AE15*'Net zero supporting data'!AE25))*kgtoGg)))</f>
        <v>97.864263958750811</v>
      </c>
      <c r="AO4" s="100">
        <f>IF('Net zero activities &amp; levers'!$C$5="Off",('Activity data'!BH5*EF!$H4)*kgtoGg,IF('Net zero activities &amp; levers'!$C$5="On",(((('Activity data'!BH5-'Net zero supporting data'!AF15)*EF!$H4)+('Net zero supporting data'!AF15*'Net zero supporting data'!AF25))*kgtoGg)))</f>
        <v>99.541098252951343</v>
      </c>
      <c r="AP4" s="100">
        <f>IF('Net zero activities &amp; levers'!$C$5="Off",('Activity data'!BI5*EF!$H4)*kgtoGg,IF('Net zero activities &amp; levers'!$C$5="On",(((('Activity data'!BI5-'Net zero supporting data'!AG15)*EF!$H4)+('Net zero supporting data'!AG15*'Net zero supporting data'!AG25))*kgtoGg)))</f>
        <v>101.25343550319663</v>
      </c>
      <c r="AQ4" s="100">
        <f>IF('Net zero activities &amp; levers'!$C$5="Off",('Activity data'!BJ5*EF!$H4)*kgtoGg,IF('Net zero activities &amp; levers'!$C$5="On",(((('Activity data'!BJ5-'Net zero supporting data'!AH15)*EF!$H4)+('Net zero supporting data'!AH15*'Net zero supporting data'!AH25))*kgtoGg)))</f>
        <v>103.00435735342384</v>
      </c>
      <c r="AR4" s="100">
        <f>IF('Net zero activities &amp; levers'!$C$5="Off",('Activity data'!BK5*EF!$H4)*kgtoGg,IF('Net zero activities &amp; levers'!$C$5="On",(((('Activity data'!BK5-'Net zero supporting data'!AI15)*EF!$H4)+('Net zero supporting data'!AI15*'Net zero supporting data'!AI25))*kgtoGg)))</f>
        <v>104.87658475941377</v>
      </c>
      <c r="AS4" s="100">
        <f>IF('Net zero activities &amp; levers'!$C$5="Off",('Activity data'!BL5*EF!$H4)*kgtoGg,IF('Net zero activities &amp; levers'!$C$5="On",(((('Activity data'!BL5-'Net zero supporting data'!AJ15)*EF!$H4)+('Net zero supporting data'!AJ15*'Net zero supporting data'!AJ25))*kgtoGg)))</f>
        <v>106.76958049354033</v>
      </c>
      <c r="AT4" s="100">
        <f>IF('Net zero activities &amp; levers'!$C$5="Off",('Activity data'!BM5*EF!$H4)*kgtoGg,IF('Net zero activities &amp; levers'!$C$5="On",(((('Activity data'!BM5-'Net zero supporting data'!AK15)*EF!$H4)+('Net zero supporting data'!AK15*'Net zero supporting data'!AK25))*kgtoGg)))</f>
        <v>107.90536933774965</v>
      </c>
      <c r="AU4" s="100">
        <f>IF('Net zero activities &amp; levers'!$C$5="Off",('Activity data'!BN5*EF!$H4)*kgtoGg,IF('Net zero activities &amp; levers'!$C$5="On",(((('Activity data'!BN5-'Net zero supporting data'!AL15)*EF!$H4)+('Net zero supporting data'!AL15*'Net zero supporting data'!AL25))*kgtoGg)))</f>
        <v>108.99742626758893</v>
      </c>
      <c r="AV4" s="100">
        <f>IF('Net zero activities &amp; levers'!$C$5="Off",('Activity data'!BO5*EF!$H4)*kgtoGg,IF('Net zero activities &amp; levers'!$C$5="On",(((('Activity data'!BO5-'Net zero supporting data'!AM15)*EF!$H4)+('Net zero supporting data'!AM15*'Net zero supporting data'!AM25))*kgtoGg)))</f>
        <v>110.20508446030837</v>
      </c>
      <c r="AW4" s="100">
        <f>IF('Net zero activities &amp; levers'!$C$5="Off",('Activity data'!BP5*EF!$H4)*kgtoGg,IF('Net zero activities &amp; levers'!$C$5="On",(((('Activity data'!BP5-'Net zero supporting data'!AN15)*EF!$H4)+('Net zero supporting data'!AN15*'Net zero supporting data'!AN25))*kgtoGg)))</f>
        <v>111.37828037895268</v>
      </c>
      <c r="AY4" s="85"/>
    </row>
    <row r="5" spans="1:55" x14ac:dyDescent="0.25">
      <c r="A5" s="102" t="str">
        <f t="shared" ref="A5:A471" si="0">B5&amp;" "&amp;C5</f>
        <v>FS Cattle</v>
      </c>
      <c r="B5" s="102" t="s">
        <v>1005</v>
      </c>
      <c r="C5" s="102" t="s">
        <v>1109</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100">
        <f>IF('Net zero activities &amp; levers'!$C$5="Off",('Activity data'!AD6*EF!$H5)*kgtoGg,IF('Net zero activities &amp; levers'!$C$5="On",(((('Activity data'!AD6-'Net zero supporting data'!B16)*EF!$H5)+('Net zero supporting data'!B16*'Net zero supporting data'!B26))*kgtoGg)))</f>
        <v>57.842346035228502</v>
      </c>
      <c r="L5" s="100">
        <f>IF('Net zero activities &amp; levers'!$C$5="Off",('Activity data'!AE6*EF!$H5)*kgtoGg,IF('Net zero activities &amp; levers'!$C$5="On",(((('Activity data'!AE6-'Net zero supporting data'!C16)*EF!$H5)+('Net zero supporting data'!C16*'Net zero supporting data'!C26))*kgtoGg)))</f>
        <v>58.232900803215919</v>
      </c>
      <c r="M5" s="100">
        <f>IF('Net zero activities &amp; levers'!$C$5="Off",('Activity data'!AF6*EF!$H5)*kgtoGg,IF('Net zero activities &amp; levers'!$C$5="On",(((('Activity data'!AF6-'Net zero supporting data'!D16)*EF!$H5)+('Net zero supporting data'!D16*'Net zero supporting data'!D26))*kgtoGg)))</f>
        <v>58.574537295077718</v>
      </c>
      <c r="N5" s="100">
        <f>IF('Net zero activities &amp; levers'!$C$5="Off",('Activity data'!AG6*EF!$H5)*kgtoGg,IF('Net zero activities &amp; levers'!$C$5="On",(((('Activity data'!AG6-'Net zero supporting data'!E16)*EF!$H5)+('Net zero supporting data'!E16*'Net zero supporting data'!E26))*kgtoGg)))</f>
        <v>58.618728691413338</v>
      </c>
      <c r="O5" s="100">
        <f>IF('Net zero activities &amp; levers'!$C$5="Off",('Activity data'!AH6*EF!$H5)*kgtoGg,IF('Net zero activities &amp; levers'!$C$5="On",(((('Activity data'!AH6-'Net zero supporting data'!F16)*EF!$H5)+('Net zero supporting data'!F16*'Net zero supporting data'!F26))*kgtoGg)))</f>
        <v>58.6948440387294</v>
      </c>
      <c r="P5" s="100">
        <f>IF('Net zero activities &amp; levers'!$C$5="Off",('Activity data'!AI6*EF!$H5)*kgtoGg,IF('Net zero activities &amp; levers'!$C$5="On",(((('Activity data'!AI6-'Net zero supporting data'!G16)*EF!$H5)+('Net zero supporting data'!G16*'Net zero supporting data'!G26))*kgtoGg)))</f>
        <v>59.13157986196363</v>
      </c>
      <c r="Q5" s="100">
        <f>IF('Net zero activities &amp; levers'!$C$5="Off",('Activity data'!AJ6*EF!$H5)*kgtoGg,IF('Net zero activities &amp; levers'!$C$5="On",(((('Activity data'!AJ6-'Net zero supporting data'!H16)*EF!$H5)+('Net zero supporting data'!H16*'Net zero supporting data'!H26))*kgtoGg)))</f>
        <v>59.480808603326388</v>
      </c>
      <c r="R5" s="100">
        <f>IF('Net zero activities &amp; levers'!$C$5="Off",('Activity data'!AK6*EF!$H5)*kgtoGg,IF('Net zero activities &amp; levers'!$C$5="On",(((('Activity data'!AK6-'Net zero supporting data'!I16)*EF!$H5)+('Net zero supporting data'!I16*'Net zero supporting data'!I26))*kgtoGg)))</f>
        <v>59.483870661930055</v>
      </c>
      <c r="S5" s="100">
        <f>IF('Net zero activities &amp; levers'!$C$5="Off",('Activity data'!AL6*EF!$H5)*kgtoGg,IF('Net zero activities &amp; levers'!$C$5="On",(((('Activity data'!AL6-'Net zero supporting data'!J16)*EF!$H5)+('Net zero supporting data'!J16*'Net zero supporting data'!J26))*kgtoGg)))</f>
        <v>57.907919713248667</v>
      </c>
      <c r="T5" s="100">
        <f>IF('Net zero activities &amp; levers'!$C$5="Off",('Activity data'!AM6*EF!$H5)*kgtoGg,IF('Net zero activities &amp; levers'!$C$5="On",(((('Activity data'!AM6-'Net zero supporting data'!K16)*EF!$H5)+('Net zero supporting data'!K16*'Net zero supporting data'!K26))*kgtoGg)))</f>
        <v>58.650628924040376</v>
      </c>
      <c r="U5" s="100">
        <f>IF('Net zero activities &amp; levers'!$C$5="Off",('Activity data'!AN6*EF!$H5)*kgtoGg,IF('Net zero activities &amp; levers'!$C$5="On",(((('Activity data'!AN6-'Net zero supporting data'!L16)*EF!$H5)+('Net zero supporting data'!L16*'Net zero supporting data'!L26))*kgtoGg)))</f>
        <v>59.170948047864123</v>
      </c>
      <c r="V5" s="100">
        <f>IF('Net zero activities &amp; levers'!$C$5="Off",('Activity data'!AO6*EF!$H5)*kgtoGg,IF('Net zero activities &amp; levers'!$C$5="On",(((('Activity data'!AO6-'Net zero supporting data'!M16)*EF!$H5)+('Net zero supporting data'!M16*'Net zero supporting data'!M26))*kgtoGg)))</f>
        <v>59.621249087927772</v>
      </c>
      <c r="W5" s="100">
        <f>IF('Net zero activities &amp; levers'!$C$5="Off",('Activity data'!AP6*EF!$H5)*kgtoGg,IF('Net zero activities &amp; levers'!$C$5="On",(((('Activity data'!AP6-'Net zero supporting data'!N16)*EF!$H5)+('Net zero supporting data'!N16*'Net zero supporting data'!N26))*kgtoGg)))</f>
        <v>60.120342796520731</v>
      </c>
      <c r="X5" s="100">
        <f>IF('Net zero activities &amp; levers'!$C$5="Off",('Activity data'!AQ6*EF!$H5)*kgtoGg,IF('Net zero activities &amp; levers'!$C$5="On",(((('Activity data'!AQ6-'Net zero supporting data'!O16)*EF!$H5)+('Net zero supporting data'!O16*'Net zero supporting data'!O26))*kgtoGg)))</f>
        <v>60.852218021984925</v>
      </c>
      <c r="Y5" s="100">
        <f>IF('Net zero activities &amp; levers'!$C$5="Off",('Activity data'!AR6*EF!$H5)*kgtoGg,IF('Net zero activities &amp; levers'!$C$5="On",(((('Activity data'!AR6-'Net zero supporting data'!P16)*EF!$H5)+('Net zero supporting data'!P16*'Net zero supporting data'!P26))*kgtoGg)))</f>
        <v>61.580862507759925</v>
      </c>
      <c r="Z5" s="100">
        <f>IF('Net zero activities &amp; levers'!$C$5="Off",('Activity data'!AS6*EF!$H5)*kgtoGg,IF('Net zero activities &amp; levers'!$C$5="On",(((('Activity data'!AS6-'Net zero supporting data'!Q16)*EF!$H5)+('Net zero supporting data'!Q16*'Net zero supporting data'!Q26))*kgtoGg)))</f>
        <v>62.348595631740579</v>
      </c>
      <c r="AA5" s="100">
        <f>IF('Net zero activities &amp; levers'!$C$5="Off",('Activity data'!AT6*EF!$H5)*kgtoGg,IF('Net zero activities &amp; levers'!$C$5="On",(((('Activity data'!AT6-'Net zero supporting data'!R16)*EF!$H5)+('Net zero supporting data'!R16*'Net zero supporting data'!R26))*kgtoGg)))</f>
        <v>62.983463433224436</v>
      </c>
      <c r="AB5" s="100">
        <f>IF('Net zero activities &amp; levers'!$C$5="Off",('Activity data'!AU6*EF!$H5)*kgtoGg,IF('Net zero activities &amp; levers'!$C$5="On",(((('Activity data'!AU6-'Net zero supporting data'!S16)*EF!$H5)+('Net zero supporting data'!S16*'Net zero supporting data'!S26))*kgtoGg)))</f>
        <v>63.708688948184843</v>
      </c>
      <c r="AC5" s="100">
        <f>IF('Net zero activities &amp; levers'!$C$5="Off",('Activity data'!AV6*EF!$H5)*kgtoGg,IF('Net zero activities &amp; levers'!$C$5="On",(((('Activity data'!AV6-'Net zero supporting data'!T16)*EF!$H5)+('Net zero supporting data'!T16*'Net zero supporting data'!T26))*kgtoGg)))</f>
        <v>64.550795194262506</v>
      </c>
      <c r="AD5" s="100">
        <f>IF('Net zero activities &amp; levers'!$C$5="Off",('Activity data'!AW6*EF!$H5)*kgtoGg,IF('Net zero activities &amp; levers'!$C$5="On",(((('Activity data'!AW6-'Net zero supporting data'!U16)*EF!$H5)+('Net zero supporting data'!U16*'Net zero supporting data'!U26))*kgtoGg)))</f>
        <v>65.653555007956399</v>
      </c>
      <c r="AE5" s="100">
        <f>IF('Net zero activities &amp; levers'!$C$5="Off",('Activity data'!AX6*EF!$H5)*kgtoGg,IF('Net zero activities &amp; levers'!$C$5="On",(((('Activity data'!AX6-'Net zero supporting data'!V16)*EF!$H5)+('Net zero supporting data'!V16*'Net zero supporting data'!V26))*kgtoGg)))</f>
        <v>66.814684015221445</v>
      </c>
      <c r="AF5" s="100">
        <f>IF('Net zero activities &amp; levers'!$C$5="Off",('Activity data'!AY6*EF!$H5)*kgtoGg,IF('Net zero activities &amp; levers'!$C$5="On",(((('Activity data'!AY6-'Net zero supporting data'!W16)*EF!$H5)+('Net zero supporting data'!W16*'Net zero supporting data'!W26))*kgtoGg)))</f>
        <v>68.010873381603446</v>
      </c>
      <c r="AG5" s="100">
        <f>IF('Net zero activities &amp; levers'!$C$5="Off",('Activity data'!AZ6*EF!$H5)*kgtoGg,IF('Net zero activities &amp; levers'!$C$5="On",(((('Activity data'!AZ6-'Net zero supporting data'!X16)*EF!$H5)+('Net zero supporting data'!X16*'Net zero supporting data'!X26))*kgtoGg)))</f>
        <v>69.345515297788566</v>
      </c>
      <c r="AH5" s="100">
        <f>IF('Net zero activities &amp; levers'!$C$5="Off",('Activity data'!BA6*EF!$H5)*kgtoGg,IF('Net zero activities &amp; levers'!$C$5="On",(((('Activity data'!BA6-'Net zero supporting data'!Y16)*EF!$H5)+('Net zero supporting data'!Y16*'Net zero supporting data'!Y26))*kgtoGg)))</f>
        <v>70.547673709402119</v>
      </c>
      <c r="AI5" s="100">
        <f>IF('Net zero activities &amp; levers'!$C$5="Off",('Activity data'!BB6*EF!$H5)*kgtoGg,IF('Net zero activities &amp; levers'!$C$5="On",(((('Activity data'!BB6-'Net zero supporting data'!Z16)*EF!$H5)+('Net zero supporting data'!Z16*'Net zero supporting data'!Z26))*kgtoGg)))</f>
        <v>71.7971402463223</v>
      </c>
      <c r="AJ5" s="100">
        <f>IF('Net zero activities &amp; levers'!$C$5="Off",('Activity data'!BC6*EF!$H5)*kgtoGg,IF('Net zero activities &amp; levers'!$C$5="On",(((('Activity data'!BC6-'Net zero supporting data'!AA16)*EF!$H5)+('Net zero supporting data'!AA16*'Net zero supporting data'!AA26))*kgtoGg)))</f>
        <v>73.078896389449156</v>
      </c>
      <c r="AK5" s="100">
        <f>IF('Net zero activities &amp; levers'!$C$5="Off",('Activity data'!BD6*EF!$H5)*kgtoGg,IF('Net zero activities &amp; levers'!$C$5="On",(((('Activity data'!BD6-'Net zero supporting data'!AB16)*EF!$H5)+('Net zero supporting data'!AB16*'Net zero supporting data'!AB26))*kgtoGg)))</f>
        <v>74.319202536657471</v>
      </c>
      <c r="AL5" s="100">
        <f>IF('Net zero activities &amp; levers'!$C$5="Off",('Activity data'!BE6*EF!$H5)*kgtoGg,IF('Net zero activities &amp; levers'!$C$5="On",(((('Activity data'!BE6-'Net zero supporting data'!AC16)*EF!$H5)+('Net zero supporting data'!AC16*'Net zero supporting data'!AC26))*kgtoGg)))</f>
        <v>75.567682134253275</v>
      </c>
      <c r="AM5" s="100">
        <f>IF('Net zero activities &amp; levers'!$C$5="Off",('Activity data'!BF6*EF!$H5)*kgtoGg,IF('Net zero activities &amp; levers'!$C$5="On",(((('Activity data'!BF6-'Net zero supporting data'!AD16)*EF!$H5)+('Net zero supporting data'!AD16*'Net zero supporting data'!AD26))*kgtoGg)))</f>
        <v>76.869656399353744</v>
      </c>
      <c r="AN5" s="100">
        <f>IF('Net zero activities &amp; levers'!$C$5="Off",('Activity data'!BG6*EF!$H5)*kgtoGg,IF('Net zero activities &amp; levers'!$C$5="On",(((('Activity data'!BG6-'Net zero supporting data'!AE16)*EF!$H5)+('Net zero supporting data'!AE16*'Net zero supporting data'!AE26))*kgtoGg)))</f>
        <v>78.273458423796427</v>
      </c>
      <c r="AO5" s="100">
        <f>IF('Net zero activities &amp; levers'!$C$5="Off",('Activity data'!BH6*EF!$H5)*kgtoGg,IF('Net zero activities &amp; levers'!$C$5="On",(((('Activity data'!BH6-'Net zero supporting data'!AF16)*EF!$H5)+('Net zero supporting data'!AF16*'Net zero supporting data'!AF26))*kgtoGg)))</f>
        <v>79.614618251719136</v>
      </c>
      <c r="AP5" s="100">
        <f>IF('Net zero activities &amp; levers'!$C$5="Off",('Activity data'!BI6*EF!$H5)*kgtoGg,IF('Net zero activities &amp; levers'!$C$5="On",(((('Activity data'!BI6-'Net zero supporting data'!AG16)*EF!$H5)+('Net zero supporting data'!AG16*'Net zero supporting data'!AG26))*kgtoGg)))</f>
        <v>80.984173931625804</v>
      </c>
      <c r="AQ5" s="100">
        <f>IF('Net zero activities &amp; levers'!$C$5="Off",('Activity data'!BJ6*EF!$H5)*kgtoGg,IF('Net zero activities &amp; levers'!$C$5="On",(((('Activity data'!BJ6-'Net zero supporting data'!AH16)*EF!$H5)+('Net zero supporting data'!AH16*'Net zero supporting data'!AH26))*kgtoGg)))</f>
        <v>82.384590213352908</v>
      </c>
      <c r="AR5" s="100">
        <f>IF('Net zero activities &amp; levers'!$C$5="Off",('Activity data'!BK6*EF!$H5)*kgtoGg,IF('Net zero activities &amp; levers'!$C$5="On",(((('Activity data'!BK6-'Net zero supporting data'!AI16)*EF!$H5)+('Net zero supporting data'!AI16*'Net zero supporting data'!AI26))*kgtoGg)))</f>
        <v>83.882028686751283</v>
      </c>
      <c r="AS5" s="100">
        <f>IF('Net zero activities &amp; levers'!$C$5="Off",('Activity data'!BL6*EF!$H5)*kgtoGg,IF('Net zero activities &amp; levers'!$C$5="On",(((('Activity data'!BL6-'Net zero supporting data'!AJ16)*EF!$H5)+('Net zero supporting data'!AJ16*'Net zero supporting data'!AJ26))*kgtoGg)))</f>
        <v>85.396078012805901</v>
      </c>
      <c r="AT5" s="100">
        <f>IF('Net zero activities &amp; levers'!$C$5="Off",('Activity data'!BM6*EF!$H5)*kgtoGg,IF('Net zero activities &amp; levers'!$C$5="On",(((('Activity data'!BM6-'Net zero supporting data'!AK16)*EF!$H5)+('Net zero supporting data'!AK16*'Net zero supporting data'!AK26))*kgtoGg)))</f>
        <v>86.304500733002314</v>
      </c>
      <c r="AU5" s="100">
        <f>IF('Net zero activities &amp; levers'!$C$5="Off",('Activity data'!BN6*EF!$H5)*kgtoGg,IF('Net zero activities &amp; levers'!$C$5="On",(((('Activity data'!BN6-'Net zero supporting data'!AL16)*EF!$H5)+('Net zero supporting data'!AL16*'Net zero supporting data'!AL26))*kgtoGg)))</f>
        <v>87.177945944118662</v>
      </c>
      <c r="AV5" s="100">
        <f>IF('Net zero activities &amp; levers'!$C$5="Off",('Activity data'!BO6*EF!$H5)*kgtoGg,IF('Net zero activities &amp; levers'!$C$5="On",(((('Activity data'!BO6-'Net zero supporting data'!AM16)*EF!$H5)+('Net zero supporting data'!AM16*'Net zero supporting data'!AM26))*kgtoGg)))</f>
        <v>88.143850959026096</v>
      </c>
      <c r="AW5" s="100">
        <f>IF('Net zero activities &amp; levers'!$C$5="Off",('Activity data'!BP6*EF!$H5)*kgtoGg,IF('Net zero activities &amp; levers'!$C$5="On",(((('Activity data'!BP6-'Net zero supporting data'!AN16)*EF!$H5)+('Net zero supporting data'!AN16*'Net zero supporting data'!AN26))*kgtoGg)))</f>
        <v>89.082192476617024</v>
      </c>
      <c r="AY5" s="85"/>
    </row>
    <row r="6" spans="1:55" x14ac:dyDescent="0.25">
      <c r="A6" s="102" t="str">
        <f t="shared" si="0"/>
        <v>FS Cattle</v>
      </c>
      <c r="B6" s="102" t="s">
        <v>1005</v>
      </c>
      <c r="C6" s="102" t="s">
        <v>1109</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100">
        <f>IF('Net zero activities &amp; levers'!$C$5="Off",('Activity data'!AD7*EF!$H6)*kgtoGg,IF('Net zero activities &amp; levers'!$C$5="On",(((('Activity data'!AD7-'Net zero supporting data'!B17)*EF!$H6)+('Net zero supporting data'!B17*'Net zero supporting data'!B27))*kgtoGg)))</f>
        <v>26.152753652516633</v>
      </c>
      <c r="L6" s="100">
        <f>IF('Net zero activities &amp; levers'!$C$5="Off",('Activity data'!AE7*EF!$H6)*kgtoGg,IF('Net zero activities &amp; levers'!$C$5="On",(((('Activity data'!AE7-'Net zero supporting data'!C17)*EF!$H6)+('Net zero supporting data'!C17*'Net zero supporting data'!C27))*kgtoGg)))</f>
        <v>26.329338513524345</v>
      </c>
      <c r="M6" s="100">
        <f>IF('Net zero activities &amp; levers'!$C$5="Off",('Activity data'!AF7*EF!$H6)*kgtoGg,IF('Net zero activities &amp; levers'!$C$5="On",(((('Activity data'!AF7-'Net zero supporting data'!D17)*EF!$H6)+('Net zero supporting data'!D17*'Net zero supporting data'!D27))*kgtoGg)))</f>
        <v>26.483805536783215</v>
      </c>
      <c r="N6" s="100">
        <f>IF('Net zero activities &amp; levers'!$C$5="Off",('Activity data'!AG7*EF!$H6)*kgtoGg,IF('Net zero activities &amp; levers'!$C$5="On",(((('Activity data'!AG7-'Net zero supporting data'!E17)*EF!$H6)+('Net zero supporting data'!E17*'Net zero supporting data'!E27))*kgtoGg)))</f>
        <v>26.503786170024174</v>
      </c>
      <c r="O6" s="100">
        <f>IF('Net zero activities &amp; levers'!$C$5="Off",('Activity data'!AH7*EF!$H6)*kgtoGg,IF('Net zero activities &amp; levers'!$C$5="On",(((('Activity data'!AH7-'Net zero supporting data'!F17)*EF!$H6)+('Net zero supporting data'!F17*'Net zero supporting data'!F27))*kgtoGg)))</f>
        <v>26.538200851723289</v>
      </c>
      <c r="P6" s="100">
        <f>IF('Net zero activities &amp; levers'!$C$5="Off",('Activity data'!AI7*EF!$H6)*kgtoGg,IF('Net zero activities &amp; levers'!$C$5="On",(((('Activity data'!AI7-'Net zero supporting data'!G17)*EF!$H6)+('Net zero supporting data'!G17*'Net zero supporting data'!G27))*kgtoGg)))</f>
        <v>26.735665947439109</v>
      </c>
      <c r="Q6" s="100">
        <f>IF('Net zero activities &amp; levers'!$C$5="Off",('Activity data'!AJ7*EF!$H6)*kgtoGg,IF('Net zero activities &amp; levers'!$C$5="On",(((('Activity data'!AJ7-'Net zero supporting data'!H17)*EF!$H6)+('Net zero supporting data'!H17*'Net zero supporting data'!H27))*kgtoGg)))</f>
        <v>26.893565719271944</v>
      </c>
      <c r="R6" s="100">
        <f>IF('Net zero activities &amp; levers'!$C$5="Off",('Activity data'!AK7*EF!$H6)*kgtoGg,IF('Net zero activities &amp; levers'!$C$5="On",(((('Activity data'!AK7-'Net zero supporting data'!I17)*EF!$H6)+('Net zero supporting data'!I17*'Net zero supporting data'!I27))*kgtoGg)))</f>
        <v>26.894950193966014</v>
      </c>
      <c r="S6" s="100">
        <f>IF('Net zero activities &amp; levers'!$C$5="Off",('Activity data'!AL7*EF!$H6)*kgtoGg,IF('Net zero activities &amp; levers'!$C$5="On",(((('Activity data'!AL7-'Net zero supporting data'!J17)*EF!$H6)+('Net zero supporting data'!J17*'Net zero supporting data'!J27))*kgtoGg)))</f>
        <v>26.182402039293791</v>
      </c>
      <c r="T6" s="100">
        <f>IF('Net zero activities &amp; levers'!$C$5="Off",('Activity data'!AM7*EF!$H6)*kgtoGg,IF('Net zero activities &amp; levers'!$C$5="On",(((('Activity data'!AM7-'Net zero supporting data'!K17)*EF!$H6)+('Net zero supporting data'!K17*'Net zero supporting data'!K27))*kgtoGg)))</f>
        <v>26.509788881039285</v>
      </c>
      <c r="U6" s="100">
        <f>IF('Net zero activities &amp; levers'!$C$5="Off",('Activity data'!AN7*EF!$H6)*kgtoGg,IF('Net zero activities &amp; levers'!$C$5="On",(((('Activity data'!AN7-'Net zero supporting data'!L17)*EF!$H6)+('Net zero supporting data'!L17*'Net zero supporting data'!L27))*kgtoGg)))</f>
        <v>26.719726801133206</v>
      </c>
      <c r="V6" s="100">
        <f>IF('Net zero activities &amp; levers'!$C$5="Off",('Activity data'!AO7*EF!$H6)*kgtoGg,IF('Net zero activities &amp; levers'!$C$5="On",(((('Activity data'!AO7-'Net zero supporting data'!M17)*EF!$H6)+('Net zero supporting data'!M17*'Net zero supporting data'!M27))*kgtoGg)))</f>
        <v>26.881077612151667</v>
      </c>
      <c r="W6" s="100">
        <f>IF('Net zero activities &amp; levers'!$C$5="Off",('Activity data'!AP7*EF!$H6)*kgtoGg,IF('Net zero activities &amp; levers'!$C$5="On",(((('Activity data'!AP7-'Net zero supporting data'!N17)*EF!$H6)+('Net zero supporting data'!N17*'Net zero supporting data'!N27))*kgtoGg)))</f>
        <v>27.047330815660413</v>
      </c>
      <c r="X6" s="100">
        <f>IF('Net zero activities &amp; levers'!$C$5="Off",('Activity data'!AQ7*EF!$H6)*kgtoGg,IF('Net zero activities &amp; levers'!$C$5="On",(((('Activity data'!AQ7-'Net zero supporting data'!O17)*EF!$H6)+('Net zero supporting data'!O17*'Net zero supporting data'!O27))*kgtoGg)))</f>
        <v>27.300692686564616</v>
      </c>
      <c r="Y6" s="100">
        <f>IF('Net zero activities &amp; levers'!$C$5="Off",('Activity data'!AR7*EF!$H6)*kgtoGg,IF('Net zero activities &amp; levers'!$C$5="On",(((('Activity data'!AR7-'Net zero supporting data'!P17)*EF!$H6)+('Net zero supporting data'!P17*'Net zero supporting data'!P27))*kgtoGg)))</f>
        <v>27.534338846071169</v>
      </c>
      <c r="Z6" s="100">
        <f>IF('Net zero activities &amp; levers'!$C$5="Off",('Activity data'!AS7*EF!$H6)*kgtoGg,IF('Net zero activities &amp; levers'!$C$5="On",(((('Activity data'!AS7-'Net zero supporting data'!Q17)*EF!$H6)+('Net zero supporting data'!Q17*'Net zero supporting data'!Q27))*kgtoGg)))</f>
        <v>27.766664441749541</v>
      </c>
      <c r="AA6" s="100">
        <f>IF('Net zero activities &amp; levers'!$C$5="Off",('Activity data'!AT7*EF!$H6)*kgtoGg,IF('Net zero activities &amp; levers'!$C$5="On",(((('Activity data'!AT7-'Net zero supporting data'!R17)*EF!$H6)+('Net zero supporting data'!R17*'Net zero supporting data'!R27))*kgtoGg)))</f>
        <v>27.920693748239909</v>
      </c>
      <c r="AB6" s="100">
        <f>IF('Net zero activities &amp; levers'!$C$5="Off",('Activity data'!AU7*EF!$H6)*kgtoGg,IF('Net zero activities &amp; levers'!$C$5="On",(((('Activity data'!AU7-'Net zero supporting data'!S17)*EF!$H6)+('Net zero supporting data'!S17*'Net zero supporting data'!S27))*kgtoGg)))</f>
        <v>28.09520415567674</v>
      </c>
      <c r="AC6" s="100">
        <f>IF('Net zero activities &amp; levers'!$C$5="Off",('Activity data'!AV7*EF!$H6)*kgtoGg,IF('Net zero activities &amp; levers'!$C$5="On",(((('Activity data'!AV7-'Net zero supporting data'!T17)*EF!$H6)+('Net zero supporting data'!T17*'Net zero supporting data'!T27))*kgtoGg)))</f>
        <v>28.300605961562532</v>
      </c>
      <c r="AD6" s="100">
        <f>IF('Net zero activities &amp; levers'!$C$5="Off",('Activity data'!AW7*EF!$H6)*kgtoGg,IF('Net zero activities &amp; levers'!$C$5="On",(((('Activity data'!AW7-'Net zero supporting data'!U17)*EF!$H6)+('Net zero supporting data'!U17*'Net zero supporting data'!U27))*kgtoGg)))</f>
        <v>28.762423909867813</v>
      </c>
      <c r="AE6" s="100">
        <f>IF('Net zero activities &amp; levers'!$C$5="Off",('Activity data'!AX7*EF!$H6)*kgtoGg,IF('Net zero activities &amp; levers'!$C$5="On",(((('Activity data'!AX7-'Net zero supporting data'!V17)*EF!$H6)+('Net zero supporting data'!V17*'Net zero supporting data'!V27))*kgtoGg)))</f>
        <v>29.249112168974033</v>
      </c>
      <c r="AF6" s="100">
        <f>IF('Net zero activities &amp; levers'!$C$5="Off",('Activity data'!AY7*EF!$H6)*kgtoGg,IF('Net zero activities &amp; levers'!$C$5="On",(((('Activity data'!AY7-'Net zero supporting data'!W17)*EF!$H6)+('Net zero supporting data'!W17*'Net zero supporting data'!W27))*kgtoGg)))</f>
        <v>29.750419626328668</v>
      </c>
      <c r="AG6" s="100">
        <f>IF('Net zero activities &amp; levers'!$C$5="Off",('Activity data'!AZ7*EF!$H6)*kgtoGg,IF('Net zero activities &amp; levers'!$C$5="On",(((('Activity data'!AZ7-'Net zero supporting data'!X17)*EF!$H6)+('Net zero supporting data'!X17*'Net zero supporting data'!X27))*kgtoGg)))</f>
        <v>30.311508077770977</v>
      </c>
      <c r="AH6" s="100">
        <f>IF('Net zero activities &amp; levers'!$C$5="Off",('Activity data'!BA7*EF!$H6)*kgtoGg,IF('Net zero activities &amp; levers'!$C$5="On",(((('Activity data'!BA7-'Net zero supporting data'!Y17)*EF!$H6)+('Net zero supporting data'!Y17*'Net zero supporting data'!Y27))*kgtoGg)))</f>
        <v>30.813904623599523</v>
      </c>
      <c r="AI6" s="100">
        <f>IF('Net zero activities &amp; levers'!$C$5="Off",('Activity data'!BB7*EF!$H6)*kgtoGg,IF('Net zero activities &amp; levers'!$C$5="On",(((('Activity data'!BB7-'Net zero supporting data'!Z17)*EF!$H6)+('Net zero supporting data'!Z17*'Net zero supporting data'!Z27))*kgtoGg)))</f>
        <v>31.336213013155724</v>
      </c>
      <c r="AJ6" s="100">
        <f>IF('Net zero activities &amp; levers'!$C$5="Off",('Activity data'!BC7*EF!$H6)*kgtoGg,IF('Net zero activities &amp; levers'!$C$5="On",(((('Activity data'!BC7-'Net zero supporting data'!AA17)*EF!$H6)+('Net zero supporting data'!AA17*'Net zero supporting data'!AA27))*kgtoGg)))</f>
        <v>31.87183982841151</v>
      </c>
      <c r="AK6" s="100">
        <f>IF('Net zero activities &amp; levers'!$C$5="Off",('Activity data'!BD7*EF!$H6)*kgtoGg,IF('Net zero activities &amp; levers'!$C$5="On",(((('Activity data'!BD7-'Net zero supporting data'!AB17)*EF!$H6)+('Net zero supporting data'!AB17*'Net zero supporting data'!AB27))*kgtoGg)))</f>
        <v>32.388620500989923</v>
      </c>
      <c r="AL6" s="100">
        <f>IF('Net zero activities &amp; levers'!$C$5="Off",('Activity data'!BE7*EF!$H6)*kgtoGg,IF('Net zero activities &amp; levers'!$C$5="On",(((('Activity data'!BE7-'Net zero supporting data'!AC17)*EF!$H6)+('Net zero supporting data'!AC17*'Net zero supporting data'!AC27))*kgtoGg)))</f>
        <v>32.908208399232066</v>
      </c>
      <c r="AM6" s="100">
        <f>IF('Net zero activities &amp; levers'!$C$5="Off",('Activity data'!BF7*EF!$H6)*kgtoGg,IF('Net zero activities &amp; levers'!$C$5="On",(((('Activity data'!BF7-'Net zero supporting data'!AD17)*EF!$H6)+('Net zero supporting data'!AD17*'Net zero supporting data'!AD27))*kgtoGg)))</f>
        <v>33.450320366329358</v>
      </c>
      <c r="AN6" s="100">
        <f>IF('Net zero activities &amp; levers'!$C$5="Off",('Activity data'!BG7*EF!$H6)*kgtoGg,IF('Net zero activities &amp; levers'!$C$5="On",(((('Activity data'!BG7-'Net zero supporting data'!AE17)*EF!$H6)+('Net zero supporting data'!AE17*'Net zero supporting data'!AE27))*kgtoGg)))</f>
        <v>34.063479544921975</v>
      </c>
      <c r="AO6" s="100">
        <f>IF('Net zero activities &amp; levers'!$C$5="Off",('Activity data'!BH7*EF!$H6)*kgtoGg,IF('Net zero activities &amp; levers'!$C$5="On",(((('Activity data'!BH7-'Net zero supporting data'!AF17)*EF!$H6)+('Net zero supporting data'!AF17*'Net zero supporting data'!AF27))*kgtoGg)))</f>
        <v>34.649457614230677</v>
      </c>
      <c r="AP6" s="100">
        <f>IF('Net zero activities &amp; levers'!$C$5="Off",('Activity data'!BI7*EF!$H6)*kgtoGg,IF('Net zero activities &amp; levers'!$C$5="On",(((('Activity data'!BI7-'Net zero supporting data'!AG17)*EF!$H6)+('Net zero supporting data'!AG17*'Net zero supporting data'!AG27))*kgtoGg)))</f>
        <v>35.247872833466204</v>
      </c>
      <c r="AQ6" s="100">
        <f>IF('Net zero activities &amp; levers'!$C$5="Off",('Activity data'!BJ7*EF!$H6)*kgtoGg,IF('Net zero activities &amp; levers'!$C$5="On",(((('Activity data'!BJ7-'Net zero supporting data'!AH17)*EF!$H6)+('Net zero supporting data'!AH17*'Net zero supporting data'!AH27))*kgtoGg)))</f>
        <v>35.859800514269075</v>
      </c>
      <c r="AR6" s="100">
        <f>IF('Net zero activities &amp; levers'!$C$5="Off",('Activity data'!BK7*EF!$H6)*kgtoGg,IF('Net zero activities &amp; levers'!$C$5="On",(((('Activity data'!BK7-'Net zero supporting data'!AI17)*EF!$H6)+('Net zero supporting data'!AI17*'Net zero supporting data'!AI27))*kgtoGg)))</f>
        <v>36.514043639141967</v>
      </c>
      <c r="AS6" s="100">
        <f>IF('Net zero activities &amp; levers'!$C$5="Off",('Activity data'!BL7*EF!$H6)*kgtoGg,IF('Net zero activities &amp; levers'!$C$5="On",(((('Activity data'!BL7-'Net zero supporting data'!AJ17)*EF!$H6)+('Net zero supporting data'!AJ17*'Net zero supporting data'!AJ27))*kgtoGg)))</f>
        <v>37.175605096443263</v>
      </c>
      <c r="AT6" s="100">
        <f>IF('Net zero activities &amp; levers'!$C$5="Off",('Activity data'!BM7*EF!$H6)*kgtoGg,IF('Net zero activities &amp; levers'!$C$5="On",(((('Activity data'!BM7-'Net zero supporting data'!AK17)*EF!$H6)+('Net zero supporting data'!AK17*'Net zero supporting data'!AK27))*kgtoGg)))</f>
        <v>37.57358858329178</v>
      </c>
      <c r="AU6" s="100">
        <f>IF('Net zero activities &amp; levers'!$C$5="Off",('Activity data'!BN7*EF!$H6)*kgtoGg,IF('Net zero activities &amp; levers'!$C$5="On",(((('Activity data'!BN7-'Net zero supporting data'!AL17)*EF!$H6)+('Net zero supporting data'!AL17*'Net zero supporting data'!AL27))*kgtoGg)))</f>
        <v>37.956395916799366</v>
      </c>
      <c r="AV6" s="100">
        <f>IF('Net zero activities &amp; levers'!$C$5="Off",('Activity data'!BO7*EF!$H6)*kgtoGg,IF('Net zero activities &amp; levers'!$C$5="On",(((('Activity data'!BO7-'Net zero supporting data'!AM17)*EF!$H6)+('Net zero supporting data'!AM17*'Net zero supporting data'!AM27))*kgtoGg)))</f>
        <v>38.379512660753853</v>
      </c>
      <c r="AW6" s="100">
        <f>IF('Net zero activities &amp; levers'!$C$5="Off",('Activity data'!BP7*EF!$H6)*kgtoGg,IF('Net zero activities &amp; levers'!$C$5="On",(((('Activity data'!BP7-'Net zero supporting data'!AN17)*EF!$H6)+('Net zero supporting data'!AN17*'Net zero supporting data'!AN27))*kgtoGg)))</f>
        <v>38.790682962915575</v>
      </c>
      <c r="AY6" s="85"/>
    </row>
    <row r="7" spans="1:55" x14ac:dyDescent="0.25">
      <c r="A7" s="102" t="str">
        <f t="shared" si="0"/>
        <v>FS Cattle</v>
      </c>
      <c r="B7" s="102" t="s">
        <v>1005</v>
      </c>
      <c r="C7" s="102" t="s">
        <v>1109</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100">
        <f>IF('Net zero activities &amp; levers'!$C$5="Off",('Activity data'!AD8*EF!$H7)*kgtoGg,IF('Net zero activities &amp; levers'!$C$5="On",(((('Activity data'!AD8-'Net zero supporting data'!B18)*EF!$H7)+('Net zero supporting data'!B18*'Net zero supporting data'!B28))*kgtoGg)))</f>
        <v>465.52056336079949</v>
      </c>
      <c r="L7" s="100">
        <f>IF('Net zero activities &amp; levers'!$C$5="Off",('Activity data'!AE8*EF!$H7)*kgtoGg,IF('Net zero activities &amp; levers'!$C$5="On",(((('Activity data'!AE8-'Net zero supporting data'!C18)*EF!$H7)+('Net zero supporting data'!C18*'Net zero supporting data'!C28))*kgtoGg)))</f>
        <v>463.15049709319385</v>
      </c>
      <c r="M7" s="100">
        <f>IF('Net zero activities &amp; levers'!$C$5="Off",('Activity data'!AF8*EF!$H7)*kgtoGg,IF('Net zero activities &amp; levers'!$C$5="On",(((('Activity data'!AF8-'Net zero supporting data'!D18)*EF!$H7)+('Net zero supporting data'!D18*'Net zero supporting data'!D28))*kgtoGg)))</f>
        <v>458.82469207652616</v>
      </c>
      <c r="N7" s="100">
        <f>IF('Net zero activities &amp; levers'!$C$5="Off",('Activity data'!AG8*EF!$H7)*kgtoGg,IF('Net zero activities &amp; levers'!$C$5="On",(((('Activity data'!AG8-'Net zero supporting data'!E18)*EF!$H7)+('Net zero supporting data'!E18*'Net zero supporting data'!E28))*kgtoGg)))</f>
        <v>446.98374150991339</v>
      </c>
      <c r="O7" s="100">
        <f>IF('Net zero activities &amp; levers'!$C$5="Off",('Activity data'!AH8*EF!$H7)*kgtoGg,IF('Net zero activities &amp; levers'!$C$5="On",(((('Activity data'!AH8-'Net zero supporting data'!F18)*EF!$H7)+('Net zero supporting data'!F18*'Net zero supporting data'!F28))*kgtoGg)))</f>
        <v>435.61531631652565</v>
      </c>
      <c r="P7" s="100">
        <f>IF('Net zero activities &amp; levers'!$C$5="Off",('Activity data'!AI8*EF!$H7)*kgtoGg,IF('Net zero activities &amp; levers'!$C$5="On",(((('Activity data'!AI8-'Net zero supporting data'!G18)*EF!$H7)+('Net zero supporting data'!G18*'Net zero supporting data'!G28))*kgtoGg)))</f>
        <v>431.8940518676672</v>
      </c>
      <c r="Q7" s="100">
        <f>IF('Net zero activities &amp; levers'!$C$5="Off",('Activity data'!AJ8*EF!$H7)*kgtoGg,IF('Net zero activities &amp; levers'!$C$5="On",(((('Activity data'!AJ8-'Net zero supporting data'!H18)*EF!$H7)+('Net zero supporting data'!H18*'Net zero supporting data'!H28))*kgtoGg)))</f>
        <v>425.88381386723944</v>
      </c>
      <c r="R7" s="100">
        <f>IF('Net zero activities &amp; levers'!$C$5="Off",('Activity data'!AK8*EF!$H7)*kgtoGg,IF('Net zero activities &amp; levers'!$C$5="On",(((('Activity data'!AK8-'Net zero supporting data'!I18)*EF!$H7)+('Net zero supporting data'!I18*'Net zero supporting data'!I28))*kgtoGg)))</f>
        <v>412.37997971855566</v>
      </c>
      <c r="S7" s="100">
        <f>IF('Net zero activities &amp; levers'!$C$5="Off",('Activity data'!AL8*EF!$H7)*kgtoGg,IF('Net zero activities &amp; levers'!$C$5="On",(((('Activity data'!AL8-'Net zero supporting data'!J18)*EF!$H7)+('Net zero supporting data'!J18*'Net zero supporting data'!J28))*kgtoGg)))</f>
        <v>367.07322936568551</v>
      </c>
      <c r="T7" s="100">
        <f>IF('Net zero activities &amp; levers'!$C$5="Off",('Activity data'!AM8*EF!$H7)*kgtoGg,IF('Net zero activities &amp; levers'!$C$5="On",(((('Activity data'!AM8-'Net zero supporting data'!K18)*EF!$H7)+('Net zero supporting data'!K18*'Net zero supporting data'!K28))*kgtoGg)))</f>
        <v>375.89599912133883</v>
      </c>
      <c r="U7" s="100">
        <f>IF('Net zero activities &amp; levers'!$C$5="Off",('Activity data'!AN8*EF!$H7)*kgtoGg,IF('Net zero activities &amp; levers'!$C$5="On",(((('Activity data'!AN8-'Net zero supporting data'!L18)*EF!$H7)+('Net zero supporting data'!L18*'Net zero supporting data'!L28))*kgtoGg)))</f>
        <v>380.30840571734194</v>
      </c>
      <c r="V7" s="100">
        <f>IF('Net zero activities &amp; levers'!$C$5="Off",('Activity data'!AO8*EF!$H7)*kgtoGg,IF('Net zero activities &amp; levers'!$C$5="On",(((('Activity data'!AO8-'Net zero supporting data'!M18)*EF!$H7)+('Net zero supporting data'!M18*'Net zero supporting data'!M28))*kgtoGg)))</f>
        <v>383.45631794161886</v>
      </c>
      <c r="W7" s="100">
        <f>IF('Net zero activities &amp; levers'!$C$5="Off",('Activity data'!AP8*EF!$H7)*kgtoGg,IF('Net zero activities &amp; levers'!$C$5="On",(((('Activity data'!AP8-'Net zero supporting data'!N18)*EF!$H7)+('Net zero supporting data'!N18*'Net zero supporting data'!N28))*kgtoGg)))</f>
        <v>387.66406878972276</v>
      </c>
      <c r="X7" s="100">
        <f>IF('Net zero activities &amp; levers'!$C$5="Off",('Activity data'!AQ8*EF!$H7)*kgtoGg,IF('Net zero activities &amp; levers'!$C$5="On",(((('Activity data'!AQ8-'Net zero supporting data'!O18)*EF!$H7)+('Net zero supporting data'!O18*'Net zero supporting data'!O28))*kgtoGg)))</f>
        <v>396.33926758485455</v>
      </c>
      <c r="Y7" s="100">
        <f>IF('Net zero activities &amp; levers'!$C$5="Off",('Activity data'!AR8*EF!$H7)*kgtoGg,IF('Net zero activities &amp; levers'!$C$5="On",(((('Activity data'!AR8-'Net zero supporting data'!P18)*EF!$H7)+('Net zero supporting data'!P18*'Net zero supporting data'!P28))*kgtoGg)))</f>
        <v>405.66897251746934</v>
      </c>
      <c r="Z7" s="100">
        <f>IF('Net zero activities &amp; levers'!$C$5="Off",('Activity data'!AS8*EF!$H7)*kgtoGg,IF('Net zero activities &amp; levers'!$C$5="On",(((('Activity data'!AS8-'Net zero supporting data'!Q18)*EF!$H7)+('Net zero supporting data'!Q18*'Net zero supporting data'!Q28))*kgtoGg)))</f>
        <v>415.68261168176275</v>
      </c>
      <c r="AA7" s="100">
        <f>IF('Net zero activities &amp; levers'!$C$5="Off",('Activity data'!AT8*EF!$H7)*kgtoGg,IF('Net zero activities &amp; levers'!$C$5="On",(((('Activity data'!AT8-'Net zero supporting data'!R18)*EF!$H7)+('Net zero supporting data'!R18*'Net zero supporting data'!R28))*kgtoGg)))</f>
        <v>423.27747061129111</v>
      </c>
      <c r="AB7" s="100">
        <f>IF('Net zero activities &amp; levers'!$C$5="Off",('Activity data'!AU8*EF!$H7)*kgtoGg,IF('Net zero activities &amp; levers'!$C$5="On",(((('Activity data'!AU8-'Net zero supporting data'!S18)*EF!$H7)+('Net zero supporting data'!S18*'Net zero supporting data'!S28))*kgtoGg)))</f>
        <v>432.50818061020902</v>
      </c>
      <c r="AC7" s="100">
        <f>IF('Net zero activities &amp; levers'!$C$5="Off",('Activity data'!AV8*EF!$H7)*kgtoGg,IF('Net zero activities &amp; levers'!$C$5="On",(((('Activity data'!AV8-'Net zero supporting data'!T18)*EF!$H7)+('Net zero supporting data'!T18*'Net zero supporting data'!T28))*kgtoGg)))</f>
        <v>443.77673740810866</v>
      </c>
      <c r="AD7" s="100">
        <f>IF('Net zero activities &amp; levers'!$C$5="Off",('Activity data'!AW8*EF!$H7)*kgtoGg,IF('Net zero activities &amp; levers'!$C$5="On",(((('Activity data'!AW8-'Net zero supporting data'!U18)*EF!$H7)+('Net zero supporting data'!U18*'Net zero supporting data'!U28))*kgtoGg)))</f>
        <v>452.05275075069511</v>
      </c>
      <c r="AE7" s="100">
        <f>IF('Net zero activities &amp; levers'!$C$5="Off",('Activity data'!AX8*EF!$H7)*kgtoGg,IF('Net zero activities &amp; levers'!$C$5="On",(((('Activity data'!AX8-'Net zero supporting data'!V18)*EF!$H7)+('Net zero supporting data'!V18*'Net zero supporting data'!V28))*kgtoGg)))</f>
        <v>460.51728147425126</v>
      </c>
      <c r="AF7" s="100">
        <f>IF('Net zero activities &amp; levers'!$C$5="Off",('Activity data'!AY8*EF!$H7)*kgtoGg,IF('Net zero activities &amp; levers'!$C$5="On",(((('Activity data'!AY8-'Net zero supporting data'!W18)*EF!$H7)+('Net zero supporting data'!W18*'Net zero supporting data'!W28))*kgtoGg)))</f>
        <v>468.74806545819735</v>
      </c>
      <c r="AG7" s="100">
        <f>IF('Net zero activities &amp; levers'!$C$5="Off",('Activity data'!AZ8*EF!$H7)*kgtoGg,IF('Net zero activities &amp; levers'!$C$5="On",(((('Activity data'!AZ8-'Net zero supporting data'!X18)*EF!$H7)+('Net zero supporting data'!X18*'Net zero supporting data'!X28))*kgtoGg)))</f>
        <v>478.36363279001694</v>
      </c>
      <c r="AH7" s="100">
        <f>IF('Net zero activities &amp; levers'!$C$5="Off",('Activity data'!BA8*EF!$H7)*kgtoGg,IF('Net zero activities &amp; levers'!$C$5="On",(((('Activity data'!BA8-'Net zero supporting data'!Y18)*EF!$H7)+('Net zero supporting data'!Y18*'Net zero supporting data'!Y28))*kgtoGg)))</f>
        <v>485.04670641583419</v>
      </c>
      <c r="AI7" s="100">
        <f>IF('Net zero activities &amp; levers'!$C$5="Off",('Activity data'!BB8*EF!$H7)*kgtoGg,IF('Net zero activities &amp; levers'!$C$5="On",(((('Activity data'!BB8-'Net zero supporting data'!Z18)*EF!$H7)+('Net zero supporting data'!Z18*'Net zero supporting data'!Z28))*kgtoGg)))</f>
        <v>492.1240973076591</v>
      </c>
      <c r="AJ7" s="100">
        <f>IF('Net zero activities &amp; levers'!$C$5="Off",('Activity data'!BC8*EF!$H7)*kgtoGg,IF('Net zero activities &amp; levers'!$C$5="On",(((('Activity data'!BC8-'Net zero supporting data'!AA18)*EF!$H7)+('Net zero supporting data'!AA18*'Net zero supporting data'!AA28))*kgtoGg)))</f>
        <v>498.87862595582573</v>
      </c>
      <c r="AK7" s="100">
        <f>IF('Net zero activities &amp; levers'!$C$5="Off",('Activity data'!BD8*EF!$H7)*kgtoGg,IF('Net zero activities &amp; levers'!$C$5="On",(((('Activity data'!BD8-'Net zero supporting data'!AB18)*EF!$H7)+('Net zero supporting data'!AB18*'Net zero supporting data'!AB28))*kgtoGg)))</f>
        <v>504.23894712438283</v>
      </c>
      <c r="AL7" s="100">
        <f>IF('Net zero activities &amp; levers'!$C$5="Off",('Activity data'!BE8*EF!$H7)*kgtoGg,IF('Net zero activities &amp; levers'!$C$5="On",(((('Activity data'!BE8-'Net zero supporting data'!AC18)*EF!$H7)+('Net zero supporting data'!AC18*'Net zero supporting data'!AC28))*kgtoGg)))</f>
        <v>508.96276593482742</v>
      </c>
      <c r="AM7" s="100">
        <f>IF('Net zero activities &amp; levers'!$C$5="Off",('Activity data'!BF8*EF!$H7)*kgtoGg,IF('Net zero activities &amp; levers'!$C$5="On",(((('Activity data'!BF8-'Net zero supporting data'!AD18)*EF!$H7)+('Net zero supporting data'!AD18*'Net zero supporting data'!AD28))*kgtoGg)))</f>
        <v>513.67680347834232</v>
      </c>
      <c r="AN7" s="100">
        <f>IF('Net zero activities &amp; levers'!$C$5="Off",('Activity data'!BG8*EF!$H7)*kgtoGg,IF('Net zero activities &amp; levers'!$C$5="On",(((('Activity data'!BG8-'Net zero supporting data'!AE18)*EF!$H7)+('Net zero supporting data'!AE18*'Net zero supporting data'!AE28))*kgtoGg)))</f>
        <v>521.32730658376613</v>
      </c>
      <c r="AO7" s="100">
        <f>IF('Net zero activities &amp; levers'!$C$5="Off",('Activity data'!BH8*EF!$H7)*kgtoGg,IF('Net zero activities &amp; levers'!$C$5="On",(((('Activity data'!BH8-'Net zero supporting data'!AF18)*EF!$H7)+('Net zero supporting data'!AF18*'Net zero supporting data'!AF28))*kgtoGg)))</f>
        <v>527.48799534352418</v>
      </c>
      <c r="AP7" s="100">
        <f>IF('Net zero activities &amp; levers'!$C$5="Off",('Activity data'!BI8*EF!$H7)*kgtoGg,IF('Net zero activities &amp; levers'!$C$5="On",(((('Activity data'!BI8-'Net zero supporting data'!AG18)*EF!$H7)+('Net zero supporting data'!AG18*'Net zero supporting data'!AG28))*kgtoGg)))</f>
        <v>533.38925112118955</v>
      </c>
      <c r="AQ7" s="100">
        <f>IF('Net zero activities &amp; levers'!$C$5="Off",('Activity data'!BJ8*EF!$H7)*kgtoGg,IF('Net zero activities &amp; levers'!$C$5="On",(((('Activity data'!BJ8-'Net zero supporting data'!AH18)*EF!$H7)+('Net zero supporting data'!AH18*'Net zero supporting data'!AH28))*kgtoGg)))</f>
        <v>539.05243276058275</v>
      </c>
      <c r="AR7" s="100">
        <f>IF('Net zero activities &amp; levers'!$C$5="Off",('Activity data'!BK8*EF!$H7)*kgtoGg,IF('Net zero activities &amp; levers'!$C$5="On",(((('Activity data'!BK8-'Net zero supporting data'!AI18)*EF!$H7)+('Net zero supporting data'!AI18*'Net zero supporting data'!AI28))*kgtoGg)))</f>
        <v>545.27482926958817</v>
      </c>
      <c r="AS7" s="100">
        <f>IF('Net zero activities &amp; levers'!$C$5="Off",('Activity data'!BL8*EF!$H7)*kgtoGg,IF('Net zero activities &amp; levers'!$C$5="On",(((('Activity data'!BL8-'Net zero supporting data'!AJ18)*EF!$H7)+('Net zero supporting data'!AJ18*'Net zero supporting data'!AJ28))*kgtoGg)))</f>
        <v>551.36313837772229</v>
      </c>
      <c r="AT7" s="100">
        <f>IF('Net zero activities &amp; levers'!$C$5="Off",('Activity data'!BM8*EF!$H7)*kgtoGg,IF('Net zero activities &amp; levers'!$C$5="On",(((('Activity data'!BM8-'Net zero supporting data'!AK18)*EF!$H7)+('Net zero supporting data'!AK18*'Net zero supporting data'!AK28))*kgtoGg)))</f>
        <v>549.69825906868209</v>
      </c>
      <c r="AU7" s="100">
        <f>IF('Net zero activities &amp; levers'!$C$5="Off",('Activity data'!BN8*EF!$H7)*kgtoGg,IF('Net zero activities &amp; levers'!$C$5="On",(((('Activity data'!BN8-'Net zero supporting data'!AL18)*EF!$H7)+('Net zero supporting data'!AL18*'Net zero supporting data'!AL28))*kgtoGg)))</f>
        <v>547.29080077360436</v>
      </c>
      <c r="AV7" s="100">
        <f>IF('Net zero activities &amp; levers'!$C$5="Off",('Activity data'!BO8*EF!$H7)*kgtoGg,IF('Net zero activities &amp; levers'!$C$5="On",(((('Activity data'!BO8-'Net zero supporting data'!AM18)*EF!$H7)+('Net zero supporting data'!AM18*'Net zero supporting data'!AM28))*kgtoGg)))</f>
        <v>545.59880888169175</v>
      </c>
      <c r="AW7" s="100">
        <f>IF('Net zero activities &amp; levers'!$C$5="Off",('Activity data'!BP8*EF!$H7)*kgtoGg,IF('Net zero activities &amp; levers'!$C$5="On",(((('Activity data'!BP8-'Net zero supporting data'!AN18)*EF!$H7)+('Net zero supporting data'!AN18*'Net zero supporting data'!AN28))*kgtoGg)))</f>
        <v>543.24810633213781</v>
      </c>
      <c r="AY7" s="85"/>
    </row>
    <row r="8" spans="1:55" x14ac:dyDescent="0.25">
      <c r="A8" s="102" t="str">
        <f t="shared" si="0"/>
        <v>FS Cattle</v>
      </c>
      <c r="B8" s="102" t="s">
        <v>1005</v>
      </c>
      <c r="C8" s="102" t="s">
        <v>1109</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8">
        <f>K1383</f>
        <v>327.80986528142375</v>
      </c>
      <c r="L8" s="28">
        <f t="shared" ref="L8:AW8" si="5">L1383</f>
        <v>326.14091407917653</v>
      </c>
      <c r="M8" s="28">
        <f t="shared" si="5"/>
        <v>323.0947724662044</v>
      </c>
      <c r="N8" s="28">
        <f t="shared" si="5"/>
        <v>314.75662219842133</v>
      </c>
      <c r="O8" s="28">
        <f t="shared" si="5"/>
        <v>306.75121443683565</v>
      </c>
      <c r="P8" s="28">
        <f t="shared" si="5"/>
        <v>304.13077767492297</v>
      </c>
      <c r="Q8" s="28">
        <f t="shared" si="5"/>
        <v>299.89849350898703</v>
      </c>
      <c r="R8" s="28">
        <f t="shared" si="5"/>
        <v>290.38937532717256</v>
      </c>
      <c r="S8" s="28">
        <f t="shared" si="5"/>
        <v>258.48530728280883</v>
      </c>
      <c r="T8" s="28">
        <f t="shared" si="5"/>
        <v>264.80135424014338</v>
      </c>
      <c r="U8" s="28">
        <f t="shared" si="5"/>
        <v>268.21281720915158</v>
      </c>
      <c r="V8" s="28">
        <f t="shared" si="5"/>
        <v>270.92434033912764</v>
      </c>
      <c r="W8" s="28">
        <f t="shared" si="5"/>
        <v>274.56845300784875</v>
      </c>
      <c r="X8" s="28">
        <f t="shared" si="5"/>
        <v>281.56465028341216</v>
      </c>
      <c r="Y8" s="28">
        <f t="shared" si="5"/>
        <v>289.22182640930129</v>
      </c>
      <c r="Z8" s="28">
        <f t="shared" si="5"/>
        <v>297.56512322715759</v>
      </c>
      <c r="AA8" s="28">
        <f t="shared" si="5"/>
        <v>304.36806934749092</v>
      </c>
      <c r="AB8" s="28">
        <f t="shared" si="5"/>
        <v>312.53411878816331</v>
      </c>
      <c r="AC8" s="28">
        <f t="shared" si="5"/>
        <v>322.37031140412756</v>
      </c>
      <c r="AD8" s="28">
        <f t="shared" si="5"/>
        <v>328.8496933086418</v>
      </c>
      <c r="AE8" s="28">
        <f t="shared" si="5"/>
        <v>335.46815795535053</v>
      </c>
      <c r="AF8" s="28">
        <f t="shared" si="5"/>
        <v>341.91723381833816</v>
      </c>
      <c r="AG8" s="28">
        <f t="shared" si="5"/>
        <v>349.37830086467267</v>
      </c>
      <c r="AH8" s="28">
        <f t="shared" si="5"/>
        <v>354.6950999446828</v>
      </c>
      <c r="AI8" s="28">
        <f t="shared" si="5"/>
        <v>360.29626510209863</v>
      </c>
      <c r="AJ8" s="28">
        <f t="shared" si="5"/>
        <v>365.65607664402177</v>
      </c>
      <c r="AK8" s="28">
        <f t="shared" si="5"/>
        <v>369.98629281446455</v>
      </c>
      <c r="AL8" s="28">
        <f t="shared" si="5"/>
        <v>373.83996685831022</v>
      </c>
      <c r="AM8" s="28">
        <f t="shared" si="5"/>
        <v>377.67633839789198</v>
      </c>
      <c r="AN8" s="28">
        <f t="shared" si="5"/>
        <v>383.58110854409597</v>
      </c>
      <c r="AO8" s="28">
        <f t="shared" si="5"/>
        <v>388.38986893098826</v>
      </c>
      <c r="AP8" s="28">
        <f t="shared" si="5"/>
        <v>393.00741689368874</v>
      </c>
      <c r="AQ8" s="28">
        <f t="shared" si="5"/>
        <v>397.44890622627946</v>
      </c>
      <c r="AR8" s="28">
        <f t="shared" si="5"/>
        <v>402.30254954395133</v>
      </c>
      <c r="AS8" s="28">
        <f t="shared" si="5"/>
        <v>407.05664035471597</v>
      </c>
      <c r="AT8" s="28">
        <f t="shared" si="5"/>
        <v>406.07715773626023</v>
      </c>
      <c r="AU8" s="28">
        <f t="shared" si="5"/>
        <v>404.54022847126805</v>
      </c>
      <c r="AV8" s="28">
        <f t="shared" si="5"/>
        <v>403.52434002927453</v>
      </c>
      <c r="AW8" s="28">
        <f t="shared" si="5"/>
        <v>402.01262508272896</v>
      </c>
      <c r="AY8" s="85"/>
    </row>
    <row r="9" spans="1:55" x14ac:dyDescent="0.25">
      <c r="A9" s="102" t="str">
        <f t="shared" si="0"/>
        <v>FS Cattle</v>
      </c>
      <c r="B9" s="102" t="s">
        <v>1005</v>
      </c>
      <c r="C9" s="102" t="s">
        <v>1109</v>
      </c>
      <c r="D9" t="str">
        <f>D7</f>
        <v>3A Livestock</v>
      </c>
      <c r="E9" t="str">
        <f>E7</f>
        <v>3A1 Enteric fermentation (CH4)</v>
      </c>
      <c r="F9" t="str">
        <f>EF!C9</f>
        <v>3A1aii Other cattle</v>
      </c>
      <c r="G9" t="str">
        <f>EF!D9</f>
        <v>Feedlot</v>
      </c>
      <c r="H9" t="str">
        <f>H6</f>
        <v>Enteric fermentation Emissions</v>
      </c>
      <c r="I9" t="str">
        <f>I6</f>
        <v>CH4</v>
      </c>
      <c r="J9" t="str">
        <f>J6</f>
        <v>Gg CH4</v>
      </c>
      <c r="K9" s="100">
        <f>IF('Net zero activities &amp; levers'!$C$5="Off",('Activity data'!AD10*EF!$H9)*kgtoGg,IF('Net zero activities &amp; levers'!$C$5="On",(((('Activity data'!AD10-'Net zero supporting data'!B19)*EF!$H9)+('Net zero supporting data'!B19*'Net zero supporting data'!B29))*kgtoGg)))</f>
        <v>31.983141266454435</v>
      </c>
      <c r="L9" s="100">
        <f>IF('Net zero activities &amp; levers'!$C$5="Off",('Activity data'!AE10*EF!$H9)*kgtoGg,IF('Net zero activities &amp; levers'!$C$5="On",(((('Activity data'!AE10-'Net zero supporting data'!C19)*EF!$H9)+('Net zero supporting data'!C19*'Net zero supporting data'!C29))*kgtoGg)))</f>
        <v>33.176305480896438</v>
      </c>
      <c r="M9" s="100">
        <f>IF('Net zero activities &amp; levers'!$C$5="Off",('Activity data'!AF10*EF!$H9)*kgtoGg,IF('Net zero activities &amp; levers'!$C$5="On",(((('Activity data'!AF10-'Net zero supporting data'!D19)*EF!$H9)+('Net zero supporting data'!D19*'Net zero supporting data'!D29))*kgtoGg)))</f>
        <v>34.248209769984797</v>
      </c>
      <c r="N9" s="100">
        <f>IF('Net zero activities &amp; levers'!$C$5="Off",('Activity data'!AG10*EF!$H9)*kgtoGg,IF('Net zero activities &amp; levers'!$C$5="On",(((('Activity data'!AG10-'Net zero supporting data'!E19)*EF!$H9)+('Net zero supporting data'!E19*'Net zero supporting data'!E29))*kgtoGg)))</f>
        <v>34.751225456913808</v>
      </c>
      <c r="O9" s="100">
        <f>IF('Net zero activities &amp; levers'!$C$5="Off",('Activity data'!AH10*EF!$H9)*kgtoGg,IF('Net zero activities &amp; levers'!$C$5="On",(((('Activity data'!AH10-'Net zero supporting data'!F19)*EF!$H9)+('Net zero supporting data'!F19*'Net zero supporting data'!F29))*kgtoGg)))</f>
        <v>35.261937727399058</v>
      </c>
      <c r="P9" s="100">
        <f>IF('Net zero activities &amp; levers'!$C$5="Off",('Activity data'!AI10*EF!$H9)*kgtoGg,IF('Net zero activities &amp; levers'!$C$5="On",(((('Activity data'!AI10-'Net zero supporting data'!G19)*EF!$H9)+('Net zero supporting data'!G19*'Net zero supporting data'!G29))*kgtoGg)))</f>
        <v>36.389263474395328</v>
      </c>
      <c r="Q9" s="100">
        <f>IF('Net zero activities &amp; levers'!$C$5="Off",('Activity data'!AJ10*EF!$H9)*kgtoGg,IF('Net zero activities &amp; levers'!$C$5="On",(((('Activity data'!AJ10-'Net zero supporting data'!H19)*EF!$H9)+('Net zero supporting data'!H19*'Net zero supporting data'!H29))*kgtoGg)))</f>
        <v>37.34016796495505</v>
      </c>
      <c r="R9" s="100">
        <f>IF('Net zero activities &amp; levers'!$C$5="Off",('Activity data'!AK10*EF!$H9)*kgtoGg,IF('Net zero activities &amp; levers'!$C$5="On",(((('Activity data'!AK10-'Net zero supporting data'!I19)*EF!$H9)+('Net zero supporting data'!I19*'Net zero supporting data'!I29))*kgtoGg)))</f>
        <v>37.617758099633058</v>
      </c>
      <c r="S9" s="100">
        <f>IF('Net zero activities &amp; levers'!$C$5="Off",('Activity data'!AL10*EF!$H9)*kgtoGg,IF('Net zero activities &amp; levers'!$C$5="On",(((('Activity data'!AL10-'Net zero supporting data'!J19)*EF!$H9)+('Net zero supporting data'!J19*'Net zero supporting data'!J29))*kgtoGg)))</f>
        <v>34.833912391780601</v>
      </c>
      <c r="T9" s="100">
        <f>IF('Net zero activities &amp; levers'!$C$5="Off",('Activity data'!AM10*EF!$H9)*kgtoGg,IF('Net zero activities &amp; levers'!$C$5="On",(((('Activity data'!AM10-'Net zero supporting data'!K19)*EF!$H9)+('Net zero supporting data'!K19*'Net zero supporting data'!K29))*kgtoGg)))</f>
        <v>36.528945737665019</v>
      </c>
      <c r="U9" s="100">
        <f>IF('Net zero activities &amp; levers'!$C$5="Off",('Activity data'!AN10*EF!$H9)*kgtoGg,IF('Net zero activities &amp; levers'!$C$5="On",(((('Activity data'!AN10-'Net zero supporting data'!L19)*EF!$H9)+('Net zero supporting data'!L19*'Net zero supporting data'!L29))*kgtoGg)))</f>
        <v>37.839163714503684</v>
      </c>
      <c r="V9" s="100">
        <f>IF('Net zero activities &amp; levers'!$C$5="Off",('Activity data'!AO10*EF!$H9)*kgtoGg,IF('Net zero activities &amp; levers'!$C$5="On",(((('Activity data'!AO10-'Net zero supporting data'!M19)*EF!$H9)+('Net zero supporting data'!M19*'Net zero supporting data'!M29))*kgtoGg)))</f>
        <v>39.05469563631739</v>
      </c>
      <c r="W9" s="100">
        <f>IF('Net zero activities &amp; levers'!$C$5="Off",('Activity data'!AP10*EF!$H9)*kgtoGg,IF('Net zero activities &amp; levers'!$C$5="On",(((('Activity data'!AP10-'Net zero supporting data'!N19)*EF!$H9)+('Net zero supporting data'!N19*'Net zero supporting data'!N29))*kgtoGg)))</f>
        <v>40.409097730688778</v>
      </c>
      <c r="X9" s="100">
        <f>IF('Net zero activities &amp; levers'!$C$5="Off",('Activity data'!AQ10*EF!$H9)*kgtoGg,IF('Net zero activities &amp; levers'!$C$5="On",(((('Activity data'!AQ10-'Net zero supporting data'!O19)*EF!$H9)+('Net zero supporting data'!O19*'Net zero supporting data'!O29))*kgtoGg)))</f>
        <v>42.273681475614424</v>
      </c>
      <c r="Y9" s="100">
        <f>IF('Net zero activities &amp; levers'!$C$5="Off",('Activity data'!AR10*EF!$H9)*kgtoGg,IF('Net zero activities &amp; levers'!$C$5="On",(((('Activity data'!AR10-'Net zero supporting data'!P19)*EF!$H9)+('Net zero supporting data'!P19*'Net zero supporting data'!P29))*kgtoGg)))</f>
        <v>44.265519386234089</v>
      </c>
      <c r="Z9" s="100">
        <f>IF('Net zero activities &amp; levers'!$C$5="Off",('Activity data'!AS10*EF!$H9)*kgtoGg,IF('Net zero activities &amp; levers'!$C$5="On",(((('Activity data'!AS10-'Net zero supporting data'!Q19)*EF!$H9)+('Net zero supporting data'!Q19*'Net zero supporting data'!Q29))*kgtoGg)))</f>
        <v>46.393378046379482</v>
      </c>
      <c r="AA9" s="100">
        <f>IF('Net zero activities &amp; levers'!$C$5="Off",('Activity data'!AT10*EF!$H9)*kgtoGg,IF('Net zero activities &amp; levers'!$C$5="On",(((('Activity data'!AT10-'Net zero supporting data'!R19)*EF!$H9)+('Net zero supporting data'!R19*'Net zero supporting data'!R29))*kgtoGg)))</f>
        <v>48.308889296158938</v>
      </c>
      <c r="AB9" s="100">
        <f>IF('Net zero activities &amp; levers'!$C$5="Off",('Activity data'!AU10*EF!$H9)*kgtoGg,IF('Net zero activities &amp; levers'!$C$5="On",(((('Activity data'!AU10-'Net zero supporting data'!S19)*EF!$H9)+('Net zero supporting data'!S19*'Net zero supporting data'!S29))*kgtoGg)))</f>
        <v>50.467212348356412</v>
      </c>
      <c r="AC9" s="100">
        <f>IF('Net zero activities &amp; levers'!$C$5="Off",('Activity data'!AV10*EF!$H9)*kgtoGg,IF('Net zero activities &amp; levers'!$C$5="On",(((('Activity data'!AV10-'Net zero supporting data'!T19)*EF!$H9)+('Net zero supporting data'!T19*'Net zero supporting data'!T29))*kgtoGg)))</f>
        <v>52.929248377806736</v>
      </c>
      <c r="AD9" s="100">
        <f>IF('Net zero activities &amp; levers'!$C$5="Off",('Activity data'!AW10*EF!$H9)*kgtoGg,IF('Net zero activities &amp; levers'!$C$5="On",(((('Activity data'!AW10-'Net zero supporting data'!U19)*EF!$H9)+('Net zero supporting data'!U19*'Net zero supporting data'!U29))*kgtoGg)))</f>
        <v>55.760339256337012</v>
      </c>
      <c r="AE9" s="100">
        <f>IF('Net zero activities &amp; levers'!$C$5="Off",('Activity data'!AX10*EF!$H9)*kgtoGg,IF('Net zero activities &amp; levers'!$C$5="On",(((('Activity data'!AX10-'Net zero supporting data'!V19)*EF!$H9)+('Net zero supporting data'!V19*'Net zero supporting data'!V29))*kgtoGg)))</f>
        <v>58.749024336697275</v>
      </c>
      <c r="AF9" s="100">
        <f>IF('Net zero activities &amp; levers'!$C$5="Off",('Activity data'!AY10*EF!$H9)*kgtoGg,IF('Net zero activities &amp; levers'!$C$5="On",(((('Activity data'!AY10-'Net zero supporting data'!W19)*EF!$H9)+('Net zero supporting data'!W19*'Net zero supporting data'!W29))*kgtoGg)))</f>
        <v>61.849322755584488</v>
      </c>
      <c r="AG9" s="100">
        <f>IF('Net zero activities &amp; levers'!$C$5="Off",('Activity data'!AZ10*EF!$H9)*kgtoGg,IF('Net zero activities &amp; levers'!$C$5="On",(((('Activity data'!AZ10-'Net zero supporting data'!X19)*EF!$H9)+('Net zero supporting data'!X19*'Net zero supporting data'!X29))*kgtoGg)))</f>
        <v>65.286850777175559</v>
      </c>
      <c r="AH9" s="100">
        <f>IF('Net zero activities &amp; levers'!$C$5="Off",('Activity data'!BA10*EF!$H9)*kgtoGg,IF('Net zero activities &amp; levers'!$C$5="On",(((('Activity data'!BA10-'Net zero supporting data'!Y19)*EF!$H9)+('Net zero supporting data'!Y19*'Net zero supporting data'!Y29))*kgtoGg)))</f>
        <v>68.479857888363583</v>
      </c>
      <c r="AI9" s="100">
        <f>IF('Net zero activities &amp; levers'!$C$5="Off",('Activity data'!BB10*EF!$H9)*kgtoGg,IF('Net zero activities &amp; levers'!$C$5="On",(((('Activity data'!BB10-'Net zero supporting data'!Z19)*EF!$H9)+('Net zero supporting data'!Z19*'Net zero supporting data'!Z29))*kgtoGg)))</f>
        <v>71.881056197092263</v>
      </c>
      <c r="AJ9" s="100">
        <f>IF('Net zero activities &amp; levers'!$C$5="Off",('Activity data'!BC10*EF!$H9)*kgtoGg,IF('Net zero activities &amp; levers'!$C$5="On",(((('Activity data'!BC10-'Net zero supporting data'!AA19)*EF!$H9)+('Net zero supporting data'!AA19*'Net zero supporting data'!AA29))*kgtoGg)))</f>
        <v>75.396773274134546</v>
      </c>
      <c r="AK9" s="100">
        <f>IF('Net zero activities &amp; levers'!$C$5="Off",('Activity data'!BD10*EF!$H9)*kgtoGg,IF('Net zero activities &amp; levers'!$C$5="On",(((('Activity data'!BD10-'Net zero supporting data'!AB19)*EF!$H9)+('Net zero supporting data'!AB19*'Net zero supporting data'!AB29))*kgtoGg)))</f>
        <v>78.863942012330426</v>
      </c>
      <c r="AL9" s="100">
        <f>IF('Net zero activities &amp; levers'!$C$5="Off",('Activity data'!BE10*EF!$H9)*kgtoGg,IF('Net zero activities &amp; levers'!$C$5="On",(((('Activity data'!BE10-'Net zero supporting data'!AC19)*EF!$H9)+('Net zero supporting data'!AC19*'Net zero supporting data'!AC29))*kgtoGg)))</f>
        <v>82.392491962628256</v>
      </c>
      <c r="AM9" s="100">
        <f>IF('Net zero activities &amp; levers'!$C$5="Off",('Activity data'!BF10*EF!$H9)*kgtoGg,IF('Net zero activities &amp; levers'!$C$5="On",(((('Activity data'!BF10-'Net zero supporting data'!AD19)*EF!$H9)+('Net zero supporting data'!AD19*'Net zero supporting data'!AD29))*kgtoGg)))</f>
        <v>86.086631502484195</v>
      </c>
      <c r="AN9" s="100">
        <f>IF('Net zero activities &amp; levers'!$C$5="Off",('Activity data'!BG10*EF!$H9)*kgtoGg,IF('Net zero activities &amp; levers'!$C$5="On",(((('Activity data'!BG10-'Net zero supporting data'!AE19)*EF!$H9)+('Net zero supporting data'!AE19*'Net zero supporting data'!AE29))*kgtoGg)))</f>
        <v>89.911611851730086</v>
      </c>
      <c r="AO9" s="100">
        <f>IF('Net zero activities &amp; levers'!$C$5="Off",('Activity data'!BH10*EF!$H9)*kgtoGg,IF('Net zero activities &amp; levers'!$C$5="On",(((('Activity data'!BH10-'Net zero supporting data'!AF19)*EF!$H9)+('Net zero supporting data'!AF19*'Net zero supporting data'!AF29))*kgtoGg)))</f>
        <v>93.629132128136845</v>
      </c>
      <c r="AP9" s="100">
        <f>IF('Net zero activities &amp; levers'!$C$5="Off",('Activity data'!BI10*EF!$H9)*kgtoGg,IF('Net zero activities &amp; levers'!$C$5="On",(((('Activity data'!BI10-'Net zero supporting data'!AG19)*EF!$H9)+('Net zero supporting data'!AG19*'Net zero supporting data'!AG29))*kgtoGg)))</f>
        <v>97.448464292826998</v>
      </c>
      <c r="AQ9" s="100">
        <f>IF('Net zero activities &amp; levers'!$C$5="Off",('Activity data'!BJ10*EF!$H9)*kgtoGg,IF('Net zero activities &amp; levers'!$C$5="On",(((('Activity data'!BJ10-'Net zero supporting data'!AH19)*EF!$H9)+('Net zero supporting data'!AH19*'Net zero supporting data'!AH29))*kgtoGg)))</f>
        <v>101.37682548930212</v>
      </c>
      <c r="AR9" s="100">
        <f>IF('Net zero activities &amp; levers'!$C$5="Off",('Activity data'!BK10*EF!$H9)*kgtoGg,IF('Net zero activities &amp; levers'!$C$5="On",(((('Activity data'!BK10-'Net zero supporting data'!AI19)*EF!$H9)+('Net zero supporting data'!AI19*'Net zero supporting data'!AI29))*kgtoGg)))</f>
        <v>105.57238537683934</v>
      </c>
      <c r="AS9" s="100">
        <f>IF('Net zero activities &amp; levers'!$C$5="Off",('Activity data'!BL10*EF!$H9)*kgtoGg,IF('Net zero activities &amp; levers'!$C$5="On",(((('Activity data'!BL10-'Net zero supporting data'!AJ19)*EF!$H9)+('Net zero supporting data'!AJ19*'Net zero supporting data'!AJ29))*kgtoGg)))</f>
        <v>109.91460420551273</v>
      </c>
      <c r="AT9" s="100">
        <f>IF('Net zero activities &amp; levers'!$C$5="Off",('Activity data'!BM10*EF!$H9)*kgtoGg,IF('Net zero activities &amp; levers'!$C$5="On",(((('Activity data'!BM10-'Net zero supporting data'!AK19)*EF!$H9)+('Net zero supporting data'!AK19*'Net zero supporting data'!AK29))*kgtoGg)))</f>
        <v>112.84536626731848</v>
      </c>
      <c r="AU9" s="100">
        <f>IF('Net zero activities &amp; levers'!$C$5="Off",('Activity data'!BN10*EF!$H9)*kgtoGg,IF('Net zero activities &amp; levers'!$C$5="On",(((('Activity data'!BN10-'Net zero supporting data'!AL19)*EF!$H9)+('Net zero supporting data'!AL19*'Net zero supporting data'!AL29))*kgtoGg)))</f>
        <v>115.7139416135264</v>
      </c>
      <c r="AV9" s="100">
        <f>IF('Net zero activities &amp; levers'!$C$5="Off",('Activity data'!BO10*EF!$H9)*kgtoGg,IF('Net zero activities &amp; levers'!$C$5="On",(((('Activity data'!BO10-'Net zero supporting data'!AM19)*EF!$H9)+('Net zero supporting data'!AM19*'Net zero supporting data'!AM29))*kgtoGg)))</f>
        <v>118.82883622952927</v>
      </c>
      <c r="AW9" s="100">
        <f>IF('Net zero activities &amp; levers'!$C$5="Off",('Activity data'!BP10*EF!$H9)*kgtoGg,IF('Net zero activities &amp; levers'!$C$5="On",(((('Activity data'!BP10-'Net zero supporting data'!AN19)*EF!$H9)+('Net zero supporting data'!AN19*'Net zero supporting data'!AN29))*kgtoGg)))</f>
        <v>121.90057756024581</v>
      </c>
      <c r="AY9" s="85"/>
    </row>
    <row r="10" spans="1:55" x14ac:dyDescent="0.25">
      <c r="A10" s="102" t="str">
        <f t="shared" si="0"/>
        <v>FS Sheep</v>
      </c>
      <c r="B10" s="102" t="s">
        <v>1005</v>
      </c>
      <c r="C10" s="102" t="s">
        <v>152</v>
      </c>
      <c r="D10" t="s">
        <v>15</v>
      </c>
      <c r="E10" t="s">
        <v>16</v>
      </c>
      <c r="F10" t="s">
        <v>18</v>
      </c>
      <c r="G10" t="s">
        <v>122</v>
      </c>
      <c r="H10" t="s">
        <v>1021</v>
      </c>
      <c r="I10" t="s">
        <v>121</v>
      </c>
      <c r="J10" t="s">
        <v>286</v>
      </c>
      <c r="K10" s="28">
        <f>K1385</f>
        <v>132.57119038642557</v>
      </c>
      <c r="L10" s="28">
        <f t="shared" ref="L10:AW17" si="6">L1385</f>
        <v>132.64273653065254</v>
      </c>
      <c r="M10" s="28">
        <f t="shared" si="6"/>
        <v>132.80721501621684</v>
      </c>
      <c r="N10" s="28">
        <f t="shared" si="6"/>
        <v>133.051398651531</v>
      </c>
      <c r="O10" s="28">
        <f t="shared" si="6"/>
        <v>133.38098001143086</v>
      </c>
      <c r="P10" s="28">
        <f t="shared" si="6"/>
        <v>133.80258277876908</v>
      </c>
      <c r="Q10" s="28">
        <f t="shared" si="6"/>
        <v>134.26714516921325</v>
      </c>
      <c r="R10" s="28">
        <f t="shared" si="6"/>
        <v>134.76745179695249</v>
      </c>
      <c r="S10" s="28">
        <f t="shared" si="6"/>
        <v>135.2631261954914</v>
      </c>
      <c r="T10" s="28">
        <f t="shared" si="6"/>
        <v>135.46597827382104</v>
      </c>
      <c r="U10" s="28">
        <f t="shared" si="6"/>
        <v>135.69632310683818</v>
      </c>
      <c r="V10" s="28">
        <f t="shared" si="6"/>
        <v>135.95682681390846</v>
      </c>
      <c r="W10" s="28">
        <f t="shared" si="6"/>
        <v>136.24937905937216</v>
      </c>
      <c r="X10" s="28">
        <f t="shared" si="6"/>
        <v>136.57811586303043</v>
      </c>
      <c r="Y10" s="28">
        <f t="shared" si="6"/>
        <v>136.78481124577374</v>
      </c>
      <c r="Z10" s="28">
        <f t="shared" si="6"/>
        <v>137.01756076929394</v>
      </c>
      <c r="AA10" s="28">
        <f t="shared" si="6"/>
        <v>137.26988669428977</v>
      </c>
      <c r="AB10" s="28">
        <f t="shared" si="6"/>
        <v>137.54770477114812</v>
      </c>
      <c r="AC10" s="28">
        <f t="shared" si="6"/>
        <v>137.85098318826414</v>
      </c>
      <c r="AD10" s="28">
        <f t="shared" si="6"/>
        <v>138.0517172424515</v>
      </c>
      <c r="AE10" s="28">
        <f t="shared" si="6"/>
        <v>138.27198156596427</v>
      </c>
      <c r="AF10" s="28">
        <f t="shared" si="6"/>
        <v>138.51029648948435</v>
      </c>
      <c r="AG10" s="28">
        <f t="shared" si="6"/>
        <v>138.76924178933888</v>
      </c>
      <c r="AH10" s="28">
        <f t="shared" si="6"/>
        <v>139.03965406429921</v>
      </c>
      <c r="AI10" s="28">
        <f t="shared" si="6"/>
        <v>139.21265652505053</v>
      </c>
      <c r="AJ10" s="28">
        <f t="shared" si="6"/>
        <v>139.40033470595577</v>
      </c>
      <c r="AK10" s="28">
        <f t="shared" si="6"/>
        <v>139.59984622882109</v>
      </c>
      <c r="AL10" s="28">
        <f t="shared" si="6"/>
        <v>139.81228322803275</v>
      </c>
      <c r="AM10" s="28">
        <f t="shared" si="6"/>
        <v>140.03864091698591</v>
      </c>
      <c r="AN10" s="28">
        <f t="shared" si="6"/>
        <v>140.17205297338157</v>
      </c>
      <c r="AO10" s="28">
        <f t="shared" si="6"/>
        <v>140.3142065668136</v>
      </c>
      <c r="AP10" s="28">
        <f t="shared" si="6"/>
        <v>140.46760679476171</v>
      </c>
      <c r="AQ10" s="28">
        <f t="shared" si="6"/>
        <v>140.63198304845474</v>
      </c>
      <c r="AR10" s="28">
        <f t="shared" si="6"/>
        <v>140.80910014546811</v>
      </c>
      <c r="AS10" s="28">
        <f t="shared" si="6"/>
        <v>140.88892671034117</v>
      </c>
      <c r="AT10" s="28">
        <f t="shared" si="6"/>
        <v>140.95821516124155</v>
      </c>
      <c r="AU10" s="28">
        <f t="shared" si="6"/>
        <v>141.03470747726172</v>
      </c>
      <c r="AV10" s="28">
        <f t="shared" si="6"/>
        <v>141.12215896144338</v>
      </c>
      <c r="AW10" s="28">
        <f t="shared" si="6"/>
        <v>141.21652925379365</v>
      </c>
      <c r="AY10" s="85"/>
    </row>
    <row r="11" spans="1:55" x14ac:dyDescent="0.25">
      <c r="A11" s="102" t="str">
        <f t="shared" si="0"/>
        <v>FS Sheep</v>
      </c>
      <c r="B11" s="102" t="s">
        <v>1005</v>
      </c>
      <c r="C11" s="102" t="s">
        <v>152</v>
      </c>
      <c r="D11" t="s">
        <v>15</v>
      </c>
      <c r="E11" t="s">
        <v>16</v>
      </c>
      <c r="F11" t="s">
        <v>18</v>
      </c>
      <c r="G11" t="s">
        <v>123</v>
      </c>
      <c r="H11" t="s">
        <v>1021</v>
      </c>
      <c r="I11" t="s">
        <v>121</v>
      </c>
      <c r="J11" t="s">
        <v>286</v>
      </c>
      <c r="K11" s="28">
        <f t="shared" ref="K11:Z53" si="7">K1386</f>
        <v>14.367245816070934</v>
      </c>
      <c r="L11" s="28">
        <f t="shared" si="7"/>
        <v>14.374999544752898</v>
      </c>
      <c r="M11" s="28">
        <f t="shared" si="7"/>
        <v>14.392824705910984</v>
      </c>
      <c r="N11" s="28">
        <f t="shared" si="7"/>
        <v>14.419287818315681</v>
      </c>
      <c r="O11" s="28">
        <f t="shared" si="7"/>
        <v>14.455005808025765</v>
      </c>
      <c r="P11" s="28">
        <f t="shared" si="7"/>
        <v>14.500696508829069</v>
      </c>
      <c r="Q11" s="28">
        <f t="shared" si="7"/>
        <v>14.551042907929491</v>
      </c>
      <c r="R11" s="28">
        <f t="shared" si="7"/>
        <v>14.605263046431578</v>
      </c>
      <c r="S11" s="28">
        <f t="shared" si="7"/>
        <v>14.658981172577873</v>
      </c>
      <c r="T11" s="28">
        <f t="shared" si="7"/>
        <v>14.680965026424001</v>
      </c>
      <c r="U11" s="28">
        <f t="shared" si="7"/>
        <v>14.705928375012579</v>
      </c>
      <c r="V11" s="28">
        <f t="shared" si="7"/>
        <v>14.734160155873615</v>
      </c>
      <c r="W11" s="28">
        <f t="shared" si="7"/>
        <v>14.765865159142944</v>
      </c>
      <c r="X11" s="28">
        <f t="shared" si="7"/>
        <v>14.801491621070163</v>
      </c>
      <c r="Y11" s="28">
        <f t="shared" si="7"/>
        <v>14.823891988482297</v>
      </c>
      <c r="Z11" s="28">
        <f t="shared" si="7"/>
        <v>14.84911594255739</v>
      </c>
      <c r="AA11" s="28">
        <f t="shared" si="6"/>
        <v>14.876461465967234</v>
      </c>
      <c r="AB11" s="28">
        <f t="shared" si="6"/>
        <v>14.906569671156744</v>
      </c>
      <c r="AC11" s="28">
        <f t="shared" si="6"/>
        <v>14.939437110580908</v>
      </c>
      <c r="AD11" s="28">
        <f t="shared" si="6"/>
        <v>14.961191426068007</v>
      </c>
      <c r="AE11" s="28">
        <f t="shared" si="6"/>
        <v>14.985062311372678</v>
      </c>
      <c r="AF11" s="28">
        <f t="shared" si="6"/>
        <v>15.01088940908426</v>
      </c>
      <c r="AG11" s="28">
        <f t="shared" si="6"/>
        <v>15.038952299408185</v>
      </c>
      <c r="AH11" s="28">
        <f t="shared" si="6"/>
        <v>15.068257909584224</v>
      </c>
      <c r="AI11" s="28">
        <f t="shared" si="6"/>
        <v>15.087006846462247</v>
      </c>
      <c r="AJ11" s="28">
        <f t="shared" si="6"/>
        <v>15.107346247138357</v>
      </c>
      <c r="AK11" s="28">
        <f t="shared" si="6"/>
        <v>15.128968072240701</v>
      </c>
      <c r="AL11" s="28">
        <f t="shared" si="6"/>
        <v>15.151990680540484</v>
      </c>
      <c r="AM11" s="28">
        <f t="shared" si="6"/>
        <v>15.176521927111235</v>
      </c>
      <c r="AN11" s="28">
        <f t="shared" si="6"/>
        <v>15.190980300785611</v>
      </c>
      <c r="AO11" s="28">
        <f t="shared" si="6"/>
        <v>15.206386028187788</v>
      </c>
      <c r="AP11" s="28">
        <f t="shared" si="6"/>
        <v>15.223010596291525</v>
      </c>
      <c r="AQ11" s="28">
        <f t="shared" si="6"/>
        <v>15.240824678191588</v>
      </c>
      <c r="AR11" s="28">
        <f t="shared" si="6"/>
        <v>15.260019533903467</v>
      </c>
      <c r="AS11" s="28">
        <f t="shared" si="6"/>
        <v>15.268670643370319</v>
      </c>
      <c r="AT11" s="28">
        <f t="shared" si="6"/>
        <v>15.276179697210745</v>
      </c>
      <c r="AU11" s="28">
        <f t="shared" si="6"/>
        <v>15.284469461405354</v>
      </c>
      <c r="AV11" s="28">
        <f t="shared" si="6"/>
        <v>15.293946912475652</v>
      </c>
      <c r="AW11" s="28">
        <f t="shared" si="6"/>
        <v>15.304174181190511</v>
      </c>
      <c r="AY11" s="85"/>
    </row>
    <row r="12" spans="1:55" x14ac:dyDescent="0.25">
      <c r="A12" s="102" t="str">
        <f t="shared" si="0"/>
        <v>FS Goats</v>
      </c>
      <c r="B12" s="102" t="s">
        <v>1005</v>
      </c>
      <c r="C12" s="102" t="s">
        <v>153</v>
      </c>
      <c r="D12" t="s">
        <v>15</v>
      </c>
      <c r="E12" t="s">
        <v>16</v>
      </c>
      <c r="F12" t="s">
        <v>19</v>
      </c>
      <c r="G12" t="s">
        <v>122</v>
      </c>
      <c r="H12" t="s">
        <v>1021</v>
      </c>
      <c r="I12" t="s">
        <v>121</v>
      </c>
      <c r="J12" t="s">
        <v>286</v>
      </c>
      <c r="K12" s="28">
        <f t="shared" si="7"/>
        <v>15.11994504352057</v>
      </c>
      <c r="L12" s="28">
        <f t="shared" si="6"/>
        <v>15.159244294711982</v>
      </c>
      <c r="M12" s="28">
        <f t="shared" si="6"/>
        <v>15.212240101283504</v>
      </c>
      <c r="N12" s="28">
        <f t="shared" si="6"/>
        <v>15.276787648225215</v>
      </c>
      <c r="O12" s="28">
        <f t="shared" si="6"/>
        <v>15.354100038796439</v>
      </c>
      <c r="P12" s="28">
        <f t="shared" si="6"/>
        <v>15.445501132757192</v>
      </c>
      <c r="Q12" s="28">
        <f t="shared" si="6"/>
        <v>15.542368253787608</v>
      </c>
      <c r="R12" s="28">
        <f t="shared" si="6"/>
        <v>15.643567978967758</v>
      </c>
      <c r="S12" s="28">
        <f t="shared" si="6"/>
        <v>15.742091989223546</v>
      </c>
      <c r="T12" s="28">
        <f t="shared" si="6"/>
        <v>15.787280907558081</v>
      </c>
      <c r="U12" s="28">
        <f t="shared" si="6"/>
        <v>15.836012504856258</v>
      </c>
      <c r="V12" s="28">
        <f t="shared" si="6"/>
        <v>15.888829637337995</v>
      </c>
      <c r="W12" s="28">
        <f t="shared" si="6"/>
        <v>15.946123298566558</v>
      </c>
      <c r="X12" s="28">
        <f t="shared" si="6"/>
        <v>16.008664249775823</v>
      </c>
      <c r="Y12" s="28">
        <f t="shared" si="6"/>
        <v>16.048917749469023</v>
      </c>
      <c r="Z12" s="28">
        <f t="shared" si="6"/>
        <v>16.092845807842092</v>
      </c>
      <c r="AA12" s="28">
        <f t="shared" si="6"/>
        <v>16.139355719065712</v>
      </c>
      <c r="AB12" s="28">
        <f t="shared" si="6"/>
        <v>16.189504893539258</v>
      </c>
      <c r="AC12" s="28">
        <f t="shared" si="6"/>
        <v>16.243310237377745</v>
      </c>
      <c r="AD12" s="28">
        <f t="shared" si="6"/>
        <v>16.27872559654169</v>
      </c>
      <c r="AE12" s="28">
        <f t="shared" si="6"/>
        <v>16.316901231642056</v>
      </c>
      <c r="AF12" s="28">
        <f t="shared" si="6"/>
        <v>16.357599483637454</v>
      </c>
      <c r="AG12" s="28">
        <f t="shared" si="6"/>
        <v>16.401277791155717</v>
      </c>
      <c r="AH12" s="28">
        <f t="shared" si="6"/>
        <v>16.446379725356415</v>
      </c>
      <c r="AI12" s="28">
        <f t="shared" si="6"/>
        <v>16.474339061625695</v>
      </c>
      <c r="AJ12" s="28">
        <f t="shared" si="6"/>
        <v>16.504371743452488</v>
      </c>
      <c r="AK12" s="28">
        <f t="shared" si="6"/>
        <v>16.53600364177057</v>
      </c>
      <c r="AL12" s="28">
        <f t="shared" si="6"/>
        <v>16.569430654637483</v>
      </c>
      <c r="AM12" s="28">
        <f t="shared" si="6"/>
        <v>16.604829643343088</v>
      </c>
      <c r="AN12" s="28">
        <f t="shared" si="6"/>
        <v>16.624131223085882</v>
      </c>
      <c r="AO12" s="28">
        <f t="shared" si="6"/>
        <v>16.644604707274034</v>
      </c>
      <c r="AP12" s="28">
        <f t="shared" si="6"/>
        <v>16.66667981019215</v>
      </c>
      <c r="AQ12" s="28">
        <f t="shared" si="6"/>
        <v>16.690315463067741</v>
      </c>
      <c r="AR12" s="28">
        <f t="shared" si="6"/>
        <v>16.715812130640956</v>
      </c>
      <c r="AS12" s="28">
        <f t="shared" si="6"/>
        <v>16.724718125544612</v>
      </c>
      <c r="AT12" s="28">
        <f t="shared" si="6"/>
        <v>16.731650898864725</v>
      </c>
      <c r="AU12" s="28">
        <f t="shared" si="6"/>
        <v>16.739594865731469</v>
      </c>
      <c r="AV12" s="28">
        <f t="shared" si="6"/>
        <v>16.749180241295228</v>
      </c>
      <c r="AW12" s="28">
        <f t="shared" si="6"/>
        <v>16.759733790022693</v>
      </c>
      <c r="AY12" s="85"/>
    </row>
    <row r="13" spans="1:55" x14ac:dyDescent="0.25">
      <c r="A13" s="102" t="str">
        <f t="shared" si="0"/>
        <v>FS Goats</v>
      </c>
      <c r="B13" s="102" t="s">
        <v>1005</v>
      </c>
      <c r="C13" s="102" t="s">
        <v>153</v>
      </c>
      <c r="D13" t="s">
        <v>15</v>
      </c>
      <c r="E13" t="s">
        <v>16</v>
      </c>
      <c r="F13" t="s">
        <v>19</v>
      </c>
      <c r="G13" t="s">
        <v>123</v>
      </c>
      <c r="H13" t="s">
        <v>1021</v>
      </c>
      <c r="I13" t="s">
        <v>121</v>
      </c>
      <c r="J13" t="s">
        <v>286</v>
      </c>
      <c r="K13" s="28">
        <f t="shared" si="7"/>
        <v>22.375967695369447</v>
      </c>
      <c r="L13" s="28">
        <f t="shared" si="6"/>
        <v>22.434126555906317</v>
      </c>
      <c r="M13" s="28">
        <f t="shared" si="6"/>
        <v>22.512554913444735</v>
      </c>
      <c r="N13" s="28">
        <f t="shared" si="6"/>
        <v>22.60807866178018</v>
      </c>
      <c r="O13" s="28">
        <f t="shared" si="6"/>
        <v>22.722493069299134</v>
      </c>
      <c r="P13" s="28">
        <f t="shared" si="6"/>
        <v>22.85775731264793</v>
      </c>
      <c r="Q13" s="28">
        <f t="shared" si="6"/>
        <v>23.001110715367403</v>
      </c>
      <c r="R13" s="28">
        <f t="shared" si="6"/>
        <v>23.150875927799948</v>
      </c>
      <c r="S13" s="28">
        <f t="shared" si="6"/>
        <v>23.296681356613096</v>
      </c>
      <c r="T13" s="28">
        <f t="shared" si="6"/>
        <v>23.363556320373338</v>
      </c>
      <c r="U13" s="28">
        <f t="shared" si="6"/>
        <v>23.435674085599938</v>
      </c>
      <c r="V13" s="28">
        <f t="shared" si="6"/>
        <v>23.513838023813449</v>
      </c>
      <c r="W13" s="28">
        <f t="shared" si="6"/>
        <v>23.598626765380281</v>
      </c>
      <c r="X13" s="28">
        <f t="shared" si="6"/>
        <v>23.691180957863665</v>
      </c>
      <c r="Y13" s="28">
        <f t="shared" si="6"/>
        <v>23.750752008298576</v>
      </c>
      <c r="Z13" s="28">
        <f t="shared" si="6"/>
        <v>23.815761028651949</v>
      </c>
      <c r="AA13" s="28">
        <f t="shared" si="6"/>
        <v>23.884590926383627</v>
      </c>
      <c r="AB13" s="28">
        <f t="shared" si="6"/>
        <v>23.958806560417987</v>
      </c>
      <c r="AC13" s="28">
        <f t="shared" si="6"/>
        <v>24.038432950071041</v>
      </c>
      <c r="AD13" s="28">
        <f t="shared" si="6"/>
        <v>24.090844048807938</v>
      </c>
      <c r="AE13" s="28">
        <f t="shared" si="6"/>
        <v>24.147340072788001</v>
      </c>
      <c r="AF13" s="28">
        <f t="shared" si="6"/>
        <v>24.207569311008498</v>
      </c>
      <c r="AG13" s="28">
        <f t="shared" si="6"/>
        <v>24.272208725715629</v>
      </c>
      <c r="AH13" s="28">
        <f t="shared" si="6"/>
        <v>24.338954961880422</v>
      </c>
      <c r="AI13" s="28">
        <f t="shared" si="6"/>
        <v>24.380331911554812</v>
      </c>
      <c r="AJ13" s="28">
        <f t="shared" si="6"/>
        <v>24.424777199975328</v>
      </c>
      <c r="AK13" s="28">
        <f t="shared" si="6"/>
        <v>24.471589164759028</v>
      </c>
      <c r="AL13" s="28">
        <f t="shared" si="6"/>
        <v>24.521057714936269</v>
      </c>
      <c r="AM13" s="28">
        <f t="shared" si="6"/>
        <v>24.573444587074068</v>
      </c>
      <c r="AN13" s="28">
        <f t="shared" si="6"/>
        <v>24.602008945181939</v>
      </c>
      <c r="AO13" s="28">
        <f t="shared" si="6"/>
        <v>24.632307601657676</v>
      </c>
      <c r="AP13" s="28">
        <f t="shared" si="6"/>
        <v>24.664976489563418</v>
      </c>
      <c r="AQ13" s="28">
        <f t="shared" si="6"/>
        <v>24.699954831328611</v>
      </c>
      <c r="AR13" s="28">
        <f t="shared" si="6"/>
        <v>24.737687283947693</v>
      </c>
      <c r="AS13" s="28">
        <f t="shared" si="6"/>
        <v>24.75086724284872</v>
      </c>
      <c r="AT13" s="28">
        <f t="shared" si="6"/>
        <v>24.76112703621461</v>
      </c>
      <c r="AU13" s="28">
        <f t="shared" si="6"/>
        <v>24.772883292303622</v>
      </c>
      <c r="AV13" s="28">
        <f t="shared" si="6"/>
        <v>24.787068664892292</v>
      </c>
      <c r="AW13" s="28">
        <f t="shared" si="6"/>
        <v>24.802686834450295</v>
      </c>
      <c r="AY13" s="85"/>
    </row>
    <row r="14" spans="1:55" x14ac:dyDescent="0.25">
      <c r="A14" s="102" t="str">
        <f t="shared" si="0"/>
        <v>FS Horses</v>
      </c>
      <c r="B14" s="102" t="s">
        <v>1005</v>
      </c>
      <c r="C14" s="102" t="s">
        <v>3</v>
      </c>
      <c r="D14" t="s">
        <v>15</v>
      </c>
      <c r="E14" t="s">
        <v>16</v>
      </c>
      <c r="F14" t="s">
        <v>20</v>
      </c>
      <c r="G14" t="s">
        <v>3</v>
      </c>
      <c r="H14" t="s">
        <v>1021</v>
      </c>
      <c r="I14" t="s">
        <v>121</v>
      </c>
      <c r="J14" t="s">
        <v>286</v>
      </c>
      <c r="K14" s="28">
        <f t="shared" si="7"/>
        <v>5.5625078668475236</v>
      </c>
      <c r="L14" s="28">
        <f t="shared" si="6"/>
        <v>5.5999708339814545</v>
      </c>
      <c r="M14" s="28">
        <f t="shared" si="6"/>
        <v>5.6226370840776179</v>
      </c>
      <c r="N14" s="28">
        <f t="shared" si="6"/>
        <v>5.5928142970106265</v>
      </c>
      <c r="O14" s="28">
        <f t="shared" si="6"/>
        <v>5.5623376589201499</v>
      </c>
      <c r="P14" s="28">
        <f t="shared" si="6"/>
        <v>5.5812216853376206</v>
      </c>
      <c r="Q14" s="28">
        <f t="shared" si="6"/>
        <v>5.5836612172513842</v>
      </c>
      <c r="R14" s="28">
        <f t="shared" si="6"/>
        <v>5.5315877353552168</v>
      </c>
      <c r="S14" s="28">
        <f t="shared" si="6"/>
        <v>5.2455147526194601</v>
      </c>
      <c r="T14" s="28">
        <f t="shared" si="6"/>
        <v>5.332808287437901</v>
      </c>
      <c r="U14" s="28">
        <f t="shared" si="6"/>
        <v>5.3901753132609427</v>
      </c>
      <c r="V14" s="28">
        <f t="shared" si="6"/>
        <v>5.440230309739654</v>
      </c>
      <c r="W14" s="28">
        <f t="shared" si="6"/>
        <v>5.5003068027462358</v>
      </c>
      <c r="X14" s="28">
        <f t="shared" si="6"/>
        <v>5.5968430891840955</v>
      </c>
      <c r="Y14" s="28">
        <f t="shared" si="6"/>
        <v>5.7072120457799942</v>
      </c>
      <c r="Z14" s="28">
        <f t="shared" si="6"/>
        <v>5.8264820494807026</v>
      </c>
      <c r="AA14" s="28">
        <f t="shared" si="6"/>
        <v>5.9301104930204529</v>
      </c>
      <c r="AB14" s="28">
        <f t="shared" si="6"/>
        <v>6.0502396904604057</v>
      </c>
      <c r="AC14" s="28">
        <f t="shared" si="6"/>
        <v>6.1907930019013007</v>
      </c>
      <c r="AD14" s="28">
        <f t="shared" si="6"/>
        <v>6.3320471664105931</v>
      </c>
      <c r="AE14" s="28">
        <f t="shared" si="6"/>
        <v>6.4794646415598249</v>
      </c>
      <c r="AF14" s="28">
        <f t="shared" si="6"/>
        <v>6.6296689370175557</v>
      </c>
      <c r="AG14" s="28">
        <f t="shared" si="6"/>
        <v>6.7972348352901832</v>
      </c>
      <c r="AH14" s="28">
        <f t="shared" si="6"/>
        <v>6.9438088425470355</v>
      </c>
      <c r="AI14" s="28">
        <f t="shared" si="6"/>
        <v>7.1048815884414847</v>
      </c>
      <c r="AJ14" s="28">
        <f t="shared" si="6"/>
        <v>7.268627225560472</v>
      </c>
      <c r="AK14" s="28">
        <f t="shared" si="6"/>
        <v>7.42471904610154</v>
      </c>
      <c r="AL14" s="28">
        <f t="shared" si="6"/>
        <v>7.5801220888649867</v>
      </c>
      <c r="AM14" s="28">
        <f t="shared" si="6"/>
        <v>7.7411228012577773</v>
      </c>
      <c r="AN14" s="28">
        <f t="shared" si="6"/>
        <v>7.9163247577118536</v>
      </c>
      <c r="AO14" s="28">
        <f t="shared" si="6"/>
        <v>8.0810947340099517</v>
      </c>
      <c r="AP14" s="28">
        <f t="shared" si="6"/>
        <v>8.2480372843312519</v>
      </c>
      <c r="AQ14" s="28">
        <f t="shared" si="6"/>
        <v>8.4174605770969908</v>
      </c>
      <c r="AR14" s="28">
        <f t="shared" si="6"/>
        <v>8.5983802423376101</v>
      </c>
      <c r="AS14" s="28">
        <f t="shared" si="6"/>
        <v>8.7907471853609671</v>
      </c>
      <c r="AT14" s="28">
        <f t="shared" si="6"/>
        <v>8.8991507547228217</v>
      </c>
      <c r="AU14" s="28">
        <f t="shared" si="6"/>
        <v>9.0016825973480952</v>
      </c>
      <c r="AV14" s="28">
        <f t="shared" si="6"/>
        <v>9.1156705075973274</v>
      </c>
      <c r="AW14" s="28">
        <f t="shared" si="6"/>
        <v>9.2247946500114306</v>
      </c>
      <c r="AY14" s="85"/>
    </row>
    <row r="15" spans="1:55" x14ac:dyDescent="0.25">
      <c r="A15" s="102" t="str">
        <f t="shared" si="0"/>
        <v>FS Mules&amp;Asses</v>
      </c>
      <c r="B15" s="102" t="s">
        <v>1005</v>
      </c>
      <c r="C15" s="102" t="s">
        <v>1324</v>
      </c>
      <c r="D15" t="s">
        <v>15</v>
      </c>
      <c r="E15" t="s">
        <v>16</v>
      </c>
      <c r="F15" t="s">
        <v>140</v>
      </c>
      <c r="G15" t="s">
        <v>124</v>
      </c>
      <c r="H15" t="s">
        <v>1021</v>
      </c>
      <c r="I15" t="s">
        <v>121</v>
      </c>
      <c r="J15" t="s">
        <v>286</v>
      </c>
      <c r="K15" s="28">
        <f t="shared" si="7"/>
        <v>1.67</v>
      </c>
      <c r="L15" s="28">
        <f t="shared" si="6"/>
        <v>1.67</v>
      </c>
      <c r="M15" s="28">
        <f t="shared" si="6"/>
        <v>1.67</v>
      </c>
      <c r="N15" s="28">
        <f t="shared" si="6"/>
        <v>1.67</v>
      </c>
      <c r="O15" s="28">
        <f t="shared" si="6"/>
        <v>1.67</v>
      </c>
      <c r="P15" s="28">
        <f t="shared" si="6"/>
        <v>1.67</v>
      </c>
      <c r="Q15" s="28">
        <f t="shared" si="6"/>
        <v>1.67</v>
      </c>
      <c r="R15" s="28">
        <f t="shared" si="6"/>
        <v>1.67</v>
      </c>
      <c r="S15" s="28">
        <f t="shared" si="6"/>
        <v>1.67</v>
      </c>
      <c r="T15" s="28">
        <f t="shared" si="6"/>
        <v>1.67</v>
      </c>
      <c r="U15" s="28">
        <f t="shared" si="6"/>
        <v>1.67</v>
      </c>
      <c r="V15" s="28">
        <f t="shared" si="6"/>
        <v>1.67</v>
      </c>
      <c r="W15" s="28">
        <f t="shared" si="6"/>
        <v>1.67</v>
      </c>
      <c r="X15" s="28">
        <f t="shared" si="6"/>
        <v>1.67</v>
      </c>
      <c r="Y15" s="28">
        <f t="shared" si="6"/>
        <v>1.67</v>
      </c>
      <c r="Z15" s="28">
        <f t="shared" si="6"/>
        <v>1.67</v>
      </c>
      <c r="AA15" s="28">
        <f t="shared" si="6"/>
        <v>1.67</v>
      </c>
      <c r="AB15" s="28">
        <f t="shared" si="6"/>
        <v>1.67</v>
      </c>
      <c r="AC15" s="28">
        <f t="shared" si="6"/>
        <v>1.67</v>
      </c>
      <c r="AD15" s="28">
        <f t="shared" si="6"/>
        <v>1.67</v>
      </c>
      <c r="AE15" s="28">
        <f t="shared" si="6"/>
        <v>1.67</v>
      </c>
      <c r="AF15" s="28">
        <f t="shared" si="6"/>
        <v>1.67</v>
      </c>
      <c r="AG15" s="28">
        <f t="shared" si="6"/>
        <v>1.67</v>
      </c>
      <c r="AH15" s="28">
        <f t="shared" si="6"/>
        <v>1.67</v>
      </c>
      <c r="AI15" s="28">
        <f t="shared" si="6"/>
        <v>1.67</v>
      </c>
      <c r="AJ15" s="28">
        <f t="shared" si="6"/>
        <v>1.67</v>
      </c>
      <c r="AK15" s="28">
        <f t="shared" si="6"/>
        <v>1.67</v>
      </c>
      <c r="AL15" s="28">
        <f t="shared" si="6"/>
        <v>1.67</v>
      </c>
      <c r="AM15" s="28">
        <f t="shared" si="6"/>
        <v>1.67</v>
      </c>
      <c r="AN15" s="28">
        <f t="shared" si="6"/>
        <v>1.67</v>
      </c>
      <c r="AO15" s="28">
        <f t="shared" si="6"/>
        <v>1.67</v>
      </c>
      <c r="AP15" s="28">
        <f t="shared" si="6"/>
        <v>1.67</v>
      </c>
      <c r="AQ15" s="28">
        <f t="shared" si="6"/>
        <v>1.67</v>
      </c>
      <c r="AR15" s="28">
        <f t="shared" si="6"/>
        <v>1.67</v>
      </c>
      <c r="AS15" s="28">
        <f t="shared" si="6"/>
        <v>1.67</v>
      </c>
      <c r="AT15" s="28">
        <f t="shared" si="6"/>
        <v>1.67</v>
      </c>
      <c r="AU15" s="28">
        <f t="shared" si="6"/>
        <v>1.67</v>
      </c>
      <c r="AV15" s="28">
        <f t="shared" si="6"/>
        <v>1.67</v>
      </c>
      <c r="AW15" s="28">
        <f t="shared" si="6"/>
        <v>1.67</v>
      </c>
      <c r="AY15" s="85"/>
    </row>
    <row r="16" spans="1:55" x14ac:dyDescent="0.25">
      <c r="A16" s="102" t="str">
        <f t="shared" si="0"/>
        <v>FS Swine</v>
      </c>
      <c r="B16" s="102" t="s">
        <v>1005</v>
      </c>
      <c r="C16" s="102" t="s">
        <v>155</v>
      </c>
      <c r="D16" t="s">
        <v>15</v>
      </c>
      <c r="E16" t="s">
        <v>16</v>
      </c>
      <c r="F16" t="s">
        <v>21</v>
      </c>
      <c r="G16" t="s">
        <v>122</v>
      </c>
      <c r="H16" t="s">
        <v>1021</v>
      </c>
      <c r="I16" t="s">
        <v>121</v>
      </c>
      <c r="J16" t="s">
        <v>286</v>
      </c>
      <c r="K16" s="28">
        <f t="shared" si="7"/>
        <v>1.8474255451679995</v>
      </c>
      <c r="L16" s="28">
        <f t="shared" si="6"/>
        <v>1.8441604348292597</v>
      </c>
      <c r="M16" s="28">
        <f t="shared" si="6"/>
        <v>1.8338137298795358</v>
      </c>
      <c r="N16" s="28">
        <f t="shared" si="6"/>
        <v>1.7933482851133742</v>
      </c>
      <c r="O16" s="28">
        <f t="shared" si="6"/>
        <v>1.7550816658957487</v>
      </c>
      <c r="P16" s="28">
        <f t="shared" si="6"/>
        <v>1.7489053520701128</v>
      </c>
      <c r="Q16" s="28">
        <f t="shared" si="6"/>
        <v>1.7339122581424293</v>
      </c>
      <c r="R16" s="28">
        <f t="shared" si="6"/>
        <v>1.6877345539497199</v>
      </c>
      <c r="S16" s="28">
        <f t="shared" si="6"/>
        <v>1.5053811336602128</v>
      </c>
      <c r="T16" s="28">
        <f t="shared" si="6"/>
        <v>1.5377628037868112</v>
      </c>
      <c r="U16" s="28">
        <f t="shared" si="6"/>
        <v>1.552673977291076</v>
      </c>
      <c r="V16" s="28">
        <f t="shared" si="6"/>
        <v>1.5635339108098432</v>
      </c>
      <c r="W16" s="28">
        <f t="shared" si="6"/>
        <v>1.5802068350253002</v>
      </c>
      <c r="X16" s="28">
        <f t="shared" si="6"/>
        <v>1.6172323659778973</v>
      </c>
      <c r="Y16" s="28">
        <f t="shared" si="6"/>
        <v>1.6589025382757046</v>
      </c>
      <c r="Z16" s="28">
        <f t="shared" si="6"/>
        <v>1.7047569121988</v>
      </c>
      <c r="AA16" s="28">
        <f t="shared" si="6"/>
        <v>1.7414239138931573</v>
      </c>
      <c r="AB16" s="28">
        <f t="shared" si="6"/>
        <v>1.7863343967077348</v>
      </c>
      <c r="AC16" s="28">
        <f t="shared" si="6"/>
        <v>1.8412944995472851</v>
      </c>
      <c r="AD16" s="28">
        <f t="shared" si="6"/>
        <v>1.8933168508248233</v>
      </c>
      <c r="AE16" s="28">
        <f t="shared" si="6"/>
        <v>1.9474606383722404</v>
      </c>
      <c r="AF16" s="28">
        <f t="shared" si="6"/>
        <v>2.0019218993391705</v>
      </c>
      <c r="AG16" s="28">
        <f t="shared" si="6"/>
        <v>2.0640337310487364</v>
      </c>
      <c r="AH16" s="28">
        <f t="shared" si="6"/>
        <v>2.1143896915844675</v>
      </c>
      <c r="AI16" s="28">
        <f t="shared" si="6"/>
        <v>2.1683478050489855</v>
      </c>
      <c r="AJ16" s="28">
        <f t="shared" si="6"/>
        <v>2.2223161129731017</v>
      </c>
      <c r="AK16" s="28">
        <f t="shared" si="6"/>
        <v>2.2712974627449407</v>
      </c>
      <c r="AL16" s="28">
        <f t="shared" si="6"/>
        <v>2.3187596234531931</v>
      </c>
      <c r="AM16" s="28">
        <f t="shared" si="6"/>
        <v>2.3676923627976345</v>
      </c>
      <c r="AN16" s="28">
        <f t="shared" si="6"/>
        <v>2.4194242817017155</v>
      </c>
      <c r="AO16" s="28">
        <f t="shared" si="6"/>
        <v>2.4649069844651375</v>
      </c>
      <c r="AP16" s="28">
        <f t="shared" si="6"/>
        <v>2.5100582920146528</v>
      </c>
      <c r="AQ16" s="28">
        <f t="shared" si="6"/>
        <v>2.5549982553333939</v>
      </c>
      <c r="AR16" s="28">
        <f t="shared" si="6"/>
        <v>2.6036946475230054</v>
      </c>
      <c r="AS16" s="28">
        <f t="shared" si="6"/>
        <v>2.653097485519059</v>
      </c>
      <c r="AT16" s="28">
        <f t="shared" si="6"/>
        <v>2.6646485873532106</v>
      </c>
      <c r="AU16" s="28">
        <f t="shared" si="6"/>
        <v>2.6730218901162521</v>
      </c>
      <c r="AV16" s="28">
        <f t="shared" si="6"/>
        <v>2.6855920926795118</v>
      </c>
      <c r="AW16" s="28">
        <f t="shared" si="6"/>
        <v>2.6954069255347832</v>
      </c>
      <c r="AY16" s="85"/>
    </row>
    <row r="17" spans="1:51" x14ac:dyDescent="0.25">
      <c r="A17" s="102" t="str">
        <f t="shared" si="0"/>
        <v>FS Swine</v>
      </c>
      <c r="B17" s="102" t="s">
        <v>1005</v>
      </c>
      <c r="C17" s="102" t="s">
        <v>155</v>
      </c>
      <c r="D17" t="s">
        <v>15</v>
      </c>
      <c r="E17" t="s">
        <v>16</v>
      </c>
      <c r="F17" t="s">
        <v>21</v>
      </c>
      <c r="G17" t="s">
        <v>123</v>
      </c>
      <c r="H17" t="s">
        <v>1021</v>
      </c>
      <c r="I17" t="s">
        <v>121</v>
      </c>
      <c r="J17" t="s">
        <v>286</v>
      </c>
      <c r="K17" s="28">
        <f t="shared" si="7"/>
        <v>0.25598228499623599</v>
      </c>
      <c r="L17" s="28">
        <f t="shared" si="6"/>
        <v>0.25552986600297178</v>
      </c>
      <c r="M17" s="28">
        <f t="shared" si="6"/>
        <v>0.2540962097551519</v>
      </c>
      <c r="N17" s="28">
        <f t="shared" si="6"/>
        <v>0.24848925198533875</v>
      </c>
      <c r="O17" s="28">
        <f t="shared" si="6"/>
        <v>0.24318696705589768</v>
      </c>
      <c r="P17" s="28">
        <f t="shared" ref="L17:AW23" si="8">P1392</f>
        <v>0.24233116697774282</v>
      </c>
      <c r="Q17" s="28">
        <f t="shared" si="8"/>
        <v>0.24025369952428582</v>
      </c>
      <c r="R17" s="28">
        <f t="shared" si="8"/>
        <v>0.23385524180779091</v>
      </c>
      <c r="S17" s="28">
        <f t="shared" si="8"/>
        <v>0.20858805562825686</v>
      </c>
      <c r="T17" s="28">
        <f t="shared" si="8"/>
        <v>0.21307491245054205</v>
      </c>
      <c r="U17" s="28">
        <f t="shared" si="8"/>
        <v>0.21514102887703648</v>
      </c>
      <c r="V17" s="28">
        <f t="shared" si="8"/>
        <v>0.21664579890921035</v>
      </c>
      <c r="W17" s="28">
        <f t="shared" si="8"/>
        <v>0.21895602637651193</v>
      </c>
      <c r="X17" s="28">
        <f t="shared" si="8"/>
        <v>0.22408634409959116</v>
      </c>
      <c r="Y17" s="28">
        <f t="shared" si="8"/>
        <v>0.22986023087347443</v>
      </c>
      <c r="Z17" s="28">
        <f t="shared" si="8"/>
        <v>0.23621388742250649</v>
      </c>
      <c r="AA17" s="28">
        <f t="shared" si="8"/>
        <v>0.24129452674907209</v>
      </c>
      <c r="AB17" s="28">
        <f t="shared" si="8"/>
        <v>0.24751739621259586</v>
      </c>
      <c r="AC17" s="28">
        <f t="shared" si="8"/>
        <v>0.25513275735410096</v>
      </c>
      <c r="AD17" s="28">
        <f t="shared" si="8"/>
        <v>0.26234105886629538</v>
      </c>
      <c r="AE17" s="28">
        <f t="shared" si="8"/>
        <v>0.26984331003467904</v>
      </c>
      <c r="AF17" s="28">
        <f t="shared" si="8"/>
        <v>0.27738955083586025</v>
      </c>
      <c r="AG17" s="28">
        <f t="shared" si="8"/>
        <v>0.28599586714879749</v>
      </c>
      <c r="AH17" s="28">
        <f t="shared" si="8"/>
        <v>0.29297327085247121</v>
      </c>
      <c r="AI17" s="28">
        <f t="shared" si="8"/>
        <v>0.30044979471826921</v>
      </c>
      <c r="AJ17" s="28">
        <f t="shared" si="8"/>
        <v>0.30792773114495187</v>
      </c>
      <c r="AK17" s="28">
        <f t="shared" si="8"/>
        <v>0.31471466654789126</v>
      </c>
      <c r="AL17" s="28">
        <f t="shared" si="8"/>
        <v>0.32129110064599836</v>
      </c>
      <c r="AM17" s="28">
        <f t="shared" si="8"/>
        <v>0.32807130050914157</v>
      </c>
      <c r="AN17" s="28">
        <f t="shared" si="8"/>
        <v>0.33523935923981285</v>
      </c>
      <c r="AO17" s="28">
        <f t="shared" si="8"/>
        <v>0.3415415164291174</v>
      </c>
      <c r="AP17" s="28">
        <f t="shared" si="8"/>
        <v>0.34779775495917498</v>
      </c>
      <c r="AQ17" s="28">
        <f t="shared" si="8"/>
        <v>0.35402470928925173</v>
      </c>
      <c r="AR17" s="28">
        <f t="shared" si="8"/>
        <v>0.36077216050663552</v>
      </c>
      <c r="AS17" s="28">
        <f t="shared" si="8"/>
        <v>0.36761749800270155</v>
      </c>
      <c r="AT17" s="28">
        <f t="shared" si="8"/>
        <v>0.36921803743957582</v>
      </c>
      <c r="AU17" s="28">
        <f t="shared" si="8"/>
        <v>0.37037825587428075</v>
      </c>
      <c r="AV17" s="28">
        <f t="shared" si="8"/>
        <v>0.37212000356388308</v>
      </c>
      <c r="AW17" s="28">
        <f t="shared" si="8"/>
        <v>0.37347996275017875</v>
      </c>
      <c r="AY17" s="85"/>
    </row>
    <row r="18" spans="1:51" x14ac:dyDescent="0.25">
      <c r="A18" s="102" t="str">
        <f t="shared" si="0"/>
        <v>FS Cattle MMCH4</v>
      </c>
      <c r="B18" s="102" t="s">
        <v>1005</v>
      </c>
      <c r="C18" s="102" t="s">
        <v>1230</v>
      </c>
      <c r="D18" t="s">
        <v>15</v>
      </c>
      <c r="E18" t="s">
        <v>22</v>
      </c>
      <c r="F18" t="s">
        <v>6</v>
      </c>
      <c r="G18" t="s">
        <v>136</v>
      </c>
      <c r="H18" t="s">
        <v>1228</v>
      </c>
      <c r="I18" t="s">
        <v>121</v>
      </c>
      <c r="J18" t="s">
        <v>286</v>
      </c>
      <c r="K18" s="28">
        <f t="shared" si="7"/>
        <v>7.3588045650103595</v>
      </c>
      <c r="L18" s="28">
        <f t="shared" si="8"/>
        <v>7.4084916265932694</v>
      </c>
      <c r="M18" s="28">
        <f t="shared" si="8"/>
        <v>7.4519552194142697</v>
      </c>
      <c r="N18" s="28">
        <f t="shared" si="8"/>
        <v>7.4575773262508553</v>
      </c>
      <c r="O18" s="28">
        <f t="shared" si="8"/>
        <v>7.4672608540413012</v>
      </c>
      <c r="P18" s="28">
        <f t="shared" si="8"/>
        <v>7.5228231503520746</v>
      </c>
      <c r="Q18" s="28">
        <f t="shared" si="8"/>
        <v>7.5672526424513036</v>
      </c>
      <c r="R18" s="28">
        <f t="shared" si="8"/>
        <v>7.5676422029096111</v>
      </c>
      <c r="S18" s="28">
        <f t="shared" si="8"/>
        <v>7.3671469631707884</v>
      </c>
      <c r="T18" s="28">
        <f t="shared" si="8"/>
        <v>7.4640051034943111</v>
      </c>
      <c r="U18" s="28">
        <f t="shared" si="8"/>
        <v>7.5373250515588941</v>
      </c>
      <c r="V18" s="28">
        <f t="shared" si="8"/>
        <v>7.6065006875157843</v>
      </c>
      <c r="W18" s="28">
        <f t="shared" si="8"/>
        <v>7.686711876493888</v>
      </c>
      <c r="X18" s="28">
        <f t="shared" si="8"/>
        <v>7.801642363870573</v>
      </c>
      <c r="Y18" s="28">
        <f t="shared" si="8"/>
        <v>7.9212983742327268</v>
      </c>
      <c r="Z18" s="28">
        <f t="shared" si="8"/>
        <v>8.051271811974777</v>
      </c>
      <c r="AA18" s="28">
        <f t="shared" si="8"/>
        <v>8.1694693701055154</v>
      </c>
      <c r="AB18" s="28">
        <f t="shared" si="8"/>
        <v>8.304894934006013</v>
      </c>
      <c r="AC18" s="28">
        <f t="shared" si="8"/>
        <v>8.4613678864677428</v>
      </c>
      <c r="AD18" s="28">
        <f t="shared" si="8"/>
        <v>8.6120126328996225</v>
      </c>
      <c r="AE18" s="28">
        <f t="shared" si="8"/>
        <v>8.7705110877908012</v>
      </c>
      <c r="AF18" s="28">
        <f t="shared" si="8"/>
        <v>8.9338169052653935</v>
      </c>
      <c r="AG18" s="28">
        <f t="shared" si="8"/>
        <v>9.1155300292362771</v>
      </c>
      <c r="AH18" s="28">
        <f t="shared" si="8"/>
        <v>9.2800481861570177</v>
      </c>
      <c r="AI18" s="28">
        <f t="shared" si="8"/>
        <v>9.4510008371933658</v>
      </c>
      <c r="AJ18" s="28">
        <f t="shared" si="8"/>
        <v>9.6264218592694402</v>
      </c>
      <c r="AK18" s="28">
        <f t="shared" si="8"/>
        <v>9.7965990855623915</v>
      </c>
      <c r="AL18" s="28">
        <f t="shared" si="8"/>
        <v>9.9680661021899084</v>
      </c>
      <c r="AM18" s="28">
        <f t="shared" si="8"/>
        <v>10.146806716212263</v>
      </c>
      <c r="AN18" s="28">
        <f t="shared" si="8"/>
        <v>10.331465633171717</v>
      </c>
      <c r="AO18" s="28">
        <f t="shared" si="8"/>
        <v>10.50783381125248</v>
      </c>
      <c r="AP18" s="28">
        <f t="shared" si="8"/>
        <v>10.68792759135736</v>
      </c>
      <c r="AQ18" s="28">
        <f t="shared" si="8"/>
        <v>10.872071544232886</v>
      </c>
      <c r="AR18" s="28">
        <f t="shared" si="8"/>
        <v>11.068995536388829</v>
      </c>
      <c r="AS18" s="28">
        <f t="shared" si="8"/>
        <v>11.268086835721329</v>
      </c>
      <c r="AT18" s="28">
        <f t="shared" si="8"/>
        <v>11.387245372385955</v>
      </c>
      <c r="AU18" s="28">
        <f t="shared" si="8"/>
        <v>11.501774341925307</v>
      </c>
      <c r="AV18" s="28">
        <f t="shared" si="8"/>
        <v>11.628486934141081</v>
      </c>
      <c r="AW18" s="28">
        <f t="shared" si="8"/>
        <v>11.75154763718939</v>
      </c>
      <c r="AY18" s="85"/>
    </row>
    <row r="19" spans="1:51" x14ac:dyDescent="0.25">
      <c r="A19" s="102" t="str">
        <f t="shared" si="0"/>
        <v>FS Cattle MMCH4</v>
      </c>
      <c r="B19" s="102" t="s">
        <v>1005</v>
      </c>
      <c r="C19" s="102" t="s">
        <v>1230</v>
      </c>
      <c r="D19" t="s">
        <v>15</v>
      </c>
      <c r="E19" t="s">
        <v>22</v>
      </c>
      <c r="F19" t="s">
        <v>6</v>
      </c>
      <c r="G19" t="s">
        <v>137</v>
      </c>
      <c r="H19" t="s">
        <v>1228</v>
      </c>
      <c r="I19" t="s">
        <v>121</v>
      </c>
      <c r="J19" t="s">
        <v>286</v>
      </c>
      <c r="K19" s="28">
        <f t="shared" si="7"/>
        <v>2.0965784624729791</v>
      </c>
      <c r="L19" s="28">
        <f t="shared" si="8"/>
        <v>2.11073467796396</v>
      </c>
      <c r="M19" s="28">
        <f t="shared" si="8"/>
        <v>2.123117780654781</v>
      </c>
      <c r="N19" s="28">
        <f t="shared" si="8"/>
        <v>2.1247195609443885</v>
      </c>
      <c r="O19" s="28">
        <f t="shared" si="8"/>
        <v>2.1274784704420999</v>
      </c>
      <c r="P19" s="28">
        <f t="shared" si="8"/>
        <v>2.1433085842522419</v>
      </c>
      <c r="Q19" s="28">
        <f t="shared" si="8"/>
        <v>2.1559668788721003</v>
      </c>
      <c r="R19" s="28">
        <f t="shared" si="8"/>
        <v>2.1560778675604801</v>
      </c>
      <c r="S19" s="28">
        <f t="shared" si="8"/>
        <v>2.0989552741078059</v>
      </c>
      <c r="T19" s="28">
        <f t="shared" si="8"/>
        <v>2.1265508827591137</v>
      </c>
      <c r="U19" s="28">
        <f t="shared" si="8"/>
        <v>2.14744028437643</v>
      </c>
      <c r="V19" s="28">
        <f t="shared" si="8"/>
        <v>2.1671489404759119</v>
      </c>
      <c r="W19" s="28">
        <f t="shared" si="8"/>
        <v>2.1900017081741403</v>
      </c>
      <c r="X19" s="28">
        <f t="shared" si="8"/>
        <v>2.2227462636772444</v>
      </c>
      <c r="Y19" s="28">
        <f t="shared" si="8"/>
        <v>2.2568371560245644</v>
      </c>
      <c r="Z19" s="28">
        <f t="shared" si="8"/>
        <v>2.2938675606040304</v>
      </c>
      <c r="AA19" s="28">
        <f t="shared" si="8"/>
        <v>2.3275429290017851</v>
      </c>
      <c r="AB19" s="28">
        <f t="shared" si="8"/>
        <v>2.3661266851042466</v>
      </c>
      <c r="AC19" s="28">
        <f t="shared" si="8"/>
        <v>2.4107069996366737</v>
      </c>
      <c r="AD19" s="28">
        <f t="shared" si="8"/>
        <v>2.4536268146777656</v>
      </c>
      <c r="AE19" s="28">
        <f t="shared" si="8"/>
        <v>2.4987842100025621</v>
      </c>
      <c r="AF19" s="28">
        <f t="shared" si="8"/>
        <v>2.545311258885167</v>
      </c>
      <c r="AG19" s="28">
        <f t="shared" si="8"/>
        <v>2.5970826870703236</v>
      </c>
      <c r="AH19" s="28">
        <f t="shared" si="8"/>
        <v>2.6439551405291128</v>
      </c>
      <c r="AI19" s="28">
        <f t="shared" si="8"/>
        <v>2.6926608294897441</v>
      </c>
      <c r="AJ19" s="28">
        <f t="shared" si="8"/>
        <v>2.74263959078182</v>
      </c>
      <c r="AK19" s="28">
        <f t="shared" si="8"/>
        <v>2.7911243554330865</v>
      </c>
      <c r="AL19" s="28">
        <f t="shared" si="8"/>
        <v>2.83997659099796</v>
      </c>
      <c r="AM19" s="28">
        <f t="shared" si="8"/>
        <v>2.8909011288651962</v>
      </c>
      <c r="AN19" s="28">
        <f t="shared" si="8"/>
        <v>2.9435118355065453</v>
      </c>
      <c r="AO19" s="28">
        <f t="shared" si="8"/>
        <v>2.9937604486288318</v>
      </c>
      <c r="AP19" s="28">
        <f t="shared" si="8"/>
        <v>3.045070513634303</v>
      </c>
      <c r="AQ19" s="28">
        <f t="shared" si="8"/>
        <v>3.0975345031563459</v>
      </c>
      <c r="AR19" s="28">
        <f t="shared" si="8"/>
        <v>3.1536396214606754</v>
      </c>
      <c r="AS19" s="28">
        <f t="shared" si="8"/>
        <v>3.2103622217904881</v>
      </c>
      <c r="AT19" s="28">
        <f t="shared" si="8"/>
        <v>3.2443113801604118</v>
      </c>
      <c r="AU19" s="28">
        <f t="shared" si="8"/>
        <v>3.2769415402284139</v>
      </c>
      <c r="AV19" s="28">
        <f t="shared" si="8"/>
        <v>3.3130429055271864</v>
      </c>
      <c r="AW19" s="28">
        <f t="shared" si="8"/>
        <v>3.3481038202869873</v>
      </c>
      <c r="AY19" s="85"/>
    </row>
    <row r="20" spans="1:51" x14ac:dyDescent="0.25">
      <c r="A20" s="102" t="str">
        <f t="shared" si="0"/>
        <v>FS Cattle MMCH4</v>
      </c>
      <c r="B20" s="102" t="s">
        <v>1005</v>
      </c>
      <c r="C20" s="102" t="s">
        <v>1230</v>
      </c>
      <c r="D20" t="s">
        <v>15</v>
      </c>
      <c r="E20" t="s">
        <v>22</v>
      </c>
      <c r="F20" t="s">
        <v>67</v>
      </c>
      <c r="G20" t="s">
        <v>307</v>
      </c>
      <c r="H20" t="s">
        <v>1228</v>
      </c>
      <c r="I20" t="s">
        <v>121</v>
      </c>
      <c r="J20" t="s">
        <v>286</v>
      </c>
      <c r="K20" s="28">
        <f t="shared" si="7"/>
        <v>0.43302356896670435</v>
      </c>
      <c r="L20" s="28">
        <f t="shared" si="8"/>
        <v>0.43594736841646864</v>
      </c>
      <c r="M20" s="28">
        <f t="shared" si="8"/>
        <v>0.43850495231711395</v>
      </c>
      <c r="N20" s="28">
        <f t="shared" si="8"/>
        <v>0.43883578115568184</v>
      </c>
      <c r="O20" s="28">
        <f t="shared" si="8"/>
        <v>0.43940560139305368</v>
      </c>
      <c r="P20" s="28">
        <f t="shared" si="8"/>
        <v>0.44267512481033205</v>
      </c>
      <c r="Q20" s="28">
        <f t="shared" si="8"/>
        <v>0.44528954636022133</v>
      </c>
      <c r="R20" s="28">
        <f t="shared" si="8"/>
        <v>0.44531246976557798</v>
      </c>
      <c r="S20" s="28">
        <f t="shared" si="8"/>
        <v>0.43351447139430072</v>
      </c>
      <c r="T20" s="28">
        <f t="shared" si="8"/>
        <v>0.43921401909064739</v>
      </c>
      <c r="U20" s="28">
        <f t="shared" si="8"/>
        <v>0.44352847877046275</v>
      </c>
      <c r="V20" s="28">
        <f t="shared" si="8"/>
        <v>0.44759906938106581</v>
      </c>
      <c r="W20" s="28">
        <f t="shared" si="8"/>
        <v>0.45231903918261634</v>
      </c>
      <c r="X20" s="28">
        <f t="shared" si="8"/>
        <v>0.45908204116035195</v>
      </c>
      <c r="Y20" s="28">
        <f t="shared" si="8"/>
        <v>0.46612311314393218</v>
      </c>
      <c r="Z20" s="28">
        <f t="shared" si="8"/>
        <v>0.47377130673090989</v>
      </c>
      <c r="AA20" s="28">
        <f t="shared" si="8"/>
        <v>0.48072655714050544</v>
      </c>
      <c r="AB20" s="28">
        <f t="shared" si="8"/>
        <v>0.48869557717513923</v>
      </c>
      <c r="AC20" s="28">
        <f t="shared" si="8"/>
        <v>0.4979031156717999</v>
      </c>
      <c r="AD20" s="28">
        <f t="shared" si="8"/>
        <v>0.50676769757090157</v>
      </c>
      <c r="AE20" s="28">
        <f t="shared" si="8"/>
        <v>0.51609442530315108</v>
      </c>
      <c r="AF20" s="28">
        <f t="shared" si="8"/>
        <v>0.52570403883360262</v>
      </c>
      <c r="AG20" s="28">
        <f t="shared" si="8"/>
        <v>0.53639681709328069</v>
      </c>
      <c r="AH20" s="28">
        <f t="shared" si="8"/>
        <v>0.54607776986764511</v>
      </c>
      <c r="AI20" s="28">
        <f t="shared" si="8"/>
        <v>0.55613735582649237</v>
      </c>
      <c r="AJ20" s="28">
        <f t="shared" si="8"/>
        <v>0.5664598798696433</v>
      </c>
      <c r="AK20" s="28">
        <f t="shared" si="8"/>
        <v>0.57647383651643525</v>
      </c>
      <c r="AL20" s="28">
        <f t="shared" si="8"/>
        <v>0.58656368994903785</v>
      </c>
      <c r="AM20" s="28">
        <f t="shared" si="8"/>
        <v>0.5970815529958805</v>
      </c>
      <c r="AN20" s="28">
        <f t="shared" si="8"/>
        <v>0.60794767432807506</v>
      </c>
      <c r="AO20" s="28">
        <f t="shared" si="8"/>
        <v>0.61832593308600126</v>
      </c>
      <c r="AP20" s="28">
        <f t="shared" si="8"/>
        <v>0.62892342221902187</v>
      </c>
      <c r="AQ20" s="28">
        <f t="shared" si="8"/>
        <v>0.63975924085958458</v>
      </c>
      <c r="AR20" s="28">
        <f t="shared" si="8"/>
        <v>0.65134709173199301</v>
      </c>
      <c r="AS20" s="28">
        <f t="shared" si="8"/>
        <v>0.66306247623847858</v>
      </c>
      <c r="AT20" s="28">
        <f t="shared" si="8"/>
        <v>0.67007427473965175</v>
      </c>
      <c r="AU20" s="28">
        <f t="shared" si="8"/>
        <v>0.67681364968865065</v>
      </c>
      <c r="AV20" s="28">
        <f t="shared" si="8"/>
        <v>0.68426996116282568</v>
      </c>
      <c r="AW20" s="28">
        <f t="shared" si="8"/>
        <v>0.6915113798420095</v>
      </c>
      <c r="AY20" s="85"/>
    </row>
    <row r="21" spans="1:51" x14ac:dyDescent="0.25">
      <c r="A21" s="102" t="str">
        <f t="shared" si="0"/>
        <v>FS Cattle MMCH4</v>
      </c>
      <c r="B21" s="102" t="s">
        <v>1005</v>
      </c>
      <c r="C21" s="102" t="s">
        <v>1230</v>
      </c>
      <c r="D21" t="s">
        <v>15</v>
      </c>
      <c r="E21" t="s">
        <v>22</v>
      </c>
      <c r="F21" t="s">
        <v>67</v>
      </c>
      <c r="G21" t="s">
        <v>122</v>
      </c>
      <c r="H21" t="s">
        <v>1228</v>
      </c>
      <c r="I21" t="s">
        <v>121</v>
      </c>
      <c r="J21" t="s">
        <v>286</v>
      </c>
      <c r="K21" s="28">
        <f t="shared" si="7"/>
        <v>9.5339728940472587E-2</v>
      </c>
      <c r="L21" s="28">
        <f t="shared" si="8"/>
        <v>9.4854333679105063E-2</v>
      </c>
      <c r="M21" s="28">
        <f t="shared" si="8"/>
        <v>9.3968398426833952E-2</v>
      </c>
      <c r="N21" s="28">
        <f t="shared" si="8"/>
        <v>9.1543343324502313E-2</v>
      </c>
      <c r="O21" s="28">
        <f t="shared" si="8"/>
        <v>8.9215062552987667E-2</v>
      </c>
      <c r="P21" s="28">
        <f t="shared" si="8"/>
        <v>8.8452938660310093E-2</v>
      </c>
      <c r="Q21" s="28">
        <f t="shared" si="8"/>
        <v>8.7222027489186615E-2</v>
      </c>
      <c r="R21" s="28">
        <f t="shared" si="8"/>
        <v>8.4456409837201651E-2</v>
      </c>
      <c r="S21" s="28">
        <f t="shared" si="8"/>
        <v>7.5177478598092318E-2</v>
      </c>
      <c r="T21" s="28">
        <f t="shared" si="8"/>
        <v>7.7014428210242056E-2</v>
      </c>
      <c r="U21" s="28">
        <f t="shared" si="8"/>
        <v>7.8006612977093048E-2</v>
      </c>
      <c r="V21" s="28">
        <f t="shared" si="8"/>
        <v>7.8795228292272187E-2</v>
      </c>
      <c r="W21" s="28">
        <f t="shared" si="8"/>
        <v>7.9855076548413395E-2</v>
      </c>
      <c r="X21" s="28">
        <f t="shared" si="8"/>
        <v>8.1889840057722874E-2</v>
      </c>
      <c r="Y21" s="28">
        <f t="shared" si="8"/>
        <v>8.4116841663257197E-2</v>
      </c>
      <c r="Z21" s="28">
        <f t="shared" si="8"/>
        <v>8.6543393580483491E-2</v>
      </c>
      <c r="AA21" s="28">
        <f t="shared" si="8"/>
        <v>8.8521952214014571E-2</v>
      </c>
      <c r="AB21" s="28">
        <f t="shared" si="8"/>
        <v>9.0896953770236252E-2</v>
      </c>
      <c r="AC21" s="28">
        <f t="shared" si="8"/>
        <v>9.3757697259475761E-2</v>
      </c>
      <c r="AD21" s="28">
        <f t="shared" si="8"/>
        <v>9.5642150962380226E-2</v>
      </c>
      <c r="AE21" s="28">
        <f t="shared" si="8"/>
        <v>9.7567055281161469E-2</v>
      </c>
      <c r="AF21" s="28">
        <f t="shared" si="8"/>
        <v>9.9442694820459449E-2</v>
      </c>
      <c r="AG21" s="28">
        <f t="shared" si="8"/>
        <v>0.10161266035579665</v>
      </c>
      <c r="AH21" s="28">
        <f t="shared" si="8"/>
        <v>0.10315899021589392</v>
      </c>
      <c r="AI21" s="28">
        <f t="shared" si="8"/>
        <v>0.10478802467890617</v>
      </c>
      <c r="AJ21" s="28">
        <f t="shared" si="8"/>
        <v>0.10634686421883358</v>
      </c>
      <c r="AK21" s="28">
        <f t="shared" si="8"/>
        <v>0.10760625778708158</v>
      </c>
      <c r="AL21" s="28">
        <f t="shared" si="8"/>
        <v>0.10872705455886196</v>
      </c>
      <c r="AM21" s="28">
        <f t="shared" si="8"/>
        <v>0.10984281909628571</v>
      </c>
      <c r="AN21" s="28">
        <f t="shared" si="8"/>
        <v>0.11156015357830804</v>
      </c>
      <c r="AO21" s="28">
        <f t="shared" si="8"/>
        <v>0.11295872622782972</v>
      </c>
      <c r="AP21" s="28">
        <f t="shared" si="8"/>
        <v>0.11430168694304664</v>
      </c>
      <c r="AQ21" s="28">
        <f t="shared" si="8"/>
        <v>0.11559344303067282</v>
      </c>
      <c r="AR21" s="28">
        <f t="shared" si="8"/>
        <v>0.11700506936438095</v>
      </c>
      <c r="AS21" s="28">
        <f t="shared" si="8"/>
        <v>0.11838774199647999</v>
      </c>
      <c r="AT21" s="28">
        <f t="shared" si="8"/>
        <v>0.11810287074263501</v>
      </c>
      <c r="AU21" s="28">
        <f t="shared" si="8"/>
        <v>0.117655872543239</v>
      </c>
      <c r="AV21" s="28">
        <f t="shared" si="8"/>
        <v>0.11736041307434758</v>
      </c>
      <c r="AW21" s="28">
        <f t="shared" si="8"/>
        <v>0.11692074816946382</v>
      </c>
      <c r="AY21" s="85"/>
    </row>
    <row r="22" spans="1:51" x14ac:dyDescent="0.25">
      <c r="A22" s="102" t="str">
        <f t="shared" si="0"/>
        <v>FS Cattle MMCH4</v>
      </c>
      <c r="B22" s="102" t="s">
        <v>1005</v>
      </c>
      <c r="C22" s="102" t="s">
        <v>1230</v>
      </c>
      <c r="D22" t="s">
        <v>15</v>
      </c>
      <c r="E22" t="s">
        <v>22</v>
      </c>
      <c r="F22" t="s">
        <v>67</v>
      </c>
      <c r="G22" t="s">
        <v>123</v>
      </c>
      <c r="H22" t="s">
        <v>1228</v>
      </c>
      <c r="I22" t="s">
        <v>121</v>
      </c>
      <c r="J22" t="s">
        <v>286</v>
      </c>
      <c r="K22" s="28">
        <f t="shared" si="7"/>
        <v>7.0033293869835936E-2</v>
      </c>
      <c r="L22" s="28">
        <f t="shared" si="8"/>
        <v>6.9676739164256679E-2</v>
      </c>
      <c r="M22" s="28">
        <f t="shared" si="8"/>
        <v>6.9025961523482296E-2</v>
      </c>
      <c r="N22" s="28">
        <f t="shared" si="8"/>
        <v>6.724459924650146E-2</v>
      </c>
      <c r="O22" s="28">
        <f t="shared" si="8"/>
        <v>6.5534324072709205E-2</v>
      </c>
      <c r="P22" s="28">
        <f t="shared" si="8"/>
        <v>6.4974494008849484E-2</v>
      </c>
      <c r="Q22" s="28">
        <f t="shared" si="8"/>
        <v>6.4070308893861602E-2</v>
      </c>
      <c r="R22" s="28">
        <f t="shared" si="8"/>
        <v>6.2038781052262654E-2</v>
      </c>
      <c r="S22" s="28">
        <f t="shared" si="8"/>
        <v>5.5222796514774769E-2</v>
      </c>
      <c r="T22" s="28">
        <f t="shared" si="8"/>
        <v>5.657215667597356E-2</v>
      </c>
      <c r="U22" s="28">
        <f t="shared" si="8"/>
        <v>5.7300981564844748E-2</v>
      </c>
      <c r="V22" s="28">
        <f t="shared" si="8"/>
        <v>5.7880271318780145E-2</v>
      </c>
      <c r="W22" s="28">
        <f t="shared" si="8"/>
        <v>5.865879948541796E-2</v>
      </c>
      <c r="X22" s="28">
        <f t="shared" si="8"/>
        <v>6.0153466948675183E-2</v>
      </c>
      <c r="Y22" s="28">
        <f t="shared" si="8"/>
        <v>6.1789345921924234E-2</v>
      </c>
      <c r="Z22" s="28">
        <f t="shared" si="8"/>
        <v>6.3571807707772474E-2</v>
      </c>
      <c r="AA22" s="28">
        <f t="shared" si="8"/>
        <v>6.5025188997615446E-2</v>
      </c>
      <c r="AB22" s="28">
        <f t="shared" si="8"/>
        <v>6.6769783656910539E-2</v>
      </c>
      <c r="AC22" s="28">
        <f t="shared" si="8"/>
        <v>6.8871187674885259E-2</v>
      </c>
      <c r="AD22" s="28">
        <f t="shared" si="8"/>
        <v>7.0255442711335062E-2</v>
      </c>
      <c r="AE22" s="28">
        <f t="shared" si="8"/>
        <v>7.1669411382388193E-2</v>
      </c>
      <c r="AF22" s="28">
        <f t="shared" si="8"/>
        <v>7.3047191836657727E-2</v>
      </c>
      <c r="AG22" s="28">
        <f t="shared" si="8"/>
        <v>7.4641174069589936E-2</v>
      </c>
      <c r="AH22" s="28">
        <f t="shared" si="8"/>
        <v>7.5777054931801216E-2</v>
      </c>
      <c r="AI22" s="28">
        <f t="shared" si="8"/>
        <v>7.6973687757802431E-2</v>
      </c>
      <c r="AJ22" s="28">
        <f t="shared" si="8"/>
        <v>7.8118757801622474E-2</v>
      </c>
      <c r="AK22" s="28">
        <f t="shared" si="8"/>
        <v>7.904386510833572E-2</v>
      </c>
      <c r="AL22" s="28">
        <f t="shared" si="8"/>
        <v>7.9867163963480023E-2</v>
      </c>
      <c r="AM22" s="28">
        <f t="shared" si="8"/>
        <v>8.0686766311916805E-2</v>
      </c>
      <c r="AN22" s="28">
        <f t="shared" si="8"/>
        <v>8.1948261302398337E-2</v>
      </c>
      <c r="AO22" s="28">
        <f t="shared" si="8"/>
        <v>8.2975604787121515E-2</v>
      </c>
      <c r="AP22" s="28">
        <f t="shared" si="8"/>
        <v>8.3962097652893697E-2</v>
      </c>
      <c r="AQ22" s="28">
        <f t="shared" si="8"/>
        <v>8.491097735601684E-2</v>
      </c>
      <c r="AR22" s="28">
        <f t="shared" si="8"/>
        <v>8.5947909629284627E-2</v>
      </c>
      <c r="AS22" s="28">
        <f t="shared" si="8"/>
        <v>8.6963573506722666E-2</v>
      </c>
      <c r="AT22" s="28">
        <f t="shared" si="8"/>
        <v>8.6754316857293221E-2</v>
      </c>
      <c r="AU22" s="28">
        <f t="shared" si="8"/>
        <v>8.6425967316073798E-2</v>
      </c>
      <c r="AV22" s="28">
        <f t="shared" si="8"/>
        <v>8.6208932927142212E-2</v>
      </c>
      <c r="AW22" s="28">
        <f t="shared" si="8"/>
        <v>8.5885970172473555E-2</v>
      </c>
      <c r="AY22" s="85"/>
    </row>
    <row r="23" spans="1:51" x14ac:dyDescent="0.25">
      <c r="A23" s="102" t="str">
        <f t="shared" si="0"/>
        <v>FS Cattle MMCH4</v>
      </c>
      <c r="B23" s="102" t="s">
        <v>1005</v>
      </c>
      <c r="C23" s="102" t="s">
        <v>1230</v>
      </c>
      <c r="D23" t="s">
        <v>15</v>
      </c>
      <c r="E23" t="s">
        <v>22</v>
      </c>
      <c r="F23" t="s">
        <v>67</v>
      </c>
      <c r="G23" t="s">
        <v>135</v>
      </c>
      <c r="H23" t="s">
        <v>1228</v>
      </c>
      <c r="I23" t="s">
        <v>121</v>
      </c>
      <c r="J23" t="s">
        <v>286</v>
      </c>
      <c r="K23" s="28">
        <f t="shared" si="7"/>
        <v>0.47241651785764616</v>
      </c>
      <c r="L23" s="28">
        <f t="shared" si="8"/>
        <v>0.49004050540543137</v>
      </c>
      <c r="M23" s="28">
        <f t="shared" si="8"/>
        <v>0.50587338709485186</v>
      </c>
      <c r="N23" s="28">
        <f t="shared" si="8"/>
        <v>0.51330333017852303</v>
      </c>
      <c r="O23" s="28">
        <f t="shared" si="8"/>
        <v>0.52084695794290625</v>
      </c>
      <c r="P23" s="28">
        <f t="shared" si="8"/>
        <v>0.53749845878988001</v>
      </c>
      <c r="Q23" s="28">
        <f t="shared" si="8"/>
        <v>0.55154407690171303</v>
      </c>
      <c r="R23" s="28">
        <f t="shared" si="8"/>
        <v>0.55564430469746628</v>
      </c>
      <c r="S23" s="28">
        <f t="shared" si="8"/>
        <v>0.51452468218759118</v>
      </c>
      <c r="T23" s="28">
        <f t="shared" si="8"/>
        <v>0.53973183707135297</v>
      </c>
      <c r="U23" s="28">
        <f t="shared" si="8"/>
        <v>0.55960980330157661</v>
      </c>
      <c r="V23" s="28">
        <f t="shared" si="8"/>
        <v>0.57846136773715073</v>
      </c>
      <c r="W23" s="28">
        <f t="shared" si="8"/>
        <v>0.59976484808933772</v>
      </c>
      <c r="X23" s="28">
        <f t="shared" si="8"/>
        <v>0.6290799531985618</v>
      </c>
      <c r="Y23" s="28">
        <f t="shared" si="8"/>
        <v>0.66078220006195243</v>
      </c>
      <c r="Z23" s="28">
        <f t="shared" si="8"/>
        <v>0.6950549893868353</v>
      </c>
      <c r="AA23" s="28">
        <f t="shared" si="8"/>
        <v>0.72671447444619408</v>
      </c>
      <c r="AB23" s="28">
        <f t="shared" si="8"/>
        <v>0.76263064102611711</v>
      </c>
      <c r="AC23" s="28">
        <f t="shared" si="8"/>
        <v>0.80381242816688792</v>
      </c>
      <c r="AD23" s="28">
        <f t="shared" si="8"/>
        <v>0.84707112360683778</v>
      </c>
      <c r="AE23" s="28">
        <f t="shared" si="8"/>
        <v>0.89273716244132828</v>
      </c>
      <c r="AF23" s="28">
        <f t="shared" si="8"/>
        <v>0.94011116650043791</v>
      </c>
      <c r="AG23" s="28">
        <f t="shared" si="8"/>
        <v>0.99262429161620569</v>
      </c>
      <c r="AH23" s="28">
        <f t="shared" si="8"/>
        <v>1.0414261811490693</v>
      </c>
      <c r="AI23" s="28">
        <f t="shared" si="8"/>
        <v>1.0934015913217856</v>
      </c>
      <c r="AJ23" s="28">
        <f t="shared" si="8"/>
        <v>1.1471241939805665</v>
      </c>
      <c r="AK23" s="28">
        <f t="shared" si="8"/>
        <v>1.2001095211957744</v>
      </c>
      <c r="AL23" s="28">
        <f t="shared" si="8"/>
        <v>1.2540285808463096</v>
      </c>
      <c r="AM23" s="28">
        <f t="shared" si="8"/>
        <v>1.310466494861908</v>
      </c>
      <c r="AN23" s="28">
        <f t="shared" si="8"/>
        <v>1.3683728665063422</v>
      </c>
      <c r="AO23" s="28">
        <f t="shared" si="8"/>
        <v>1.4246154398643955</v>
      </c>
      <c r="AP23" s="28">
        <f t="shared" si="8"/>
        <v>1.482380812922339</v>
      </c>
      <c r="AQ23" s="28">
        <f t="shared" ref="L23:AW30" si="9">AQ1398</f>
        <v>1.541777789137452</v>
      </c>
      <c r="AR23" s="28">
        <f t="shared" si="9"/>
        <v>1.6052115562052296</v>
      </c>
      <c r="AS23" s="28">
        <f t="shared" si="9"/>
        <v>1.670845908904999</v>
      </c>
      <c r="AT23" s="28">
        <f t="shared" si="9"/>
        <v>1.7149867964815078</v>
      </c>
      <c r="AU23" s="28">
        <f t="shared" si="9"/>
        <v>1.7581618430572761</v>
      </c>
      <c r="AV23" s="28">
        <f t="shared" si="9"/>
        <v>1.8050606672101563</v>
      </c>
      <c r="AW23" s="28">
        <f t="shared" si="9"/>
        <v>1.8512821467965566</v>
      </c>
      <c r="AY23" s="85"/>
    </row>
    <row r="24" spans="1:51" x14ac:dyDescent="0.25">
      <c r="A24" s="102" t="str">
        <f t="shared" si="0"/>
        <v>FS Sheep MMCH4</v>
      </c>
      <c r="B24" s="102" t="s">
        <v>1005</v>
      </c>
      <c r="C24" s="102" t="s">
        <v>1325</v>
      </c>
      <c r="D24" t="s">
        <v>15</v>
      </c>
      <c r="E24" t="s">
        <v>22</v>
      </c>
      <c r="F24" t="s">
        <v>18</v>
      </c>
      <c r="G24" t="s">
        <v>122</v>
      </c>
      <c r="H24" t="s">
        <v>1228</v>
      </c>
      <c r="I24" t="s">
        <v>121</v>
      </c>
      <c r="J24" t="s">
        <v>286</v>
      </c>
      <c r="K24" s="28">
        <f t="shared" si="7"/>
        <v>3.6049467288640238E-2</v>
      </c>
      <c r="L24" s="28">
        <f t="shared" si="9"/>
        <v>3.6068922498919492E-2</v>
      </c>
      <c r="M24" s="28">
        <f t="shared" si="9"/>
        <v>3.6113648368603188E-2</v>
      </c>
      <c r="N24" s="28">
        <f t="shared" si="9"/>
        <v>3.6180048088995075E-2</v>
      </c>
      <c r="O24" s="28">
        <f t="shared" si="9"/>
        <v>3.6269669615497352E-2</v>
      </c>
      <c r="P24" s="28">
        <f t="shared" si="9"/>
        <v>3.6384314095385159E-2</v>
      </c>
      <c r="Q24" s="28">
        <f t="shared" si="9"/>
        <v>3.6510640385803414E-2</v>
      </c>
      <c r="R24" s="28">
        <f t="shared" si="9"/>
        <v>3.6646686440443228E-2</v>
      </c>
      <c r="S24" s="28">
        <f t="shared" si="9"/>
        <v>3.6781472874538444E-2</v>
      </c>
      <c r="T24" s="28">
        <f t="shared" si="9"/>
        <v>3.6836633496849083E-2</v>
      </c>
      <c r="U24" s="28">
        <f t="shared" si="9"/>
        <v>3.6899270096088746E-2</v>
      </c>
      <c r="V24" s="28">
        <f t="shared" si="9"/>
        <v>3.6970107657697912E-2</v>
      </c>
      <c r="W24" s="28">
        <f t="shared" si="9"/>
        <v>3.7049660029312891E-2</v>
      </c>
      <c r="X24" s="28">
        <f t="shared" si="9"/>
        <v>3.7139051899563943E-2</v>
      </c>
      <c r="Y24" s="28">
        <f t="shared" si="9"/>
        <v>3.7195257613770766E-2</v>
      </c>
      <c r="Z24" s="28">
        <f t="shared" si="9"/>
        <v>3.7258548109316066E-2</v>
      </c>
      <c r="AA24" s="28">
        <f t="shared" si="9"/>
        <v>3.7327161924675951E-2</v>
      </c>
      <c r="AB24" s="28">
        <f t="shared" si="9"/>
        <v>3.740270770234231E-2</v>
      </c>
      <c r="AC24" s="28">
        <f t="shared" si="9"/>
        <v>3.7485176791933403E-2</v>
      </c>
      <c r="AD24" s="28">
        <f t="shared" si="9"/>
        <v>3.7539761469788754E-2</v>
      </c>
      <c r="AE24" s="28">
        <f t="shared" si="9"/>
        <v>3.7599656922957594E-2</v>
      </c>
      <c r="AF24" s="28">
        <f t="shared" si="9"/>
        <v>3.7664460791843352E-2</v>
      </c>
      <c r="AG24" s="28">
        <f t="shared" si="9"/>
        <v>3.7734874583025615E-2</v>
      </c>
      <c r="AH24" s="28">
        <f t="shared" si="9"/>
        <v>3.7808406535422022E-2</v>
      </c>
      <c r="AI24" s="28">
        <f t="shared" si="9"/>
        <v>3.7855450290038166E-2</v>
      </c>
      <c r="AJ24" s="28">
        <f t="shared" si="9"/>
        <v>3.790648474498734E-2</v>
      </c>
      <c r="AK24" s="28">
        <f t="shared" si="9"/>
        <v>3.7960736985585587E-2</v>
      </c>
      <c r="AL24" s="28">
        <f t="shared" si="9"/>
        <v>3.8018503990857662E-2</v>
      </c>
      <c r="AM24" s="28">
        <f t="shared" si="9"/>
        <v>3.8080056384553931E-2</v>
      </c>
      <c r="AN24" s="28">
        <f t="shared" si="9"/>
        <v>3.8116334504626079E-2</v>
      </c>
      <c r="AO24" s="28">
        <f t="shared" si="9"/>
        <v>3.8154989670212594E-2</v>
      </c>
      <c r="AP24" s="28">
        <f t="shared" si="9"/>
        <v>3.8196703080821404E-2</v>
      </c>
      <c r="AQ24" s="28">
        <f t="shared" si="9"/>
        <v>3.8241401151067764E-2</v>
      </c>
      <c r="AR24" s="28">
        <f t="shared" si="9"/>
        <v>3.828956377958781E-2</v>
      </c>
      <c r="AS24" s="28">
        <f t="shared" si="9"/>
        <v>3.8311270646145826E-2</v>
      </c>
      <c r="AT24" s="28">
        <f t="shared" si="9"/>
        <v>3.8330111932378036E-2</v>
      </c>
      <c r="AU24" s="28">
        <f t="shared" si="9"/>
        <v>3.8350912132151166E-2</v>
      </c>
      <c r="AV24" s="28">
        <f t="shared" si="9"/>
        <v>3.8374692407557622E-2</v>
      </c>
      <c r="AW24" s="28">
        <f t="shared" si="9"/>
        <v>3.8400354082293926E-2</v>
      </c>
      <c r="AY24" s="85"/>
    </row>
    <row r="25" spans="1:51" x14ac:dyDescent="0.25">
      <c r="A25" s="102" t="str">
        <f t="shared" si="0"/>
        <v>FS Sheep MMCH4</v>
      </c>
      <c r="B25" s="102" t="s">
        <v>1005</v>
      </c>
      <c r="C25" s="102" t="s">
        <v>1325</v>
      </c>
      <c r="D25" t="s">
        <v>15</v>
      </c>
      <c r="E25" t="s">
        <v>22</v>
      </c>
      <c r="F25" t="s">
        <v>18</v>
      </c>
      <c r="G25" t="s">
        <v>123</v>
      </c>
      <c r="H25" t="s">
        <v>1228</v>
      </c>
      <c r="I25" t="s">
        <v>121</v>
      </c>
      <c r="J25" t="s">
        <v>286</v>
      </c>
      <c r="K25" s="28">
        <f t="shared" si="7"/>
        <v>4.1170209951421942E-3</v>
      </c>
      <c r="L25" s="28">
        <f t="shared" si="9"/>
        <v>4.1192428728898823E-3</v>
      </c>
      <c r="M25" s="28">
        <f t="shared" si="9"/>
        <v>4.12435078039485E-3</v>
      </c>
      <c r="N25" s="28">
        <f t="shared" si="9"/>
        <v>4.1319339449597016E-3</v>
      </c>
      <c r="O25" s="28">
        <f t="shared" si="9"/>
        <v>4.1421691504697385E-3</v>
      </c>
      <c r="P25" s="28">
        <f t="shared" si="9"/>
        <v>4.1552620965289999E-3</v>
      </c>
      <c r="Q25" s="28">
        <f t="shared" si="9"/>
        <v>4.1696891610325101E-3</v>
      </c>
      <c r="R25" s="28">
        <f t="shared" si="9"/>
        <v>4.1852262689396433E-3</v>
      </c>
      <c r="S25" s="28">
        <f t="shared" si="9"/>
        <v>4.2006195221765729E-3</v>
      </c>
      <c r="T25" s="28">
        <f t="shared" si="9"/>
        <v>4.2069191281690734E-3</v>
      </c>
      <c r="U25" s="28">
        <f t="shared" si="9"/>
        <v>4.2140725263613192E-3</v>
      </c>
      <c r="V25" s="28">
        <f t="shared" si="9"/>
        <v>4.2221625135462756E-3</v>
      </c>
      <c r="W25" s="28">
        <f t="shared" si="9"/>
        <v>4.2312477735732788E-3</v>
      </c>
      <c r="X25" s="28">
        <f t="shared" si="9"/>
        <v>4.2414567512447637E-3</v>
      </c>
      <c r="Y25" s="28">
        <f t="shared" si="9"/>
        <v>4.2478757117132681E-3</v>
      </c>
      <c r="Z25" s="28">
        <f t="shared" si="9"/>
        <v>4.2551037879804332E-3</v>
      </c>
      <c r="AA25" s="28">
        <f t="shared" si="9"/>
        <v>4.2629398127441735E-3</v>
      </c>
      <c r="AB25" s="28">
        <f t="shared" si="9"/>
        <v>4.2715675006447032E-3</v>
      </c>
      <c r="AC25" s="28">
        <f t="shared" si="9"/>
        <v>4.2809858637671951E-3</v>
      </c>
      <c r="AD25" s="28">
        <f t="shared" si="9"/>
        <v>4.2872196941576481E-3</v>
      </c>
      <c r="AE25" s="28">
        <f t="shared" si="9"/>
        <v>4.294060040402857E-3</v>
      </c>
      <c r="AF25" s="28">
        <f t="shared" si="9"/>
        <v>4.3014609511190394E-3</v>
      </c>
      <c r="AG25" s="28">
        <f t="shared" si="9"/>
        <v>4.3095025417013294E-3</v>
      </c>
      <c r="AH25" s="28">
        <f t="shared" si="9"/>
        <v>4.3179002411570773E-3</v>
      </c>
      <c r="AI25" s="28">
        <f t="shared" si="9"/>
        <v>4.3232728621695939E-3</v>
      </c>
      <c r="AJ25" s="28">
        <f t="shared" si="9"/>
        <v>4.3291012401819257E-3</v>
      </c>
      <c r="AK25" s="28">
        <f t="shared" si="9"/>
        <v>4.335297104653045E-3</v>
      </c>
      <c r="AL25" s="28">
        <f t="shared" si="9"/>
        <v>4.3418943720031399E-3</v>
      </c>
      <c r="AM25" s="28">
        <f t="shared" si="9"/>
        <v>4.3489239487544346E-3</v>
      </c>
      <c r="AN25" s="28">
        <f t="shared" si="9"/>
        <v>4.3530670829873327E-3</v>
      </c>
      <c r="AO25" s="28">
        <f t="shared" si="9"/>
        <v>4.3574816871482253E-3</v>
      </c>
      <c r="AP25" s="28">
        <f t="shared" si="9"/>
        <v>4.362245557467872E-3</v>
      </c>
      <c r="AQ25" s="28">
        <f t="shared" si="9"/>
        <v>4.3673502901445905E-3</v>
      </c>
      <c r="AR25" s="28">
        <f t="shared" si="9"/>
        <v>4.3728506918900767E-3</v>
      </c>
      <c r="AS25" s="28">
        <f t="shared" si="9"/>
        <v>4.3753297195173796E-3</v>
      </c>
      <c r="AT25" s="28">
        <f t="shared" si="9"/>
        <v>4.3774814842126074E-3</v>
      </c>
      <c r="AU25" s="28">
        <f t="shared" si="9"/>
        <v>4.3798569661714264E-3</v>
      </c>
      <c r="AV25" s="28">
        <f t="shared" si="9"/>
        <v>4.3825727869721814E-3</v>
      </c>
      <c r="AW25" s="28">
        <f t="shared" si="9"/>
        <v>4.385503472544146E-3</v>
      </c>
      <c r="AY25" s="85"/>
    </row>
    <row r="26" spans="1:51" x14ac:dyDescent="0.25">
      <c r="A26" s="102" t="str">
        <f t="shared" si="0"/>
        <v>FS Goats MMCH4</v>
      </c>
      <c r="B26" s="102" t="s">
        <v>1005</v>
      </c>
      <c r="C26" s="102" t="s">
        <v>1326</v>
      </c>
      <c r="D26" t="s">
        <v>15</v>
      </c>
      <c r="E26" t="s">
        <v>22</v>
      </c>
      <c r="F26" t="s">
        <v>19</v>
      </c>
      <c r="G26" t="s">
        <v>122</v>
      </c>
      <c r="H26" t="s">
        <v>1228</v>
      </c>
      <c r="I26" t="s">
        <v>121</v>
      </c>
      <c r="J26" t="s">
        <v>286</v>
      </c>
      <c r="K26" s="28">
        <f t="shared" si="7"/>
        <v>1.5786050776084536E-2</v>
      </c>
      <c r="L26" s="28">
        <f t="shared" si="9"/>
        <v>1.5827081346829606E-2</v>
      </c>
      <c r="M26" s="28">
        <f t="shared" si="9"/>
        <v>1.5882411871580165E-2</v>
      </c>
      <c r="N26" s="28">
        <f t="shared" si="9"/>
        <v>1.5949803045989901E-2</v>
      </c>
      <c r="O26" s="28">
        <f t="shared" si="9"/>
        <v>1.6030521416305728E-2</v>
      </c>
      <c r="P26" s="28">
        <f t="shared" si="9"/>
        <v>1.6125949164627635E-2</v>
      </c>
      <c r="Q26" s="28">
        <f t="shared" si="9"/>
        <v>1.6227083744595871E-2</v>
      </c>
      <c r="R26" s="28">
        <f t="shared" si="9"/>
        <v>1.6332741800602117E-2</v>
      </c>
      <c r="S26" s="28">
        <f t="shared" si="9"/>
        <v>1.6435606263672888E-2</v>
      </c>
      <c r="T26" s="28">
        <f t="shared" si="9"/>
        <v>1.6482785969504622E-2</v>
      </c>
      <c r="U26" s="28">
        <f t="shared" si="9"/>
        <v>1.6533664426214255E-2</v>
      </c>
      <c r="V26" s="28">
        <f t="shared" si="9"/>
        <v>1.6588808405428729E-2</v>
      </c>
      <c r="W26" s="28">
        <f t="shared" si="9"/>
        <v>1.6648626125843623E-2</v>
      </c>
      <c r="X26" s="28">
        <f t="shared" si="9"/>
        <v>1.671392230440329E-2</v>
      </c>
      <c r="Y26" s="28">
        <f t="shared" si="9"/>
        <v>1.6755949162850392E-2</v>
      </c>
      <c r="Z26" s="28">
        <f t="shared" si="9"/>
        <v>1.6801812461822448E-2</v>
      </c>
      <c r="AA26" s="28">
        <f t="shared" si="9"/>
        <v>1.6850371356583897E-2</v>
      </c>
      <c r="AB26" s="28">
        <f t="shared" si="9"/>
        <v>1.6902729841508243E-2</v>
      </c>
      <c r="AC26" s="28">
        <f t="shared" si="9"/>
        <v>1.6958905567505546E-2</v>
      </c>
      <c r="AD26" s="28">
        <f t="shared" si="9"/>
        <v>1.6995881142245144E-2</v>
      </c>
      <c r="AE26" s="28">
        <f t="shared" si="9"/>
        <v>1.7035738596248386E-2</v>
      </c>
      <c r="AF26" s="28">
        <f t="shared" si="9"/>
        <v>1.7078229800458981E-2</v>
      </c>
      <c r="AG26" s="28">
        <f t="shared" si="9"/>
        <v>1.7123832345859253E-2</v>
      </c>
      <c r="AH26" s="28">
        <f t="shared" si="9"/>
        <v>1.7170921235490962E-2</v>
      </c>
      <c r="AI26" s="28">
        <f t="shared" si="9"/>
        <v>1.720011231394674E-2</v>
      </c>
      <c r="AJ26" s="28">
        <f t="shared" si="9"/>
        <v>1.7231468078725984E-2</v>
      </c>
      <c r="AK26" s="28">
        <f t="shared" si="9"/>
        <v>1.7264493513114532E-2</v>
      </c>
      <c r="AL26" s="28">
        <f t="shared" si="9"/>
        <v>1.7299393145414187E-2</v>
      </c>
      <c r="AM26" s="28">
        <f t="shared" si="9"/>
        <v>1.7336351628498631E-2</v>
      </c>
      <c r="AN26" s="28">
        <f t="shared" si="9"/>
        <v>1.7356503534937538E-2</v>
      </c>
      <c r="AO26" s="28">
        <f t="shared" si="9"/>
        <v>1.7377878973805026E-2</v>
      </c>
      <c r="AP26" s="28">
        <f t="shared" si="9"/>
        <v>1.7400926590350561E-2</v>
      </c>
      <c r="AQ26" s="28">
        <f t="shared" si="9"/>
        <v>1.7425603506526253E-2</v>
      </c>
      <c r="AR26" s="28">
        <f t="shared" si="9"/>
        <v>1.7452223423977883E-2</v>
      </c>
      <c r="AS26" s="28">
        <f t="shared" si="9"/>
        <v>1.7461521770457056E-2</v>
      </c>
      <c r="AT26" s="28">
        <f t="shared" si="9"/>
        <v>1.7468759965525583E-2</v>
      </c>
      <c r="AU26" s="28">
        <f t="shared" si="9"/>
        <v>1.7477053902041951E-2</v>
      </c>
      <c r="AV26" s="28">
        <f t="shared" si="9"/>
        <v>1.7487061559141349E-2</v>
      </c>
      <c r="AW26" s="28">
        <f t="shared" si="9"/>
        <v>1.7498080042052506E-2</v>
      </c>
      <c r="AY26" s="85"/>
    </row>
    <row r="27" spans="1:51" x14ac:dyDescent="0.25">
      <c r="A27" s="102" t="str">
        <f t="shared" si="0"/>
        <v>FS Goats MMCH4</v>
      </c>
      <c r="B27" s="102" t="s">
        <v>1005</v>
      </c>
      <c r="C27" s="102" t="s">
        <v>1326</v>
      </c>
      <c r="D27" t="s">
        <v>15</v>
      </c>
      <c r="E27" t="s">
        <v>22</v>
      </c>
      <c r="F27" t="s">
        <v>19</v>
      </c>
      <c r="G27" t="s">
        <v>123</v>
      </c>
      <c r="H27" t="s">
        <v>1228</v>
      </c>
      <c r="I27" t="s">
        <v>121</v>
      </c>
      <c r="J27" t="s">
        <v>286</v>
      </c>
      <c r="K27" s="28">
        <f t="shared" si="7"/>
        <v>2.6586118821625565E-2</v>
      </c>
      <c r="L27" s="28">
        <f t="shared" si="9"/>
        <v>2.6655220564969766E-2</v>
      </c>
      <c r="M27" s="28">
        <f t="shared" si="9"/>
        <v>2.674840561336134E-2</v>
      </c>
      <c r="N27" s="28">
        <f t="shared" si="9"/>
        <v>2.6861902636511708E-2</v>
      </c>
      <c r="O27" s="28">
        <f t="shared" si="9"/>
        <v>2.6997844691604787E-2</v>
      </c>
      <c r="P27" s="28">
        <f t="shared" si="9"/>
        <v>2.7158559584249745E-2</v>
      </c>
      <c r="Q27" s="28">
        <f t="shared" si="9"/>
        <v>2.7328885652380994E-2</v>
      </c>
      <c r="R27" s="28">
        <f t="shared" si="9"/>
        <v>2.7506829944546809E-2</v>
      </c>
      <c r="S27" s="28">
        <f t="shared" si="9"/>
        <v>2.7680069399842709E-2</v>
      </c>
      <c r="T27" s="28">
        <f t="shared" si="9"/>
        <v>2.7759527225172408E-2</v>
      </c>
      <c r="U27" s="28">
        <f t="shared" si="9"/>
        <v>2.7845214311494997E-2</v>
      </c>
      <c r="V27" s="28">
        <f t="shared" si="9"/>
        <v>2.7938085188732656E-2</v>
      </c>
      <c r="W27" s="28">
        <f t="shared" si="9"/>
        <v>2.8038827359472312E-2</v>
      </c>
      <c r="X27" s="28">
        <f t="shared" si="9"/>
        <v>2.814879608986658E-2</v>
      </c>
      <c r="Y27" s="28">
        <f t="shared" si="9"/>
        <v>2.821957573375743E-2</v>
      </c>
      <c r="Z27" s="28">
        <f t="shared" si="9"/>
        <v>2.8296816529021451E-2</v>
      </c>
      <c r="AA27" s="28">
        <f t="shared" si="9"/>
        <v>2.8378597119004759E-2</v>
      </c>
      <c r="AB27" s="28">
        <f t="shared" si="9"/>
        <v>2.8466776798727306E-2</v>
      </c>
      <c r="AC27" s="28">
        <f t="shared" si="9"/>
        <v>2.8561385295015548E-2</v>
      </c>
      <c r="AD27" s="28">
        <f t="shared" si="9"/>
        <v>2.8623657806200815E-2</v>
      </c>
      <c r="AE27" s="28">
        <f t="shared" si="9"/>
        <v>2.8690783841907163E-2</v>
      </c>
      <c r="AF27" s="28">
        <f t="shared" si="9"/>
        <v>2.876234551493359E-2</v>
      </c>
      <c r="AG27" s="28">
        <f t="shared" si="9"/>
        <v>2.8839147161385727E-2</v>
      </c>
      <c r="AH27" s="28">
        <f t="shared" si="9"/>
        <v>2.891845203837394E-2</v>
      </c>
      <c r="AI27" s="28">
        <f t="shared" si="9"/>
        <v>2.8967614269723933E-2</v>
      </c>
      <c r="AJ27" s="28">
        <f t="shared" si="9"/>
        <v>2.9020422163223609E-2</v>
      </c>
      <c r="AK27" s="28">
        <f t="shared" si="9"/>
        <v>2.9076042035175369E-2</v>
      </c>
      <c r="AL27" s="28">
        <f t="shared" si="9"/>
        <v>2.9134818342455165E-2</v>
      </c>
      <c r="AM27" s="28">
        <f t="shared" si="9"/>
        <v>2.9197062068684575E-2</v>
      </c>
      <c r="AN27" s="28">
        <f t="shared" si="9"/>
        <v>2.9231000954772463E-2</v>
      </c>
      <c r="AO27" s="28">
        <f t="shared" si="9"/>
        <v>2.926700045620928E-2</v>
      </c>
      <c r="AP27" s="28">
        <f t="shared" si="9"/>
        <v>2.9305816160068741E-2</v>
      </c>
      <c r="AQ27" s="28">
        <f t="shared" si="9"/>
        <v>2.9347375853174006E-2</v>
      </c>
      <c r="AR27" s="28">
        <f t="shared" si="9"/>
        <v>2.9392207856974665E-2</v>
      </c>
      <c r="AS27" s="28">
        <f t="shared" si="9"/>
        <v>2.9407867691587285E-2</v>
      </c>
      <c r="AT27" s="28">
        <f t="shared" si="9"/>
        <v>2.9420057916797852E-2</v>
      </c>
      <c r="AU27" s="28">
        <f t="shared" si="9"/>
        <v>2.9434026171737036E-2</v>
      </c>
      <c r="AV27" s="28">
        <f t="shared" si="9"/>
        <v>2.9450880593691244E-2</v>
      </c>
      <c r="AW27" s="28">
        <f t="shared" si="9"/>
        <v>2.9469437400587745E-2</v>
      </c>
      <c r="AY27" s="85"/>
    </row>
    <row r="28" spans="1:51" x14ac:dyDescent="0.25">
      <c r="A28" s="102" t="str">
        <f t="shared" si="0"/>
        <v>FS Horses MMCH4</v>
      </c>
      <c r="B28" s="102" t="s">
        <v>1005</v>
      </c>
      <c r="C28" s="102" t="s">
        <v>1327</v>
      </c>
      <c r="D28" t="s">
        <v>15</v>
      </c>
      <c r="E28" t="s">
        <v>22</v>
      </c>
      <c r="F28" t="s">
        <v>20</v>
      </c>
      <c r="G28" t="s">
        <v>3</v>
      </c>
      <c r="H28" t="s">
        <v>1228</v>
      </c>
      <c r="I28" t="s">
        <v>121</v>
      </c>
      <c r="J28" t="s">
        <v>286</v>
      </c>
      <c r="K28" s="28">
        <f t="shared" si="7"/>
        <v>4.1409780786531561E-3</v>
      </c>
      <c r="L28" s="28">
        <f t="shared" si="9"/>
        <v>4.1688671764084162E-3</v>
      </c>
      <c r="M28" s="28">
        <f t="shared" si="9"/>
        <v>4.1857409403688933E-3</v>
      </c>
      <c r="N28" s="28">
        <f t="shared" si="9"/>
        <v>4.1635395322190223E-3</v>
      </c>
      <c r="O28" s="28">
        <f t="shared" si="9"/>
        <v>4.1408513683072233E-3</v>
      </c>
      <c r="P28" s="28">
        <f t="shared" si="9"/>
        <v>4.1549094768624506E-3</v>
      </c>
      <c r="Q28" s="28">
        <f t="shared" si="9"/>
        <v>4.1567255728426969E-3</v>
      </c>
      <c r="R28" s="28">
        <f t="shared" si="9"/>
        <v>4.1179597585422178E-3</v>
      </c>
      <c r="S28" s="28">
        <f t="shared" si="9"/>
        <v>3.9049943158389311E-3</v>
      </c>
      <c r="T28" s="28">
        <f t="shared" si="9"/>
        <v>3.9699795028704365E-3</v>
      </c>
      <c r="U28" s="28">
        <f t="shared" si="9"/>
        <v>4.0126860665387013E-3</v>
      </c>
      <c r="V28" s="28">
        <f t="shared" si="9"/>
        <v>4.0499492305839649E-3</v>
      </c>
      <c r="W28" s="28">
        <f t="shared" si="9"/>
        <v>4.09467284204442E-3</v>
      </c>
      <c r="X28" s="28">
        <f t="shared" si="9"/>
        <v>4.1665387441703824E-3</v>
      </c>
      <c r="Y28" s="28">
        <f t="shared" si="9"/>
        <v>4.248702300747329E-3</v>
      </c>
      <c r="Z28" s="28">
        <f t="shared" si="9"/>
        <v>4.3374921923911899E-3</v>
      </c>
      <c r="AA28" s="28">
        <f t="shared" si="9"/>
        <v>4.414637811470782E-3</v>
      </c>
      <c r="AB28" s="28">
        <f t="shared" si="9"/>
        <v>4.5040673251205239E-3</v>
      </c>
      <c r="AC28" s="28">
        <f t="shared" si="9"/>
        <v>4.6087014569709678E-3</v>
      </c>
      <c r="AD28" s="28">
        <f t="shared" si="9"/>
        <v>4.7138573349945522E-3</v>
      </c>
      <c r="AE28" s="28">
        <f t="shared" si="9"/>
        <v>4.8236014553834257E-3</v>
      </c>
      <c r="AF28" s="28">
        <f t="shared" si="9"/>
        <v>4.9354202086686252E-3</v>
      </c>
      <c r="AG28" s="28">
        <f t="shared" si="9"/>
        <v>5.0601637107160246E-3</v>
      </c>
      <c r="AH28" s="28">
        <f t="shared" si="9"/>
        <v>5.1692799161183493E-3</v>
      </c>
      <c r="AI28" s="28">
        <f t="shared" si="9"/>
        <v>5.2891896269508833E-3</v>
      </c>
      <c r="AJ28" s="28">
        <f t="shared" si="9"/>
        <v>5.4110891568061297E-3</v>
      </c>
      <c r="AK28" s="28">
        <f t="shared" si="9"/>
        <v>5.5272908454311459E-3</v>
      </c>
      <c r="AL28" s="28">
        <f t="shared" si="9"/>
        <v>5.6429797772661562E-3</v>
      </c>
      <c r="AM28" s="28">
        <f t="shared" si="9"/>
        <v>5.7628358631585681E-3</v>
      </c>
      <c r="AN28" s="28">
        <f t="shared" si="9"/>
        <v>5.8932639862966018E-3</v>
      </c>
      <c r="AO28" s="28">
        <f t="shared" si="9"/>
        <v>6.015926079762964E-3</v>
      </c>
      <c r="AP28" s="28">
        <f t="shared" si="9"/>
        <v>6.1402055338910435E-3</v>
      </c>
      <c r="AQ28" s="28">
        <f t="shared" si="9"/>
        <v>6.266331762949981E-3</v>
      </c>
      <c r="AR28" s="28">
        <f t="shared" si="9"/>
        <v>6.4010164026291104E-3</v>
      </c>
      <c r="AS28" s="28">
        <f t="shared" si="9"/>
        <v>6.544222904657609E-3</v>
      </c>
      <c r="AT28" s="28">
        <f t="shared" si="9"/>
        <v>6.6249233396269902E-3</v>
      </c>
      <c r="AU28" s="28">
        <f t="shared" si="9"/>
        <v>6.7012526002480271E-3</v>
      </c>
      <c r="AV28" s="28">
        <f t="shared" si="9"/>
        <v>6.7861102667668991E-3</v>
      </c>
      <c r="AW28" s="28">
        <f t="shared" si="9"/>
        <v>6.8673471283418426E-3</v>
      </c>
      <c r="AY28" s="85"/>
    </row>
    <row r="29" spans="1:51" x14ac:dyDescent="0.25">
      <c r="A29" s="102" t="str">
        <f t="shared" si="0"/>
        <v>FS Mules MMCH4</v>
      </c>
      <c r="B29" s="102" t="s">
        <v>1005</v>
      </c>
      <c r="C29" s="102" t="s">
        <v>1328</v>
      </c>
      <c r="D29" t="s">
        <v>15</v>
      </c>
      <c r="E29" t="s">
        <v>22</v>
      </c>
      <c r="F29" t="s">
        <v>140</v>
      </c>
      <c r="G29" t="s">
        <v>124</v>
      </c>
      <c r="H29" t="s">
        <v>1228</v>
      </c>
      <c r="I29" t="s">
        <v>121</v>
      </c>
      <c r="J29" t="s">
        <v>286</v>
      </c>
      <c r="K29" s="28">
        <f t="shared" si="7"/>
        <v>7.515E-4</v>
      </c>
      <c r="L29" s="28">
        <f t="shared" si="9"/>
        <v>7.515E-4</v>
      </c>
      <c r="M29" s="28">
        <f t="shared" si="9"/>
        <v>7.515E-4</v>
      </c>
      <c r="N29" s="28">
        <f t="shared" si="9"/>
        <v>7.515E-4</v>
      </c>
      <c r="O29" s="28">
        <f t="shared" si="9"/>
        <v>7.515E-4</v>
      </c>
      <c r="P29" s="28">
        <f t="shared" si="9"/>
        <v>7.515E-4</v>
      </c>
      <c r="Q29" s="28">
        <f t="shared" si="9"/>
        <v>7.515E-4</v>
      </c>
      <c r="R29" s="28">
        <f t="shared" si="9"/>
        <v>7.515E-4</v>
      </c>
      <c r="S29" s="28">
        <f t="shared" si="9"/>
        <v>7.515E-4</v>
      </c>
      <c r="T29" s="28">
        <f t="shared" si="9"/>
        <v>7.515E-4</v>
      </c>
      <c r="U29" s="28">
        <f t="shared" si="9"/>
        <v>7.515E-4</v>
      </c>
      <c r="V29" s="28">
        <f t="shared" si="9"/>
        <v>7.515E-4</v>
      </c>
      <c r="W29" s="28">
        <f t="shared" si="9"/>
        <v>7.515E-4</v>
      </c>
      <c r="X29" s="28">
        <f t="shared" si="9"/>
        <v>7.515E-4</v>
      </c>
      <c r="Y29" s="28">
        <f t="shared" si="9"/>
        <v>7.515E-4</v>
      </c>
      <c r="Z29" s="28">
        <f t="shared" si="9"/>
        <v>7.515E-4</v>
      </c>
      <c r="AA29" s="28">
        <f t="shared" si="9"/>
        <v>7.515E-4</v>
      </c>
      <c r="AB29" s="28">
        <f t="shared" si="9"/>
        <v>7.515E-4</v>
      </c>
      <c r="AC29" s="28">
        <f t="shared" si="9"/>
        <v>7.515E-4</v>
      </c>
      <c r="AD29" s="28">
        <f t="shared" si="9"/>
        <v>7.515E-4</v>
      </c>
      <c r="AE29" s="28">
        <f t="shared" si="9"/>
        <v>7.515E-4</v>
      </c>
      <c r="AF29" s="28">
        <f t="shared" si="9"/>
        <v>7.515E-4</v>
      </c>
      <c r="AG29" s="28">
        <f t="shared" si="9"/>
        <v>7.515E-4</v>
      </c>
      <c r="AH29" s="28">
        <f t="shared" si="9"/>
        <v>7.515E-4</v>
      </c>
      <c r="AI29" s="28">
        <f t="shared" si="9"/>
        <v>7.515E-4</v>
      </c>
      <c r="AJ29" s="28">
        <f t="shared" si="9"/>
        <v>7.515E-4</v>
      </c>
      <c r="AK29" s="28">
        <f t="shared" si="9"/>
        <v>7.515E-4</v>
      </c>
      <c r="AL29" s="28">
        <f t="shared" si="9"/>
        <v>7.515E-4</v>
      </c>
      <c r="AM29" s="28">
        <f t="shared" si="9"/>
        <v>7.515E-4</v>
      </c>
      <c r="AN29" s="28">
        <f t="shared" si="9"/>
        <v>7.515E-4</v>
      </c>
      <c r="AO29" s="28">
        <f t="shared" si="9"/>
        <v>7.515E-4</v>
      </c>
      <c r="AP29" s="28">
        <f t="shared" si="9"/>
        <v>7.515E-4</v>
      </c>
      <c r="AQ29" s="28">
        <f t="shared" si="9"/>
        <v>7.515E-4</v>
      </c>
      <c r="AR29" s="28">
        <f t="shared" si="9"/>
        <v>7.515E-4</v>
      </c>
      <c r="AS29" s="28">
        <f t="shared" si="9"/>
        <v>7.515E-4</v>
      </c>
      <c r="AT29" s="28">
        <f t="shared" si="9"/>
        <v>7.515E-4</v>
      </c>
      <c r="AU29" s="28">
        <f t="shared" si="9"/>
        <v>7.515E-4</v>
      </c>
      <c r="AV29" s="28">
        <f t="shared" si="9"/>
        <v>7.515E-4</v>
      </c>
      <c r="AW29" s="28">
        <f t="shared" si="9"/>
        <v>7.515E-4</v>
      </c>
      <c r="AY29" s="85"/>
    </row>
    <row r="30" spans="1:51" x14ac:dyDescent="0.25">
      <c r="A30" s="102" t="str">
        <f t="shared" si="0"/>
        <v>FS Swine MMCH4</v>
      </c>
      <c r="B30" s="102" t="s">
        <v>1005</v>
      </c>
      <c r="C30" s="102" t="s">
        <v>1231</v>
      </c>
      <c r="D30" t="s">
        <v>15</v>
      </c>
      <c r="E30" t="s">
        <v>22</v>
      </c>
      <c r="F30" t="s">
        <v>21</v>
      </c>
      <c r="G30" t="s">
        <v>122</v>
      </c>
      <c r="H30" t="s">
        <v>1228</v>
      </c>
      <c r="I30" t="s">
        <v>121</v>
      </c>
      <c r="J30" t="s">
        <v>286</v>
      </c>
      <c r="K30" s="28">
        <f t="shared" si="7"/>
        <v>23.371743761076022</v>
      </c>
      <c r="L30" s="28">
        <f t="shared" si="9"/>
        <v>23.330436915239524</v>
      </c>
      <c r="M30" s="28">
        <f t="shared" si="9"/>
        <v>23.199540957083649</v>
      </c>
      <c r="N30" s="28">
        <f t="shared" si="9"/>
        <v>22.687613421640428</v>
      </c>
      <c r="O30" s="28">
        <f t="shared" si="9"/>
        <v>22.203503184399075</v>
      </c>
      <c r="P30" s="28">
        <f t="shared" si="9"/>
        <v>22.125366761256988</v>
      </c>
      <c r="Q30" s="28">
        <f t="shared" si="9"/>
        <v>21.935689428722483</v>
      </c>
      <c r="R30" s="28">
        <f t="shared" si="9"/>
        <v>21.35149621309353</v>
      </c>
      <c r="S30" s="28">
        <f t="shared" si="9"/>
        <v>19.044546726490758</v>
      </c>
      <c r="T30" s="28">
        <f t="shared" si="9"/>
        <v>19.454206590041967</v>
      </c>
      <c r="U30" s="28">
        <f t="shared" si="9"/>
        <v>19.642847548932107</v>
      </c>
      <c r="V30" s="28">
        <f t="shared" si="9"/>
        <v>19.780236351488622</v>
      </c>
      <c r="W30" s="28">
        <f t="shared" si="9"/>
        <v>19.991165183522316</v>
      </c>
      <c r="X30" s="28">
        <f t="shared" si="9"/>
        <v>20.459574437852073</v>
      </c>
      <c r="Y30" s="28">
        <f t="shared" si="9"/>
        <v>20.986742957293373</v>
      </c>
      <c r="Z30" s="28">
        <f t="shared" si="9"/>
        <v>21.566845728123951</v>
      </c>
      <c r="AA30" s="28">
        <f t="shared" si="9"/>
        <v>22.030719235951583</v>
      </c>
      <c r="AB30" s="28">
        <f t="shared" si="9"/>
        <v>22.598880859175789</v>
      </c>
      <c r="AC30" s="28">
        <f t="shared" si="9"/>
        <v>23.294180025092402</v>
      </c>
      <c r="AD30" s="28">
        <f t="shared" si="9"/>
        <v>23.952313754534117</v>
      </c>
      <c r="AE30" s="28">
        <f t="shared" si="9"/>
        <v>24.63728573195543</v>
      </c>
      <c r="AF30" s="28">
        <f t="shared" ref="L30:AW38" si="10">AF1405</f>
        <v>25.326274059281189</v>
      </c>
      <c r="AG30" s="28">
        <f t="shared" si="10"/>
        <v>26.11204960463073</v>
      </c>
      <c r="AH30" s="28">
        <f t="shared" si="10"/>
        <v>26.749101858001481</v>
      </c>
      <c r="AI30" s="28">
        <f t="shared" si="10"/>
        <v>27.431724876299679</v>
      </c>
      <c r="AJ30" s="28">
        <f t="shared" si="10"/>
        <v>28.114476864503132</v>
      </c>
      <c r="AK30" s="28">
        <f t="shared" si="10"/>
        <v>28.734138944489672</v>
      </c>
      <c r="AL30" s="28">
        <f t="shared" si="10"/>
        <v>29.334581793903347</v>
      </c>
      <c r="AM30" s="28">
        <f t="shared" si="10"/>
        <v>29.953628904341453</v>
      </c>
      <c r="AN30" s="28">
        <f t="shared" si="10"/>
        <v>30.608088379613569</v>
      </c>
      <c r="AO30" s="28">
        <f t="shared" si="10"/>
        <v>31.183489146008849</v>
      </c>
      <c r="AP30" s="28">
        <f t="shared" si="10"/>
        <v>31.754697438156203</v>
      </c>
      <c r="AQ30" s="28">
        <f t="shared" si="10"/>
        <v>32.323232018651169</v>
      </c>
      <c r="AR30" s="28">
        <f t="shared" si="10"/>
        <v>32.939289105942862</v>
      </c>
      <c r="AS30" s="28">
        <f t="shared" si="10"/>
        <v>33.564283425055578</v>
      </c>
      <c r="AT30" s="28">
        <f t="shared" si="10"/>
        <v>33.710416184198159</v>
      </c>
      <c r="AU30" s="28">
        <f t="shared" si="10"/>
        <v>33.816346670611303</v>
      </c>
      <c r="AV30" s="28">
        <f t="shared" si="10"/>
        <v>33.97537205277176</v>
      </c>
      <c r="AW30" s="28">
        <f t="shared" si="10"/>
        <v>34.099539307658524</v>
      </c>
      <c r="AY30" s="85"/>
    </row>
    <row r="31" spans="1:51" x14ac:dyDescent="0.25">
      <c r="A31" s="102" t="str">
        <f t="shared" si="0"/>
        <v>FS Swine MMCH4</v>
      </c>
      <c r="B31" s="102" t="s">
        <v>1005</v>
      </c>
      <c r="C31" s="102" t="s">
        <v>1231</v>
      </c>
      <c r="D31" t="s">
        <v>15</v>
      </c>
      <c r="E31" t="s">
        <v>22</v>
      </c>
      <c r="F31" t="s">
        <v>21</v>
      </c>
      <c r="G31" t="s">
        <v>123</v>
      </c>
      <c r="H31" t="s">
        <v>1228</v>
      </c>
      <c r="I31" t="s">
        <v>121</v>
      </c>
      <c r="J31" t="s">
        <v>286</v>
      </c>
      <c r="K31" s="28">
        <f t="shared" si="7"/>
        <v>7.8242315709845453E-2</v>
      </c>
      <c r="L31" s="28">
        <f t="shared" si="10"/>
        <v>7.8104031493402004E-2</v>
      </c>
      <c r="M31" s="28">
        <f t="shared" si="10"/>
        <v>7.7665827010763841E-2</v>
      </c>
      <c r="N31" s="28">
        <f t="shared" si="10"/>
        <v>7.5952031229919295E-2</v>
      </c>
      <c r="O31" s="28">
        <f t="shared" si="10"/>
        <v>7.4331360286072609E-2</v>
      </c>
      <c r="P31" s="28">
        <f t="shared" si="10"/>
        <v>7.4069780544722574E-2</v>
      </c>
      <c r="Q31" s="28">
        <f t="shared" si="10"/>
        <v>7.343479182129313E-2</v>
      </c>
      <c r="R31" s="28">
        <f t="shared" si="10"/>
        <v>7.1479069968441278E-2</v>
      </c>
      <c r="S31" s="28">
        <f t="shared" si="10"/>
        <v>6.3756023202968359E-2</v>
      </c>
      <c r="T31" s="28">
        <f t="shared" si="10"/>
        <v>6.5127454308207822E-2</v>
      </c>
      <c r="U31" s="28">
        <f t="shared" si="10"/>
        <v>6.5758973531256606E-2</v>
      </c>
      <c r="V31" s="28">
        <f t="shared" si="10"/>
        <v>6.6218914311650043E-2</v>
      </c>
      <c r="W31" s="28">
        <f t="shared" si="10"/>
        <v>6.6925047342929228E-2</v>
      </c>
      <c r="X31" s="28">
        <f t="shared" si="10"/>
        <v>6.8493155616464185E-2</v>
      </c>
      <c r="Y31" s="28">
        <f t="shared" si="10"/>
        <v>7.0257974114907237E-2</v>
      </c>
      <c r="Z31" s="28">
        <f t="shared" si="10"/>
        <v>7.2200002258099263E-2</v>
      </c>
      <c r="AA31" s="28">
        <f t="shared" si="10"/>
        <v>7.3752926071568817E-2</v>
      </c>
      <c r="AB31" s="28">
        <f t="shared" si="10"/>
        <v>7.5654978462394759E-2</v>
      </c>
      <c r="AC31" s="28">
        <f t="shared" si="10"/>
        <v>7.7982653171161778E-2</v>
      </c>
      <c r="AD31" s="28">
        <f t="shared" si="10"/>
        <v>8.0185907988803429E-2</v>
      </c>
      <c r="AE31" s="28">
        <f t="shared" si="10"/>
        <v>8.247901004647068E-2</v>
      </c>
      <c r="AF31" s="28">
        <f t="shared" si="10"/>
        <v>8.4785557764009881E-2</v>
      </c>
      <c r="AG31" s="28">
        <f t="shared" si="10"/>
        <v>8.7416123070767446E-2</v>
      </c>
      <c r="AH31" s="28">
        <f t="shared" si="10"/>
        <v>8.9548802773294175E-2</v>
      </c>
      <c r="AI31" s="28">
        <f t="shared" si="10"/>
        <v>9.1834041147225251E-2</v>
      </c>
      <c r="AJ31" s="28">
        <f t="shared" si="10"/>
        <v>9.4119711277731624E-2</v>
      </c>
      <c r="AK31" s="28">
        <f t="shared" si="10"/>
        <v>9.6194173354304288E-2</v>
      </c>
      <c r="AL31" s="28">
        <f t="shared" si="10"/>
        <v>9.820429461311192E-2</v>
      </c>
      <c r="AM31" s="28">
        <f t="shared" si="10"/>
        <v>0.10027669793694233</v>
      </c>
      <c r="AN31" s="28">
        <f t="shared" si="10"/>
        <v>0.10246765233927585</v>
      </c>
      <c r="AO31" s="28">
        <f t="shared" si="10"/>
        <v>0.10439393943553288</v>
      </c>
      <c r="AP31" s="28">
        <f t="shared" si="10"/>
        <v>0.10630619125495884</v>
      </c>
      <c r="AQ31" s="28">
        <f t="shared" si="10"/>
        <v>0.10820949220647513</v>
      </c>
      <c r="AR31" s="28">
        <f t="shared" si="10"/>
        <v>0.1102718857365395</v>
      </c>
      <c r="AS31" s="28">
        <f t="shared" si="10"/>
        <v>0.11236419871638305</v>
      </c>
      <c r="AT31" s="28">
        <f t="shared" si="10"/>
        <v>0.11285341191302209</v>
      </c>
      <c r="AU31" s="28">
        <f t="shared" si="10"/>
        <v>0.11320803870706722</v>
      </c>
      <c r="AV31" s="28">
        <f t="shared" si="10"/>
        <v>0.11374041293999027</v>
      </c>
      <c r="AW31" s="28">
        <f t="shared" si="10"/>
        <v>0.11415609153278124</v>
      </c>
      <c r="AY31" s="85"/>
    </row>
    <row r="32" spans="1:51" x14ac:dyDescent="0.25">
      <c r="A32" s="102" t="str">
        <f t="shared" si="0"/>
        <v>FS Poultry MMCH4</v>
      </c>
      <c r="B32" s="102" t="s">
        <v>1005</v>
      </c>
      <c r="C32" s="102" t="s">
        <v>1232</v>
      </c>
      <c r="D32" t="s">
        <v>15</v>
      </c>
      <c r="E32" t="s">
        <v>22</v>
      </c>
      <c r="F32" t="s">
        <v>28</v>
      </c>
      <c r="G32" t="s">
        <v>131</v>
      </c>
      <c r="H32" t="s">
        <v>1228</v>
      </c>
      <c r="I32" t="s">
        <v>121</v>
      </c>
      <c r="J32" t="s">
        <v>286</v>
      </c>
      <c r="K32" s="28">
        <f t="shared" si="7"/>
        <v>0.55747442882718667</v>
      </c>
      <c r="L32" s="28">
        <f t="shared" si="10"/>
        <v>0.57000466235661118</v>
      </c>
      <c r="M32" s="28">
        <f t="shared" si="10"/>
        <v>0.58133812133078289</v>
      </c>
      <c r="N32" s="28">
        <f t="shared" si="10"/>
        <v>0.58718909348293968</v>
      </c>
      <c r="O32" s="28">
        <f t="shared" si="10"/>
        <v>0.59320136752099994</v>
      </c>
      <c r="P32" s="28">
        <f t="shared" si="10"/>
        <v>0.60517178839490071</v>
      </c>
      <c r="Q32" s="28">
        <f t="shared" si="10"/>
        <v>0.61540759790167998</v>
      </c>
      <c r="R32" s="28">
        <f t="shared" si="10"/>
        <v>0.61929285714109983</v>
      </c>
      <c r="S32" s="28">
        <f t="shared" si="10"/>
        <v>0.59469792033381752</v>
      </c>
      <c r="T32" s="28">
        <f t="shared" si="10"/>
        <v>0.6123961678050206</v>
      </c>
      <c r="U32" s="28">
        <f t="shared" si="10"/>
        <v>0.62670000214524924</v>
      </c>
      <c r="V32" s="28">
        <f t="shared" si="10"/>
        <v>0.64033072034628857</v>
      </c>
      <c r="W32" s="28">
        <f t="shared" si="10"/>
        <v>0.65546604439463374</v>
      </c>
      <c r="X32" s="28">
        <f t="shared" si="10"/>
        <v>0.67555681395741984</v>
      </c>
      <c r="Y32" s="28">
        <f t="shared" si="10"/>
        <v>0.69665833659280063</v>
      </c>
      <c r="Z32" s="28">
        <f t="shared" si="10"/>
        <v>0.7192776675745407</v>
      </c>
      <c r="AA32" s="28">
        <f t="shared" si="10"/>
        <v>0.74020059701318874</v>
      </c>
      <c r="AB32" s="28">
        <f t="shared" si="10"/>
        <v>0.7636741686553643</v>
      </c>
      <c r="AC32" s="28">
        <f t="shared" si="10"/>
        <v>0.79029892011866243</v>
      </c>
      <c r="AD32" s="28">
        <f t="shared" si="10"/>
        <v>0.81639549054517768</v>
      </c>
      <c r="AE32" s="28">
        <f t="shared" si="10"/>
        <v>0.84372718721281392</v>
      </c>
      <c r="AF32" s="28">
        <f t="shared" si="10"/>
        <v>0.87185215188264154</v>
      </c>
      <c r="AG32" s="28">
        <f t="shared" si="10"/>
        <v>0.90282405951998446</v>
      </c>
      <c r="AH32" s="28">
        <f t="shared" si="10"/>
        <v>0.93129930364506475</v>
      </c>
      <c r="AI32" s="28">
        <f t="shared" si="10"/>
        <v>0.96108950462978437</v>
      </c>
      <c r="AJ32" s="28">
        <f t="shared" si="10"/>
        <v>0.99164854163197635</v>
      </c>
      <c r="AK32" s="28">
        <f t="shared" si="10"/>
        <v>1.0214996622641284</v>
      </c>
      <c r="AL32" s="28">
        <f t="shared" si="10"/>
        <v>1.0516345292230644</v>
      </c>
      <c r="AM32" s="28">
        <f t="shared" si="10"/>
        <v>1.0829748845958596</v>
      </c>
      <c r="AN32" s="28">
        <f t="shared" si="10"/>
        <v>1.1155704742631816</v>
      </c>
      <c r="AO32" s="28">
        <f t="shared" si="10"/>
        <v>1.1469836186626363</v>
      </c>
      <c r="AP32" s="28">
        <f t="shared" si="10"/>
        <v>1.1790678557525369</v>
      </c>
      <c r="AQ32" s="28">
        <f t="shared" si="10"/>
        <v>1.2118785602379014</v>
      </c>
      <c r="AR32" s="28">
        <f t="shared" si="10"/>
        <v>1.246786730113024</v>
      </c>
      <c r="AS32" s="28">
        <f t="shared" si="10"/>
        <v>1.2823996493212451</v>
      </c>
      <c r="AT32" s="28">
        <f t="shared" si="10"/>
        <v>1.3055397260898673</v>
      </c>
      <c r="AU32" s="28">
        <f t="shared" si="10"/>
        <v>1.3279825002684047</v>
      </c>
      <c r="AV32" s="28">
        <f t="shared" si="10"/>
        <v>1.3523851767933999</v>
      </c>
      <c r="AW32" s="28">
        <f t="shared" si="10"/>
        <v>1.3762491253290834</v>
      </c>
      <c r="AY32" s="85"/>
    </row>
    <row r="33" spans="1:51" x14ac:dyDescent="0.25">
      <c r="A33" s="102" t="str">
        <f t="shared" si="0"/>
        <v>FS Poultry MMCH4</v>
      </c>
      <c r="B33" s="102" t="s">
        <v>1005</v>
      </c>
      <c r="C33" s="102" t="s">
        <v>1232</v>
      </c>
      <c r="D33" t="s">
        <v>15</v>
      </c>
      <c r="E33" t="s">
        <v>22</v>
      </c>
      <c r="F33" t="s">
        <v>28</v>
      </c>
      <c r="G33" t="s">
        <v>132</v>
      </c>
      <c r="H33" t="s">
        <v>1228</v>
      </c>
      <c r="I33" t="s">
        <v>121</v>
      </c>
      <c r="J33" t="s">
        <v>286</v>
      </c>
      <c r="K33" s="28">
        <f t="shared" si="7"/>
        <v>2.2247786627421906</v>
      </c>
      <c r="L33" s="28">
        <f t="shared" si="10"/>
        <v>2.2660704090846675</v>
      </c>
      <c r="M33" s="28">
        <f t="shared" si="10"/>
        <v>2.2931151480493956</v>
      </c>
      <c r="N33" s="28">
        <f t="shared" si="10"/>
        <v>2.263369089113628</v>
      </c>
      <c r="O33" s="28">
        <f t="shared" si="10"/>
        <v>2.2345214699411633</v>
      </c>
      <c r="P33" s="28">
        <f t="shared" si="10"/>
        <v>2.2631068961220624</v>
      </c>
      <c r="Q33" s="28">
        <f t="shared" si="10"/>
        <v>2.2741216722530595</v>
      </c>
      <c r="R33" s="28">
        <f t="shared" si="10"/>
        <v>2.2236230251769533</v>
      </c>
      <c r="S33" s="28">
        <f t="shared" si="10"/>
        <v>1.9032751826814061</v>
      </c>
      <c r="T33" s="28">
        <f t="shared" si="10"/>
        <v>2.0050045794652438</v>
      </c>
      <c r="U33" s="28">
        <f t="shared" si="10"/>
        <v>2.0731097774643854</v>
      </c>
      <c r="V33" s="28">
        <f t="shared" si="10"/>
        <v>2.1336466102427849</v>
      </c>
      <c r="W33" s="28">
        <f t="shared" si="10"/>
        <v>2.2067504039451395</v>
      </c>
      <c r="X33" s="28">
        <f t="shared" si="10"/>
        <v>2.3234221592291906</v>
      </c>
      <c r="Y33" s="28">
        <f t="shared" si="10"/>
        <v>2.453906612866656</v>
      </c>
      <c r="Z33" s="28">
        <f t="shared" si="10"/>
        <v>2.5958043881375255</v>
      </c>
      <c r="AA33" s="28">
        <f t="shared" si="10"/>
        <v>2.7204030410253512</v>
      </c>
      <c r="AB33" s="28">
        <f t="shared" si="10"/>
        <v>2.8654695762209732</v>
      </c>
      <c r="AC33" s="28">
        <f t="shared" si="10"/>
        <v>3.0358111573505431</v>
      </c>
      <c r="AD33" s="28">
        <f t="shared" si="10"/>
        <v>3.2044547295521539</v>
      </c>
      <c r="AE33" s="28">
        <f t="shared" si="10"/>
        <v>3.3813518114103016</v>
      </c>
      <c r="AF33" s="28">
        <f t="shared" si="10"/>
        <v>3.5625886999419771</v>
      </c>
      <c r="AG33" s="28">
        <f t="shared" si="10"/>
        <v>3.7655312365602969</v>
      </c>
      <c r="AH33" s="28">
        <f t="shared" si="10"/>
        <v>3.9447479907962553</v>
      </c>
      <c r="AI33" s="28">
        <f t="shared" si="10"/>
        <v>4.137705183266208</v>
      </c>
      <c r="AJ33" s="28">
        <f t="shared" si="10"/>
        <v>4.3346785117208917</v>
      </c>
      <c r="AK33" s="28">
        <f t="shared" si="10"/>
        <v>4.5234159579201654</v>
      </c>
      <c r="AL33" s="28">
        <f t="shared" si="10"/>
        <v>4.7122444809677875</v>
      </c>
      <c r="AM33" s="28">
        <f t="shared" si="10"/>
        <v>4.9087124214298683</v>
      </c>
      <c r="AN33" s="28">
        <f t="shared" si="10"/>
        <v>5.1177627309781579</v>
      </c>
      <c r="AO33" s="28">
        <f t="shared" si="10"/>
        <v>5.3149689082675069</v>
      </c>
      <c r="AP33" s="28">
        <f t="shared" si="10"/>
        <v>5.5154282999919104</v>
      </c>
      <c r="AQ33" s="28">
        <f t="shared" si="10"/>
        <v>5.7195487127572893</v>
      </c>
      <c r="AR33" s="28">
        <f t="shared" si="10"/>
        <v>5.93816190134776</v>
      </c>
      <c r="AS33" s="28">
        <f t="shared" si="10"/>
        <v>6.1647117891186287</v>
      </c>
      <c r="AT33" s="28">
        <f t="shared" si="10"/>
        <v>6.2911645282791966</v>
      </c>
      <c r="AU33" s="28">
        <f t="shared" si="10"/>
        <v>6.4110178863707459</v>
      </c>
      <c r="AV33" s="28">
        <f t="shared" si="10"/>
        <v>6.5450035893341036</v>
      </c>
      <c r="AW33" s="28">
        <f t="shared" si="10"/>
        <v>6.6736178617827129</v>
      </c>
      <c r="AY33" s="85"/>
    </row>
    <row r="34" spans="1:51" x14ac:dyDescent="0.25">
      <c r="A34" s="102" t="str">
        <f t="shared" si="0"/>
        <v>FS Poultry MMCH4</v>
      </c>
      <c r="B34" s="102" t="s">
        <v>1005</v>
      </c>
      <c r="C34" s="102" t="s">
        <v>1232</v>
      </c>
      <c r="D34" t="s">
        <v>15</v>
      </c>
      <c r="E34" t="s">
        <v>22</v>
      </c>
      <c r="F34" t="s">
        <v>28</v>
      </c>
      <c r="G34" t="s">
        <v>134</v>
      </c>
      <c r="H34" t="s">
        <v>1228</v>
      </c>
      <c r="I34" t="s">
        <v>121</v>
      </c>
      <c r="J34" t="s">
        <v>286</v>
      </c>
      <c r="K34" s="28">
        <f t="shared" si="7"/>
        <v>2.3228101201132799E-2</v>
      </c>
      <c r="L34" s="28">
        <f t="shared" si="10"/>
        <v>2.3750194264858821E-2</v>
      </c>
      <c r="M34" s="28">
        <f t="shared" si="10"/>
        <v>2.4222421722115972E-2</v>
      </c>
      <c r="N34" s="28">
        <f t="shared" si="10"/>
        <v>2.4466212228455842E-2</v>
      </c>
      <c r="O34" s="28">
        <f t="shared" si="10"/>
        <v>2.4716723646708353E-2</v>
      </c>
      <c r="P34" s="28">
        <f t="shared" si="10"/>
        <v>2.5215491183120883E-2</v>
      </c>
      <c r="Q34" s="28">
        <f t="shared" si="10"/>
        <v>2.564198324590336E-2</v>
      </c>
      <c r="R34" s="28">
        <f t="shared" si="10"/>
        <v>2.5803869047545849E-2</v>
      </c>
      <c r="S34" s="28">
        <f t="shared" si="10"/>
        <v>2.4779080013909088E-2</v>
      </c>
      <c r="T34" s="28">
        <f t="shared" si="10"/>
        <v>2.5516506991875881E-2</v>
      </c>
      <c r="U34" s="28">
        <f t="shared" si="10"/>
        <v>2.6112500089385413E-2</v>
      </c>
      <c r="V34" s="28">
        <f t="shared" si="10"/>
        <v>2.6680446681095382E-2</v>
      </c>
      <c r="W34" s="28">
        <f t="shared" si="10"/>
        <v>2.7311085183109759E-2</v>
      </c>
      <c r="X34" s="28">
        <f t="shared" si="10"/>
        <v>2.8148200581559191E-2</v>
      </c>
      <c r="Y34" s="28">
        <f t="shared" si="10"/>
        <v>2.9027430691366724E-2</v>
      </c>
      <c r="Z34" s="28">
        <f t="shared" si="10"/>
        <v>2.9969902815605892E-2</v>
      </c>
      <c r="AA34" s="28">
        <f t="shared" si="10"/>
        <v>3.0841691542216221E-2</v>
      </c>
      <c r="AB34" s="28">
        <f t="shared" si="10"/>
        <v>3.1819757027306869E-2</v>
      </c>
      <c r="AC34" s="28">
        <f t="shared" si="10"/>
        <v>3.292912167161096E-2</v>
      </c>
      <c r="AD34" s="28">
        <f t="shared" si="10"/>
        <v>3.4016478772715769E-2</v>
      </c>
      <c r="AE34" s="28">
        <f t="shared" si="10"/>
        <v>3.5155299467200612E-2</v>
      </c>
      <c r="AF34" s="28">
        <f t="shared" si="10"/>
        <v>3.6327172995110089E-2</v>
      </c>
      <c r="AG34" s="28">
        <f t="shared" si="10"/>
        <v>3.7617669146666054E-2</v>
      </c>
      <c r="AH34" s="28">
        <f t="shared" si="10"/>
        <v>3.8804137651877735E-2</v>
      </c>
      <c r="AI34" s="28">
        <f t="shared" si="10"/>
        <v>4.0045396026241048E-2</v>
      </c>
      <c r="AJ34" s="28">
        <f t="shared" si="10"/>
        <v>4.1318689234665709E-2</v>
      </c>
      <c r="AK34" s="28">
        <f t="shared" si="10"/>
        <v>4.2562485927672068E-2</v>
      </c>
      <c r="AL34" s="28">
        <f t="shared" si="10"/>
        <v>4.3818105384294391E-2</v>
      </c>
      <c r="AM34" s="28">
        <f t="shared" si="10"/>
        <v>4.5123953524827516E-2</v>
      </c>
      <c r="AN34" s="28">
        <f t="shared" si="10"/>
        <v>4.6482103094299274E-2</v>
      </c>
      <c r="AO34" s="28">
        <f t="shared" si="10"/>
        <v>4.7790984110943228E-2</v>
      </c>
      <c r="AP34" s="28">
        <f t="shared" si="10"/>
        <v>4.912782732302242E-2</v>
      </c>
      <c r="AQ34" s="28">
        <f t="shared" si="10"/>
        <v>5.0494940009912614E-2</v>
      </c>
      <c r="AR34" s="28">
        <f t="shared" si="10"/>
        <v>5.1949447088042722E-2</v>
      </c>
      <c r="AS34" s="28">
        <f t="shared" si="10"/>
        <v>5.3433318721718588E-2</v>
      </c>
      <c r="AT34" s="28">
        <f t="shared" si="10"/>
        <v>5.4397488587077859E-2</v>
      </c>
      <c r="AU34" s="28">
        <f t="shared" si="10"/>
        <v>5.5332604177850256E-2</v>
      </c>
      <c r="AV34" s="28">
        <f t="shared" si="10"/>
        <v>5.6349382366391719E-2</v>
      </c>
      <c r="AW34" s="28">
        <f t="shared" si="10"/>
        <v>5.7343713555378532E-2</v>
      </c>
      <c r="AY34" s="85"/>
    </row>
    <row r="35" spans="1:51" x14ac:dyDescent="0.25">
      <c r="A35" s="102" t="str">
        <f t="shared" si="0"/>
        <v>FS Poultry MMCH4</v>
      </c>
      <c r="B35" s="102" t="s">
        <v>1005</v>
      </c>
      <c r="C35" s="102" t="s">
        <v>1232</v>
      </c>
      <c r="D35" t="s">
        <v>15</v>
      </c>
      <c r="E35" t="s">
        <v>22</v>
      </c>
      <c r="F35" t="s">
        <v>28</v>
      </c>
      <c r="G35" t="s">
        <v>133</v>
      </c>
      <c r="H35" t="s">
        <v>1228</v>
      </c>
      <c r="I35" t="s">
        <v>121</v>
      </c>
      <c r="J35" t="s">
        <v>286</v>
      </c>
      <c r="K35" s="28">
        <f t="shared" si="7"/>
        <v>9.2699110947591354E-2</v>
      </c>
      <c r="L35" s="28">
        <f t="shared" si="10"/>
        <v>9.4419600378527896E-2</v>
      </c>
      <c r="M35" s="28">
        <f t="shared" si="10"/>
        <v>9.554646450205824E-2</v>
      </c>
      <c r="N35" s="28">
        <f t="shared" si="10"/>
        <v>9.4307045379734583E-2</v>
      </c>
      <c r="O35" s="28">
        <f t="shared" si="10"/>
        <v>9.3105061247548568E-2</v>
      </c>
      <c r="P35" s="28">
        <f t="shared" si="10"/>
        <v>9.4296120671752692E-2</v>
      </c>
      <c r="Q35" s="28">
        <f t="shared" si="10"/>
        <v>9.4755069677210882E-2</v>
      </c>
      <c r="R35" s="28">
        <f t="shared" si="10"/>
        <v>9.2650959382373138E-2</v>
      </c>
      <c r="S35" s="28">
        <f t="shared" si="10"/>
        <v>7.9303132611725335E-2</v>
      </c>
      <c r="T35" s="28">
        <f t="shared" si="10"/>
        <v>8.354185747771857E-2</v>
      </c>
      <c r="U35" s="28">
        <f t="shared" si="10"/>
        <v>8.6379574061016151E-2</v>
      </c>
      <c r="V35" s="28">
        <f t="shared" si="10"/>
        <v>8.8901942093449454E-2</v>
      </c>
      <c r="W35" s="28">
        <f t="shared" si="10"/>
        <v>9.1947933497714227E-2</v>
      </c>
      <c r="X35" s="28">
        <f t="shared" si="10"/>
        <v>9.6809256634549701E-2</v>
      </c>
      <c r="Y35" s="28">
        <f t="shared" si="10"/>
        <v>0.10224610886944407</v>
      </c>
      <c r="Z35" s="28">
        <f t="shared" si="10"/>
        <v>0.108158516172397</v>
      </c>
      <c r="AA35" s="28">
        <f t="shared" si="10"/>
        <v>0.11335012670938974</v>
      </c>
      <c r="AB35" s="28">
        <f t="shared" si="10"/>
        <v>0.11939456567587402</v>
      </c>
      <c r="AC35" s="28">
        <f t="shared" si="10"/>
        <v>0.12649213155627276</v>
      </c>
      <c r="AD35" s="28">
        <f t="shared" si="10"/>
        <v>0.13351894706467321</v>
      </c>
      <c r="AE35" s="28">
        <f t="shared" si="10"/>
        <v>0.14088965880876272</v>
      </c>
      <c r="AF35" s="28">
        <f t="shared" si="10"/>
        <v>0.14844119583091583</v>
      </c>
      <c r="AG35" s="28">
        <f t="shared" si="10"/>
        <v>0.15689713485667917</v>
      </c>
      <c r="AH35" s="28">
        <f t="shared" si="10"/>
        <v>0.16436449961651078</v>
      </c>
      <c r="AI35" s="28">
        <f t="shared" si="10"/>
        <v>0.1724043826360922</v>
      </c>
      <c r="AJ35" s="28">
        <f t="shared" si="10"/>
        <v>0.18061160465503734</v>
      </c>
      <c r="AK35" s="28">
        <f t="shared" si="10"/>
        <v>0.18847566491334045</v>
      </c>
      <c r="AL35" s="28">
        <f t="shared" si="10"/>
        <v>0.19634352004032468</v>
      </c>
      <c r="AM35" s="28">
        <f t="shared" si="10"/>
        <v>0.20452968422624468</v>
      </c>
      <c r="AN35" s="28">
        <f t="shared" si="10"/>
        <v>0.21324011379075677</v>
      </c>
      <c r="AO35" s="28">
        <f t="shared" si="10"/>
        <v>0.22145703784447965</v>
      </c>
      <c r="AP35" s="28">
        <f t="shared" si="10"/>
        <v>0.22980951249966317</v>
      </c>
      <c r="AQ35" s="28">
        <f t="shared" si="10"/>
        <v>0.23831452969822062</v>
      </c>
      <c r="AR35" s="28">
        <f t="shared" si="10"/>
        <v>0.24742341255615688</v>
      </c>
      <c r="AS35" s="28">
        <f t="shared" si="10"/>
        <v>0.25686299121327644</v>
      </c>
      <c r="AT35" s="28">
        <f t="shared" si="10"/>
        <v>0.26213185534496675</v>
      </c>
      <c r="AU35" s="28">
        <f t="shared" si="10"/>
        <v>0.26712574526544797</v>
      </c>
      <c r="AV35" s="28">
        <f t="shared" si="10"/>
        <v>0.27270848288892124</v>
      </c>
      <c r="AW35" s="28">
        <f t="shared" si="10"/>
        <v>0.27806741090761328</v>
      </c>
      <c r="AY35" s="85"/>
    </row>
    <row r="36" spans="1:51" x14ac:dyDescent="0.25">
      <c r="A36" s="102" t="str">
        <f t="shared" si="0"/>
        <v>FS Cattle MMN2O</v>
      </c>
      <c r="B36" s="102" t="s">
        <v>1005</v>
      </c>
      <c r="C36" s="102" t="s">
        <v>1233</v>
      </c>
      <c r="D36" t="s">
        <v>15</v>
      </c>
      <c r="E36" t="s">
        <v>657</v>
      </c>
      <c r="F36" t="s">
        <v>6</v>
      </c>
      <c r="G36" t="s">
        <v>136</v>
      </c>
      <c r="H36" t="s">
        <v>1228</v>
      </c>
      <c r="I36" t="s">
        <v>139</v>
      </c>
      <c r="J36" t="s">
        <v>287</v>
      </c>
      <c r="K36" s="28">
        <f>K1411</f>
        <v>5.9534544879771355E-2</v>
      </c>
      <c r="L36" s="28">
        <f t="shared" ref="L36:AW36" si="11">L1411</f>
        <v>5.9936525469365599E-2</v>
      </c>
      <c r="M36" s="28">
        <f t="shared" si="11"/>
        <v>6.0288156660896548E-2</v>
      </c>
      <c r="N36" s="28">
        <f t="shared" si="11"/>
        <v>6.0333640892584528E-2</v>
      </c>
      <c r="O36" s="28">
        <f t="shared" si="11"/>
        <v>6.0411983022035293E-2</v>
      </c>
      <c r="P36" s="28">
        <f t="shared" si="11"/>
        <v>6.086149571042291E-2</v>
      </c>
      <c r="Q36" s="28">
        <f t="shared" si="11"/>
        <v>6.1220941265471868E-2</v>
      </c>
      <c r="R36" s="28">
        <f t="shared" si="11"/>
        <v>6.1224092905712291E-2</v>
      </c>
      <c r="S36" s="28">
        <f t="shared" si="11"/>
        <v>5.9602036939561669E-2</v>
      </c>
      <c r="T36" s="28">
        <f t="shared" si="11"/>
        <v>6.0385643196681223E-2</v>
      </c>
      <c r="U36" s="28">
        <f t="shared" si="11"/>
        <v>6.0978819669853017E-2</v>
      </c>
      <c r="V36" s="28">
        <f t="shared" si="11"/>
        <v>6.1538467635372317E-2</v>
      </c>
      <c r="W36" s="28">
        <f t="shared" si="11"/>
        <v>6.2187395948101611E-2</v>
      </c>
      <c r="X36" s="28">
        <f t="shared" si="11"/>
        <v>6.3117211952635158E-2</v>
      </c>
      <c r="Y36" s="28">
        <f t="shared" si="11"/>
        <v>6.4085258604249157E-2</v>
      </c>
      <c r="Z36" s="28">
        <f t="shared" si="11"/>
        <v>6.5136775789421397E-2</v>
      </c>
      <c r="AA36" s="28">
        <f t="shared" si="11"/>
        <v>6.6093023202577678E-2</v>
      </c>
      <c r="AB36" s="28">
        <f t="shared" si="11"/>
        <v>6.7188649433805245E-2</v>
      </c>
      <c r="AC36" s="28">
        <f t="shared" si="11"/>
        <v>6.8454554232404832E-2</v>
      </c>
      <c r="AD36" s="28">
        <f t="shared" si="11"/>
        <v>6.9673307405983362E-2</v>
      </c>
      <c r="AE36" s="28">
        <f t="shared" si="11"/>
        <v>7.0955599019075E-2</v>
      </c>
      <c r="AF36" s="28">
        <f t="shared" si="11"/>
        <v>7.2276783381790194E-2</v>
      </c>
      <c r="AG36" s="28">
        <f t="shared" si="11"/>
        <v>7.3746887396473032E-2</v>
      </c>
      <c r="AH36" s="28">
        <f t="shared" si="11"/>
        <v>7.5077879884479282E-2</v>
      </c>
      <c r="AI36" s="28">
        <f t="shared" si="11"/>
        <v>7.6460929017735491E-2</v>
      </c>
      <c r="AJ36" s="28">
        <f t="shared" si="11"/>
        <v>7.7880128375373087E-2</v>
      </c>
      <c r="AK36" s="28">
        <f t="shared" si="11"/>
        <v>7.925690413110191E-2</v>
      </c>
      <c r="AL36" s="28">
        <f t="shared" si="11"/>
        <v>8.0644114608921846E-2</v>
      </c>
      <c r="AM36" s="28">
        <f t="shared" si="11"/>
        <v>8.2090170284588052E-2</v>
      </c>
      <c r="AN36" s="28">
        <f t="shared" si="11"/>
        <v>8.3584106491488411E-2</v>
      </c>
      <c r="AO36" s="28">
        <f t="shared" si="11"/>
        <v>8.5010968574935772E-2</v>
      </c>
      <c r="AP36" s="28">
        <f t="shared" si="11"/>
        <v>8.6467971698133472E-2</v>
      </c>
      <c r="AQ36" s="28">
        <f t="shared" si="11"/>
        <v>8.7957741718516017E-2</v>
      </c>
      <c r="AR36" s="28">
        <f t="shared" si="11"/>
        <v>8.9550905410436282E-2</v>
      </c>
      <c r="AS36" s="28">
        <f t="shared" si="11"/>
        <v>9.1161603152246209E-2</v>
      </c>
      <c r="AT36" s="28">
        <f t="shared" si="11"/>
        <v>9.2125625118884502E-2</v>
      </c>
      <c r="AU36" s="28">
        <f t="shared" si="11"/>
        <v>9.3052192745030571E-2</v>
      </c>
      <c r="AV36" s="28">
        <f t="shared" si="11"/>
        <v>9.4077328885209005E-2</v>
      </c>
      <c r="AW36" s="28">
        <f t="shared" si="11"/>
        <v>9.5072920340837683E-2</v>
      </c>
      <c r="AY36" s="85"/>
    </row>
    <row r="37" spans="1:51" x14ac:dyDescent="0.25">
      <c r="A37" s="102" t="str">
        <f t="shared" si="0"/>
        <v>FS Cattle MMN2O</v>
      </c>
      <c r="B37" s="102" t="s">
        <v>1005</v>
      </c>
      <c r="C37" s="102" t="s">
        <v>1233</v>
      </c>
      <c r="D37" t="s">
        <v>15</v>
      </c>
      <c r="E37" t="s">
        <v>657</v>
      </c>
      <c r="F37" t="s">
        <v>6</v>
      </c>
      <c r="G37" t="s">
        <v>137</v>
      </c>
      <c r="H37" t="s">
        <v>1228</v>
      </c>
      <c r="I37" t="s">
        <v>139</v>
      </c>
      <c r="J37" t="s">
        <v>287</v>
      </c>
      <c r="K37" s="28">
        <f t="shared" si="7"/>
        <v>0.26067987133037912</v>
      </c>
      <c r="L37" s="28">
        <f t="shared" si="10"/>
        <v>0.2624399964574689</v>
      </c>
      <c r="M37" s="28">
        <f t="shared" si="10"/>
        <v>0.26397966009224005</v>
      </c>
      <c r="N37" s="28">
        <f t="shared" si="10"/>
        <v>0.26417881881072747</v>
      </c>
      <c r="O37" s="28">
        <f t="shared" si="10"/>
        <v>0.26452185017623492</v>
      </c>
      <c r="P37" s="28">
        <f t="shared" si="10"/>
        <v>0.26649010087852709</v>
      </c>
      <c r="Q37" s="28">
        <f t="shared" si="10"/>
        <v>0.26806398073650983</v>
      </c>
      <c r="R37" s="28">
        <f t="shared" si="10"/>
        <v>0.26807778060974324</v>
      </c>
      <c r="S37" s="28">
        <f t="shared" si="10"/>
        <v>0.26097539423220861</v>
      </c>
      <c r="T37" s="28">
        <f t="shared" si="10"/>
        <v>0.26440651777051938</v>
      </c>
      <c r="U37" s="28">
        <f t="shared" si="10"/>
        <v>0.26700381933744832</v>
      </c>
      <c r="V37" s="28">
        <f t="shared" si="10"/>
        <v>0.26945431190334429</v>
      </c>
      <c r="W37" s="28">
        <f t="shared" si="10"/>
        <v>0.27229573026652365</v>
      </c>
      <c r="X37" s="28">
        <f t="shared" si="10"/>
        <v>0.27636705250325572</v>
      </c>
      <c r="Y37" s="28">
        <f t="shared" si="10"/>
        <v>0.28060577267982134</v>
      </c>
      <c r="Z37" s="28">
        <f t="shared" si="10"/>
        <v>0.28520997961691874</v>
      </c>
      <c r="AA37" s="28">
        <f t="shared" si="10"/>
        <v>0.2893970352688095</v>
      </c>
      <c r="AB37" s="28">
        <f t="shared" si="10"/>
        <v>0.29419437949239208</v>
      </c>
      <c r="AC37" s="28">
        <f t="shared" si="10"/>
        <v>0.2997373109229064</v>
      </c>
      <c r="AD37" s="28">
        <f t="shared" si="10"/>
        <v>0.3050737827329042</v>
      </c>
      <c r="AE37" s="28">
        <f t="shared" si="10"/>
        <v>0.31068846599593736</v>
      </c>
      <c r="AF37" s="28">
        <f t="shared" si="10"/>
        <v>0.31647344630227597</v>
      </c>
      <c r="AG37" s="28">
        <f t="shared" si="10"/>
        <v>0.32291049098219599</v>
      </c>
      <c r="AH37" s="28">
        <f t="shared" si="10"/>
        <v>0.32873841746111437</v>
      </c>
      <c r="AI37" s="28">
        <f t="shared" si="10"/>
        <v>0.33479428083974455</v>
      </c>
      <c r="AJ37" s="28">
        <f t="shared" si="10"/>
        <v>0.34100843275252468</v>
      </c>
      <c r="AK37" s="28">
        <f t="shared" si="10"/>
        <v>0.34703682731872076</v>
      </c>
      <c r="AL37" s="28">
        <f t="shared" si="10"/>
        <v>0.35311091169438086</v>
      </c>
      <c r="AM37" s="28">
        <f t="shared" si="10"/>
        <v>0.35944265754429855</v>
      </c>
      <c r="AN37" s="28">
        <f t="shared" si="10"/>
        <v>0.3659840546269007</v>
      </c>
      <c r="AO37" s="28">
        <f t="shared" si="10"/>
        <v>0.3722317587971502</v>
      </c>
      <c r="AP37" s="28">
        <f t="shared" si="10"/>
        <v>0.37861143949262133</v>
      </c>
      <c r="AQ37" s="28">
        <f t="shared" si="10"/>
        <v>0.38513459437705777</v>
      </c>
      <c r="AR37" s="28">
        <f t="shared" si="10"/>
        <v>0.39211047211420524</v>
      </c>
      <c r="AS37" s="28">
        <f t="shared" si="10"/>
        <v>0.3991631250056496</v>
      </c>
      <c r="AT37" s="28">
        <f t="shared" si="10"/>
        <v>0.40338422256724893</v>
      </c>
      <c r="AU37" s="28">
        <f t="shared" si="10"/>
        <v>0.40744132134998817</v>
      </c>
      <c r="AV37" s="28">
        <f t="shared" si="10"/>
        <v>0.41193001539573099</v>
      </c>
      <c r="AW37" s="28">
        <f t="shared" si="10"/>
        <v>0.41628934413629709</v>
      </c>
      <c r="AY37" s="85"/>
    </row>
    <row r="38" spans="1:51" x14ac:dyDescent="0.25">
      <c r="A38" s="102" t="str">
        <f t="shared" si="0"/>
        <v>FS Cattle MMN2O</v>
      </c>
      <c r="B38" s="102" t="s">
        <v>1005</v>
      </c>
      <c r="C38" s="102" t="s">
        <v>1233</v>
      </c>
      <c r="D38" t="s">
        <v>15</v>
      </c>
      <c r="E38" t="s">
        <v>657</v>
      </c>
      <c r="F38" t="s">
        <v>67</v>
      </c>
      <c r="G38" t="s">
        <v>307</v>
      </c>
      <c r="H38" t="s">
        <v>1228</v>
      </c>
      <c r="I38" t="s">
        <v>139</v>
      </c>
      <c r="J38" t="s">
        <v>287</v>
      </c>
      <c r="K38" s="28">
        <f t="shared" si="7"/>
        <v>1.1598714945443948E-2</v>
      </c>
      <c r="L38" s="28">
        <f t="shared" si="10"/>
        <v>1.1677030119965246E-2</v>
      </c>
      <c r="M38" s="28">
        <f t="shared" si="10"/>
        <v>1.1745536059915416E-2</v>
      </c>
      <c r="N38" s="28">
        <f t="shared" si="10"/>
        <v>1.1754397446845087E-2</v>
      </c>
      <c r="O38" s="28">
        <f t="shared" si="10"/>
        <v>1.1769660316991377E-2</v>
      </c>
      <c r="P38" s="28">
        <f t="shared" si="10"/>
        <v>1.1857235850616387E-2</v>
      </c>
      <c r="Q38" s="28">
        <f t="shared" si="10"/>
        <v>1.1927264210450818E-2</v>
      </c>
      <c r="R38" s="28">
        <f t="shared" si="10"/>
        <v>1.1927878223320707E-2</v>
      </c>
      <c r="S38" s="28">
        <f t="shared" si="10"/>
        <v>1.1611863969496622E-2</v>
      </c>
      <c r="T38" s="28">
        <f t="shared" si="10"/>
        <v>1.1764528705981136E-2</v>
      </c>
      <c r="U38" s="28">
        <f t="shared" ref="L38:AW44" si="12">U1413</f>
        <v>1.1880093288503061E-2</v>
      </c>
      <c r="V38" s="28">
        <f t="shared" si="12"/>
        <v>1.1989125737394114E-2</v>
      </c>
      <c r="W38" s="28">
        <f t="shared" si="12"/>
        <v>1.2115552075826281E-2</v>
      </c>
      <c r="X38" s="28">
        <f t="shared" si="12"/>
        <v>1.2296701873982557E-2</v>
      </c>
      <c r="Y38" s="28">
        <f t="shared" si="12"/>
        <v>1.2485299891967528E-2</v>
      </c>
      <c r="Z38" s="28">
        <f t="shared" si="12"/>
        <v>1.2690159912577046E-2</v>
      </c>
      <c r="AA38" s="28">
        <f t="shared" si="12"/>
        <v>1.2876459164295801E-2</v>
      </c>
      <c r="AB38" s="28">
        <f t="shared" si="12"/>
        <v>1.3089912653667775E-2</v>
      </c>
      <c r="AC38" s="28">
        <f t="shared" si="12"/>
        <v>1.3336540371015372E-2</v>
      </c>
      <c r="AD38" s="28">
        <f t="shared" si="12"/>
        <v>1.3573981854405228E-2</v>
      </c>
      <c r="AE38" s="28">
        <f t="shared" si="12"/>
        <v>1.3823802104601461E-2</v>
      </c>
      <c r="AF38" s="28">
        <f t="shared" si="12"/>
        <v>1.4081199567611519E-2</v>
      </c>
      <c r="AG38" s="28">
        <f t="shared" si="12"/>
        <v>1.4367610044770513E-2</v>
      </c>
      <c r="AH38" s="28">
        <f t="shared" si="12"/>
        <v>1.4626918358860899E-2</v>
      </c>
      <c r="AI38" s="28">
        <f t="shared" si="12"/>
        <v>1.4896368519008723E-2</v>
      </c>
      <c r="AJ38" s="28">
        <f t="shared" si="12"/>
        <v>1.5172861584223856E-2</v>
      </c>
      <c r="AK38" s="28">
        <f t="shared" si="12"/>
        <v>1.5441089544423183E-2</v>
      </c>
      <c r="AL38" s="28">
        <f t="shared" si="12"/>
        <v>1.5711350431342863E-2</v>
      </c>
      <c r="AM38" s="28">
        <f t="shared" si="12"/>
        <v>1.5993075732362048E-2</v>
      </c>
      <c r="AN38" s="28">
        <f t="shared" si="12"/>
        <v>1.6284129275233806E-2</v>
      </c>
      <c r="AO38" s="28">
        <f t="shared" si="12"/>
        <v>1.6562115217778419E-2</v>
      </c>
      <c r="AP38" s="28">
        <f t="shared" si="12"/>
        <v>1.6845973336366879E-2</v>
      </c>
      <c r="AQ38" s="28">
        <f t="shared" si="12"/>
        <v>1.7136215209141423E-2</v>
      </c>
      <c r="AR38" s="28">
        <f t="shared" si="12"/>
        <v>1.7446600575508658E-2</v>
      </c>
      <c r="AS38" s="28">
        <f t="shared" si="12"/>
        <v>1.7760401982880657E-2</v>
      </c>
      <c r="AT38" s="28">
        <f t="shared" si="12"/>
        <v>1.7948215898562121E-2</v>
      </c>
      <c r="AU38" s="28">
        <f t="shared" si="12"/>
        <v>1.8128732837005983E-2</v>
      </c>
      <c r="AV38" s="28">
        <f t="shared" si="12"/>
        <v>1.8328453216060109E-2</v>
      </c>
      <c r="AW38" s="28">
        <f t="shared" si="12"/>
        <v>1.852241760294299E-2</v>
      </c>
      <c r="AY38" s="85"/>
    </row>
    <row r="39" spans="1:51" x14ac:dyDescent="0.25">
      <c r="A39" s="102" t="str">
        <f t="shared" si="0"/>
        <v>FS Cattle MMN2O</v>
      </c>
      <c r="B39" s="102" t="s">
        <v>1005</v>
      </c>
      <c r="C39" s="102" t="s">
        <v>1233</v>
      </c>
      <c r="D39" t="s">
        <v>15</v>
      </c>
      <c r="E39" t="s">
        <v>657</v>
      </c>
      <c r="F39" t="s">
        <v>67</v>
      </c>
      <c r="G39" t="s">
        <v>122</v>
      </c>
      <c r="H39" t="s">
        <v>1228</v>
      </c>
      <c r="I39" t="s">
        <v>139</v>
      </c>
      <c r="J39" t="s">
        <v>287</v>
      </c>
      <c r="K39" s="28">
        <f t="shared" si="7"/>
        <v>0.52784381686908488</v>
      </c>
      <c r="L39" s="28">
        <f t="shared" si="12"/>
        <v>0.52515644938547934</v>
      </c>
      <c r="M39" s="28">
        <f t="shared" si="12"/>
        <v>0.52025151153580673</v>
      </c>
      <c r="N39" s="28">
        <f t="shared" si="12"/>
        <v>0.50682531077398352</v>
      </c>
      <c r="O39" s="28">
        <f t="shared" si="12"/>
        <v>0.4939348964332157</v>
      </c>
      <c r="P39" s="28">
        <f t="shared" si="12"/>
        <v>0.48971543421207564</v>
      </c>
      <c r="Q39" s="28">
        <f t="shared" si="12"/>
        <v>0.48290055380478719</v>
      </c>
      <c r="R39" s="28">
        <f t="shared" si="12"/>
        <v>0.46758884489133185</v>
      </c>
      <c r="S39" s="28">
        <f t="shared" si="12"/>
        <v>0.41621648904191116</v>
      </c>
      <c r="T39" s="28">
        <f t="shared" si="12"/>
        <v>0.42638667208573666</v>
      </c>
      <c r="U39" s="28">
        <f t="shared" si="12"/>
        <v>0.43187985525495859</v>
      </c>
      <c r="V39" s="28">
        <f t="shared" si="12"/>
        <v>0.4362459859607159</v>
      </c>
      <c r="W39" s="28">
        <f t="shared" si="12"/>
        <v>0.44211378477911739</v>
      </c>
      <c r="X39" s="28">
        <f t="shared" si="12"/>
        <v>0.45337915493608988</v>
      </c>
      <c r="Y39" s="28">
        <f t="shared" si="12"/>
        <v>0.46570884205291363</v>
      </c>
      <c r="Z39" s="28">
        <f t="shared" si="12"/>
        <v>0.47914332985830105</v>
      </c>
      <c r="AA39" s="28">
        <f t="shared" si="12"/>
        <v>0.49009752442785343</v>
      </c>
      <c r="AB39" s="28">
        <f t="shared" si="12"/>
        <v>0.50324660614266314</v>
      </c>
      <c r="AC39" s="28">
        <f t="shared" si="12"/>
        <v>0.51908497467197146</v>
      </c>
      <c r="AD39" s="28">
        <f t="shared" si="12"/>
        <v>0.52951816182604061</v>
      </c>
      <c r="AE39" s="28">
        <f t="shared" si="12"/>
        <v>0.54017530186644991</v>
      </c>
      <c r="AF39" s="28">
        <f t="shared" si="12"/>
        <v>0.55055968982828007</v>
      </c>
      <c r="AG39" s="28">
        <f t="shared" si="12"/>
        <v>0.56257359948982233</v>
      </c>
      <c r="AH39" s="28">
        <f t="shared" si="12"/>
        <v>0.571134780275243</v>
      </c>
      <c r="AI39" s="28">
        <f t="shared" si="12"/>
        <v>0.58015385111091267</v>
      </c>
      <c r="AJ39" s="28">
        <f t="shared" si="12"/>
        <v>0.58878429113613517</v>
      </c>
      <c r="AK39" s="28">
        <f t="shared" si="12"/>
        <v>0.5957568629631379</v>
      </c>
      <c r="AL39" s="28">
        <f t="shared" si="12"/>
        <v>0.60196210030255271</v>
      </c>
      <c r="AM39" s="28">
        <f t="shared" si="12"/>
        <v>0.60813947691884929</v>
      </c>
      <c r="AN39" s="28">
        <f t="shared" si="12"/>
        <v>0.61764741655645328</v>
      </c>
      <c r="AO39" s="28">
        <f t="shared" si="12"/>
        <v>0.62539054666282456</v>
      </c>
      <c r="AP39" s="28">
        <f t="shared" si="12"/>
        <v>0.63282578397368294</v>
      </c>
      <c r="AQ39" s="28">
        <f t="shared" si="12"/>
        <v>0.6399775293303559</v>
      </c>
      <c r="AR39" s="28">
        <f t="shared" si="12"/>
        <v>0.64779293053044351</v>
      </c>
      <c r="AS39" s="28">
        <f t="shared" si="12"/>
        <v>0.6554480309562406</v>
      </c>
      <c r="AT39" s="28">
        <f t="shared" si="12"/>
        <v>0.65387085498126252</v>
      </c>
      <c r="AU39" s="28">
        <f t="shared" si="12"/>
        <v>0.65139607098171814</v>
      </c>
      <c r="AV39" s="28">
        <f t="shared" si="12"/>
        <v>0.64976027386415824</v>
      </c>
      <c r="AW39" s="28">
        <f t="shared" si="12"/>
        <v>0.64732609029644417</v>
      </c>
      <c r="AY39" s="85"/>
    </row>
    <row r="40" spans="1:51" x14ac:dyDescent="0.25">
      <c r="A40" s="102" t="str">
        <f t="shared" si="0"/>
        <v>FS Cattle MMN2O</v>
      </c>
      <c r="B40" s="102" t="s">
        <v>1005</v>
      </c>
      <c r="C40" s="102" t="s">
        <v>1233</v>
      </c>
      <c r="D40" t="s">
        <v>15</v>
      </c>
      <c r="E40" t="s">
        <v>657</v>
      </c>
      <c r="F40" t="s">
        <v>67</v>
      </c>
      <c r="G40" t="s">
        <v>123</v>
      </c>
      <c r="H40" t="s">
        <v>1228</v>
      </c>
      <c r="I40" t="s">
        <v>139</v>
      </c>
      <c r="J40" t="s">
        <v>287</v>
      </c>
      <c r="K40" s="28">
        <f t="shared" si="7"/>
        <v>0.80849535264982253</v>
      </c>
      <c r="L40" s="28">
        <f t="shared" si="12"/>
        <v>0.80437912725905281</v>
      </c>
      <c r="M40" s="28">
        <f t="shared" si="12"/>
        <v>0.79686626203308752</v>
      </c>
      <c r="N40" s="28">
        <f t="shared" si="12"/>
        <v>0.77630142718465789</v>
      </c>
      <c r="O40" s="28">
        <f t="shared" si="12"/>
        <v>0.75655725333024249</v>
      </c>
      <c r="P40" s="28">
        <f t="shared" si="12"/>
        <v>0.75009432720048652</v>
      </c>
      <c r="Q40" s="28">
        <f t="shared" si="12"/>
        <v>0.73965601389251134</v>
      </c>
      <c r="R40" s="28">
        <f t="shared" si="12"/>
        <v>0.71620315700184167</v>
      </c>
      <c r="S40" s="28">
        <f t="shared" si="12"/>
        <v>0.63751641362897982</v>
      </c>
      <c r="T40" s="28">
        <f t="shared" si="12"/>
        <v>0.65309402477786682</v>
      </c>
      <c r="U40" s="28">
        <f t="shared" si="12"/>
        <v>0.66150790199236797</v>
      </c>
      <c r="V40" s="28">
        <f t="shared" si="12"/>
        <v>0.66819547940040647</v>
      </c>
      <c r="W40" s="28">
        <f t="shared" si="12"/>
        <v>0.67718315326026413</v>
      </c>
      <c r="X40" s="28">
        <f t="shared" si="12"/>
        <v>0.69443825624094591</v>
      </c>
      <c r="Y40" s="28">
        <f t="shared" si="12"/>
        <v>0.7133235674163364</v>
      </c>
      <c r="Z40" s="28">
        <f t="shared" si="12"/>
        <v>0.73390109548195415</v>
      </c>
      <c r="AA40" s="28">
        <f t="shared" si="12"/>
        <v>0.75067957259671325</v>
      </c>
      <c r="AB40" s="28">
        <f t="shared" si="12"/>
        <v>0.7708199457872037</v>
      </c>
      <c r="AC40" s="28">
        <f t="shared" si="12"/>
        <v>0.79507948419660579</v>
      </c>
      <c r="AD40" s="28">
        <f t="shared" si="12"/>
        <v>0.81105993723558278</v>
      </c>
      <c r="AE40" s="28">
        <f t="shared" si="12"/>
        <v>0.82738341762854573</v>
      </c>
      <c r="AF40" s="28">
        <f t="shared" si="12"/>
        <v>0.84328912522412203</v>
      </c>
      <c r="AG40" s="28">
        <f t="shared" si="12"/>
        <v>0.86169076187892979</v>
      </c>
      <c r="AH40" s="28">
        <f t="shared" si="12"/>
        <v>0.8748038734793715</v>
      </c>
      <c r="AI40" s="28">
        <f t="shared" si="12"/>
        <v>0.88861833264858248</v>
      </c>
      <c r="AJ40" s="28">
        <f t="shared" si="12"/>
        <v>0.90183752823015395</v>
      </c>
      <c r="AK40" s="28">
        <f t="shared" si="12"/>
        <v>0.9125173765829987</v>
      </c>
      <c r="AL40" s="28">
        <f t="shared" si="12"/>
        <v>0.92202190309382137</v>
      </c>
      <c r="AM40" s="28">
        <f t="shared" si="12"/>
        <v>0.93148375549453255</v>
      </c>
      <c r="AN40" s="28">
        <f t="shared" si="12"/>
        <v>0.94604701220913134</v>
      </c>
      <c r="AO40" s="28">
        <f t="shared" si="12"/>
        <v>0.95790712026741442</v>
      </c>
      <c r="AP40" s="28">
        <f t="shared" si="12"/>
        <v>0.96929563069334712</v>
      </c>
      <c r="AQ40" s="28">
        <f t="shared" si="12"/>
        <v>0.98024991811590712</v>
      </c>
      <c r="AR40" s="28">
        <f t="shared" si="12"/>
        <v>0.99222072339471901</v>
      </c>
      <c r="AS40" s="28">
        <f t="shared" si="12"/>
        <v>1.0039459968951938</v>
      </c>
      <c r="AT40" s="28">
        <f t="shared" si="12"/>
        <v>1.0015302454828838</v>
      </c>
      <c r="AU40" s="28">
        <f t="shared" si="12"/>
        <v>0.99773963299771362</v>
      </c>
      <c r="AV40" s="28">
        <f t="shared" si="12"/>
        <v>0.99523409191688805</v>
      </c>
      <c r="AW40" s="28">
        <f t="shared" si="12"/>
        <v>0.99150566688073472</v>
      </c>
      <c r="AY40" s="85"/>
    </row>
    <row r="41" spans="1:51" x14ac:dyDescent="0.25">
      <c r="A41" s="102" t="str">
        <f t="shared" si="0"/>
        <v>FS Cattle MMN2O</v>
      </c>
      <c r="B41" s="102" t="s">
        <v>1005</v>
      </c>
      <c r="C41" s="102" t="s">
        <v>1233</v>
      </c>
      <c r="D41" t="s">
        <v>15</v>
      </c>
      <c r="E41" t="s">
        <v>657</v>
      </c>
      <c r="F41" t="s">
        <v>67</v>
      </c>
      <c r="G41" t="s">
        <v>135</v>
      </c>
      <c r="H41" t="s">
        <v>1228</v>
      </c>
      <c r="I41" t="s">
        <v>139</v>
      </c>
      <c r="J41" t="s">
        <v>287</v>
      </c>
      <c r="K41" s="28">
        <f t="shared" si="7"/>
        <v>0.98205986457809369</v>
      </c>
      <c r="L41" s="28">
        <f t="shared" si="12"/>
        <v>1.0186966250855221</v>
      </c>
      <c r="M41" s="28">
        <f t="shared" si="12"/>
        <v>1.0516100331905254</v>
      </c>
      <c r="N41" s="28">
        <f t="shared" si="12"/>
        <v>1.0670554052779846</v>
      </c>
      <c r="O41" s="28">
        <f t="shared" si="12"/>
        <v>1.0827371051777117</v>
      </c>
      <c r="P41" s="28">
        <f t="shared" si="12"/>
        <v>1.1173522594931429</v>
      </c>
      <c r="Q41" s="28">
        <f t="shared" si="12"/>
        <v>1.1465503025323129</v>
      </c>
      <c r="R41" s="28">
        <f t="shared" si="12"/>
        <v>1.1550738596088039</v>
      </c>
      <c r="S41" s="28">
        <f t="shared" si="12"/>
        <v>1.0695943528873249</v>
      </c>
      <c r="T41" s="28">
        <f t="shared" si="12"/>
        <v>1.1219950081899948</v>
      </c>
      <c r="U41" s="28">
        <f t="shared" si="12"/>
        <v>1.1633173415255618</v>
      </c>
      <c r="V41" s="28">
        <f t="shared" si="12"/>
        <v>1.2025059899255817</v>
      </c>
      <c r="W41" s="28">
        <f t="shared" si="12"/>
        <v>1.2467916832467774</v>
      </c>
      <c r="X41" s="28">
        <f t="shared" si="12"/>
        <v>1.3077319490194745</v>
      </c>
      <c r="Y41" s="28">
        <f t="shared" si="12"/>
        <v>1.3736346071286145</v>
      </c>
      <c r="Z41" s="28">
        <f t="shared" si="12"/>
        <v>1.444880911122689</v>
      </c>
      <c r="AA41" s="28">
        <f t="shared" si="12"/>
        <v>1.5106946759567434</v>
      </c>
      <c r="AB41" s="28">
        <f t="shared" si="12"/>
        <v>1.5853572340052999</v>
      </c>
      <c r="AC41" s="28">
        <f t="shared" si="12"/>
        <v>1.6709659686150751</v>
      </c>
      <c r="AD41" s="28">
        <f t="shared" si="12"/>
        <v>1.7608921819876218</v>
      </c>
      <c r="AE41" s="28">
        <f t="shared" si="12"/>
        <v>1.8558227828840355</v>
      </c>
      <c r="AF41" s="28">
        <f t="shared" si="12"/>
        <v>1.9543039033617708</v>
      </c>
      <c r="AG41" s="28">
        <f t="shared" si="12"/>
        <v>2.0634682331223644</v>
      </c>
      <c r="AH41" s="28">
        <f t="shared" si="12"/>
        <v>2.1649176431538755</v>
      </c>
      <c r="AI41" s="28">
        <f t="shared" si="12"/>
        <v>2.2729641706273069</v>
      </c>
      <c r="AJ41" s="28">
        <f t="shared" si="12"/>
        <v>2.3846427633469691</v>
      </c>
      <c r="AK41" s="28">
        <f t="shared" si="12"/>
        <v>2.4947887072389494</v>
      </c>
      <c r="AL41" s="28">
        <f t="shared" si="12"/>
        <v>2.6068756949224299</v>
      </c>
      <c r="AM41" s="28">
        <f t="shared" si="12"/>
        <v>2.7241988792314307</v>
      </c>
      <c r="AN41" s="28">
        <f t="shared" si="12"/>
        <v>2.844574694525166</v>
      </c>
      <c r="AO41" s="28">
        <f t="shared" si="12"/>
        <v>2.9614918045068643</v>
      </c>
      <c r="AP41" s="28">
        <f t="shared" si="12"/>
        <v>3.0815745118174522</v>
      </c>
      <c r="AQ41" s="28">
        <f t="shared" si="12"/>
        <v>3.2050489971777192</v>
      </c>
      <c r="AR41" s="28">
        <f t="shared" si="12"/>
        <v>3.3369151668424974</v>
      </c>
      <c r="AS41" s="28">
        <f t="shared" si="12"/>
        <v>3.4733559158161165</v>
      </c>
      <c r="AT41" s="28">
        <f t="shared" si="12"/>
        <v>3.5651160309626517</v>
      </c>
      <c r="AU41" s="28">
        <f t="shared" si="12"/>
        <v>3.6548683550042269</v>
      </c>
      <c r="AV41" s="28">
        <f t="shared" si="12"/>
        <v>3.7523616710832552</v>
      </c>
      <c r="AW41" s="28">
        <f t="shared" si="12"/>
        <v>3.8484469226935669</v>
      </c>
      <c r="AY41" s="85"/>
    </row>
    <row r="42" spans="1:51" x14ac:dyDescent="0.25">
      <c r="A42" s="102" t="str">
        <f t="shared" si="0"/>
        <v>FS Sheep MMN2O</v>
      </c>
      <c r="B42" s="102" t="s">
        <v>1005</v>
      </c>
      <c r="C42" s="102" t="s">
        <v>1329</v>
      </c>
      <c r="D42" t="s">
        <v>15</v>
      </c>
      <c r="E42" t="s">
        <v>657</v>
      </c>
      <c r="F42" t="s">
        <v>18</v>
      </c>
      <c r="G42" t="s">
        <v>122</v>
      </c>
      <c r="H42" t="s">
        <v>1228</v>
      </c>
      <c r="I42" t="s">
        <v>139</v>
      </c>
      <c r="J42" t="s">
        <v>287</v>
      </c>
      <c r="K42" s="28">
        <f t="shared" si="7"/>
        <v>0.11717139101759612</v>
      </c>
      <c r="L42" s="28">
        <f t="shared" si="12"/>
        <v>0.11723462618367245</v>
      </c>
      <c r="M42" s="28">
        <f t="shared" si="12"/>
        <v>0.11737999843906115</v>
      </c>
      <c r="N42" s="28">
        <f t="shared" si="12"/>
        <v>0.1175958170956644</v>
      </c>
      <c r="O42" s="28">
        <f t="shared" si="12"/>
        <v>0.1178871134646596</v>
      </c>
      <c r="P42" s="28">
        <f t="shared" si="12"/>
        <v>0.11825974180541671</v>
      </c>
      <c r="Q42" s="28">
        <f t="shared" si="12"/>
        <v>0.11867033947255794</v>
      </c>
      <c r="R42" s="28">
        <f t="shared" si="12"/>
        <v>0.11911252923744317</v>
      </c>
      <c r="S42" s="28">
        <f t="shared" si="12"/>
        <v>0.11955062486439895</v>
      </c>
      <c r="T42" s="28">
        <f t="shared" si="12"/>
        <v>0.11972991314052749</v>
      </c>
      <c r="U42" s="28">
        <f t="shared" si="12"/>
        <v>0.11993350054454542</v>
      </c>
      <c r="V42" s="28">
        <f t="shared" si="12"/>
        <v>0.12016374349275831</v>
      </c>
      <c r="W42" s="28">
        <f t="shared" si="12"/>
        <v>0.12042231214139444</v>
      </c>
      <c r="X42" s="28">
        <f t="shared" si="12"/>
        <v>0.12071286205990268</v>
      </c>
      <c r="Y42" s="28">
        <f t="shared" si="12"/>
        <v>0.12089554719264045</v>
      </c>
      <c r="Z42" s="28">
        <f t="shared" si="12"/>
        <v>0.12110125995232866</v>
      </c>
      <c r="AA42" s="28">
        <f t="shared" si="12"/>
        <v>0.12132427506998271</v>
      </c>
      <c r="AB42" s="28">
        <f t="shared" si="12"/>
        <v>0.12156982110770359</v>
      </c>
      <c r="AC42" s="28">
        <f t="shared" si="12"/>
        <v>0.12183786994920162</v>
      </c>
      <c r="AD42" s="28">
        <f t="shared" si="12"/>
        <v>0.12201528623614287</v>
      </c>
      <c r="AE42" s="28">
        <f t="shared" si="12"/>
        <v>0.12220996410772501</v>
      </c>
      <c r="AF42" s="28">
        <f t="shared" si="12"/>
        <v>0.1224205957767</v>
      </c>
      <c r="AG42" s="28">
        <f t="shared" si="12"/>
        <v>0.12264946134615734</v>
      </c>
      <c r="AH42" s="28">
        <f t="shared" si="12"/>
        <v>0.12288846185835746</v>
      </c>
      <c r="AI42" s="28">
        <f t="shared" si="12"/>
        <v>0.12304136792276418</v>
      </c>
      <c r="AJ42" s="28">
        <f t="shared" si="12"/>
        <v>0.12320724493915225</v>
      </c>
      <c r="AK42" s="28">
        <f t="shared" si="12"/>
        <v>0.12338358070705197</v>
      </c>
      <c r="AL42" s="28">
        <f t="shared" si="12"/>
        <v>0.12357134049580157</v>
      </c>
      <c r="AM42" s="28">
        <f t="shared" si="12"/>
        <v>0.12377140391233164</v>
      </c>
      <c r="AN42" s="28">
        <f t="shared" si="12"/>
        <v>0.1238893184922704</v>
      </c>
      <c r="AO42" s="28">
        <f t="shared" si="12"/>
        <v>0.12401495917055069</v>
      </c>
      <c r="AP42" s="28">
        <f t="shared" si="12"/>
        <v>0.12415054004629532</v>
      </c>
      <c r="AQ42" s="28">
        <f t="shared" si="12"/>
        <v>0.12429582194532131</v>
      </c>
      <c r="AR42" s="28">
        <f t="shared" si="12"/>
        <v>0.12445236467960287</v>
      </c>
      <c r="AS42" s="28">
        <f t="shared" si="12"/>
        <v>0.12452291839205781</v>
      </c>
      <c r="AT42" s="28">
        <f t="shared" si="12"/>
        <v>0.12458415812408247</v>
      </c>
      <c r="AU42" s="28">
        <f t="shared" si="12"/>
        <v>0.12465176490232828</v>
      </c>
      <c r="AV42" s="28">
        <f t="shared" si="12"/>
        <v>0.12472905780449089</v>
      </c>
      <c r="AW42" s="28">
        <f t="shared" si="12"/>
        <v>0.12481246580884831</v>
      </c>
      <c r="AY42" s="85"/>
    </row>
    <row r="43" spans="1:51" x14ac:dyDescent="0.25">
      <c r="A43" s="102" t="str">
        <f t="shared" si="0"/>
        <v>FS Sheep MMN2O</v>
      </c>
      <c r="B43" s="102" t="s">
        <v>1005</v>
      </c>
      <c r="C43" s="102" t="s">
        <v>1329</v>
      </c>
      <c r="D43" t="s">
        <v>15</v>
      </c>
      <c r="E43" t="s">
        <v>657</v>
      </c>
      <c r="F43" t="s">
        <v>18</v>
      </c>
      <c r="G43" t="s">
        <v>123</v>
      </c>
      <c r="H43" t="s">
        <v>1228</v>
      </c>
      <c r="I43" t="s">
        <v>139</v>
      </c>
      <c r="J43" t="s">
        <v>287</v>
      </c>
      <c r="K43" s="28">
        <f t="shared" si="7"/>
        <v>6.2656398763200921E-2</v>
      </c>
      <c r="L43" s="28">
        <f t="shared" si="12"/>
        <v>6.2690213227185057E-2</v>
      </c>
      <c r="M43" s="28">
        <f t="shared" si="12"/>
        <v>6.276794979686845E-2</v>
      </c>
      <c r="N43" s="28">
        <f t="shared" si="12"/>
        <v>6.2883356976822818E-2</v>
      </c>
      <c r="O43" s="28">
        <f t="shared" si="12"/>
        <v>6.303912521764958E-2</v>
      </c>
      <c r="P43" s="28">
        <f t="shared" si="12"/>
        <v>6.3238385034454531E-2</v>
      </c>
      <c r="Q43" s="28">
        <f t="shared" si="12"/>
        <v>6.3457948623656765E-2</v>
      </c>
      <c r="R43" s="28">
        <f t="shared" si="12"/>
        <v>6.3694405816808061E-2</v>
      </c>
      <c r="S43" s="28">
        <f t="shared" si="12"/>
        <v>6.3928673704733319E-2</v>
      </c>
      <c r="T43" s="28">
        <f t="shared" si="12"/>
        <v>6.4024546576303062E-2</v>
      </c>
      <c r="U43" s="28">
        <f t="shared" si="12"/>
        <v>6.4133413198594794E-2</v>
      </c>
      <c r="V43" s="28">
        <f t="shared" si="12"/>
        <v>6.4256533645065173E-2</v>
      </c>
      <c r="W43" s="28">
        <f t="shared" si="12"/>
        <v>6.4394801017466488E-2</v>
      </c>
      <c r="X43" s="28">
        <f t="shared" si="12"/>
        <v>6.4550170100282397E-2</v>
      </c>
      <c r="Y43" s="28">
        <f t="shared" si="12"/>
        <v>6.4647859411858508E-2</v>
      </c>
      <c r="Z43" s="28">
        <f t="shared" si="12"/>
        <v>6.4757862549909215E-2</v>
      </c>
      <c r="AA43" s="28">
        <f t="shared" si="12"/>
        <v>6.4877117975833593E-2</v>
      </c>
      <c r="AB43" s="28">
        <f t="shared" si="12"/>
        <v>6.5008421618476642E-2</v>
      </c>
      <c r="AC43" s="28">
        <f t="shared" si="12"/>
        <v>6.5151758442893073E-2</v>
      </c>
      <c r="AD43" s="28">
        <f t="shared" si="12"/>
        <v>6.5246630284262655E-2</v>
      </c>
      <c r="AE43" s="28">
        <f t="shared" si="12"/>
        <v>6.5350732610319262E-2</v>
      </c>
      <c r="AF43" s="28">
        <f t="shared" si="12"/>
        <v>6.5463366093022182E-2</v>
      </c>
      <c r="AG43" s="28">
        <f t="shared" si="12"/>
        <v>6.5585749997988649E-2</v>
      </c>
      <c r="AH43" s="28">
        <f t="shared" si="12"/>
        <v>6.571355347686661E-2</v>
      </c>
      <c r="AI43" s="28">
        <f t="shared" si="12"/>
        <v>6.5795318686458951E-2</v>
      </c>
      <c r="AJ43" s="28">
        <f t="shared" si="12"/>
        <v>6.5884020001636651E-2</v>
      </c>
      <c r="AK43" s="28">
        <f t="shared" si="12"/>
        <v>6.5978314044694314E-2</v>
      </c>
      <c r="AL43" s="28">
        <f t="shared" si="12"/>
        <v>6.6078716985151179E-2</v>
      </c>
      <c r="AM43" s="28">
        <f t="shared" si="12"/>
        <v>6.6185699185286995E-2</v>
      </c>
      <c r="AN43" s="28">
        <f t="shared" si="12"/>
        <v>6.6248752997966662E-2</v>
      </c>
      <c r="AO43" s="28">
        <f t="shared" si="12"/>
        <v>6.6315938275625666E-2</v>
      </c>
      <c r="AP43" s="28">
        <f t="shared" si="12"/>
        <v>6.6388438988824877E-2</v>
      </c>
      <c r="AQ43" s="28">
        <f t="shared" si="12"/>
        <v>6.6466127241216463E-2</v>
      </c>
      <c r="AR43" s="28">
        <f t="shared" si="12"/>
        <v>6.6549837128906997E-2</v>
      </c>
      <c r="AS43" s="28">
        <f t="shared" si="12"/>
        <v>6.658756512294553E-2</v>
      </c>
      <c r="AT43" s="28">
        <f t="shared" si="12"/>
        <v>6.66203125456446E-2</v>
      </c>
      <c r="AU43" s="28">
        <f t="shared" si="12"/>
        <v>6.6656464691830439E-2</v>
      </c>
      <c r="AV43" s="28">
        <f t="shared" si="12"/>
        <v>6.6697796409900922E-2</v>
      </c>
      <c r="AW43" s="28">
        <f t="shared" si="12"/>
        <v>6.6742398126545865E-2</v>
      </c>
      <c r="AY43" s="85"/>
    </row>
    <row r="44" spans="1:51" x14ac:dyDescent="0.25">
      <c r="A44" s="102" t="str">
        <f t="shared" si="0"/>
        <v>FS Goats MMN2O</v>
      </c>
      <c r="B44" s="102" t="s">
        <v>1005</v>
      </c>
      <c r="C44" s="102" t="s">
        <v>1330</v>
      </c>
      <c r="D44" t="s">
        <v>15</v>
      </c>
      <c r="E44" t="s">
        <v>657</v>
      </c>
      <c r="F44" t="s">
        <v>19</v>
      </c>
      <c r="G44" t="s">
        <v>122</v>
      </c>
      <c r="H44" t="s">
        <v>1228</v>
      </c>
      <c r="I44" t="s">
        <v>139</v>
      </c>
      <c r="J44" t="s">
        <v>287</v>
      </c>
      <c r="K44" s="28">
        <f t="shared" si="7"/>
        <v>1.4482807028187926E-2</v>
      </c>
      <c r="L44" s="28">
        <f t="shared" si="12"/>
        <v>1.4520450251739283E-2</v>
      </c>
      <c r="M44" s="28">
        <f t="shared" si="12"/>
        <v>1.4571212872745463E-2</v>
      </c>
      <c r="N44" s="28">
        <f t="shared" si="12"/>
        <v>1.4633040456364911E-2</v>
      </c>
      <c r="O44" s="28">
        <f t="shared" si="12"/>
        <v>1.4707094987006923E-2</v>
      </c>
      <c r="P44" s="28">
        <f t="shared" si="12"/>
        <v>1.4794644538423191E-2</v>
      </c>
      <c r="Q44" s="28">
        <f t="shared" si="12"/>
        <v>1.4887429784482062E-2</v>
      </c>
      <c r="R44" s="28">
        <f t="shared" si="12"/>
        <v>1.4984365063470912E-2</v>
      </c>
      <c r="S44" s="28">
        <f t="shared" si="12"/>
        <v>1.5078737379247895E-2</v>
      </c>
      <c r="T44" s="28">
        <f t="shared" si="12"/>
        <v>1.5122022085784054E-2</v>
      </c>
      <c r="U44" s="28">
        <f t="shared" si="12"/>
        <v>1.5168700186651049E-2</v>
      </c>
      <c r="V44" s="28">
        <f t="shared" si="12"/>
        <v>1.5219291662698977E-2</v>
      </c>
      <c r="W44" s="28">
        <f t="shared" si="12"/>
        <v>1.5274171031448219E-2</v>
      </c>
      <c r="X44" s="28">
        <f t="shared" si="12"/>
        <v>1.5334076575093777E-2</v>
      </c>
      <c r="Y44" s="28">
        <f t="shared" si="12"/>
        <v>1.5372633836154437E-2</v>
      </c>
      <c r="Z44" s="28">
        <f t="shared" si="12"/>
        <v>1.5414710813994566E-2</v>
      </c>
      <c r="AA44" s="28">
        <f t="shared" si="12"/>
        <v>1.5459260848218298E-2</v>
      </c>
      <c r="AB44" s="28">
        <f t="shared" si="12"/>
        <v>1.5507296791102529E-2</v>
      </c>
      <c r="AC44" s="28">
        <f t="shared" si="12"/>
        <v>1.5558834836357003E-2</v>
      </c>
      <c r="AD44" s="28">
        <f t="shared" si="12"/>
        <v>1.5592757830860556E-2</v>
      </c>
      <c r="AE44" s="28">
        <f t="shared" si="12"/>
        <v>1.562932478627909E-2</v>
      </c>
      <c r="AF44" s="28">
        <f t="shared" si="12"/>
        <v>1.5668308058264361E-2</v>
      </c>
      <c r="AG44" s="28">
        <f t="shared" si="12"/>
        <v>1.5710145809478677E-2</v>
      </c>
      <c r="AH44" s="28">
        <f t="shared" si="12"/>
        <v>1.5753347197297651E-2</v>
      </c>
      <c r="AI44" s="28">
        <f t="shared" si="12"/>
        <v>1.5780128357590142E-2</v>
      </c>
      <c r="AJ44" s="28">
        <f t="shared" si="12"/>
        <v>1.5808895494916663E-2</v>
      </c>
      <c r="AK44" s="28">
        <f t="shared" si="12"/>
        <v>1.5839194459493416E-2</v>
      </c>
      <c r="AL44" s="28">
        <f t="shared" si="12"/>
        <v>1.5871212894447165E-2</v>
      </c>
      <c r="AM44" s="28">
        <f t="shared" si="12"/>
        <v>1.5905120208325661E-2</v>
      </c>
      <c r="AN44" s="28">
        <f t="shared" si="12"/>
        <v>1.5923608440521576E-2</v>
      </c>
      <c r="AO44" s="28">
        <f t="shared" si="12"/>
        <v>1.5943219194385971E-2</v>
      </c>
      <c r="AP44" s="28">
        <f t="shared" si="12"/>
        <v>1.5964364076511545E-2</v>
      </c>
      <c r="AQ44" s="28">
        <f t="shared" si="12"/>
        <v>1.5987003748719163E-2</v>
      </c>
      <c r="AR44" s="28">
        <f t="shared" si="12"/>
        <v>1.6011426014492076E-2</v>
      </c>
      <c r="AS44" s="28">
        <f t="shared" si="12"/>
        <v>1.6019956720470994E-2</v>
      </c>
      <c r="AT44" s="28">
        <f t="shared" si="12"/>
        <v>1.6026597354274651E-2</v>
      </c>
      <c r="AU44" s="28">
        <f t="shared" si="12"/>
        <v>1.6034206571030277E-2</v>
      </c>
      <c r="AV44" s="28">
        <f t="shared" ref="L44:AW51" si="13">AV1419</f>
        <v>1.6043388029308273E-2</v>
      </c>
      <c r="AW44" s="28">
        <f t="shared" si="13"/>
        <v>1.6053496862987397E-2</v>
      </c>
      <c r="AY44" s="85"/>
    </row>
    <row r="45" spans="1:51" x14ac:dyDescent="0.25">
      <c r="A45" s="102" t="str">
        <f t="shared" si="0"/>
        <v>FS Goats MMN2O</v>
      </c>
      <c r="B45" s="102" t="s">
        <v>1005</v>
      </c>
      <c r="C45" s="102" t="s">
        <v>1330</v>
      </c>
      <c r="D45" t="s">
        <v>15</v>
      </c>
      <c r="E45" t="s">
        <v>657</v>
      </c>
      <c r="F45" t="s">
        <v>19</v>
      </c>
      <c r="G45" t="s">
        <v>123</v>
      </c>
      <c r="H45" t="s">
        <v>1228</v>
      </c>
      <c r="I45" t="s">
        <v>139</v>
      </c>
      <c r="J45" t="s">
        <v>287</v>
      </c>
      <c r="K45" s="28">
        <f t="shared" si="7"/>
        <v>0.11481805129047286</v>
      </c>
      <c r="L45" s="28">
        <f t="shared" si="13"/>
        <v>0.11511648249680231</v>
      </c>
      <c r="M45" s="28">
        <f t="shared" si="13"/>
        <v>0.11551892279798029</v>
      </c>
      <c r="N45" s="28">
        <f t="shared" si="13"/>
        <v>0.11600908486762376</v>
      </c>
      <c r="O45" s="28">
        <f t="shared" si="13"/>
        <v>0.11659618078632224</v>
      </c>
      <c r="P45" s="28">
        <f t="shared" si="13"/>
        <v>0.11729026369893758</v>
      </c>
      <c r="Q45" s="28">
        <f t="shared" si="13"/>
        <v>0.1180258546047787</v>
      </c>
      <c r="R45" s="28">
        <f t="shared" si="13"/>
        <v>0.11879434650093773</v>
      </c>
      <c r="S45" s="28">
        <f t="shared" si="13"/>
        <v>0.1195425195154779</v>
      </c>
      <c r="T45" s="28">
        <f t="shared" si="13"/>
        <v>0.1198856757589802</v>
      </c>
      <c r="U45" s="28">
        <f t="shared" si="13"/>
        <v>0.1202557344478143</v>
      </c>
      <c r="V45" s="28">
        <f t="shared" si="13"/>
        <v>0.1206568179311767</v>
      </c>
      <c r="W45" s="28">
        <f t="shared" si="13"/>
        <v>0.12109189534148641</v>
      </c>
      <c r="X45" s="28">
        <f t="shared" si="13"/>
        <v>0.12156681969623982</v>
      </c>
      <c r="Y45" s="28">
        <f t="shared" si="13"/>
        <v>0.12187249728826091</v>
      </c>
      <c r="Z45" s="28">
        <f t="shared" si="13"/>
        <v>0.12220607879565744</v>
      </c>
      <c r="AA45" s="28">
        <f t="shared" si="13"/>
        <v>0.12255926641353683</v>
      </c>
      <c r="AB45" s="28">
        <f t="shared" si="13"/>
        <v>0.12294008991985945</v>
      </c>
      <c r="AC45" s="28">
        <f t="shared" si="13"/>
        <v>0.12334867769651912</v>
      </c>
      <c r="AD45" s="28">
        <f t="shared" si="13"/>
        <v>0.12361761534895452</v>
      </c>
      <c r="AE45" s="28">
        <f t="shared" si="13"/>
        <v>0.12390751402361132</v>
      </c>
      <c r="AF45" s="28">
        <f t="shared" si="13"/>
        <v>0.124216568981919</v>
      </c>
      <c r="AG45" s="28">
        <f t="shared" si="13"/>
        <v>0.12454825392776228</v>
      </c>
      <c r="AH45" s="28">
        <f t="shared" si="13"/>
        <v>0.12489074962992587</v>
      </c>
      <c r="AI45" s="28">
        <f t="shared" si="13"/>
        <v>0.12510306763085599</v>
      </c>
      <c r="AJ45" s="28">
        <f t="shared" si="13"/>
        <v>0.12533113023243647</v>
      </c>
      <c r="AK45" s="28">
        <f t="shared" si="13"/>
        <v>0.12557133698669695</v>
      </c>
      <c r="AL45" s="28">
        <f t="shared" si="13"/>
        <v>0.12582517550706146</v>
      </c>
      <c r="AM45" s="28">
        <f t="shared" si="13"/>
        <v>0.12609398884528009</v>
      </c>
      <c r="AN45" s="28">
        <f t="shared" si="13"/>
        <v>0.1262405614529527</v>
      </c>
      <c r="AO45" s="28">
        <f t="shared" si="13"/>
        <v>0.12639603328508198</v>
      </c>
      <c r="AP45" s="28">
        <f t="shared" si="13"/>
        <v>0.12656366751204504</v>
      </c>
      <c r="AQ45" s="28">
        <f t="shared" si="13"/>
        <v>0.1267431522652199</v>
      </c>
      <c r="AR45" s="28">
        <f t="shared" si="13"/>
        <v>0.12693676921797539</v>
      </c>
      <c r="AS45" s="28">
        <f t="shared" si="13"/>
        <v>0.12700439968731225</v>
      </c>
      <c r="AT45" s="28">
        <f t="shared" si="13"/>
        <v>0.12705704587884023</v>
      </c>
      <c r="AU45" s="28">
        <f t="shared" si="13"/>
        <v>0.12711737088614225</v>
      </c>
      <c r="AV45" s="28">
        <f t="shared" si="13"/>
        <v>0.12719016044588929</v>
      </c>
      <c r="AW45" s="28">
        <f t="shared" si="13"/>
        <v>0.12727030213262158</v>
      </c>
      <c r="AY45" s="85"/>
    </row>
    <row r="46" spans="1:51" x14ac:dyDescent="0.25">
      <c r="A46" s="102" t="str">
        <f t="shared" si="0"/>
        <v>FS Horses MMN2O</v>
      </c>
      <c r="B46" s="102" t="s">
        <v>1005</v>
      </c>
      <c r="C46" s="102" t="s">
        <v>1331</v>
      </c>
      <c r="D46" t="s">
        <v>15</v>
      </c>
      <c r="E46" t="s">
        <v>657</v>
      </c>
      <c r="F46" t="s">
        <v>20</v>
      </c>
      <c r="G46" t="s">
        <v>3</v>
      </c>
      <c r="H46" t="s">
        <v>1228</v>
      </c>
      <c r="I46" t="s">
        <v>139</v>
      </c>
      <c r="J46" t="s">
        <v>287</v>
      </c>
      <c r="K46" s="28" t="str">
        <f t="shared" si="7"/>
        <v>NO</v>
      </c>
      <c r="L46" s="28" t="str">
        <f t="shared" si="13"/>
        <v>NO</v>
      </c>
      <c r="M46" s="28" t="str">
        <f t="shared" si="13"/>
        <v>NO</v>
      </c>
      <c r="N46" s="28" t="str">
        <f t="shared" si="13"/>
        <v>NO</v>
      </c>
      <c r="O46" s="28" t="str">
        <f t="shared" si="13"/>
        <v>NO</v>
      </c>
      <c r="P46" s="28" t="str">
        <f t="shared" si="13"/>
        <v>NO</v>
      </c>
      <c r="Q46" s="28" t="str">
        <f t="shared" si="13"/>
        <v>NO</v>
      </c>
      <c r="R46" s="28" t="str">
        <f t="shared" si="13"/>
        <v>NO</v>
      </c>
      <c r="S46" s="28" t="str">
        <f t="shared" si="13"/>
        <v>NO</v>
      </c>
      <c r="T46" s="28" t="str">
        <f t="shared" si="13"/>
        <v>NO</v>
      </c>
      <c r="U46" s="28" t="str">
        <f t="shared" si="13"/>
        <v>NO</v>
      </c>
      <c r="V46" s="28" t="str">
        <f t="shared" si="13"/>
        <v>NO</v>
      </c>
      <c r="W46" s="28" t="str">
        <f t="shared" si="13"/>
        <v>NO</v>
      </c>
      <c r="X46" s="28" t="str">
        <f t="shared" si="13"/>
        <v>NO</v>
      </c>
      <c r="Y46" s="28" t="str">
        <f t="shared" si="13"/>
        <v>NO</v>
      </c>
      <c r="Z46" s="28" t="str">
        <f t="shared" si="13"/>
        <v>NO</v>
      </c>
      <c r="AA46" s="28" t="str">
        <f t="shared" si="13"/>
        <v>NO</v>
      </c>
      <c r="AB46" s="28" t="str">
        <f t="shared" si="13"/>
        <v>NO</v>
      </c>
      <c r="AC46" s="28" t="str">
        <f t="shared" si="13"/>
        <v>NO</v>
      </c>
      <c r="AD46" s="28" t="str">
        <f t="shared" si="13"/>
        <v>NO</v>
      </c>
      <c r="AE46" s="28" t="str">
        <f t="shared" si="13"/>
        <v>NO</v>
      </c>
      <c r="AF46" s="28" t="str">
        <f t="shared" si="13"/>
        <v>NO</v>
      </c>
      <c r="AG46" s="28" t="str">
        <f t="shared" si="13"/>
        <v>NO</v>
      </c>
      <c r="AH46" s="28" t="str">
        <f t="shared" si="13"/>
        <v>NO</v>
      </c>
      <c r="AI46" s="28" t="str">
        <f t="shared" si="13"/>
        <v>NO</v>
      </c>
      <c r="AJ46" s="28" t="str">
        <f t="shared" si="13"/>
        <v>NO</v>
      </c>
      <c r="AK46" s="28" t="str">
        <f t="shared" si="13"/>
        <v>NO</v>
      </c>
      <c r="AL46" s="28" t="str">
        <f t="shared" si="13"/>
        <v>NO</v>
      </c>
      <c r="AM46" s="28" t="str">
        <f t="shared" si="13"/>
        <v>NO</v>
      </c>
      <c r="AN46" s="28" t="str">
        <f t="shared" si="13"/>
        <v>NO</v>
      </c>
      <c r="AO46" s="28" t="str">
        <f t="shared" si="13"/>
        <v>NO</v>
      </c>
      <c r="AP46" s="28" t="str">
        <f t="shared" si="13"/>
        <v>NO</v>
      </c>
      <c r="AQ46" s="28" t="str">
        <f t="shared" si="13"/>
        <v>NO</v>
      </c>
      <c r="AR46" s="28" t="str">
        <f t="shared" si="13"/>
        <v>NO</v>
      </c>
      <c r="AS46" s="28" t="str">
        <f t="shared" si="13"/>
        <v>NO</v>
      </c>
      <c r="AT46" s="28" t="str">
        <f t="shared" si="13"/>
        <v>NO</v>
      </c>
      <c r="AU46" s="28" t="str">
        <f t="shared" si="13"/>
        <v>NO</v>
      </c>
      <c r="AV46" s="28" t="str">
        <f t="shared" si="13"/>
        <v>NO</v>
      </c>
      <c r="AW46" s="28" t="str">
        <f t="shared" si="13"/>
        <v>NO</v>
      </c>
      <c r="AY46" s="85"/>
    </row>
    <row r="47" spans="1:51" x14ac:dyDescent="0.25">
      <c r="A47" s="102" t="str">
        <f t="shared" si="0"/>
        <v>FS Mules MMN2O</v>
      </c>
      <c r="B47" s="102" t="s">
        <v>1005</v>
      </c>
      <c r="C47" s="102" t="s">
        <v>1332</v>
      </c>
      <c r="D47" t="s">
        <v>15</v>
      </c>
      <c r="E47" t="s">
        <v>657</v>
      </c>
      <c r="F47" t="s">
        <v>140</v>
      </c>
      <c r="G47" t="s">
        <v>124</v>
      </c>
      <c r="H47" t="s">
        <v>1228</v>
      </c>
      <c r="I47" t="s">
        <v>139</v>
      </c>
      <c r="J47" t="s">
        <v>287</v>
      </c>
      <c r="K47" s="28" t="str">
        <f t="shared" si="7"/>
        <v>NO</v>
      </c>
      <c r="L47" s="28" t="str">
        <f t="shared" si="13"/>
        <v>NO</v>
      </c>
      <c r="M47" s="28" t="str">
        <f t="shared" si="13"/>
        <v>NO</v>
      </c>
      <c r="N47" s="28" t="str">
        <f t="shared" si="13"/>
        <v>NO</v>
      </c>
      <c r="O47" s="28" t="str">
        <f t="shared" si="13"/>
        <v>NO</v>
      </c>
      <c r="P47" s="28" t="str">
        <f t="shared" si="13"/>
        <v>NO</v>
      </c>
      <c r="Q47" s="28" t="str">
        <f t="shared" si="13"/>
        <v>NO</v>
      </c>
      <c r="R47" s="28" t="str">
        <f t="shared" si="13"/>
        <v>NO</v>
      </c>
      <c r="S47" s="28" t="str">
        <f t="shared" si="13"/>
        <v>NO</v>
      </c>
      <c r="T47" s="28" t="str">
        <f t="shared" si="13"/>
        <v>NO</v>
      </c>
      <c r="U47" s="28" t="str">
        <f t="shared" si="13"/>
        <v>NO</v>
      </c>
      <c r="V47" s="28" t="str">
        <f t="shared" si="13"/>
        <v>NO</v>
      </c>
      <c r="W47" s="28" t="str">
        <f t="shared" si="13"/>
        <v>NO</v>
      </c>
      <c r="X47" s="28" t="str">
        <f t="shared" si="13"/>
        <v>NO</v>
      </c>
      <c r="Y47" s="28" t="str">
        <f t="shared" si="13"/>
        <v>NO</v>
      </c>
      <c r="Z47" s="28" t="str">
        <f t="shared" si="13"/>
        <v>NO</v>
      </c>
      <c r="AA47" s="28" t="str">
        <f t="shared" si="13"/>
        <v>NO</v>
      </c>
      <c r="AB47" s="28" t="str">
        <f t="shared" si="13"/>
        <v>NO</v>
      </c>
      <c r="AC47" s="28" t="str">
        <f t="shared" si="13"/>
        <v>NO</v>
      </c>
      <c r="AD47" s="28" t="str">
        <f t="shared" si="13"/>
        <v>NO</v>
      </c>
      <c r="AE47" s="28" t="str">
        <f t="shared" si="13"/>
        <v>NO</v>
      </c>
      <c r="AF47" s="28" t="str">
        <f t="shared" si="13"/>
        <v>NO</v>
      </c>
      <c r="AG47" s="28" t="str">
        <f t="shared" si="13"/>
        <v>NO</v>
      </c>
      <c r="AH47" s="28" t="str">
        <f t="shared" si="13"/>
        <v>NO</v>
      </c>
      <c r="AI47" s="28" t="str">
        <f t="shared" si="13"/>
        <v>NO</v>
      </c>
      <c r="AJ47" s="28" t="str">
        <f t="shared" si="13"/>
        <v>NO</v>
      </c>
      <c r="AK47" s="28" t="str">
        <f t="shared" si="13"/>
        <v>NO</v>
      </c>
      <c r="AL47" s="28" t="str">
        <f t="shared" si="13"/>
        <v>NO</v>
      </c>
      <c r="AM47" s="28" t="str">
        <f t="shared" si="13"/>
        <v>NO</v>
      </c>
      <c r="AN47" s="28" t="str">
        <f t="shared" si="13"/>
        <v>NO</v>
      </c>
      <c r="AO47" s="28" t="str">
        <f t="shared" si="13"/>
        <v>NO</v>
      </c>
      <c r="AP47" s="28" t="str">
        <f t="shared" si="13"/>
        <v>NO</v>
      </c>
      <c r="AQ47" s="28" t="str">
        <f t="shared" si="13"/>
        <v>NO</v>
      </c>
      <c r="AR47" s="28" t="str">
        <f t="shared" si="13"/>
        <v>NO</v>
      </c>
      <c r="AS47" s="28" t="str">
        <f t="shared" si="13"/>
        <v>NO</v>
      </c>
      <c r="AT47" s="28" t="str">
        <f t="shared" si="13"/>
        <v>NO</v>
      </c>
      <c r="AU47" s="28" t="str">
        <f t="shared" si="13"/>
        <v>NO</v>
      </c>
      <c r="AV47" s="28" t="str">
        <f t="shared" si="13"/>
        <v>NO</v>
      </c>
      <c r="AW47" s="28" t="str">
        <f t="shared" si="13"/>
        <v>NO</v>
      </c>
      <c r="AY47" s="85"/>
    </row>
    <row r="48" spans="1:51" x14ac:dyDescent="0.25">
      <c r="A48" s="102" t="str">
        <f t="shared" si="0"/>
        <v>FS Swine MMN2O</v>
      </c>
      <c r="B48" s="102" t="s">
        <v>1005</v>
      </c>
      <c r="C48" s="102" t="s">
        <v>1234</v>
      </c>
      <c r="D48" t="s">
        <v>15</v>
      </c>
      <c r="E48" t="s">
        <v>657</v>
      </c>
      <c r="F48" t="s">
        <v>21</v>
      </c>
      <c r="G48" t="s">
        <v>122</v>
      </c>
      <c r="H48" t="s">
        <v>1228</v>
      </c>
      <c r="I48" t="s">
        <v>139</v>
      </c>
      <c r="J48" t="s">
        <v>287</v>
      </c>
      <c r="K48" s="28">
        <f t="shared" si="7"/>
        <v>9.7855003322124628E-2</v>
      </c>
      <c r="L48" s="28">
        <f t="shared" si="13"/>
        <v>9.768205595551481E-2</v>
      </c>
      <c r="M48" s="28">
        <f t="shared" si="13"/>
        <v>9.7134008511937764E-2</v>
      </c>
      <c r="N48" s="28">
        <f t="shared" si="13"/>
        <v>9.4990622413168677E-2</v>
      </c>
      <c r="O48" s="28">
        <f t="shared" si="13"/>
        <v>9.2963704380958218E-2</v>
      </c>
      <c r="P48" s="28">
        <f t="shared" si="13"/>
        <v>9.2636555494494649E-2</v>
      </c>
      <c r="Q48" s="28">
        <f t="shared" si="13"/>
        <v>9.1842396693378264E-2</v>
      </c>
      <c r="R48" s="28">
        <f t="shared" si="13"/>
        <v>8.9396441883992581E-2</v>
      </c>
      <c r="S48" s="28">
        <f t="shared" si="13"/>
        <v>7.973748994684815E-2</v>
      </c>
      <c r="T48" s="28">
        <f t="shared" si="13"/>
        <v>8.1452692189288772E-2</v>
      </c>
      <c r="U48" s="28">
        <f t="shared" si="13"/>
        <v>8.2242511804273E-2</v>
      </c>
      <c r="V48" s="28">
        <f t="shared" si="13"/>
        <v>8.2817744096224652E-2</v>
      </c>
      <c r="W48" s="28">
        <f t="shared" si="13"/>
        <v>8.3700880663628088E-2</v>
      </c>
      <c r="X48" s="28">
        <f t="shared" si="13"/>
        <v>8.5662060351678962E-2</v>
      </c>
      <c r="Y48" s="28">
        <f t="shared" si="13"/>
        <v>8.7869258828121299E-2</v>
      </c>
      <c r="Z48" s="28">
        <f t="shared" si="13"/>
        <v>9.0298087380543637E-2</v>
      </c>
      <c r="AA48" s="28">
        <f t="shared" si="13"/>
        <v>9.2240276380797723E-2</v>
      </c>
      <c r="AB48" s="28">
        <f t="shared" si="13"/>
        <v>9.4619108619267742E-2</v>
      </c>
      <c r="AC48" s="28">
        <f t="shared" si="13"/>
        <v>9.7530252215833863E-2</v>
      </c>
      <c r="AD48" s="28">
        <f t="shared" si="13"/>
        <v>0.10028578808595486</v>
      </c>
      <c r="AE48" s="28">
        <f t="shared" si="13"/>
        <v>0.10315369284356883</v>
      </c>
      <c r="AF48" s="28">
        <f t="shared" si="13"/>
        <v>0.10603841363071233</v>
      </c>
      <c r="AG48" s="28">
        <f t="shared" si="13"/>
        <v>0.10932837219720498</v>
      </c>
      <c r="AH48" s="28">
        <f t="shared" si="13"/>
        <v>0.11199564217103479</v>
      </c>
      <c r="AI48" s="28">
        <f t="shared" si="13"/>
        <v>0.11485371208683526</v>
      </c>
      <c r="AJ48" s="28">
        <f t="shared" si="13"/>
        <v>0.11771232198590084</v>
      </c>
      <c r="AK48" s="28">
        <f t="shared" si="13"/>
        <v>0.12030678115486812</v>
      </c>
      <c r="AL48" s="28">
        <f t="shared" si="13"/>
        <v>0.12282077145121797</v>
      </c>
      <c r="AM48" s="28">
        <f t="shared" si="13"/>
        <v>0.12541265580814645</v>
      </c>
      <c r="AN48" s="28">
        <f t="shared" si="13"/>
        <v>0.12815280796716533</v>
      </c>
      <c r="AO48" s="28">
        <f t="shared" si="13"/>
        <v>0.13056194972752197</v>
      </c>
      <c r="AP48" s="28">
        <f t="shared" si="13"/>
        <v>0.13295353804447049</v>
      </c>
      <c r="AQ48" s="28">
        <f t="shared" si="13"/>
        <v>0.13533393181533376</v>
      </c>
      <c r="AR48" s="28">
        <f t="shared" si="13"/>
        <v>0.1379132972636212</v>
      </c>
      <c r="AS48" s="28">
        <f t="shared" si="13"/>
        <v>0.14053008195021952</v>
      </c>
      <c r="AT48" s="28">
        <f t="shared" si="13"/>
        <v>0.14114192425764652</v>
      </c>
      <c r="AU48" s="28">
        <f t="shared" si="13"/>
        <v>0.14158544392848668</v>
      </c>
      <c r="AV48" s="28">
        <f t="shared" si="13"/>
        <v>0.14225126627613405</v>
      </c>
      <c r="AW48" s="28">
        <f t="shared" si="13"/>
        <v>0.14277114135536023</v>
      </c>
      <c r="AY48" s="85"/>
    </row>
    <row r="49" spans="1:51" x14ac:dyDescent="0.25">
      <c r="A49" s="102" t="str">
        <f t="shared" si="0"/>
        <v>FS Swine MMN2O</v>
      </c>
      <c r="B49" s="102" t="s">
        <v>1005</v>
      </c>
      <c r="C49" s="102" t="s">
        <v>1234</v>
      </c>
      <c r="D49" t="s">
        <v>15</v>
      </c>
      <c r="E49" t="s">
        <v>657</v>
      </c>
      <c r="F49" t="s">
        <v>21</v>
      </c>
      <c r="G49" t="s">
        <v>123</v>
      </c>
      <c r="H49" t="s">
        <v>1228</v>
      </c>
      <c r="I49" t="s">
        <v>139</v>
      </c>
      <c r="J49" t="s">
        <v>287</v>
      </c>
      <c r="K49" s="28">
        <f t="shared" si="7"/>
        <v>3.8282858549039588E-2</v>
      </c>
      <c r="L49" s="28">
        <f t="shared" si="13"/>
        <v>3.8215198037593316E-2</v>
      </c>
      <c r="M49" s="28">
        <f t="shared" si="13"/>
        <v>3.8000790781466037E-2</v>
      </c>
      <c r="N49" s="28">
        <f t="shared" si="13"/>
        <v>3.7162254742945426E-2</v>
      </c>
      <c r="O49" s="28">
        <f t="shared" si="13"/>
        <v>3.6369283370166726E-2</v>
      </c>
      <c r="P49" s="28">
        <f t="shared" si="13"/>
        <v>3.6241296102068297E-2</v>
      </c>
      <c r="Q49" s="28">
        <f t="shared" si="13"/>
        <v>3.5930605099907358E-2</v>
      </c>
      <c r="R49" s="28">
        <f t="shared" si="13"/>
        <v>3.497369805574925E-2</v>
      </c>
      <c r="S49" s="28">
        <f t="shared" si="13"/>
        <v>3.1194920495194334E-2</v>
      </c>
      <c r="T49" s="28">
        <f t="shared" si="13"/>
        <v>3.1865942339771837E-2</v>
      </c>
      <c r="U49" s="28">
        <f t="shared" si="13"/>
        <v>3.21749357644633E-2</v>
      </c>
      <c r="V49" s="28">
        <f t="shared" si="13"/>
        <v>3.2399978283680568E-2</v>
      </c>
      <c r="W49" s="28">
        <f t="shared" si="13"/>
        <v>3.2745479189526895E-2</v>
      </c>
      <c r="X49" s="28">
        <f t="shared" si="13"/>
        <v>3.3512732391080123E-2</v>
      </c>
      <c r="Y49" s="28">
        <f t="shared" si="13"/>
        <v>3.4376233123742127E-2</v>
      </c>
      <c r="Z49" s="28">
        <f t="shared" si="13"/>
        <v>3.5326440029424484E-2</v>
      </c>
      <c r="AA49" s="28">
        <f t="shared" si="13"/>
        <v>3.6086263689411195E-2</v>
      </c>
      <c r="AB49" s="28">
        <f t="shared" si="13"/>
        <v>3.7016911024810674E-2</v>
      </c>
      <c r="AC49" s="28">
        <f t="shared" si="13"/>
        <v>3.8155809341092126E-2</v>
      </c>
      <c r="AD49" s="28">
        <f t="shared" si="13"/>
        <v>3.9233830764231724E-2</v>
      </c>
      <c r="AE49" s="28">
        <f t="shared" si="13"/>
        <v>4.0355813171267518E-2</v>
      </c>
      <c r="AF49" s="28">
        <f t="shared" si="13"/>
        <v>4.1484374349525836E-2</v>
      </c>
      <c r="AG49" s="28">
        <f t="shared" si="13"/>
        <v>4.2771472751828604E-2</v>
      </c>
      <c r="AH49" s="28">
        <f t="shared" si="13"/>
        <v>4.3814962769238276E-2</v>
      </c>
      <c r="AI49" s="28">
        <f t="shared" si="13"/>
        <v>4.4933097587032685E-2</v>
      </c>
      <c r="AJ49" s="28">
        <f t="shared" si="13"/>
        <v>4.605144365721333E-2</v>
      </c>
      <c r="AK49" s="28">
        <f t="shared" si="13"/>
        <v>4.7066448613575902E-2</v>
      </c>
      <c r="AL49" s="28">
        <f t="shared" si="13"/>
        <v>4.8049972517734428E-2</v>
      </c>
      <c r="AM49" s="28">
        <f t="shared" si="13"/>
        <v>4.906397015549574E-2</v>
      </c>
      <c r="AN49" s="28">
        <f t="shared" si="13"/>
        <v>5.0135973159381467E-2</v>
      </c>
      <c r="AO49" s="28">
        <f t="shared" si="13"/>
        <v>5.1078478193413449E-2</v>
      </c>
      <c r="AP49" s="28">
        <f t="shared" si="13"/>
        <v>5.2014115964983336E-2</v>
      </c>
      <c r="AQ49" s="28">
        <f t="shared" si="13"/>
        <v>5.2945374203471063E-2</v>
      </c>
      <c r="AR49" s="28">
        <f t="shared" si="13"/>
        <v>5.395447419070433E-2</v>
      </c>
      <c r="AS49" s="28">
        <f t="shared" si="13"/>
        <v>5.4978213341584196E-2</v>
      </c>
      <c r="AT49" s="28">
        <f t="shared" si="13"/>
        <v>5.5217578440090585E-2</v>
      </c>
      <c r="AU49" s="28">
        <f t="shared" si="13"/>
        <v>5.5391092315171642E-2</v>
      </c>
      <c r="AV49" s="28">
        <f t="shared" si="13"/>
        <v>5.5651575498334646E-2</v>
      </c>
      <c r="AW49" s="28">
        <f t="shared" si="13"/>
        <v>5.5854961155128016E-2</v>
      </c>
      <c r="AY49" s="85"/>
    </row>
    <row r="50" spans="1:51" x14ac:dyDescent="0.25">
      <c r="A50" s="102" t="str">
        <f t="shared" si="0"/>
        <v>FS Poultry MMN2O</v>
      </c>
      <c r="B50" s="102" t="s">
        <v>1005</v>
      </c>
      <c r="C50" s="102" t="s">
        <v>1235</v>
      </c>
      <c r="D50" t="s">
        <v>15</v>
      </c>
      <c r="E50" t="s">
        <v>657</v>
      </c>
      <c r="F50" t="s">
        <v>28</v>
      </c>
      <c r="G50" t="s">
        <v>131</v>
      </c>
      <c r="H50" t="s">
        <v>1228</v>
      </c>
      <c r="I50" t="s">
        <v>139</v>
      </c>
      <c r="J50" t="s">
        <v>287</v>
      </c>
      <c r="K50" s="28">
        <f t="shared" si="7"/>
        <v>0.32879130142743862</v>
      </c>
      <c r="L50" s="28">
        <f t="shared" si="13"/>
        <v>0.33618147320266517</v>
      </c>
      <c r="M50" s="28">
        <f t="shared" si="13"/>
        <v>0.34286580262317662</v>
      </c>
      <c r="N50" s="28">
        <f t="shared" si="13"/>
        <v>0.34631663130525719</v>
      </c>
      <c r="O50" s="28">
        <f t="shared" si="13"/>
        <v>0.34986259378047058</v>
      </c>
      <c r="P50" s="28">
        <f t="shared" si="13"/>
        <v>0.35692259519801384</v>
      </c>
      <c r="Q50" s="28">
        <f t="shared" si="13"/>
        <v>0.36295954497520366</v>
      </c>
      <c r="R50" s="28">
        <f t="shared" si="13"/>
        <v>0.36525102127555931</v>
      </c>
      <c r="S50" s="28">
        <f t="shared" si="13"/>
        <v>0.35074524152454095</v>
      </c>
      <c r="T50" s="28">
        <f t="shared" si="13"/>
        <v>0.36118344194798235</v>
      </c>
      <c r="U50" s="28">
        <f t="shared" si="13"/>
        <v>0.36961966083970876</v>
      </c>
      <c r="V50" s="28">
        <f t="shared" si="13"/>
        <v>0.37765888442551321</v>
      </c>
      <c r="W50" s="28">
        <f t="shared" si="13"/>
        <v>0.38658550533232433</v>
      </c>
      <c r="X50" s="28">
        <f t="shared" si="13"/>
        <v>0.39843478474254634</v>
      </c>
      <c r="Y50" s="28">
        <f t="shared" si="13"/>
        <v>0.41088019341175391</v>
      </c>
      <c r="Z50" s="28">
        <f t="shared" si="13"/>
        <v>0.42422078606736746</v>
      </c>
      <c r="AA50" s="28">
        <f t="shared" si="13"/>
        <v>0.4365608627490552</v>
      </c>
      <c r="AB50" s="28">
        <f t="shared" si="13"/>
        <v>0.45040527564099359</v>
      </c>
      <c r="AC50" s="28">
        <f t="shared" si="13"/>
        <v>0.46610821416360254</v>
      </c>
      <c r="AD50" s="28">
        <f t="shared" si="13"/>
        <v>0.48149963825345377</v>
      </c>
      <c r="AE50" s="28">
        <f t="shared" si="13"/>
        <v>0.49761952403274901</v>
      </c>
      <c r="AF50" s="28">
        <f t="shared" si="13"/>
        <v>0.51420726915291115</v>
      </c>
      <c r="AG50" s="28">
        <f t="shared" si="13"/>
        <v>0.53247410489136104</v>
      </c>
      <c r="AH50" s="28">
        <f t="shared" si="13"/>
        <v>0.5492684403625786</v>
      </c>
      <c r="AI50" s="28">
        <f t="shared" si="13"/>
        <v>0.56683832060292816</v>
      </c>
      <c r="AJ50" s="28">
        <f t="shared" si="13"/>
        <v>0.584861650511455</v>
      </c>
      <c r="AK50" s="28">
        <f t="shared" si="13"/>
        <v>0.60246746038216259</v>
      </c>
      <c r="AL50" s="28">
        <f t="shared" si="13"/>
        <v>0.62024062021411375</v>
      </c>
      <c r="AM50" s="28">
        <f t="shared" si="13"/>
        <v>0.63872476172334525</v>
      </c>
      <c r="AN50" s="28">
        <f t="shared" si="13"/>
        <v>0.65794922439522119</v>
      </c>
      <c r="AO50" s="28">
        <f t="shared" si="13"/>
        <v>0.67647629594315495</v>
      </c>
      <c r="AP50" s="28">
        <f t="shared" si="13"/>
        <v>0.69539916939277291</v>
      </c>
      <c r="AQ50" s="28">
        <f t="shared" si="13"/>
        <v>0.71475050403818352</v>
      </c>
      <c r="AR50" s="28">
        <f t="shared" si="13"/>
        <v>0.73533889699431976</v>
      </c>
      <c r="AS50" s="28">
        <f t="shared" si="13"/>
        <v>0.75634294211031738</v>
      </c>
      <c r="AT50" s="28">
        <f t="shared" si="13"/>
        <v>0.76999066398321547</v>
      </c>
      <c r="AU50" s="28">
        <f t="shared" si="13"/>
        <v>0.78322712569021657</v>
      </c>
      <c r="AV50" s="28">
        <f t="shared" si="13"/>
        <v>0.79761951278112875</v>
      </c>
      <c r="AW50" s="28">
        <f t="shared" si="13"/>
        <v>0.8116941649813233</v>
      </c>
      <c r="AY50" s="85"/>
    </row>
    <row r="51" spans="1:51" x14ac:dyDescent="0.25">
      <c r="A51" s="102" t="str">
        <f t="shared" si="0"/>
        <v>FS Poultry MMN2O</v>
      </c>
      <c r="B51" s="102" t="s">
        <v>1005</v>
      </c>
      <c r="C51" s="102" t="s">
        <v>1235</v>
      </c>
      <c r="D51" t="s">
        <v>15</v>
      </c>
      <c r="E51" t="s">
        <v>657</v>
      </c>
      <c r="F51" t="s">
        <v>28</v>
      </c>
      <c r="G51" t="s">
        <v>132</v>
      </c>
      <c r="H51" t="s">
        <v>1228</v>
      </c>
      <c r="I51" t="s">
        <v>139</v>
      </c>
      <c r="J51" t="s">
        <v>287</v>
      </c>
      <c r="K51" s="28">
        <f t="shared" si="7"/>
        <v>1.7130795703114865</v>
      </c>
      <c r="L51" s="28">
        <f t="shared" si="13"/>
        <v>1.7448742149951937</v>
      </c>
      <c r="M51" s="28">
        <f t="shared" si="13"/>
        <v>1.7656986639980343</v>
      </c>
      <c r="N51" s="28">
        <f t="shared" si="13"/>
        <v>1.7427941986174933</v>
      </c>
      <c r="O51" s="28">
        <f t="shared" si="13"/>
        <v>1.7205815318546955</v>
      </c>
      <c r="P51" s="28">
        <f t="shared" si="13"/>
        <v>1.7425923100139877</v>
      </c>
      <c r="Q51" s="28">
        <f t="shared" si="13"/>
        <v>1.7510736876348556</v>
      </c>
      <c r="R51" s="28">
        <f t="shared" si="13"/>
        <v>1.7121897293862536</v>
      </c>
      <c r="S51" s="28">
        <f t="shared" si="13"/>
        <v>1.4655218906646825</v>
      </c>
      <c r="T51" s="28">
        <f t="shared" si="13"/>
        <v>1.5438535261882376</v>
      </c>
      <c r="U51" s="28">
        <f t="shared" si="13"/>
        <v>1.5962945286475767</v>
      </c>
      <c r="V51" s="28">
        <f t="shared" si="13"/>
        <v>1.642907889886944</v>
      </c>
      <c r="W51" s="28">
        <f t="shared" si="13"/>
        <v>1.6991978110377575</v>
      </c>
      <c r="X51" s="28">
        <f t="shared" si="13"/>
        <v>1.7890350626064766</v>
      </c>
      <c r="Y51" s="28">
        <f t="shared" si="13"/>
        <v>1.8895080919073246</v>
      </c>
      <c r="Z51" s="28">
        <f t="shared" si="13"/>
        <v>1.9987693788658938</v>
      </c>
      <c r="AA51" s="28">
        <f t="shared" si="13"/>
        <v>2.0947103415895203</v>
      </c>
      <c r="AB51" s="28">
        <f t="shared" si="13"/>
        <v>2.2064115736901493</v>
      </c>
      <c r="AC51" s="28">
        <f t="shared" si="13"/>
        <v>2.3375745911599179</v>
      </c>
      <c r="AD51" s="28">
        <f t="shared" si="13"/>
        <v>2.4674301417551581</v>
      </c>
      <c r="AE51" s="28">
        <f t="shared" si="13"/>
        <v>2.6036408947859315</v>
      </c>
      <c r="AF51" s="28">
        <f t="shared" si="13"/>
        <v>2.7431932989553216</v>
      </c>
      <c r="AG51" s="28">
        <f t="shared" si="13"/>
        <v>2.8994590521514279</v>
      </c>
      <c r="AH51" s="28">
        <f t="shared" si="13"/>
        <v>3.037455952913116</v>
      </c>
      <c r="AI51" s="28">
        <f t="shared" si="13"/>
        <v>3.1860329911149803</v>
      </c>
      <c r="AJ51" s="28">
        <f t="shared" si="13"/>
        <v>3.3377024540250857</v>
      </c>
      <c r="AK51" s="28">
        <f t="shared" ref="L51:AW53" si="14">AK1426</f>
        <v>3.4830302875985271</v>
      </c>
      <c r="AL51" s="28">
        <f t="shared" si="14"/>
        <v>3.6284282503451957</v>
      </c>
      <c r="AM51" s="28">
        <f t="shared" si="14"/>
        <v>3.7797085645009982</v>
      </c>
      <c r="AN51" s="28">
        <f t="shared" si="14"/>
        <v>3.9406773028531807</v>
      </c>
      <c r="AO51" s="28">
        <f t="shared" si="14"/>
        <v>4.09252605936598</v>
      </c>
      <c r="AP51" s="28">
        <f t="shared" si="14"/>
        <v>4.2468797909937708</v>
      </c>
      <c r="AQ51" s="28">
        <f t="shared" si="14"/>
        <v>4.4040525088231126</v>
      </c>
      <c r="AR51" s="28">
        <f t="shared" si="14"/>
        <v>4.5723846640377745</v>
      </c>
      <c r="AS51" s="28">
        <f t="shared" si="14"/>
        <v>4.746828077621343</v>
      </c>
      <c r="AT51" s="28">
        <f t="shared" si="14"/>
        <v>4.8441966867749811</v>
      </c>
      <c r="AU51" s="28">
        <f t="shared" si="14"/>
        <v>4.9364837725054729</v>
      </c>
      <c r="AV51" s="28">
        <f t="shared" si="14"/>
        <v>5.0396527637872595</v>
      </c>
      <c r="AW51" s="28">
        <f t="shared" si="14"/>
        <v>5.1386857535726884</v>
      </c>
      <c r="AY51" s="85"/>
    </row>
    <row r="52" spans="1:51" x14ac:dyDescent="0.25">
      <c r="A52" s="102" t="str">
        <f t="shared" si="0"/>
        <v>FS Poultry MMN2O</v>
      </c>
      <c r="B52" s="102" t="s">
        <v>1005</v>
      </c>
      <c r="C52" s="102" t="s">
        <v>1235</v>
      </c>
      <c r="D52" t="s">
        <v>15</v>
      </c>
      <c r="E52" t="s">
        <v>657</v>
      </c>
      <c r="F52" t="s">
        <v>28</v>
      </c>
      <c r="G52" t="s">
        <v>134</v>
      </c>
      <c r="H52" t="s">
        <v>1228</v>
      </c>
      <c r="I52" t="s">
        <v>139</v>
      </c>
      <c r="J52" t="s">
        <v>287</v>
      </c>
      <c r="K52" s="28">
        <f t="shared" si="7"/>
        <v>1.3699637559476618E-2</v>
      </c>
      <c r="L52" s="28">
        <f t="shared" si="14"/>
        <v>1.4007561383444394E-2</v>
      </c>
      <c r="M52" s="28">
        <f t="shared" si="14"/>
        <v>1.4286075109299039E-2</v>
      </c>
      <c r="N52" s="28">
        <f t="shared" si="14"/>
        <v>1.4429859637719061E-2</v>
      </c>
      <c r="O52" s="28">
        <f t="shared" si="14"/>
        <v>1.4577608074186288E-2</v>
      </c>
      <c r="P52" s="28">
        <f t="shared" si="14"/>
        <v>1.4871774799917255E-2</v>
      </c>
      <c r="Q52" s="28">
        <f t="shared" si="14"/>
        <v>1.5123314373966834E-2</v>
      </c>
      <c r="R52" s="28">
        <f t="shared" si="14"/>
        <v>1.5218792553148319E-2</v>
      </c>
      <c r="S52" s="28">
        <f t="shared" si="14"/>
        <v>1.4614385063522554E-2</v>
      </c>
      <c r="T52" s="28">
        <f t="shared" si="14"/>
        <v>1.5049310081165945E-2</v>
      </c>
      <c r="U52" s="28">
        <f t="shared" si="14"/>
        <v>1.5400819201654545E-2</v>
      </c>
      <c r="V52" s="28">
        <f t="shared" si="14"/>
        <v>1.5735786851063062E-2</v>
      </c>
      <c r="W52" s="28">
        <f t="shared" si="14"/>
        <v>1.6107729388846862E-2</v>
      </c>
      <c r="X52" s="28">
        <f t="shared" si="14"/>
        <v>1.6601449364272783E-2</v>
      </c>
      <c r="Y52" s="28">
        <f t="shared" si="14"/>
        <v>1.7120008058823098E-2</v>
      </c>
      <c r="Z52" s="28">
        <f t="shared" si="14"/>
        <v>1.7675866086140329E-2</v>
      </c>
      <c r="AA52" s="28">
        <f t="shared" si="14"/>
        <v>1.8190035947877312E-2</v>
      </c>
      <c r="AB52" s="28">
        <f t="shared" si="14"/>
        <v>1.8766886485041417E-2</v>
      </c>
      <c r="AC52" s="28">
        <f t="shared" si="14"/>
        <v>1.9421175590150126E-2</v>
      </c>
      <c r="AD52" s="28">
        <f t="shared" si="14"/>
        <v>2.0062484927227259E-2</v>
      </c>
      <c r="AE52" s="28">
        <f t="shared" si="14"/>
        <v>2.0734146834697896E-2</v>
      </c>
      <c r="AF52" s="28">
        <f t="shared" si="14"/>
        <v>2.1425302881371316E-2</v>
      </c>
      <c r="AG52" s="28">
        <f t="shared" si="14"/>
        <v>2.2186421037140063E-2</v>
      </c>
      <c r="AH52" s="28">
        <f t="shared" si="14"/>
        <v>2.2886185015107467E-2</v>
      </c>
      <c r="AI52" s="28">
        <f t="shared" si="14"/>
        <v>2.3618263358455356E-2</v>
      </c>
      <c r="AJ52" s="28">
        <f t="shared" si="14"/>
        <v>2.436923543797731E-2</v>
      </c>
      <c r="AK52" s="28">
        <f t="shared" si="14"/>
        <v>2.5102810849256797E-2</v>
      </c>
      <c r="AL52" s="28">
        <f t="shared" si="14"/>
        <v>2.5843359175588099E-2</v>
      </c>
      <c r="AM52" s="28">
        <f t="shared" si="14"/>
        <v>2.6613531738472741E-2</v>
      </c>
      <c r="AN52" s="28">
        <f t="shared" si="14"/>
        <v>2.7414551016467576E-2</v>
      </c>
      <c r="AO52" s="28">
        <f t="shared" si="14"/>
        <v>2.8186512330964811E-2</v>
      </c>
      <c r="AP52" s="28">
        <f t="shared" si="14"/>
        <v>2.8974965391365567E-2</v>
      </c>
      <c r="AQ52" s="28">
        <f t="shared" si="14"/>
        <v>2.978127100159101E-2</v>
      </c>
      <c r="AR52" s="28">
        <f t="shared" si="14"/>
        <v>3.0639120708096691E-2</v>
      </c>
      <c r="AS52" s="28">
        <f t="shared" si="14"/>
        <v>3.1514289254596581E-2</v>
      </c>
      <c r="AT52" s="28">
        <f t="shared" si="14"/>
        <v>3.2082944332634006E-2</v>
      </c>
      <c r="AU52" s="28">
        <f t="shared" si="14"/>
        <v>3.2634463570425723E-2</v>
      </c>
      <c r="AV52" s="28">
        <f t="shared" si="14"/>
        <v>3.3234146365880395E-2</v>
      </c>
      <c r="AW52" s="28">
        <f t="shared" si="14"/>
        <v>3.3820590207555172E-2</v>
      </c>
      <c r="AY52" s="85"/>
    </row>
    <row r="53" spans="1:51" x14ac:dyDescent="0.25">
      <c r="A53" s="102" t="str">
        <f t="shared" si="0"/>
        <v>FS Poultry MMN2O</v>
      </c>
      <c r="B53" s="102" t="s">
        <v>1005</v>
      </c>
      <c r="C53" s="102" t="s">
        <v>1235</v>
      </c>
      <c r="D53" t="s">
        <v>15</v>
      </c>
      <c r="E53" t="s">
        <v>657</v>
      </c>
      <c r="F53" t="s">
        <v>28</v>
      </c>
      <c r="G53" t="s">
        <v>133</v>
      </c>
      <c r="H53" t="s">
        <v>1228</v>
      </c>
      <c r="I53" t="s">
        <v>139</v>
      </c>
      <c r="J53" t="s">
        <v>287</v>
      </c>
      <c r="K53" s="28">
        <f t="shared" si="7"/>
        <v>7.1378315429645331E-2</v>
      </c>
      <c r="L53" s="28">
        <f t="shared" si="14"/>
        <v>7.2703092291466473E-2</v>
      </c>
      <c r="M53" s="28">
        <f t="shared" si="14"/>
        <v>7.3570777666584833E-2</v>
      </c>
      <c r="N53" s="28">
        <f t="shared" si="14"/>
        <v>7.2616424942395619E-2</v>
      </c>
      <c r="O53" s="28">
        <f t="shared" si="14"/>
        <v>7.1690897160612388E-2</v>
      </c>
      <c r="P53" s="28">
        <f t="shared" si="14"/>
        <v>7.2608012917249581E-2</v>
      </c>
      <c r="Q53" s="28">
        <f t="shared" si="14"/>
        <v>7.2961403651452372E-2</v>
      </c>
      <c r="R53" s="28">
        <f t="shared" si="14"/>
        <v>7.1341238724427325E-2</v>
      </c>
      <c r="S53" s="28">
        <f t="shared" si="14"/>
        <v>6.1063412111028503E-2</v>
      </c>
      <c r="T53" s="28">
        <f t="shared" si="14"/>
        <v>6.4327230257843288E-2</v>
      </c>
      <c r="U53" s="28">
        <f t="shared" si="14"/>
        <v>6.6512272026982414E-2</v>
      </c>
      <c r="V53" s="28">
        <f t="shared" si="14"/>
        <v>6.8454495411956071E-2</v>
      </c>
      <c r="W53" s="28">
        <f t="shared" si="14"/>
        <v>7.0799908793239955E-2</v>
      </c>
      <c r="X53" s="28">
        <f t="shared" si="14"/>
        <v>7.4543127608603252E-2</v>
      </c>
      <c r="Y53" s="28">
        <f t="shared" si="14"/>
        <v>7.8729503829471928E-2</v>
      </c>
      <c r="Z53" s="28">
        <f t="shared" si="14"/>
        <v>8.3282057452745667E-2</v>
      </c>
      <c r="AA53" s="28">
        <f t="shared" si="14"/>
        <v>8.7279597566230077E-2</v>
      </c>
      <c r="AB53" s="28">
        <f t="shared" si="14"/>
        <v>9.1933815570422989E-2</v>
      </c>
      <c r="AC53" s="28">
        <f t="shared" si="14"/>
        <v>9.7398941298330002E-2</v>
      </c>
      <c r="AD53" s="28">
        <f t="shared" si="14"/>
        <v>0.10280958923979837</v>
      </c>
      <c r="AE53" s="28">
        <f t="shared" si="14"/>
        <v>0.10848503728274725</v>
      </c>
      <c r="AF53" s="28">
        <f t="shared" si="14"/>
        <v>0.11429972078980519</v>
      </c>
      <c r="AG53" s="28">
        <f t="shared" si="14"/>
        <v>0.12081079383964298</v>
      </c>
      <c r="AH53" s="28">
        <f t="shared" si="14"/>
        <v>0.12656066470471328</v>
      </c>
      <c r="AI53" s="28">
        <f t="shared" si="14"/>
        <v>0.13275137462979095</v>
      </c>
      <c r="AJ53" s="28">
        <f t="shared" si="14"/>
        <v>0.13907093558437875</v>
      </c>
      <c r="AK53" s="28">
        <f t="shared" si="14"/>
        <v>0.14512626198327211</v>
      </c>
      <c r="AL53" s="28">
        <f t="shared" si="14"/>
        <v>0.15118451043105</v>
      </c>
      <c r="AM53" s="28">
        <f t="shared" si="14"/>
        <v>0.15748785685420838</v>
      </c>
      <c r="AN53" s="28">
        <f t="shared" si="14"/>
        <v>0.16419488761888268</v>
      </c>
      <c r="AO53" s="28">
        <f t="shared" si="14"/>
        <v>0.17052191914024933</v>
      </c>
      <c r="AP53" s="28">
        <f t="shared" si="14"/>
        <v>0.17695332462474059</v>
      </c>
      <c r="AQ53" s="28">
        <f t="shared" si="14"/>
        <v>0.18350218786762987</v>
      </c>
      <c r="AR53" s="28">
        <f t="shared" si="14"/>
        <v>0.1905160276682408</v>
      </c>
      <c r="AS53" s="28">
        <f t="shared" si="14"/>
        <v>0.19778450323422284</v>
      </c>
      <c r="AT53" s="28">
        <f t="shared" si="14"/>
        <v>0.20184152861562438</v>
      </c>
      <c r="AU53" s="28">
        <f t="shared" si="14"/>
        <v>0.20568682385439491</v>
      </c>
      <c r="AV53" s="28">
        <f t="shared" si="14"/>
        <v>0.20998553182446936</v>
      </c>
      <c r="AW53" s="28">
        <f t="shared" si="14"/>
        <v>0.21411190639886218</v>
      </c>
      <c r="AY53" s="85"/>
    </row>
    <row r="54" spans="1:51" x14ac:dyDescent="0.25">
      <c r="A54" s="102" t="str">
        <f t="shared" si="0"/>
        <v>FS Synthetic</v>
      </c>
      <c r="B54" s="102" t="s">
        <v>1005</v>
      </c>
      <c r="C54" s="102" t="s">
        <v>1127</v>
      </c>
      <c r="D54" t="s">
        <v>369</v>
      </c>
      <c r="E54" t="s">
        <v>55</v>
      </c>
      <c r="H54" t="s">
        <v>419</v>
      </c>
      <c r="I54" t="s">
        <v>139</v>
      </c>
      <c r="J54" t="s">
        <v>287</v>
      </c>
      <c r="K54" s="22">
        <f>K1463</f>
        <v>6.6064812063358538</v>
      </c>
      <c r="L54" s="22">
        <f t="shared" ref="L54:AW61" si="15">L1463</f>
        <v>6.6056660352543144</v>
      </c>
      <c r="M54" s="22">
        <f t="shared" si="15"/>
        <v>6.6042995522505379</v>
      </c>
      <c r="N54" s="22">
        <f t="shared" si="15"/>
        <v>6.6031365898338095</v>
      </c>
      <c r="O54" s="22">
        <f t="shared" si="15"/>
        <v>6.6027560568732087</v>
      </c>
      <c r="P54" s="22">
        <f t="shared" si="15"/>
        <v>6.6023708971175274</v>
      </c>
      <c r="Q54" s="22">
        <f t="shared" si="15"/>
        <v>6.6011966991986881</v>
      </c>
      <c r="R54" s="22">
        <f t="shared" si="15"/>
        <v>6.6002765167075461</v>
      </c>
      <c r="S54" s="22">
        <f t="shared" si="15"/>
        <v>6.6002145648060502</v>
      </c>
      <c r="T54" s="22">
        <f t="shared" si="15"/>
        <v>6.6040420720172728</v>
      </c>
      <c r="U54" s="22">
        <f t="shared" si="15"/>
        <v>6.6019485697997204</v>
      </c>
      <c r="V54" s="22">
        <f t="shared" si="15"/>
        <v>6.6003652312909882</v>
      </c>
      <c r="W54" s="22">
        <f t="shared" si="15"/>
        <v>6.5989054673114653</v>
      </c>
      <c r="X54" s="22">
        <f t="shared" si="15"/>
        <v>6.5972835879321101</v>
      </c>
      <c r="Y54" s="22">
        <f t="shared" si="15"/>
        <v>6.5950794659321978</v>
      </c>
      <c r="Z54" s="22">
        <f t="shared" si="15"/>
        <v>6.5927714888243178</v>
      </c>
      <c r="AA54" s="22">
        <f t="shared" si="15"/>
        <v>6.5903551292141982</v>
      </c>
      <c r="AB54" s="22">
        <f t="shared" si="15"/>
        <v>6.5882075529961197</v>
      </c>
      <c r="AC54" s="22">
        <f t="shared" si="15"/>
        <v>6.5858383398788654</v>
      </c>
      <c r="AD54" s="22">
        <f t="shared" si="15"/>
        <v>6.5832049506454569</v>
      </c>
      <c r="AE54" s="22">
        <f t="shared" si="15"/>
        <v>6.5806825645343991</v>
      </c>
      <c r="AF54" s="22">
        <f t="shared" si="15"/>
        <v>6.5781181226611025</v>
      </c>
      <c r="AG54" s="22">
        <f t="shared" si="15"/>
        <v>6.5755610222279151</v>
      </c>
      <c r="AH54" s="22">
        <f t="shared" si="15"/>
        <v>6.5728213410220508</v>
      </c>
      <c r="AI54" s="22">
        <f t="shared" si="15"/>
        <v>6.5704025946446434</v>
      </c>
      <c r="AJ54" s="22">
        <f t="shared" si="15"/>
        <v>6.5679167627959911</v>
      </c>
      <c r="AK54" s="22">
        <f t="shared" si="15"/>
        <v>6.5654442966296829</v>
      </c>
      <c r="AL54" s="22">
        <f t="shared" si="15"/>
        <v>6.5631078462466625</v>
      </c>
      <c r="AM54" s="22">
        <f t="shared" si="15"/>
        <v>6.5608183818668682</v>
      </c>
      <c r="AN54" s="22">
        <f t="shared" si="15"/>
        <v>6.5585023260560664</v>
      </c>
      <c r="AO54" s="22">
        <f t="shared" si="15"/>
        <v>6.5561383844940604</v>
      </c>
      <c r="AP54" s="22">
        <f t="shared" si="15"/>
        <v>6.5539317250053788</v>
      </c>
      <c r="AQ54" s="22">
        <f t="shared" si="15"/>
        <v>6.5517393492300551</v>
      </c>
      <c r="AR54" s="22">
        <f t="shared" si="15"/>
        <v>6.5495579618392012</v>
      </c>
      <c r="AS54" s="22">
        <f t="shared" si="15"/>
        <v>6.5472963164045943</v>
      </c>
      <c r="AT54" s="22">
        <f t="shared" si="15"/>
        <v>6.5450342769214798</v>
      </c>
      <c r="AU54" s="22">
        <f t="shared" si="15"/>
        <v>6.5436308710087152</v>
      </c>
      <c r="AV54" s="22">
        <f t="shared" si="15"/>
        <v>6.5422967735758233</v>
      </c>
      <c r="AW54" s="22">
        <f t="shared" si="15"/>
        <v>6.5408646829531705</v>
      </c>
      <c r="AY54" s="85"/>
    </row>
    <row r="55" spans="1:51" x14ac:dyDescent="0.25">
      <c r="A55" s="102" t="str">
        <f t="shared" si="0"/>
        <v>FS Organic</v>
      </c>
      <c r="B55" s="102" t="s">
        <v>1005</v>
      </c>
      <c r="C55" s="102" t="s">
        <v>1128</v>
      </c>
      <c r="D55" t="s">
        <v>369</v>
      </c>
      <c r="E55" t="s">
        <v>55</v>
      </c>
      <c r="H55" t="s">
        <v>420</v>
      </c>
      <c r="I55" t="s">
        <v>139</v>
      </c>
      <c r="J55" t="s">
        <v>287</v>
      </c>
      <c r="K55" s="22">
        <f t="shared" ref="K55:Z118" si="16">K1464</f>
        <v>4.3602775961816637E-2</v>
      </c>
      <c r="L55" s="22">
        <f t="shared" si="16"/>
        <v>4.3597395832678479E-2</v>
      </c>
      <c r="M55" s="22">
        <f t="shared" si="16"/>
        <v>4.3588377044853563E-2</v>
      </c>
      <c r="N55" s="22">
        <f t="shared" si="16"/>
        <v>4.3580701492903162E-2</v>
      </c>
      <c r="O55" s="22">
        <f t="shared" si="16"/>
        <v>4.3578189975363169E-2</v>
      </c>
      <c r="P55" s="22">
        <f t="shared" si="16"/>
        <v>4.3575647920975694E-2</v>
      </c>
      <c r="Q55" s="22">
        <f t="shared" si="16"/>
        <v>4.3567898214711354E-2</v>
      </c>
      <c r="R55" s="22">
        <f t="shared" si="16"/>
        <v>4.3561825010269811E-2</v>
      </c>
      <c r="S55" s="22">
        <f t="shared" si="16"/>
        <v>4.3561416127719944E-2</v>
      </c>
      <c r="T55" s="22">
        <f t="shared" si="16"/>
        <v>4.358667767531401E-2</v>
      </c>
      <c r="U55" s="22">
        <f t="shared" si="16"/>
        <v>4.3572860560678155E-2</v>
      </c>
      <c r="V55" s="22">
        <f t="shared" si="16"/>
        <v>4.3562410526520524E-2</v>
      </c>
      <c r="W55" s="22">
        <f t="shared" si="16"/>
        <v>4.3552776084255673E-2</v>
      </c>
      <c r="X55" s="22">
        <f t="shared" si="16"/>
        <v>4.3542071680351936E-2</v>
      </c>
      <c r="Y55" s="22">
        <f t="shared" si="16"/>
        <v>4.3527524475152499E-2</v>
      </c>
      <c r="Z55" s="22">
        <f t="shared" si="16"/>
        <v>4.3512291826240515E-2</v>
      </c>
      <c r="AA55" s="22">
        <f t="shared" si="15"/>
        <v>4.3496343852813708E-2</v>
      </c>
      <c r="AB55" s="22">
        <f t="shared" si="15"/>
        <v>4.3482169849774405E-2</v>
      </c>
      <c r="AC55" s="22">
        <f t="shared" si="15"/>
        <v>4.3466533043200514E-2</v>
      </c>
      <c r="AD55" s="22">
        <f t="shared" si="15"/>
        <v>4.3449152674260021E-2</v>
      </c>
      <c r="AE55" s="22">
        <f t="shared" si="15"/>
        <v>4.3432504925927033E-2</v>
      </c>
      <c r="AF55" s="22">
        <f t="shared" si="15"/>
        <v>4.3415579609563271E-2</v>
      </c>
      <c r="AG55" s="22">
        <f t="shared" si="15"/>
        <v>4.3398702746704231E-2</v>
      </c>
      <c r="AH55" s="22">
        <f t="shared" si="15"/>
        <v>4.3380620850745545E-2</v>
      </c>
      <c r="AI55" s="22">
        <f t="shared" si="15"/>
        <v>4.3364657124654649E-2</v>
      </c>
      <c r="AJ55" s="22">
        <f t="shared" si="15"/>
        <v>4.3348250634453557E-2</v>
      </c>
      <c r="AK55" s="22">
        <f t="shared" si="15"/>
        <v>4.3331932357755919E-2</v>
      </c>
      <c r="AL55" s="22">
        <f t="shared" si="15"/>
        <v>4.3316511785227982E-2</v>
      </c>
      <c r="AM55" s="22">
        <f t="shared" si="15"/>
        <v>4.3301401320321335E-2</v>
      </c>
      <c r="AN55" s="22">
        <f t="shared" si="15"/>
        <v>4.328611535197005E-2</v>
      </c>
      <c r="AO55" s="22">
        <f t="shared" si="15"/>
        <v>4.3270513337660813E-2</v>
      </c>
      <c r="AP55" s="22">
        <f t="shared" si="15"/>
        <v>4.3255949385035505E-2</v>
      </c>
      <c r="AQ55" s="22">
        <f t="shared" si="15"/>
        <v>4.3241479704918373E-2</v>
      </c>
      <c r="AR55" s="22">
        <f t="shared" si="15"/>
        <v>4.3227082548138743E-2</v>
      </c>
      <c r="AS55" s="22">
        <f t="shared" si="15"/>
        <v>4.3212155688270325E-2</v>
      </c>
      <c r="AT55" s="22">
        <f t="shared" si="15"/>
        <v>4.3197226227681768E-2</v>
      </c>
      <c r="AU55" s="22">
        <f t="shared" si="15"/>
        <v>4.3187963748657528E-2</v>
      </c>
      <c r="AV55" s="22">
        <f t="shared" si="15"/>
        <v>4.3179158705600441E-2</v>
      </c>
      <c r="AW55" s="22">
        <f t="shared" si="15"/>
        <v>4.3169706907490939E-2</v>
      </c>
      <c r="AY55" s="85"/>
    </row>
    <row r="56" spans="1:51" x14ac:dyDescent="0.25">
      <c r="A56" s="102" t="str">
        <f t="shared" si="0"/>
        <v>FS Crop residues</v>
      </c>
      <c r="B56" s="102" t="s">
        <v>1005</v>
      </c>
      <c r="C56" s="102" t="s">
        <v>58</v>
      </c>
      <c r="D56" t="s">
        <v>369</v>
      </c>
      <c r="E56" t="s">
        <v>55</v>
      </c>
      <c r="H56" t="s">
        <v>58</v>
      </c>
      <c r="I56" t="s">
        <v>139</v>
      </c>
      <c r="J56" t="s">
        <v>287</v>
      </c>
      <c r="K56" s="22">
        <f t="shared" si="16"/>
        <v>2.94930909510781</v>
      </c>
      <c r="L56" s="22">
        <f t="shared" si="15"/>
        <v>2.9553948259346963</v>
      </c>
      <c r="M56" s="22">
        <f t="shared" si="15"/>
        <v>2.9655964240149095</v>
      </c>
      <c r="N56" s="22">
        <f t="shared" si="15"/>
        <v>2.9742786213968655</v>
      </c>
      <c r="O56" s="22">
        <f t="shared" si="15"/>
        <v>2.9771195234129291</v>
      </c>
      <c r="P56" s="22">
        <f t="shared" si="15"/>
        <v>2.9799949671713049</v>
      </c>
      <c r="Q56" s="22">
        <f t="shared" si="15"/>
        <v>2.9887610441744785</v>
      </c>
      <c r="R56" s="22">
        <f t="shared" si="15"/>
        <v>2.9956307468412153</v>
      </c>
      <c r="S56" s="22">
        <f t="shared" si="15"/>
        <v>2.9960932541666816</v>
      </c>
      <c r="T56" s="22">
        <f t="shared" si="15"/>
        <v>2.9675186651595986</v>
      </c>
      <c r="U56" s="22">
        <f t="shared" si="15"/>
        <v>2.9831478886073279</v>
      </c>
      <c r="V56" s="22">
        <f t="shared" si="15"/>
        <v>2.9949684403788361</v>
      </c>
      <c r="W56" s="22">
        <f t="shared" si="15"/>
        <v>3.0058664357215821</v>
      </c>
      <c r="X56" s="22">
        <f t="shared" si="15"/>
        <v>3.0179747177251275</v>
      </c>
      <c r="Y56" s="22">
        <f t="shared" si="15"/>
        <v>3.0344297828088291</v>
      </c>
      <c r="Z56" s="22">
        <f t="shared" si="15"/>
        <v>3.051660187261632</v>
      </c>
      <c r="AA56" s="22">
        <f t="shared" si="15"/>
        <v>3.0696997307404872</v>
      </c>
      <c r="AB56" s="22">
        <f t="shared" si="15"/>
        <v>3.0857326483566894</v>
      </c>
      <c r="AC56" s="22">
        <f t="shared" si="15"/>
        <v>3.1034202155798769</v>
      </c>
      <c r="AD56" s="22">
        <f t="shared" si="15"/>
        <v>3.1230800126456195</v>
      </c>
      <c r="AE56" s="22">
        <f t="shared" si="15"/>
        <v>3.1419111062172522</v>
      </c>
      <c r="AF56" s="22">
        <f t="shared" si="15"/>
        <v>3.1610561707509404</v>
      </c>
      <c r="AG56" s="22">
        <f t="shared" si="15"/>
        <v>3.1801464271230016</v>
      </c>
      <c r="AH56" s="22">
        <f t="shared" si="15"/>
        <v>3.2005997561822985</v>
      </c>
      <c r="AI56" s="22">
        <f t="shared" si="15"/>
        <v>3.2186571182805661</v>
      </c>
      <c r="AJ56" s="22">
        <f t="shared" si="15"/>
        <v>3.2372153128171188</v>
      </c>
      <c r="AK56" s="22">
        <f t="shared" si="15"/>
        <v>3.2556737246860838</v>
      </c>
      <c r="AL56" s="22">
        <f t="shared" si="15"/>
        <v>3.2731166988585363</v>
      </c>
      <c r="AM56" s="22">
        <f t="shared" si="15"/>
        <v>3.2902088949247208</v>
      </c>
      <c r="AN56" s="22">
        <f t="shared" si="15"/>
        <v>3.3074996116389994</v>
      </c>
      <c r="AO56" s="22">
        <f t="shared" si="15"/>
        <v>3.3251478236065783</v>
      </c>
      <c r="AP56" s="22">
        <f t="shared" si="15"/>
        <v>3.3416218325340545</v>
      </c>
      <c r="AQ56" s="22">
        <f t="shared" si="15"/>
        <v>3.3579892051532951</v>
      </c>
      <c r="AR56" s="22">
        <f t="shared" si="15"/>
        <v>3.3742745430296259</v>
      </c>
      <c r="AS56" s="22">
        <f t="shared" si="15"/>
        <v>3.391159054333535</v>
      </c>
      <c r="AT56" s="22">
        <f t="shared" si="15"/>
        <v>3.4080465074409378</v>
      </c>
      <c r="AU56" s="22">
        <f t="shared" si="15"/>
        <v>3.4185237567194666</v>
      </c>
      <c r="AV56" s="22">
        <f t="shared" si="15"/>
        <v>3.4284835774948501</v>
      </c>
      <c r="AW56" s="22">
        <f t="shared" si="15"/>
        <v>3.439174974977584</v>
      </c>
      <c r="AY56" s="85"/>
    </row>
    <row r="57" spans="1:51" x14ac:dyDescent="0.25">
      <c r="A57" s="102" t="str">
        <f t="shared" si="0"/>
        <v>FS Organic</v>
      </c>
      <c r="B57" s="102" t="s">
        <v>1005</v>
      </c>
      <c r="C57" s="102" t="s">
        <v>1128</v>
      </c>
      <c r="D57" t="s">
        <v>369</v>
      </c>
      <c r="E57" t="s">
        <v>55</v>
      </c>
      <c r="F57" t="s">
        <v>421</v>
      </c>
      <c r="G57" t="s">
        <v>1153</v>
      </c>
      <c r="H57" t="s">
        <v>1154</v>
      </c>
      <c r="I57" t="s">
        <v>139</v>
      </c>
      <c r="J57" t="s">
        <v>287</v>
      </c>
      <c r="K57" s="22">
        <f t="shared" si="16"/>
        <v>0.31910516055557447</v>
      </c>
      <c r="L57" s="22">
        <f t="shared" si="15"/>
        <v>0.32125977651579962</v>
      </c>
      <c r="M57" s="22">
        <f t="shared" si="15"/>
        <v>0.32314451970240549</v>
      </c>
      <c r="N57" s="22">
        <f t="shared" si="15"/>
        <v>0.32338831518425315</v>
      </c>
      <c r="O57" s="22">
        <f t="shared" si="15"/>
        <v>0.32380822899810918</v>
      </c>
      <c r="P57" s="22">
        <f t="shared" si="15"/>
        <v>0.32621761700786678</v>
      </c>
      <c r="Q57" s="22">
        <f t="shared" si="15"/>
        <v>0.32814424518292917</v>
      </c>
      <c r="R57" s="22">
        <f t="shared" si="15"/>
        <v>0.32816113797461788</v>
      </c>
      <c r="S57" s="22">
        <f t="shared" si="15"/>
        <v>0.31946691799605059</v>
      </c>
      <c r="T57" s="22">
        <f t="shared" si="15"/>
        <v>0.32366704753421133</v>
      </c>
      <c r="U57" s="22">
        <f t="shared" si="15"/>
        <v>0.32684647343041223</v>
      </c>
      <c r="V57" s="22">
        <f t="shared" si="15"/>
        <v>0.32984618652559566</v>
      </c>
      <c r="W57" s="22">
        <f t="shared" si="15"/>
        <v>0.33332444228182462</v>
      </c>
      <c r="X57" s="22">
        <f t="shared" si="15"/>
        <v>0.33830825606612447</v>
      </c>
      <c r="Y57" s="22">
        <f t="shared" si="15"/>
        <v>0.34349698611877544</v>
      </c>
      <c r="Z57" s="22">
        <f t="shared" si="15"/>
        <v>0.34913311823129872</v>
      </c>
      <c r="AA57" s="22">
        <f t="shared" si="15"/>
        <v>0.3542586043658163</v>
      </c>
      <c r="AB57" s="22">
        <f t="shared" si="15"/>
        <v>0.36013116096519615</v>
      </c>
      <c r="AC57" s="22">
        <f t="shared" si="15"/>
        <v>0.36691641068568986</v>
      </c>
      <c r="AD57" s="22">
        <f t="shared" si="15"/>
        <v>0.3734489276960708</v>
      </c>
      <c r="AE57" s="22">
        <f t="shared" si="15"/>
        <v>0.38032201074224209</v>
      </c>
      <c r="AF57" s="22">
        <f t="shared" si="15"/>
        <v>0.3874035589263955</v>
      </c>
      <c r="AG57" s="22">
        <f t="shared" si="15"/>
        <v>0.39528331644509546</v>
      </c>
      <c r="AH57" s="22">
        <f t="shared" si="15"/>
        <v>0.402417436180809</v>
      </c>
      <c r="AI57" s="22">
        <f t="shared" si="15"/>
        <v>0.40983057953506236</v>
      </c>
      <c r="AJ57" s="22">
        <f t="shared" si="15"/>
        <v>0.41743748809199982</v>
      </c>
      <c r="AK57" s="22">
        <f t="shared" si="15"/>
        <v>0.42481700614270618</v>
      </c>
      <c r="AL57" s="22">
        <f t="shared" si="15"/>
        <v>0.4322524543038212</v>
      </c>
      <c r="AM57" s="22">
        <f t="shared" si="15"/>
        <v>0.44000331272539195</v>
      </c>
      <c r="AN57" s="22">
        <f t="shared" si="15"/>
        <v>0.44801081079437804</v>
      </c>
      <c r="AO57" s="22">
        <f t="shared" si="15"/>
        <v>0.45565879156165573</v>
      </c>
      <c r="AP57" s="22">
        <f t="shared" si="15"/>
        <v>0.46346832830199552</v>
      </c>
      <c r="AQ57" s="22">
        <f t="shared" si="15"/>
        <v>0.47145349561124583</v>
      </c>
      <c r="AR57" s="22">
        <f t="shared" si="15"/>
        <v>0.47999285299993844</v>
      </c>
      <c r="AS57" s="22">
        <f t="shared" si="15"/>
        <v>0.4886261928960397</v>
      </c>
      <c r="AT57" s="22">
        <f t="shared" si="15"/>
        <v>0.49379335063722096</v>
      </c>
      <c r="AU57" s="22">
        <f t="shared" si="15"/>
        <v>0.4987597531133639</v>
      </c>
      <c r="AV57" s="22">
        <f t="shared" si="15"/>
        <v>0.5042544828247203</v>
      </c>
      <c r="AW57" s="22">
        <f t="shared" si="15"/>
        <v>0.50959085302689011</v>
      </c>
      <c r="AY57" s="85"/>
    </row>
    <row r="58" spans="1:51" x14ac:dyDescent="0.25">
      <c r="A58" s="102" t="str">
        <f t="shared" si="0"/>
        <v>FS Organic</v>
      </c>
      <c r="B58" s="102" t="s">
        <v>1005</v>
      </c>
      <c r="C58" s="102" t="s">
        <v>1128</v>
      </c>
      <c r="D58" t="s">
        <v>369</v>
      </c>
      <c r="E58" t="s">
        <v>55</v>
      </c>
      <c r="F58" t="s">
        <v>421</v>
      </c>
      <c r="G58" t="s">
        <v>1155</v>
      </c>
      <c r="H58" t="s">
        <v>1156</v>
      </c>
      <c r="I58" t="s">
        <v>139</v>
      </c>
      <c r="J58" t="s">
        <v>287</v>
      </c>
      <c r="K58" s="22">
        <f t="shared" si="16"/>
        <v>0.93305416014115006</v>
      </c>
      <c r="L58" s="22">
        <f t="shared" si="15"/>
        <v>0.93935419421673338</v>
      </c>
      <c r="M58" s="22">
        <f t="shared" si="15"/>
        <v>0.94486512819222468</v>
      </c>
      <c r="N58" s="22">
        <f t="shared" si="15"/>
        <v>0.94557797905356933</v>
      </c>
      <c r="O58" s="22">
        <f t="shared" si="15"/>
        <v>0.94680579476873028</v>
      </c>
      <c r="P58" s="22">
        <f t="shared" si="15"/>
        <v>0.9538507748686591</v>
      </c>
      <c r="Q58" s="22">
        <f t="shared" si="15"/>
        <v>0.95948417932585228</v>
      </c>
      <c r="R58" s="22">
        <f t="shared" si="15"/>
        <v>0.95953357335487388</v>
      </c>
      <c r="S58" s="22">
        <f t="shared" si="15"/>
        <v>0.9341119283208017</v>
      </c>
      <c r="T58" s="22">
        <f t="shared" si="15"/>
        <v>0.94639298429585894</v>
      </c>
      <c r="U58" s="22">
        <f t="shared" si="15"/>
        <v>0.95568953266300471</v>
      </c>
      <c r="V58" s="22">
        <f t="shared" si="15"/>
        <v>0.96446060605403905</v>
      </c>
      <c r="W58" s="22">
        <f t="shared" si="15"/>
        <v>0.97463092419535036</v>
      </c>
      <c r="X58" s="22">
        <f t="shared" si="15"/>
        <v>0.98920344999441168</v>
      </c>
      <c r="Y58" s="22">
        <f t="shared" si="15"/>
        <v>1.0043751449712224</v>
      </c>
      <c r="Z58" s="22">
        <f t="shared" si="15"/>
        <v>1.0208550304909023</v>
      </c>
      <c r="AA58" s="22">
        <f t="shared" si="15"/>
        <v>1.0358418021000837</v>
      </c>
      <c r="AB58" s="22">
        <f t="shared" si="15"/>
        <v>1.0530129859072517</v>
      </c>
      <c r="AC58" s="22">
        <f t="shared" si="15"/>
        <v>1.0728528577171612</v>
      </c>
      <c r="AD58" s="22">
        <f t="shared" si="15"/>
        <v>1.0919537464715672</v>
      </c>
      <c r="AE58" s="22">
        <f t="shared" si="15"/>
        <v>1.1120504403578721</v>
      </c>
      <c r="AF58" s="22">
        <f t="shared" si="15"/>
        <v>1.1327566802129738</v>
      </c>
      <c r="AG58" s="22">
        <f t="shared" si="15"/>
        <v>1.1557968608259288</v>
      </c>
      <c r="AH58" s="22">
        <f t="shared" si="15"/>
        <v>1.1766568183608164</v>
      </c>
      <c r="AI58" s="22">
        <f t="shared" si="15"/>
        <v>1.1983326327988097</v>
      </c>
      <c r="AJ58" s="22">
        <f t="shared" si="15"/>
        <v>1.2205750110245537</v>
      </c>
      <c r="AK58" s="22">
        <f t="shared" si="15"/>
        <v>1.2421525060580416</v>
      </c>
      <c r="AL58" s="22">
        <f t="shared" si="15"/>
        <v>1.2638935390991974</v>
      </c>
      <c r="AM58" s="22">
        <f t="shared" si="15"/>
        <v>1.2865568225206274</v>
      </c>
      <c r="AN58" s="22">
        <f t="shared" si="15"/>
        <v>1.3099705127680101</v>
      </c>
      <c r="AO58" s="22">
        <f t="shared" si="15"/>
        <v>1.3323329849360066</v>
      </c>
      <c r="AP58" s="22">
        <f t="shared" si="15"/>
        <v>1.3551678420460032</v>
      </c>
      <c r="AQ58" s="22">
        <f t="shared" si="15"/>
        <v>1.3785162378047791</v>
      </c>
      <c r="AR58" s="22">
        <f t="shared" si="15"/>
        <v>1.4034850691536036</v>
      </c>
      <c r="AS58" s="22">
        <f t="shared" si="15"/>
        <v>1.4287287026064286</v>
      </c>
      <c r="AT58" s="22">
        <f t="shared" si="15"/>
        <v>1.4438373207751876</v>
      </c>
      <c r="AU58" s="22">
        <f t="shared" si="15"/>
        <v>1.4583589364182332</v>
      </c>
      <c r="AV58" s="22">
        <f t="shared" si="15"/>
        <v>1.4744253654509265</v>
      </c>
      <c r="AW58" s="22">
        <f t="shared" si="15"/>
        <v>1.490028755908539</v>
      </c>
      <c r="AY58" s="85"/>
    </row>
    <row r="59" spans="1:51" x14ac:dyDescent="0.25">
      <c r="A59" s="102" t="str">
        <f t="shared" si="0"/>
        <v>FS Organic</v>
      </c>
      <c r="B59" s="102" t="s">
        <v>1005</v>
      </c>
      <c r="C59" s="102" t="s">
        <v>1128</v>
      </c>
      <c r="D59" t="s">
        <v>369</v>
      </c>
      <c r="E59" t="s">
        <v>55</v>
      </c>
      <c r="F59" t="s">
        <v>421</v>
      </c>
      <c r="G59" t="s">
        <v>1157</v>
      </c>
      <c r="H59" t="s">
        <v>1158</v>
      </c>
      <c r="I59" t="s">
        <v>139</v>
      </c>
      <c r="J59" t="s">
        <v>287</v>
      </c>
      <c r="K59" s="22">
        <f t="shared" si="16"/>
        <v>4.9913136648560473E-2</v>
      </c>
      <c r="L59" s="22">
        <f t="shared" si="15"/>
        <v>5.0250152949583772E-2</v>
      </c>
      <c r="M59" s="22">
        <f t="shared" si="15"/>
        <v>5.0544956844502678E-2</v>
      </c>
      <c r="N59" s="22">
        <f t="shared" si="15"/>
        <v>5.0583090346256708E-2</v>
      </c>
      <c r="O59" s="22">
        <f t="shared" si="15"/>
        <v>5.0648771564119566E-2</v>
      </c>
      <c r="P59" s="22">
        <f t="shared" si="15"/>
        <v>5.1025638277152528E-2</v>
      </c>
      <c r="Q59" s="22">
        <f t="shared" si="15"/>
        <v>5.1326993652306703E-2</v>
      </c>
      <c r="R59" s="22">
        <f t="shared" si="15"/>
        <v>5.1329635954356786E-2</v>
      </c>
      <c r="S59" s="22">
        <f t="shared" si="15"/>
        <v>4.9969721282067128E-2</v>
      </c>
      <c r="T59" s="22">
        <f t="shared" si="15"/>
        <v>5.0626688531405499E-2</v>
      </c>
      <c r="U59" s="22">
        <f t="shared" si="15"/>
        <v>5.1124001451524841E-2</v>
      </c>
      <c r="V59" s="22">
        <f t="shared" si="15"/>
        <v>5.1593204423252687E-2</v>
      </c>
      <c r="W59" s="22">
        <f t="shared" si="15"/>
        <v>5.2137259099639094E-2</v>
      </c>
      <c r="X59" s="22">
        <f t="shared" si="15"/>
        <v>5.2916807064371608E-2</v>
      </c>
      <c r="Y59" s="22">
        <f t="shared" si="15"/>
        <v>5.3728407201766935E-2</v>
      </c>
      <c r="Z59" s="22">
        <f t="shared" si="15"/>
        <v>5.4609988157123229E-2</v>
      </c>
      <c r="AA59" s="22">
        <f t="shared" si="15"/>
        <v>5.5411695937019619E-2</v>
      </c>
      <c r="AB59" s="22">
        <f t="shared" si="15"/>
        <v>5.6330257452950339E-2</v>
      </c>
      <c r="AC59" s="22">
        <f t="shared" si="15"/>
        <v>5.7391578729936159E-2</v>
      </c>
      <c r="AD59" s="22">
        <f t="shared" si="15"/>
        <v>5.8413368580123831E-2</v>
      </c>
      <c r="AE59" s="22">
        <f t="shared" si="15"/>
        <v>5.9488428390134962E-2</v>
      </c>
      <c r="AF59" s="22">
        <f t="shared" si="15"/>
        <v>6.0596095472621583E-2</v>
      </c>
      <c r="AG59" s="22">
        <f t="shared" si="15"/>
        <v>6.1828615225995781E-2</v>
      </c>
      <c r="AH59" s="22">
        <f t="shared" si="15"/>
        <v>6.2944505337631407E-2</v>
      </c>
      <c r="AI59" s="22">
        <f t="shared" si="15"/>
        <v>6.4104039193467549E-2</v>
      </c>
      <c r="AJ59" s="22">
        <f t="shared" si="15"/>
        <v>6.5293881017443309E-2</v>
      </c>
      <c r="AK59" s="22">
        <f t="shared" si="15"/>
        <v>6.6448155339501103E-2</v>
      </c>
      <c r="AL59" s="22">
        <f t="shared" si="15"/>
        <v>6.7611178022878776E-2</v>
      </c>
      <c r="AM59" s="22">
        <f t="shared" si="15"/>
        <v>6.8823535901598024E-2</v>
      </c>
      <c r="AN59" s="22">
        <f t="shared" si="15"/>
        <v>7.0076036314422829E-2</v>
      </c>
      <c r="AO59" s="22">
        <f t="shared" si="15"/>
        <v>7.1272302487173145E-2</v>
      </c>
      <c r="AP59" s="22">
        <f t="shared" si="15"/>
        <v>7.2493838590832138E-2</v>
      </c>
      <c r="AQ59" s="22">
        <f t="shared" si="15"/>
        <v>7.3742846116671951E-2</v>
      </c>
      <c r="AR59" s="22">
        <f t="shared" si="15"/>
        <v>7.507853780993895E-2</v>
      </c>
      <c r="AS59" s="22">
        <f t="shared" si="15"/>
        <v>7.6428929866329778E-2</v>
      </c>
      <c r="AT59" s="22">
        <f t="shared" si="15"/>
        <v>7.7237155750145656E-2</v>
      </c>
      <c r="AU59" s="22">
        <f t="shared" si="15"/>
        <v>7.8013980308582434E-2</v>
      </c>
      <c r="AV59" s="22">
        <f t="shared" si="15"/>
        <v>7.8873443673111984E-2</v>
      </c>
      <c r="AW59" s="22">
        <f t="shared" si="15"/>
        <v>7.970813708466469E-2</v>
      </c>
      <c r="AY59" s="85"/>
    </row>
    <row r="60" spans="1:51" x14ac:dyDescent="0.25">
      <c r="A60" s="102" t="str">
        <f t="shared" si="0"/>
        <v>FS Organic</v>
      </c>
      <c r="B60" s="102" t="s">
        <v>1005</v>
      </c>
      <c r="C60" s="102" t="s">
        <v>1128</v>
      </c>
      <c r="D60" t="s">
        <v>369</v>
      </c>
      <c r="E60" t="s">
        <v>55</v>
      </c>
      <c r="F60" t="s">
        <v>421</v>
      </c>
      <c r="G60" t="s">
        <v>1159</v>
      </c>
      <c r="H60" t="s">
        <v>1160</v>
      </c>
      <c r="I60" t="s">
        <v>139</v>
      </c>
      <c r="J60" t="s">
        <v>287</v>
      </c>
      <c r="K60" s="22">
        <f t="shared" si="16"/>
        <v>0.40197336823107255</v>
      </c>
      <c r="L60" s="22">
        <f t="shared" si="15"/>
        <v>0.39992683453201888</v>
      </c>
      <c r="M60" s="22">
        <f t="shared" si="15"/>
        <v>0.39619153570803745</v>
      </c>
      <c r="N60" s="22">
        <f t="shared" si="15"/>
        <v>0.38596696743557218</v>
      </c>
      <c r="O60" s="22">
        <f t="shared" si="15"/>
        <v>0.37615042112991043</v>
      </c>
      <c r="P60" s="22">
        <f t="shared" si="15"/>
        <v>0.37293713836150383</v>
      </c>
      <c r="Q60" s="22">
        <f t="shared" si="15"/>
        <v>0.36774734482056881</v>
      </c>
      <c r="R60" s="22">
        <f t="shared" si="15"/>
        <v>0.35608688957109119</v>
      </c>
      <c r="S60" s="22">
        <f t="shared" si="15"/>
        <v>0.31696486473191704</v>
      </c>
      <c r="T60" s="22">
        <f t="shared" si="15"/>
        <v>0.32470985028067645</v>
      </c>
      <c r="U60" s="22">
        <f t="shared" si="15"/>
        <v>0.32889312054031467</v>
      </c>
      <c r="V60" s="22">
        <f t="shared" si="15"/>
        <v>0.33221809700085297</v>
      </c>
      <c r="W60" s="22">
        <f t="shared" si="15"/>
        <v>0.33668665148563554</v>
      </c>
      <c r="X60" s="22">
        <f t="shared" si="15"/>
        <v>0.34526566414363768</v>
      </c>
      <c r="Y60" s="22">
        <f t="shared" si="15"/>
        <v>0.3546551951018343</v>
      </c>
      <c r="Z60" s="22">
        <f t="shared" si="15"/>
        <v>0.36488607427670622</v>
      </c>
      <c r="AA60" s="22">
        <f t="shared" si="15"/>
        <v>0.37322811475659617</v>
      </c>
      <c r="AB60" s="22">
        <f t="shared" si="15"/>
        <v>0.38324164621633577</v>
      </c>
      <c r="AC60" s="22">
        <f t="shared" si="15"/>
        <v>0.39530317301942447</v>
      </c>
      <c r="AD60" s="22">
        <f t="shared" si="15"/>
        <v>0.40324844631367707</v>
      </c>
      <c r="AE60" s="22">
        <f t="shared" si="15"/>
        <v>0.41136426834445033</v>
      </c>
      <c r="AF60" s="22">
        <f t="shared" si="15"/>
        <v>0.41927237917692112</v>
      </c>
      <c r="AG60" s="22">
        <f t="shared" si="15"/>
        <v>0.428421433457634</v>
      </c>
      <c r="AH60" s="22">
        <f t="shared" si="15"/>
        <v>0.43494110190191582</v>
      </c>
      <c r="AI60" s="22">
        <f t="shared" si="15"/>
        <v>0.44180947123061814</v>
      </c>
      <c r="AJ60" s="22">
        <f t="shared" si="15"/>
        <v>0.4483818832498262</v>
      </c>
      <c r="AK60" s="22">
        <f t="shared" si="15"/>
        <v>0.45369176487192819</v>
      </c>
      <c r="AL60" s="22">
        <f t="shared" si="15"/>
        <v>0.45841729176886709</v>
      </c>
      <c r="AM60" s="22">
        <f t="shared" si="15"/>
        <v>0.46312160165358524</v>
      </c>
      <c r="AN60" s="22">
        <f t="shared" si="15"/>
        <v>0.47036226337760684</v>
      </c>
      <c r="AO60" s="22">
        <f t="shared" si="15"/>
        <v>0.47625895476630487</v>
      </c>
      <c r="AP60" s="22">
        <f t="shared" si="15"/>
        <v>0.48192117394918943</v>
      </c>
      <c r="AQ60" s="22">
        <f t="shared" si="15"/>
        <v>0.48736750310542487</v>
      </c>
      <c r="AR60" s="22">
        <f t="shared" si="15"/>
        <v>0.49331923171164554</v>
      </c>
      <c r="AS60" s="22">
        <f t="shared" si="15"/>
        <v>0.49914888511282934</v>
      </c>
      <c r="AT60" s="22">
        <f t="shared" si="15"/>
        <v>0.49794780494726931</v>
      </c>
      <c r="AU60" s="22">
        <f t="shared" si="15"/>
        <v>0.49606316174761622</v>
      </c>
      <c r="AV60" s="22">
        <f t="shared" si="15"/>
        <v>0.49481743932732059</v>
      </c>
      <c r="AW60" s="22">
        <f t="shared" si="15"/>
        <v>0.49296371491806151</v>
      </c>
      <c r="AY60" s="85"/>
    </row>
    <row r="61" spans="1:51" x14ac:dyDescent="0.25">
      <c r="A61" s="102" t="str">
        <f t="shared" si="0"/>
        <v>FS Organic</v>
      </c>
      <c r="B61" s="102" t="s">
        <v>1005</v>
      </c>
      <c r="C61" s="102" t="s">
        <v>1128</v>
      </c>
      <c r="D61" t="s">
        <v>369</v>
      </c>
      <c r="E61" t="s">
        <v>55</v>
      </c>
      <c r="F61" t="s">
        <v>421</v>
      </c>
      <c r="G61" t="s">
        <v>1161</v>
      </c>
      <c r="H61" t="s">
        <v>1162</v>
      </c>
      <c r="I61" t="s">
        <v>139</v>
      </c>
      <c r="J61" t="s">
        <v>287</v>
      </c>
      <c r="K61" s="22">
        <f t="shared" si="16"/>
        <v>2.6734246327620794</v>
      </c>
      <c r="L61" s="22">
        <f t="shared" si="15"/>
        <v>2.6598136474699339</v>
      </c>
      <c r="M61" s="22">
        <f t="shared" si="15"/>
        <v>2.6349711064560761</v>
      </c>
      <c r="N61" s="22">
        <f t="shared" si="15"/>
        <v>2.5669700525572687</v>
      </c>
      <c r="O61" s="22">
        <f t="shared" si="15"/>
        <v>2.5016826510120014</v>
      </c>
      <c r="P61" s="22">
        <f t="shared" ref="L61:AW67" si="17">P1470</f>
        <v>2.4803119086096084</v>
      </c>
      <c r="Q61" s="22">
        <f t="shared" si="17"/>
        <v>2.4457958859379039</v>
      </c>
      <c r="R61" s="22">
        <f t="shared" si="17"/>
        <v>2.3682451058194229</v>
      </c>
      <c r="S61" s="22">
        <f t="shared" si="17"/>
        <v>2.1080542743998265</v>
      </c>
      <c r="T61" s="22">
        <f t="shared" si="17"/>
        <v>2.1595642419321464</v>
      </c>
      <c r="U61" s="22">
        <f t="shared" si="17"/>
        <v>2.1873861292547638</v>
      </c>
      <c r="V61" s="22">
        <f t="shared" si="17"/>
        <v>2.2094997185506768</v>
      </c>
      <c r="W61" s="22">
        <f t="shared" si="17"/>
        <v>2.2392189601139396</v>
      </c>
      <c r="X61" s="22">
        <f t="shared" si="17"/>
        <v>2.2962758339700611</v>
      </c>
      <c r="Y61" s="22">
        <f t="shared" si="17"/>
        <v>2.3587232629233519</v>
      </c>
      <c r="Z61" s="22">
        <f t="shared" si="17"/>
        <v>2.4267662890603274</v>
      </c>
      <c r="AA61" s="22">
        <f t="shared" si="17"/>
        <v>2.482247120053132</v>
      </c>
      <c r="AB61" s="22">
        <f t="shared" si="17"/>
        <v>2.5488446207363533</v>
      </c>
      <c r="AC61" s="22">
        <f t="shared" si="17"/>
        <v>2.6290628277434434</v>
      </c>
      <c r="AD61" s="22">
        <f t="shared" si="17"/>
        <v>2.6819048591256602</v>
      </c>
      <c r="AE61" s="22">
        <f t="shared" si="17"/>
        <v>2.7358811676250578</v>
      </c>
      <c r="AF61" s="22">
        <f t="shared" si="17"/>
        <v>2.7884760407410969</v>
      </c>
      <c r="AG61" s="22">
        <f t="shared" si="17"/>
        <v>2.8493241192796606</v>
      </c>
      <c r="AH61" s="22">
        <f t="shared" si="17"/>
        <v>2.8926848083051211</v>
      </c>
      <c r="AI61" s="22">
        <f t="shared" si="17"/>
        <v>2.9383646199579787</v>
      </c>
      <c r="AJ61" s="22">
        <f t="shared" si="17"/>
        <v>2.9820760933477084</v>
      </c>
      <c r="AK61" s="22">
        <f t="shared" si="17"/>
        <v>3.0173907919011151</v>
      </c>
      <c r="AL61" s="22">
        <f t="shared" si="17"/>
        <v>3.0488190928969017</v>
      </c>
      <c r="AM61" s="22">
        <f t="shared" si="17"/>
        <v>3.0801062848352543</v>
      </c>
      <c r="AN61" s="22">
        <f t="shared" si="17"/>
        <v>3.1282621203715273</v>
      </c>
      <c r="AO61" s="22">
        <f t="shared" si="17"/>
        <v>3.1674795443509169</v>
      </c>
      <c r="AP61" s="22">
        <f t="shared" si="17"/>
        <v>3.2051375521593344</v>
      </c>
      <c r="AQ61" s="22">
        <f t="shared" si="17"/>
        <v>3.2413597292365988</v>
      </c>
      <c r="AR61" s="22">
        <f t="shared" si="17"/>
        <v>3.2809431920252043</v>
      </c>
      <c r="AS61" s="22">
        <f t="shared" si="17"/>
        <v>3.319714763066774</v>
      </c>
      <c r="AT61" s="22">
        <f t="shared" si="17"/>
        <v>3.3117266783967354</v>
      </c>
      <c r="AU61" s="22">
        <f t="shared" si="17"/>
        <v>3.2991923864457724</v>
      </c>
      <c r="AV61" s="22">
        <f t="shared" si="17"/>
        <v>3.2909073972718437</v>
      </c>
      <c r="AW61" s="22">
        <f t="shared" si="17"/>
        <v>3.2785787384856291</v>
      </c>
      <c r="AY61" s="85"/>
    </row>
    <row r="62" spans="1:51" x14ac:dyDescent="0.25">
      <c r="A62" s="102" t="str">
        <f t="shared" si="0"/>
        <v>FS Organic</v>
      </c>
      <c r="B62" s="102" t="s">
        <v>1005</v>
      </c>
      <c r="C62" s="102" t="s">
        <v>1128</v>
      </c>
      <c r="D62" t="s">
        <v>369</v>
      </c>
      <c r="E62" t="s">
        <v>55</v>
      </c>
      <c r="F62" t="s">
        <v>421</v>
      </c>
      <c r="G62" t="s">
        <v>1163</v>
      </c>
      <c r="H62" t="s">
        <v>1164</v>
      </c>
      <c r="I62" t="s">
        <v>139</v>
      </c>
      <c r="J62" t="s">
        <v>287</v>
      </c>
      <c r="K62" s="22">
        <f t="shared" si="16"/>
        <v>0.34456271820054257</v>
      </c>
      <c r="L62" s="22">
        <f t="shared" si="17"/>
        <v>0.35741698731572036</v>
      </c>
      <c r="M62" s="22">
        <f t="shared" si="17"/>
        <v>0.36896489164513291</v>
      </c>
      <c r="N62" s="22">
        <f t="shared" si="17"/>
        <v>0.37438401076610434</v>
      </c>
      <c r="O62" s="22">
        <f t="shared" si="17"/>
        <v>0.37988604718806568</v>
      </c>
      <c r="P62" s="22">
        <f t="shared" si="17"/>
        <v>0.39203102133073692</v>
      </c>
      <c r="Q62" s="22">
        <f t="shared" si="17"/>
        <v>0.40227536328848007</v>
      </c>
      <c r="R62" s="22">
        <f t="shared" si="17"/>
        <v>0.40526591417131741</v>
      </c>
      <c r="S62" s="22">
        <f t="shared" si="17"/>
        <v>0.37527481867018142</v>
      </c>
      <c r="T62" s="22">
        <f t="shared" si="17"/>
        <v>0.39365996287351818</v>
      </c>
      <c r="U62" s="22">
        <f t="shared" si="17"/>
        <v>0.40815819868382563</v>
      </c>
      <c r="V62" s="22">
        <f t="shared" si="17"/>
        <v>0.42190781589388981</v>
      </c>
      <c r="W62" s="22">
        <f t="shared" si="17"/>
        <v>0.4374457677220121</v>
      </c>
      <c r="X62" s="22">
        <f t="shared" si="17"/>
        <v>0.45882709525597559</v>
      </c>
      <c r="Y62" s="22">
        <f t="shared" si="17"/>
        <v>0.48194951358683946</v>
      </c>
      <c r="Z62" s="22">
        <f t="shared" si="17"/>
        <v>0.5069467882453319</v>
      </c>
      <c r="AA62" s="22">
        <f t="shared" si="17"/>
        <v>0.53003801773568016</v>
      </c>
      <c r="AB62" s="22">
        <f t="shared" si="17"/>
        <v>0.55623390953100238</v>
      </c>
      <c r="AC62" s="22">
        <f t="shared" si="17"/>
        <v>0.58627034555980351</v>
      </c>
      <c r="AD62" s="22">
        <f t="shared" si="17"/>
        <v>0.61782159985165686</v>
      </c>
      <c r="AE62" s="22">
        <f t="shared" si="17"/>
        <v>0.65112867925188422</v>
      </c>
      <c r="AF62" s="22">
        <f t="shared" si="17"/>
        <v>0.68568148380807281</v>
      </c>
      <c r="AG62" s="22">
        <f t="shared" si="17"/>
        <v>0.72398256864978949</v>
      </c>
      <c r="AH62" s="22">
        <f t="shared" si="17"/>
        <v>0.75957681879798822</v>
      </c>
      <c r="AI62" s="22">
        <f t="shared" si="17"/>
        <v>0.79748571472295215</v>
      </c>
      <c r="AJ62" s="22">
        <f t="shared" si="17"/>
        <v>0.83666894668287939</v>
      </c>
      <c r="AK62" s="22">
        <f t="shared" si="17"/>
        <v>0.87531443785412277</v>
      </c>
      <c r="AL62" s="22">
        <f t="shared" si="17"/>
        <v>0.91464095810421253</v>
      </c>
      <c r="AM62" s="22">
        <f t="shared" si="17"/>
        <v>0.95580463534177018</v>
      </c>
      <c r="AN62" s="22">
        <f t="shared" si="17"/>
        <v>0.99803934996482946</v>
      </c>
      <c r="AO62" s="22">
        <f t="shared" si="17"/>
        <v>1.0390605531241226</v>
      </c>
      <c r="AP62" s="22">
        <f t="shared" si="17"/>
        <v>1.0811924287176657</v>
      </c>
      <c r="AQ62" s="22">
        <f t="shared" si="17"/>
        <v>1.1245143338669252</v>
      </c>
      <c r="AR62" s="22">
        <f t="shared" si="17"/>
        <v>1.1707805213950246</v>
      </c>
      <c r="AS62" s="22">
        <f t="shared" si="17"/>
        <v>1.2186517327491972</v>
      </c>
      <c r="AT62" s="22">
        <f t="shared" si="17"/>
        <v>1.2508464245777533</v>
      </c>
      <c r="AU62" s="22">
        <f t="shared" si="17"/>
        <v>1.2823366685557687</v>
      </c>
      <c r="AV62" s="22">
        <f t="shared" si="17"/>
        <v>1.3165428948829248</v>
      </c>
      <c r="AW62" s="22">
        <f t="shared" si="17"/>
        <v>1.3502550917336287</v>
      </c>
      <c r="AY62" s="85"/>
    </row>
    <row r="63" spans="1:51" x14ac:dyDescent="0.25">
      <c r="A63" s="102" t="str">
        <f t="shared" si="0"/>
        <v>FS Organic</v>
      </c>
      <c r="B63" s="102" t="s">
        <v>1005</v>
      </c>
      <c r="C63" s="102" t="s">
        <v>1128</v>
      </c>
      <c r="D63" t="s">
        <v>369</v>
      </c>
      <c r="E63" t="s">
        <v>55</v>
      </c>
      <c r="F63" t="s">
        <v>421</v>
      </c>
      <c r="G63" t="s">
        <v>1165</v>
      </c>
      <c r="H63" t="s">
        <v>1166</v>
      </c>
      <c r="I63" t="s">
        <v>139</v>
      </c>
      <c r="J63" t="s">
        <v>287</v>
      </c>
      <c r="K63" s="22">
        <f t="shared" si="16"/>
        <v>5.8351352726762881E-2</v>
      </c>
      <c r="L63" s="22">
        <f t="shared" si="17"/>
        <v>5.838284383946888E-2</v>
      </c>
      <c r="M63" s="22">
        <f t="shared" si="17"/>
        <v>5.8455239222652444E-2</v>
      </c>
      <c r="N63" s="22">
        <f t="shared" si="17"/>
        <v>5.8562716913640872E-2</v>
      </c>
      <c r="O63" s="22">
        <f t="shared" si="17"/>
        <v>5.8707782505400478E-2</v>
      </c>
      <c r="P63" s="22">
        <f t="shared" si="17"/>
        <v>5.8893351419097517E-2</v>
      </c>
      <c r="Q63" s="22">
        <f t="shared" si="17"/>
        <v>5.909782905733385E-2</v>
      </c>
      <c r="R63" s="22">
        <f t="shared" si="17"/>
        <v>5.9318039560246685E-2</v>
      </c>
      <c r="S63" s="22">
        <f t="shared" si="17"/>
        <v>5.9536211182470676E-2</v>
      </c>
      <c r="T63" s="22">
        <f t="shared" si="17"/>
        <v>5.9625496743982688E-2</v>
      </c>
      <c r="U63" s="22">
        <f t="shared" si="17"/>
        <v>5.9726883271183619E-2</v>
      </c>
      <c r="V63" s="22">
        <f t="shared" si="17"/>
        <v>5.9841544259393621E-2</v>
      </c>
      <c r="W63" s="22">
        <f t="shared" si="17"/>
        <v>5.9970311446414445E-2</v>
      </c>
      <c r="X63" s="22">
        <f t="shared" si="17"/>
        <v>6.0115005305831533E-2</v>
      </c>
      <c r="Y63" s="22">
        <f t="shared" si="17"/>
        <v>6.0205982501934943E-2</v>
      </c>
      <c r="Z63" s="22">
        <f t="shared" si="17"/>
        <v>6.0308427456259674E-2</v>
      </c>
      <c r="AA63" s="22">
        <f t="shared" si="17"/>
        <v>6.0419488984851388E-2</v>
      </c>
      <c r="AB63" s="22">
        <f t="shared" si="17"/>
        <v>6.0541770911636386E-2</v>
      </c>
      <c r="AC63" s="22">
        <f t="shared" si="17"/>
        <v>6.0675259234702413E-2</v>
      </c>
      <c r="AD63" s="22">
        <f t="shared" si="17"/>
        <v>6.0763612545599144E-2</v>
      </c>
      <c r="AE63" s="22">
        <f t="shared" si="17"/>
        <v>6.0860562125647062E-2</v>
      </c>
      <c r="AF63" s="22">
        <f t="shared" si="17"/>
        <v>6.0965456696796608E-2</v>
      </c>
      <c r="AG63" s="22">
        <f t="shared" si="17"/>
        <v>6.1079431750386354E-2</v>
      </c>
      <c r="AH63" s="22">
        <f t="shared" si="17"/>
        <v>6.1198454005462005E-2</v>
      </c>
      <c r="AI63" s="22">
        <f t="shared" si="17"/>
        <v>6.1274601225536553E-2</v>
      </c>
      <c r="AJ63" s="22">
        <f t="shared" si="17"/>
        <v>6.1357207979697827E-2</v>
      </c>
      <c r="AK63" s="22">
        <f t="shared" si="17"/>
        <v>6.1445023192111883E-2</v>
      </c>
      <c r="AL63" s="22">
        <f t="shared" si="17"/>
        <v>6.1538527566909175E-2</v>
      </c>
      <c r="AM63" s="22">
        <f t="shared" si="17"/>
        <v>6.163815914834115E-2</v>
      </c>
      <c r="AN63" s="22">
        <f t="shared" si="17"/>
        <v>6.1696880609150663E-2</v>
      </c>
      <c r="AO63" s="22">
        <f t="shared" si="17"/>
        <v>6.1759449666934245E-2</v>
      </c>
      <c r="AP63" s="22">
        <f t="shared" si="17"/>
        <v>6.1826968943055068E-2</v>
      </c>
      <c r="AQ63" s="22">
        <f t="shared" si="17"/>
        <v>6.1899319328770012E-2</v>
      </c>
      <c r="AR63" s="22">
        <f t="shared" si="17"/>
        <v>6.1977277610442229E-2</v>
      </c>
      <c r="AS63" s="22">
        <f t="shared" si="17"/>
        <v>6.2012413359244796E-2</v>
      </c>
      <c r="AT63" s="22">
        <f t="shared" si="17"/>
        <v>6.2042910745793073E-2</v>
      </c>
      <c r="AU63" s="22">
        <f t="shared" si="17"/>
        <v>6.2076578921359475E-2</v>
      </c>
      <c r="AV63" s="22">
        <f t="shared" si="17"/>
        <v>6.2115070786636459E-2</v>
      </c>
      <c r="AW63" s="22">
        <f t="shared" si="17"/>
        <v>6.2156607972806463E-2</v>
      </c>
      <c r="AY63" s="85"/>
    </row>
    <row r="64" spans="1:51" x14ac:dyDescent="0.25">
      <c r="A64" s="102" t="str">
        <f t="shared" si="0"/>
        <v>FS Organic</v>
      </c>
      <c r="B64" s="102" t="s">
        <v>1005</v>
      </c>
      <c r="C64" s="102" t="s">
        <v>1128</v>
      </c>
      <c r="D64" t="s">
        <v>369</v>
      </c>
      <c r="E64" t="s">
        <v>55</v>
      </c>
      <c r="F64" t="s">
        <v>421</v>
      </c>
      <c r="G64" t="s">
        <v>1167</v>
      </c>
      <c r="H64" t="s">
        <v>1168</v>
      </c>
      <c r="I64" t="s">
        <v>139</v>
      </c>
      <c r="J64" t="s">
        <v>287</v>
      </c>
      <c r="K64" s="22">
        <f t="shared" si="16"/>
        <v>4.7490069351463909E-2</v>
      </c>
      <c r="L64" s="22">
        <f t="shared" si="17"/>
        <v>4.7515698836582541E-2</v>
      </c>
      <c r="M64" s="22">
        <f t="shared" si="17"/>
        <v>4.7574618837704238E-2</v>
      </c>
      <c r="N64" s="22">
        <f t="shared" si="17"/>
        <v>4.7662091068599664E-2</v>
      </c>
      <c r="O64" s="22">
        <f t="shared" si="17"/>
        <v>4.7780154741355184E-2</v>
      </c>
      <c r="P64" s="22">
        <f t="shared" si="17"/>
        <v>4.7931182612503523E-2</v>
      </c>
      <c r="Q64" s="22">
        <f t="shared" si="17"/>
        <v>4.809759961514163E-2</v>
      </c>
      <c r="R64" s="22">
        <f t="shared" si="17"/>
        <v>4.8276821031039585E-2</v>
      </c>
      <c r="S64" s="22">
        <f t="shared" si="17"/>
        <v>4.845438307520427E-2</v>
      </c>
      <c r="T64" s="22">
        <f t="shared" si="17"/>
        <v>4.8527049385583491E-2</v>
      </c>
      <c r="U64" s="22">
        <f t="shared" si="17"/>
        <v>4.8609564237134945E-2</v>
      </c>
      <c r="V64" s="22">
        <f t="shared" si="17"/>
        <v>4.8702882695534688E-2</v>
      </c>
      <c r="W64" s="22">
        <f t="shared" si="17"/>
        <v>4.8807681682294192E-2</v>
      </c>
      <c r="X64" s="22">
        <f t="shared" si="17"/>
        <v>4.8925442815452934E-2</v>
      </c>
      <c r="Y64" s="22">
        <f t="shared" si="17"/>
        <v>4.899948588644365E-2</v>
      </c>
      <c r="Z64" s="22">
        <f t="shared" si="17"/>
        <v>4.9082862153800644E-2</v>
      </c>
      <c r="AA64" s="22">
        <f t="shared" si="17"/>
        <v>4.9173251141349877E-2</v>
      </c>
      <c r="AB64" s="22">
        <f t="shared" si="17"/>
        <v>4.9272772007826496E-2</v>
      </c>
      <c r="AC64" s="22">
        <f t="shared" si="17"/>
        <v>4.9381413357577224E-2</v>
      </c>
      <c r="AD64" s="22">
        <f t="shared" si="17"/>
        <v>4.9453320942677535E-2</v>
      </c>
      <c r="AE64" s="22">
        <f t="shared" si="17"/>
        <v>4.9532224722365882E-2</v>
      </c>
      <c r="AF64" s="22">
        <f t="shared" si="17"/>
        <v>4.9617594644838996E-2</v>
      </c>
      <c r="AG64" s="22">
        <f t="shared" si="17"/>
        <v>4.9710354845697732E-2</v>
      </c>
      <c r="AH64" s="22">
        <f t="shared" si="17"/>
        <v>4.9807222782493964E-2</v>
      </c>
      <c r="AI64" s="22">
        <f t="shared" si="17"/>
        <v>4.9869196268853305E-2</v>
      </c>
      <c r="AJ64" s="22">
        <f t="shared" si="17"/>
        <v>4.9936426937907168E-2</v>
      </c>
      <c r="AK64" s="22">
        <f t="shared" si="17"/>
        <v>5.0007896583986924E-2</v>
      </c>
      <c r="AL64" s="22">
        <f t="shared" si="17"/>
        <v>5.0083996434912091E-2</v>
      </c>
      <c r="AM64" s="22">
        <f t="shared" si="17"/>
        <v>5.0165082999159477E-2</v>
      </c>
      <c r="AN64" s="22">
        <f t="shared" si="17"/>
        <v>5.0212874286181063E-2</v>
      </c>
      <c r="AO64" s="22">
        <f t="shared" si="17"/>
        <v>5.0263796994131166E-2</v>
      </c>
      <c r="AP64" s="22">
        <f t="shared" si="17"/>
        <v>5.0318748506918774E-2</v>
      </c>
      <c r="AQ64" s="22">
        <f t="shared" si="17"/>
        <v>5.0377631886217578E-2</v>
      </c>
      <c r="AR64" s="22">
        <f t="shared" si="17"/>
        <v>5.0441079330537687E-2</v>
      </c>
      <c r="AS64" s="22">
        <f t="shared" si="17"/>
        <v>5.0469675054019239E-2</v>
      </c>
      <c r="AT64" s="22">
        <f t="shared" si="17"/>
        <v>5.049449578112386E-2</v>
      </c>
      <c r="AU64" s="22">
        <f t="shared" si="17"/>
        <v>5.0521897099480149E-2</v>
      </c>
      <c r="AV64" s="22">
        <f t="shared" si="17"/>
        <v>5.055322424557103E-2</v>
      </c>
      <c r="AW64" s="22">
        <f t="shared" si="17"/>
        <v>5.0587029868914744E-2</v>
      </c>
      <c r="AY64" s="85"/>
    </row>
    <row r="65" spans="1:51" x14ac:dyDescent="0.25">
      <c r="A65" s="102" t="str">
        <f t="shared" si="0"/>
        <v>FS Organic</v>
      </c>
      <c r="B65" s="102" t="s">
        <v>1005</v>
      </c>
      <c r="C65" s="102" t="s">
        <v>1128</v>
      </c>
      <c r="D65" t="s">
        <v>369</v>
      </c>
      <c r="E65" t="s">
        <v>55</v>
      </c>
      <c r="F65" t="s">
        <v>421</v>
      </c>
      <c r="G65" t="s">
        <v>1169</v>
      </c>
      <c r="H65" t="s">
        <v>1170</v>
      </c>
      <c r="I65" t="s">
        <v>139</v>
      </c>
      <c r="J65" t="s">
        <v>287</v>
      </c>
      <c r="K65" s="22">
        <f t="shared" si="16"/>
        <v>7.2124379000375856E-3</v>
      </c>
      <c r="L65" s="22">
        <f t="shared" si="17"/>
        <v>7.2311842253661622E-3</v>
      </c>
      <c r="M65" s="22">
        <f t="shared" si="17"/>
        <v>7.2564640106272402E-3</v>
      </c>
      <c r="N65" s="22">
        <f t="shared" si="17"/>
        <v>7.287254147269725E-3</v>
      </c>
      <c r="O65" s="22">
        <f t="shared" si="17"/>
        <v>7.3241333035294473E-3</v>
      </c>
      <c r="P65" s="22">
        <f t="shared" si="17"/>
        <v>7.3677329801347495E-3</v>
      </c>
      <c r="Q65" s="22">
        <f t="shared" si="17"/>
        <v>7.4139400326720672E-3</v>
      </c>
      <c r="R65" s="22">
        <f t="shared" si="17"/>
        <v>7.4622138016085145E-3</v>
      </c>
      <c r="S65" s="22">
        <f t="shared" si="17"/>
        <v>7.509211214865451E-3</v>
      </c>
      <c r="T65" s="22">
        <f t="shared" si="17"/>
        <v>7.5307669987204583E-3</v>
      </c>
      <c r="U65" s="22">
        <f t="shared" si="17"/>
        <v>7.5540126929522231E-3</v>
      </c>
      <c r="V65" s="22">
        <f t="shared" si="17"/>
        <v>7.5792072480240892E-3</v>
      </c>
      <c r="W65" s="22">
        <f t="shared" si="17"/>
        <v>7.6065371736612122E-3</v>
      </c>
      <c r="X65" s="22">
        <f t="shared" si="17"/>
        <v>7.6363701343967012E-3</v>
      </c>
      <c r="Y65" s="22">
        <f t="shared" si="17"/>
        <v>7.6555716504049104E-3</v>
      </c>
      <c r="Z65" s="22">
        <f t="shared" si="17"/>
        <v>7.6765259853692923E-3</v>
      </c>
      <c r="AA65" s="22">
        <f t="shared" si="17"/>
        <v>7.6987119024127136E-3</v>
      </c>
      <c r="AB65" s="22">
        <f t="shared" si="17"/>
        <v>7.7226338019690602E-3</v>
      </c>
      <c r="AC65" s="22">
        <f t="shared" si="17"/>
        <v>7.7482997485057862E-3</v>
      </c>
      <c r="AD65" s="22">
        <f t="shared" si="17"/>
        <v>7.7651933997685552E-3</v>
      </c>
      <c r="AE65" s="22">
        <f t="shared" si="17"/>
        <v>7.7834037435669879E-3</v>
      </c>
      <c r="AF65" s="22">
        <f t="shared" si="17"/>
        <v>7.802817413015653E-3</v>
      </c>
      <c r="AG65" s="22">
        <f t="shared" si="17"/>
        <v>7.8236526131203795E-3</v>
      </c>
      <c r="AH65" s="22">
        <f t="shared" si="17"/>
        <v>7.8451669042542294E-3</v>
      </c>
      <c r="AI65" s="22">
        <f t="shared" si="17"/>
        <v>7.8585039220798909E-3</v>
      </c>
      <c r="AJ65" s="22">
        <f t="shared" si="17"/>
        <v>7.8728299564684995E-3</v>
      </c>
      <c r="AK65" s="22">
        <f t="shared" si="17"/>
        <v>7.8879188408277207E-3</v>
      </c>
      <c r="AL65" s="22">
        <f t="shared" si="17"/>
        <v>7.9038640214346874E-3</v>
      </c>
      <c r="AM65" s="22">
        <f t="shared" si="17"/>
        <v>7.9207498637461782E-3</v>
      </c>
      <c r="AN65" s="22">
        <f t="shared" si="17"/>
        <v>7.9299570033797458E-3</v>
      </c>
      <c r="AO65" s="22">
        <f t="shared" si="17"/>
        <v>7.9397231588042138E-3</v>
      </c>
      <c r="AP65" s="22">
        <f t="shared" si="17"/>
        <v>7.9502533101027516E-3</v>
      </c>
      <c r="AQ65" s="22">
        <f t="shared" si="17"/>
        <v>7.9615278668621423E-3</v>
      </c>
      <c r="AR65" s="22">
        <f t="shared" si="17"/>
        <v>7.9736901552170548E-3</v>
      </c>
      <c r="AS65" s="22">
        <f t="shared" si="17"/>
        <v>7.9779384467945549E-3</v>
      </c>
      <c r="AT65" s="22">
        <f t="shared" si="17"/>
        <v>7.9812454824287754E-3</v>
      </c>
      <c r="AU65" s="22">
        <f t="shared" si="17"/>
        <v>7.9850348723730785E-3</v>
      </c>
      <c r="AV65" s="22">
        <f t="shared" si="17"/>
        <v>7.9896072385955193E-3</v>
      </c>
      <c r="AW65" s="22">
        <f t="shared" si="17"/>
        <v>7.9946414377677251E-3</v>
      </c>
      <c r="AY65" s="85"/>
    </row>
    <row r="66" spans="1:51" x14ac:dyDescent="0.25">
      <c r="A66" s="102" t="str">
        <f t="shared" si="0"/>
        <v>FS Organic</v>
      </c>
      <c r="B66" s="102" t="s">
        <v>1005</v>
      </c>
      <c r="C66" s="102" t="s">
        <v>1128</v>
      </c>
      <c r="D66" t="s">
        <v>369</v>
      </c>
      <c r="E66" t="s">
        <v>55</v>
      </c>
      <c r="F66" t="s">
        <v>421</v>
      </c>
      <c r="G66" t="s">
        <v>1171</v>
      </c>
      <c r="H66" t="s">
        <v>1172</v>
      </c>
      <c r="I66" t="s">
        <v>139</v>
      </c>
      <c r="J66" t="s">
        <v>287</v>
      </c>
      <c r="K66" s="22">
        <f t="shared" si="16"/>
        <v>8.7025704097551199E-2</v>
      </c>
      <c r="L66" s="22">
        <f t="shared" si="17"/>
        <v>8.7251898372437478E-2</v>
      </c>
      <c r="M66" s="22">
        <f t="shared" si="17"/>
        <v>8.7556925762935861E-2</v>
      </c>
      <c r="N66" s="22">
        <f t="shared" si="17"/>
        <v>8.7928441380499503E-2</v>
      </c>
      <c r="O66" s="22">
        <f t="shared" si="17"/>
        <v>8.8373427470433044E-2</v>
      </c>
      <c r="P66" s="22">
        <f t="shared" si="17"/>
        <v>8.8899503758033641E-2</v>
      </c>
      <c r="Q66" s="22">
        <f t="shared" si="17"/>
        <v>8.9457040798499768E-2</v>
      </c>
      <c r="R66" s="22">
        <f t="shared" si="17"/>
        <v>9.0039514961794118E-2</v>
      </c>
      <c r="S66" s="22">
        <f t="shared" si="17"/>
        <v>9.0606588541648075E-2</v>
      </c>
      <c r="T66" s="22">
        <f t="shared" si="17"/>
        <v>9.0866681909987077E-2</v>
      </c>
      <c r="U66" s="22">
        <f t="shared" si="17"/>
        <v>9.1147165837307267E-2</v>
      </c>
      <c r="V66" s="22">
        <f t="shared" si="17"/>
        <v>9.1451164835280221E-2</v>
      </c>
      <c r="W66" s="22">
        <f t="shared" si="17"/>
        <v>9.1780929341327769E-2</v>
      </c>
      <c r="X66" s="22">
        <f t="shared" si="17"/>
        <v>9.2140895617544447E-2</v>
      </c>
      <c r="Y66" s="22">
        <f t="shared" si="17"/>
        <v>9.2372582250207988E-2</v>
      </c>
      <c r="Z66" s="22">
        <f t="shared" si="17"/>
        <v>9.2625418500508608E-2</v>
      </c>
      <c r="AA66" s="22">
        <f t="shared" si="17"/>
        <v>9.2893115093326858E-2</v>
      </c>
      <c r="AB66" s="22">
        <f t="shared" si="17"/>
        <v>9.3181758154257929E-2</v>
      </c>
      <c r="AC66" s="22">
        <f t="shared" si="17"/>
        <v>9.3491444989645012E-2</v>
      </c>
      <c r="AD66" s="22">
        <f t="shared" si="17"/>
        <v>9.3695284789210367E-2</v>
      </c>
      <c r="AE66" s="22">
        <f t="shared" si="17"/>
        <v>9.3915011879118299E-2</v>
      </c>
      <c r="AF66" s="22">
        <f t="shared" si="17"/>
        <v>9.4149258367795627E-2</v>
      </c>
      <c r="AG66" s="22">
        <f t="shared" si="17"/>
        <v>9.4400657129803389E-2</v>
      </c>
      <c r="AH66" s="22">
        <f t="shared" si="17"/>
        <v>9.4660249844504385E-2</v>
      </c>
      <c r="AI66" s="22">
        <f t="shared" si="17"/>
        <v>9.4821175093764906E-2</v>
      </c>
      <c r="AJ66" s="22">
        <f t="shared" si="17"/>
        <v>9.4994033875618389E-2</v>
      </c>
      <c r="AK66" s="22">
        <f t="shared" si="17"/>
        <v>9.5176097250528169E-2</v>
      </c>
      <c r="AL66" s="22">
        <f t="shared" si="17"/>
        <v>9.5368492746824421E-2</v>
      </c>
      <c r="AM66" s="22">
        <f t="shared" si="17"/>
        <v>9.5572238323119812E-2</v>
      </c>
      <c r="AN66" s="22">
        <f t="shared" si="17"/>
        <v>9.5683332216812994E-2</v>
      </c>
      <c r="AO66" s="22">
        <f t="shared" si="17"/>
        <v>9.5801171228242971E-2</v>
      </c>
      <c r="AP66" s="22">
        <f t="shared" si="17"/>
        <v>9.5928228659268394E-2</v>
      </c>
      <c r="AQ66" s="22">
        <f t="shared" si="17"/>
        <v>9.6064268130799754E-2</v>
      </c>
      <c r="AR66" s="22">
        <f t="shared" si="17"/>
        <v>9.6211019024491043E-2</v>
      </c>
      <c r="AS66" s="22">
        <f t="shared" si="17"/>
        <v>9.6262279163000078E-2</v>
      </c>
      <c r="AT66" s="22">
        <f t="shared" si="17"/>
        <v>9.6302182051389879E-2</v>
      </c>
      <c r="AU66" s="22">
        <f t="shared" si="17"/>
        <v>9.634790505553549E-2</v>
      </c>
      <c r="AV66" s="22">
        <f t="shared" si="17"/>
        <v>9.6403075497959345E-2</v>
      </c>
      <c r="AW66" s="22">
        <f t="shared" si="17"/>
        <v>9.6463818444186472E-2</v>
      </c>
      <c r="AY66" s="85"/>
    </row>
    <row r="67" spans="1:51" x14ac:dyDescent="0.25">
      <c r="A67" s="102" t="str">
        <f t="shared" si="0"/>
        <v>FS Organic</v>
      </c>
      <c r="B67" s="102" t="s">
        <v>1005</v>
      </c>
      <c r="C67" s="102" t="s">
        <v>1128</v>
      </c>
      <c r="D67" t="s">
        <v>369</v>
      </c>
      <c r="E67" t="s">
        <v>55</v>
      </c>
      <c r="F67" t="s">
        <v>421</v>
      </c>
      <c r="G67" t="s">
        <v>1173</v>
      </c>
      <c r="H67" t="s">
        <v>1174</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85"/>
    </row>
    <row r="68" spans="1:51" x14ac:dyDescent="0.25">
      <c r="A68" s="102" t="str">
        <f t="shared" si="0"/>
        <v>FS Organic</v>
      </c>
      <c r="B68" s="102" t="s">
        <v>1005</v>
      </c>
      <c r="C68" s="102" t="s">
        <v>1128</v>
      </c>
      <c r="D68" t="s">
        <v>369</v>
      </c>
      <c r="E68" t="s">
        <v>55</v>
      </c>
      <c r="F68" t="s">
        <v>421</v>
      </c>
      <c r="G68" t="s">
        <v>1175</v>
      </c>
      <c r="H68" t="s">
        <v>1176</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85"/>
    </row>
    <row r="69" spans="1:51" x14ac:dyDescent="0.25">
      <c r="A69" s="102" t="str">
        <f t="shared" si="0"/>
        <v>FS Organic</v>
      </c>
      <c r="B69" s="102" t="s">
        <v>1005</v>
      </c>
      <c r="C69" s="102" t="s">
        <v>1128</v>
      </c>
      <c r="D69" t="s">
        <v>369</v>
      </c>
      <c r="E69" t="s">
        <v>55</v>
      </c>
      <c r="F69" t="s">
        <v>421</v>
      </c>
      <c r="G69" t="s">
        <v>1177</v>
      </c>
      <c r="H69" t="s">
        <v>1178</v>
      </c>
      <c r="I69" t="s">
        <v>139</v>
      </c>
      <c r="J69" t="s">
        <v>287</v>
      </c>
      <c r="K69" s="22">
        <f t="shared" si="16"/>
        <v>0.12512489027733434</v>
      </c>
      <c r="L69" s="22">
        <f t="shared" si="18"/>
        <v>0.1249037465490002</v>
      </c>
      <c r="M69" s="22">
        <f t="shared" si="18"/>
        <v>0.12420297117813216</v>
      </c>
      <c r="N69" s="22">
        <f t="shared" si="18"/>
        <v>0.12146227380625023</v>
      </c>
      <c r="O69" s="22">
        <f t="shared" si="18"/>
        <v>0.11887050141065171</v>
      </c>
      <c r="P69" s="22">
        <f t="shared" si="18"/>
        <v>0.11845218382715161</v>
      </c>
      <c r="Q69" s="22">
        <f t="shared" si="18"/>
        <v>0.11743671165425351</v>
      </c>
      <c r="R69" s="22">
        <f t="shared" si="18"/>
        <v>0.11430912679136991</v>
      </c>
      <c r="S69" s="22">
        <f t="shared" si="18"/>
        <v>0.1019584522188007</v>
      </c>
      <c r="T69" s="22">
        <f t="shared" si="18"/>
        <v>0.10415164096850968</v>
      </c>
      <c r="U69" s="22">
        <f t="shared" si="18"/>
        <v>0.10516156472619907</v>
      </c>
      <c r="V69" s="22">
        <f t="shared" si="18"/>
        <v>0.10589710072304019</v>
      </c>
      <c r="W69" s="22">
        <f t="shared" si="18"/>
        <v>0.10702634667209501</v>
      </c>
      <c r="X69" s="22">
        <f t="shared" si="18"/>
        <v>0.10953406099380125</v>
      </c>
      <c r="Y69" s="22">
        <f t="shared" si="18"/>
        <v>0.11235635375154626</v>
      </c>
      <c r="Z69" s="22">
        <f t="shared" si="18"/>
        <v>0.11546203967262161</v>
      </c>
      <c r="AA69" s="22">
        <f t="shared" si="18"/>
        <v>0.11794547104868178</v>
      </c>
      <c r="AB69" s="22">
        <f t="shared" si="18"/>
        <v>0.12098722785949015</v>
      </c>
      <c r="AC69" s="22">
        <f t="shared" si="18"/>
        <v>0.12470963867892285</v>
      </c>
      <c r="AD69" s="22">
        <f t="shared" si="18"/>
        <v>0.12823307755990843</v>
      </c>
      <c r="AE69" s="22">
        <f t="shared" si="18"/>
        <v>0.13190019989335749</v>
      </c>
      <c r="AF69" s="22">
        <f t="shared" si="18"/>
        <v>0.13558882448809464</v>
      </c>
      <c r="AG69" s="22">
        <f t="shared" si="18"/>
        <v>0.139795617096279</v>
      </c>
      <c r="AH69" s="22">
        <f t="shared" si="18"/>
        <v>0.14320619245252167</v>
      </c>
      <c r="AI69" s="22">
        <f t="shared" si="18"/>
        <v>0.14686073920515186</v>
      </c>
      <c r="AJ69" s="22">
        <f t="shared" si="18"/>
        <v>0.15051597642167761</v>
      </c>
      <c r="AK69" s="22">
        <f t="shared" si="18"/>
        <v>0.15383345031493795</v>
      </c>
      <c r="AL69" s="22">
        <f t="shared" si="18"/>
        <v>0.15704803055416769</v>
      </c>
      <c r="AM69" s="22">
        <f t="shared" si="18"/>
        <v>0.16036221209585783</v>
      </c>
      <c r="AN69" s="22">
        <f t="shared" si="18"/>
        <v>0.16386598018742685</v>
      </c>
      <c r="AO69" s="22">
        <f t="shared" si="18"/>
        <v>0.16694649307070639</v>
      </c>
      <c r="AP69" s="22">
        <f t="shared" si="18"/>
        <v>0.17000456077892223</v>
      </c>
      <c r="AQ69" s="22">
        <f t="shared" si="18"/>
        <v>0.17304831428445985</v>
      </c>
      <c r="AR69" s="22">
        <f t="shared" si="18"/>
        <v>0.17634648819223331</v>
      </c>
      <c r="AS69" s="22">
        <f t="shared" si="18"/>
        <v>0.17969250919958218</v>
      </c>
      <c r="AT69" s="22">
        <f t="shared" si="18"/>
        <v>0.18047485756179946</v>
      </c>
      <c r="AU69" s="22">
        <f t="shared" si="18"/>
        <v>0.18104197572914582</v>
      </c>
      <c r="AV69" s="22">
        <f t="shared" si="18"/>
        <v>0.18189334709867436</v>
      </c>
      <c r="AW69" s="22">
        <f t="shared" si="18"/>
        <v>0.18255809913012605</v>
      </c>
      <c r="AY69" s="85"/>
    </row>
    <row r="70" spans="1:51" x14ac:dyDescent="0.25">
      <c r="A70" s="102" t="str">
        <f t="shared" si="0"/>
        <v>FS Organic</v>
      </c>
      <c r="B70" s="102" t="s">
        <v>1005</v>
      </c>
      <c r="C70" s="102" t="s">
        <v>1128</v>
      </c>
      <c r="D70" t="s">
        <v>369</v>
      </c>
      <c r="E70" t="s">
        <v>55</v>
      </c>
      <c r="F70" t="s">
        <v>421</v>
      </c>
      <c r="G70" t="s">
        <v>1179</v>
      </c>
      <c r="H70" t="s">
        <v>1180</v>
      </c>
      <c r="I70" t="s">
        <v>139</v>
      </c>
      <c r="J70" t="s">
        <v>287</v>
      </c>
      <c r="K70" s="22">
        <f t="shared" si="16"/>
        <v>3.1744662482237319E-2</v>
      </c>
      <c r="L70" s="22">
        <f t="shared" si="18"/>
        <v>3.1688557473869519E-2</v>
      </c>
      <c r="M70" s="22">
        <f t="shared" si="18"/>
        <v>3.151076808620442E-2</v>
      </c>
      <c r="N70" s="22">
        <f t="shared" si="18"/>
        <v>3.0815442696959246E-2</v>
      </c>
      <c r="O70" s="22">
        <f t="shared" si="18"/>
        <v>3.0157900142902292E-2</v>
      </c>
      <c r="P70" s="22">
        <f t="shared" si="18"/>
        <v>3.0051771374524052E-2</v>
      </c>
      <c r="Q70" s="22">
        <f t="shared" si="18"/>
        <v>2.9794142206440031E-2</v>
      </c>
      <c r="R70" s="22">
        <f t="shared" si="18"/>
        <v>2.9000661983306687E-2</v>
      </c>
      <c r="S70" s="22">
        <f t="shared" si="18"/>
        <v>2.5867248680284741E-2</v>
      </c>
      <c r="T70" s="22">
        <f t="shared" si="18"/>
        <v>2.6423669041293948E-2</v>
      </c>
      <c r="U70" s="22">
        <f t="shared" si="18"/>
        <v>2.6679890555251589E-2</v>
      </c>
      <c r="V70" s="22">
        <f t="shared" si="18"/>
        <v>2.6866498846467711E-2</v>
      </c>
      <c r="W70" s="22">
        <f t="shared" si="18"/>
        <v>2.7152992856034661E-2</v>
      </c>
      <c r="X70" s="22">
        <f t="shared" si="18"/>
        <v>2.7789209555749587E-2</v>
      </c>
      <c r="Y70" s="22">
        <f t="shared" si="18"/>
        <v>2.8505236005979432E-2</v>
      </c>
      <c r="Z70" s="22">
        <f t="shared" si="18"/>
        <v>2.9293160383949742E-2</v>
      </c>
      <c r="AA70" s="22">
        <f t="shared" si="18"/>
        <v>2.9923216407624114E-2</v>
      </c>
      <c r="AB70" s="22">
        <f t="shared" si="18"/>
        <v>3.0694921726191319E-2</v>
      </c>
      <c r="AC70" s="22">
        <f t="shared" si="18"/>
        <v>3.1639311565984256E-2</v>
      </c>
      <c r="AD70" s="22">
        <f t="shared" si="18"/>
        <v>3.2533221465171916E-2</v>
      </c>
      <c r="AE70" s="22">
        <f t="shared" si="18"/>
        <v>3.3463584404938677E-2</v>
      </c>
      <c r="AF70" s="22">
        <f t="shared" si="18"/>
        <v>3.4399402550505692E-2</v>
      </c>
      <c r="AG70" s="22">
        <f t="shared" si="18"/>
        <v>3.5466681899830918E-2</v>
      </c>
      <c r="AH70" s="22">
        <f t="shared" si="18"/>
        <v>3.633195789179533E-2</v>
      </c>
      <c r="AI70" s="22">
        <f t="shared" si="18"/>
        <v>3.7259130358685527E-2</v>
      </c>
      <c r="AJ70" s="22">
        <f t="shared" si="18"/>
        <v>3.8186477998902742E-2</v>
      </c>
      <c r="AK70" s="22">
        <f t="shared" si="18"/>
        <v>3.9028133794178674E-2</v>
      </c>
      <c r="AL70" s="22">
        <f t="shared" si="18"/>
        <v>3.984368507650337E-2</v>
      </c>
      <c r="AM70" s="22">
        <f t="shared" si="18"/>
        <v>4.0684505589613319E-2</v>
      </c>
      <c r="AN70" s="22">
        <f t="shared" si="18"/>
        <v>4.1573424934408458E-2</v>
      </c>
      <c r="AO70" s="22">
        <f t="shared" si="18"/>
        <v>4.2354962816560815E-2</v>
      </c>
      <c r="AP70" s="22">
        <f t="shared" si="18"/>
        <v>4.3130806272087305E-2</v>
      </c>
      <c r="AQ70" s="22">
        <f t="shared" si="18"/>
        <v>4.3903018159732181E-2</v>
      </c>
      <c r="AR70" s="22">
        <f t="shared" si="18"/>
        <v>4.4739777474988543E-2</v>
      </c>
      <c r="AS70" s="22">
        <f t="shared" si="18"/>
        <v>4.5588675782122633E-2</v>
      </c>
      <c r="AT70" s="22">
        <f t="shared" si="18"/>
        <v>4.5787160549198715E-2</v>
      </c>
      <c r="AU70" s="22">
        <f t="shared" si="18"/>
        <v>4.5931040593928836E-2</v>
      </c>
      <c r="AV70" s="22">
        <f t="shared" si="18"/>
        <v>4.6147036761540416E-2</v>
      </c>
      <c r="AW70" s="22">
        <f t="shared" si="18"/>
        <v>4.6315686890432001E-2</v>
      </c>
      <c r="AY70" s="85"/>
    </row>
    <row r="71" spans="1:51" x14ac:dyDescent="0.25">
      <c r="A71" s="102" t="str">
        <f t="shared" si="0"/>
        <v>FS Organic</v>
      </c>
      <c r="B71" s="102" t="s">
        <v>1005</v>
      </c>
      <c r="C71" s="102" t="s">
        <v>1128</v>
      </c>
      <c r="D71" t="s">
        <v>369</v>
      </c>
      <c r="E71" t="s">
        <v>55</v>
      </c>
      <c r="F71" t="s">
        <v>421</v>
      </c>
      <c r="G71" t="s">
        <v>1181</v>
      </c>
      <c r="H71" t="s">
        <v>1182</v>
      </c>
      <c r="I71" t="s">
        <v>139</v>
      </c>
      <c r="J71" t="s">
        <v>287</v>
      </c>
      <c r="K71" s="22">
        <f t="shared" si="16"/>
        <v>0.1574619566019842</v>
      </c>
      <c r="L71" s="22">
        <f t="shared" si="18"/>
        <v>0.16100119532971174</v>
      </c>
      <c r="M71" s="22">
        <f t="shared" si="18"/>
        <v>0.16420239799096348</v>
      </c>
      <c r="N71" s="22">
        <f t="shared" si="18"/>
        <v>0.16585503975435448</v>
      </c>
      <c r="O71" s="22">
        <f t="shared" si="18"/>
        <v>0.16755324219146345</v>
      </c>
      <c r="P71" s="22">
        <f t="shared" si="18"/>
        <v>0.1709343585165998</v>
      </c>
      <c r="Q71" s="22">
        <f t="shared" si="18"/>
        <v>0.17382552357996145</v>
      </c>
      <c r="R71" s="22">
        <f t="shared" si="18"/>
        <v>0.17492293808026785</v>
      </c>
      <c r="S71" s="22">
        <f t="shared" si="18"/>
        <v>0.16797595240358967</v>
      </c>
      <c r="T71" s="22">
        <f t="shared" si="18"/>
        <v>0.17297492730025818</v>
      </c>
      <c r="U71" s="22">
        <f t="shared" si="18"/>
        <v>0.17701513008922104</v>
      </c>
      <c r="V71" s="22">
        <f t="shared" si="18"/>
        <v>0.18086520723507568</v>
      </c>
      <c r="W71" s="22">
        <f t="shared" si="18"/>
        <v>0.18514026922037843</v>
      </c>
      <c r="X71" s="22">
        <f t="shared" si="18"/>
        <v>0.19081502616241675</v>
      </c>
      <c r="Y71" s="22">
        <f t="shared" si="18"/>
        <v>0.19677527630059505</v>
      </c>
      <c r="Z71" s="22">
        <f t="shared" si="18"/>
        <v>0.20316424040233105</v>
      </c>
      <c r="AA71" s="22">
        <f t="shared" si="18"/>
        <v>0.2090740458335611</v>
      </c>
      <c r="AB71" s="22">
        <f t="shared" si="18"/>
        <v>0.21570429527296558</v>
      </c>
      <c r="AC71" s="22">
        <f t="shared" si="18"/>
        <v>0.22322461413005179</v>
      </c>
      <c r="AD71" s="22">
        <f t="shared" si="18"/>
        <v>0.23059574512274245</v>
      </c>
      <c r="AE71" s="22">
        <f t="shared" si="18"/>
        <v>0.23831574484289472</v>
      </c>
      <c r="AF71" s="22">
        <f t="shared" si="18"/>
        <v>0.24625980781200643</v>
      </c>
      <c r="AG71" s="22">
        <f t="shared" si="18"/>
        <v>0.25500800669627088</v>
      </c>
      <c r="AH71" s="22">
        <f t="shared" si="18"/>
        <v>0.26305100817364307</v>
      </c>
      <c r="AI71" s="22">
        <f t="shared" si="18"/>
        <v>0.27146542700983761</v>
      </c>
      <c r="AJ71" s="22">
        <f t="shared" si="18"/>
        <v>0.28009700813609817</v>
      </c>
      <c r="AK71" s="22">
        <f t="shared" si="18"/>
        <v>0.28852863408778395</v>
      </c>
      <c r="AL71" s="22">
        <f t="shared" si="18"/>
        <v>0.29704040587124897</v>
      </c>
      <c r="AM71" s="22">
        <f t="shared" si="18"/>
        <v>0.30589267500220069</v>
      </c>
      <c r="AN71" s="22">
        <f t="shared" si="18"/>
        <v>0.31509949249948005</v>
      </c>
      <c r="AO71" s="22">
        <f t="shared" si="18"/>
        <v>0.32397232132243609</v>
      </c>
      <c r="AP71" s="22">
        <f t="shared" si="18"/>
        <v>0.33303470425340953</v>
      </c>
      <c r="AQ71" s="22">
        <f t="shared" si="18"/>
        <v>0.34230228220604159</v>
      </c>
      <c r="AR71" s="22">
        <f t="shared" si="18"/>
        <v>0.35216230168979662</v>
      </c>
      <c r="AS71" s="22">
        <f t="shared" si="18"/>
        <v>0.36222138179977098</v>
      </c>
      <c r="AT71" s="22">
        <f t="shared" si="18"/>
        <v>0.36875743363549901</v>
      </c>
      <c r="AU71" s="22">
        <f t="shared" si="18"/>
        <v>0.37509652822170919</v>
      </c>
      <c r="AV71" s="22">
        <f t="shared" si="18"/>
        <v>0.38198920884211868</v>
      </c>
      <c r="AW71" s="22">
        <f t="shared" si="18"/>
        <v>0.3887297225488785</v>
      </c>
      <c r="AY71" s="85"/>
    </row>
    <row r="72" spans="1:51" x14ac:dyDescent="0.25">
      <c r="A72" s="102" t="str">
        <f t="shared" si="0"/>
        <v>FS Organic</v>
      </c>
      <c r="B72" s="102" t="s">
        <v>1005</v>
      </c>
      <c r="C72" s="102" t="s">
        <v>1128</v>
      </c>
      <c r="D72" t="s">
        <v>369</v>
      </c>
      <c r="E72" t="s">
        <v>55</v>
      </c>
      <c r="F72" t="s">
        <v>421</v>
      </c>
      <c r="G72" t="s">
        <v>1183</v>
      </c>
      <c r="H72" t="s">
        <v>1184</v>
      </c>
      <c r="I72" t="s">
        <v>139</v>
      </c>
      <c r="J72" t="s">
        <v>287</v>
      </c>
      <c r="K72" s="22">
        <f t="shared" si="16"/>
        <v>0.79145317534147697</v>
      </c>
      <c r="L72" s="22">
        <f t="shared" si="18"/>
        <v>0.80614249446586472</v>
      </c>
      <c r="M72" s="22">
        <f t="shared" si="18"/>
        <v>0.81576351649757217</v>
      </c>
      <c r="N72" s="22">
        <f t="shared" si="18"/>
        <v>0.8051815142548906</v>
      </c>
      <c r="O72" s="22">
        <f t="shared" si="18"/>
        <v>0.79491912717906921</v>
      </c>
      <c r="P72" s="22">
        <f t="shared" si="18"/>
        <v>0.8050882404927846</v>
      </c>
      <c r="Q72" s="22">
        <f t="shared" si="18"/>
        <v>0.80900668851215218</v>
      </c>
      <c r="R72" s="22">
        <f t="shared" si="18"/>
        <v>0.79104206342465233</v>
      </c>
      <c r="S72" s="22">
        <f t="shared" si="18"/>
        <v>0.67708002243474696</v>
      </c>
      <c r="T72" s="22">
        <f t="shared" si="18"/>
        <v>0.71326971422678453</v>
      </c>
      <c r="U72" s="22">
        <f t="shared" si="18"/>
        <v>0.73749777615328771</v>
      </c>
      <c r="V72" s="22">
        <f t="shared" si="18"/>
        <v>0.75903343240977361</v>
      </c>
      <c r="W72" s="22">
        <f t="shared" si="18"/>
        <v>0.78503971816941975</v>
      </c>
      <c r="X72" s="22">
        <f t="shared" si="18"/>
        <v>0.8265450745172781</v>
      </c>
      <c r="Y72" s="22">
        <f t="shared" si="18"/>
        <v>0.87296422483256353</v>
      </c>
      <c r="Z72" s="22">
        <f t="shared" si="18"/>
        <v>0.92344360360977484</v>
      </c>
      <c r="AA72" s="22">
        <f t="shared" si="18"/>
        <v>0.9677689116158269</v>
      </c>
      <c r="AB72" s="22">
        <f t="shared" si="18"/>
        <v>1.0193755598811634</v>
      </c>
      <c r="AC72" s="22">
        <f t="shared" si="18"/>
        <v>1.0799736712957677</v>
      </c>
      <c r="AD72" s="22">
        <f t="shared" si="18"/>
        <v>1.1399677250662128</v>
      </c>
      <c r="AE72" s="22">
        <f t="shared" si="18"/>
        <v>1.2028979209953241</v>
      </c>
      <c r="AF72" s="22">
        <f t="shared" si="18"/>
        <v>1.2673719800644652</v>
      </c>
      <c r="AG72" s="22">
        <f t="shared" si="18"/>
        <v>1.3395677079848545</v>
      </c>
      <c r="AH72" s="22">
        <f t="shared" si="18"/>
        <v>1.4033231150236891</v>
      </c>
      <c r="AI72" s="22">
        <f t="shared" si="18"/>
        <v>1.4719666098768296</v>
      </c>
      <c r="AJ72" s="22">
        <f t="shared" si="18"/>
        <v>1.5420388237441127</v>
      </c>
      <c r="AK72" s="22">
        <f t="shared" si="18"/>
        <v>1.6091811663069184</v>
      </c>
      <c r="AL72" s="22">
        <f t="shared" si="18"/>
        <v>1.6763559089740723</v>
      </c>
      <c r="AM72" s="22">
        <f t="shared" si="18"/>
        <v>1.7462483337512213</v>
      </c>
      <c r="AN72" s="22">
        <f t="shared" si="18"/>
        <v>1.8206168694032934</v>
      </c>
      <c r="AO72" s="22">
        <f t="shared" si="18"/>
        <v>1.8907719180049514</v>
      </c>
      <c r="AP72" s="22">
        <f t="shared" si="18"/>
        <v>1.9620842803375478</v>
      </c>
      <c r="AQ72" s="22">
        <f t="shared" si="18"/>
        <v>2.0346990314319551</v>
      </c>
      <c r="AR72" s="22">
        <f t="shared" si="18"/>
        <v>2.1124695104369047</v>
      </c>
      <c r="AS72" s="22">
        <f t="shared" si="18"/>
        <v>2.1930634279587973</v>
      </c>
      <c r="AT72" s="22">
        <f t="shared" si="18"/>
        <v>2.2380483172942163</v>
      </c>
      <c r="AU72" s="22">
        <f t="shared" si="18"/>
        <v>2.2806855119174227</v>
      </c>
      <c r="AV72" s="22">
        <f t="shared" si="18"/>
        <v>2.3283502130567282</v>
      </c>
      <c r="AW72" s="22">
        <f t="shared" si="18"/>
        <v>2.3741040563618498</v>
      </c>
      <c r="AY72" s="85"/>
    </row>
    <row r="73" spans="1:51" x14ac:dyDescent="0.25">
      <c r="A73" s="102" t="str">
        <f t="shared" si="0"/>
        <v>FS U&amp;D</v>
      </c>
      <c r="B73" s="102" t="s">
        <v>1005</v>
      </c>
      <c r="C73" s="102" t="s">
        <v>1337</v>
      </c>
      <c r="D73" t="s">
        <v>369</v>
      </c>
      <c r="E73" t="s">
        <v>55</v>
      </c>
      <c r="F73" t="s">
        <v>422</v>
      </c>
      <c r="G73" t="s">
        <v>1153</v>
      </c>
      <c r="H73" t="s">
        <v>1241</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85"/>
    </row>
    <row r="74" spans="1:51" x14ac:dyDescent="0.25">
      <c r="A74" s="102" t="str">
        <f t="shared" si="0"/>
        <v>FS U&amp;D</v>
      </c>
      <c r="B74" s="102" t="s">
        <v>1005</v>
      </c>
      <c r="C74" s="102" t="s">
        <v>1337</v>
      </c>
      <c r="D74" t="s">
        <v>369</v>
      </c>
      <c r="E74" t="s">
        <v>55</v>
      </c>
      <c r="F74" t="s">
        <v>422</v>
      </c>
      <c r="G74" t="s">
        <v>1155</v>
      </c>
      <c r="H74" t="s">
        <v>1242</v>
      </c>
      <c r="I74" t="s">
        <v>139</v>
      </c>
      <c r="J74" t="s">
        <v>287</v>
      </c>
      <c r="K74" s="22">
        <f t="shared" si="16"/>
        <v>1.0786753296429479</v>
      </c>
      <c r="L74" s="22">
        <f t="shared" si="18"/>
        <v>1.0859586060309057</v>
      </c>
      <c r="M74" s="22">
        <f t="shared" si="18"/>
        <v>1.0923296279678898</v>
      </c>
      <c r="N74" s="22">
        <f t="shared" si="18"/>
        <v>1.0931537330099066</v>
      </c>
      <c r="O74" s="22">
        <f t="shared" si="18"/>
        <v>1.0945731731430408</v>
      </c>
      <c r="P74" s="22">
        <f t="shared" si="18"/>
        <v>1.1027176588076981</v>
      </c>
      <c r="Q74" s="22">
        <f t="shared" si="18"/>
        <v>1.1092302651165924</v>
      </c>
      <c r="R74" s="22">
        <f t="shared" si="18"/>
        <v>1.109287368040317</v>
      </c>
      <c r="S74" s="22">
        <f t="shared" si="18"/>
        <v>1.0798981830298287</v>
      </c>
      <c r="T74" s="22">
        <f t="shared" si="18"/>
        <v>1.0940959356021487</v>
      </c>
      <c r="U74" s="22">
        <f t="shared" si="18"/>
        <v>1.1048433903618551</v>
      </c>
      <c r="V74" s="22">
        <f t="shared" si="18"/>
        <v>1.1149833596000451</v>
      </c>
      <c r="W74" s="22">
        <f t="shared" si="18"/>
        <v>1.1267409528269945</v>
      </c>
      <c r="X74" s="22">
        <f t="shared" si="18"/>
        <v>1.1435878034617475</v>
      </c>
      <c r="Y74" s="22">
        <f t="shared" si="18"/>
        <v>1.1611273352268467</v>
      </c>
      <c r="Z74" s="22">
        <f t="shared" si="18"/>
        <v>1.1801792260010431</v>
      </c>
      <c r="AA74" s="22">
        <f t="shared" si="18"/>
        <v>1.1975049735261083</v>
      </c>
      <c r="AB74" s="22">
        <f t="shared" si="18"/>
        <v>1.2173560530719671</v>
      </c>
      <c r="AC74" s="22">
        <f t="shared" si="18"/>
        <v>1.2402923210603021</v>
      </c>
      <c r="AD74" s="22">
        <f t="shared" si="18"/>
        <v>1.2623742733775345</v>
      </c>
      <c r="AE74" s="22">
        <f t="shared" si="18"/>
        <v>1.2856074455004303</v>
      </c>
      <c r="AF74" s="22">
        <f t="shared" ref="L74:AW81" si="19">AF1483</f>
        <v>1.3095452950439004</v>
      </c>
      <c r="AG74" s="22">
        <f t="shared" si="19"/>
        <v>1.3361813419952935</v>
      </c>
      <c r="AH74" s="22">
        <f t="shared" si="19"/>
        <v>1.3602968998390941</v>
      </c>
      <c r="AI74" s="22">
        <f t="shared" si="19"/>
        <v>1.3853556448541151</v>
      </c>
      <c r="AJ74" s="22">
        <f t="shared" si="19"/>
        <v>1.4110693769069982</v>
      </c>
      <c r="AK74" s="22">
        <f t="shared" si="19"/>
        <v>1.4360144578705683</v>
      </c>
      <c r="AL74" s="22">
        <f t="shared" si="19"/>
        <v>1.4611486001146794</v>
      </c>
      <c r="AM74" s="22">
        <f t="shared" si="19"/>
        <v>1.4873489277695111</v>
      </c>
      <c r="AN74" s="22">
        <f t="shared" si="19"/>
        <v>1.5144167777664856</v>
      </c>
      <c r="AO74" s="22">
        <f t="shared" si="19"/>
        <v>1.540269346746828</v>
      </c>
      <c r="AP74" s="22">
        <f t="shared" si="19"/>
        <v>1.5666680254867089</v>
      </c>
      <c r="AQ74" s="22">
        <f t="shared" si="19"/>
        <v>1.593660390525756</v>
      </c>
      <c r="AR74" s="22">
        <f t="shared" si="19"/>
        <v>1.6225260915070563</v>
      </c>
      <c r="AS74" s="22">
        <f t="shared" si="19"/>
        <v>1.6517094827819983</v>
      </c>
      <c r="AT74" s="22">
        <f t="shared" si="19"/>
        <v>1.6691760933817195</v>
      </c>
      <c r="AU74" s="22">
        <f t="shared" si="19"/>
        <v>1.6859640883447786</v>
      </c>
      <c r="AV74" s="22">
        <f t="shared" si="19"/>
        <v>1.7045379947409554</v>
      </c>
      <c r="AW74" s="22">
        <f t="shared" si="19"/>
        <v>1.7225765964260569</v>
      </c>
      <c r="AY74" s="85"/>
    </row>
    <row r="75" spans="1:51" x14ac:dyDescent="0.25">
      <c r="A75" s="102" t="str">
        <f t="shared" si="0"/>
        <v>FS U&amp;D</v>
      </c>
      <c r="B75" s="102" t="s">
        <v>1005</v>
      </c>
      <c r="C75" s="102" t="s">
        <v>1337</v>
      </c>
      <c r="D75" t="s">
        <v>369</v>
      </c>
      <c r="E75" t="s">
        <v>55</v>
      </c>
      <c r="F75" t="s">
        <v>422</v>
      </c>
      <c r="G75" t="s">
        <v>1157</v>
      </c>
      <c r="H75" t="s">
        <v>1243</v>
      </c>
      <c r="I75" t="s">
        <v>139</v>
      </c>
      <c r="J75" t="s">
        <v>287</v>
      </c>
      <c r="K75" s="22">
        <f t="shared" si="16"/>
        <v>0.73458527987811684</v>
      </c>
      <c r="L75" s="22">
        <f t="shared" si="19"/>
        <v>0.73954524093113228</v>
      </c>
      <c r="M75" s="22">
        <f t="shared" si="19"/>
        <v>0.74388395046130973</v>
      </c>
      <c r="N75" s="22">
        <f t="shared" si="19"/>
        <v>0.7444451716335222</v>
      </c>
      <c r="O75" s="22">
        <f t="shared" si="19"/>
        <v>0.7454118200761205</v>
      </c>
      <c r="P75" s="22">
        <f t="shared" si="19"/>
        <v>0.75095827053903796</v>
      </c>
      <c r="Q75" s="22">
        <f t="shared" si="19"/>
        <v>0.75539339999521871</v>
      </c>
      <c r="R75" s="22">
        <f t="shared" si="19"/>
        <v>0.75543228747697821</v>
      </c>
      <c r="S75" s="22">
        <f t="shared" si="19"/>
        <v>0.73541805140145267</v>
      </c>
      <c r="T75" s="22">
        <f t="shared" si="19"/>
        <v>0.74508681804547194</v>
      </c>
      <c r="U75" s="22">
        <f t="shared" si="19"/>
        <v>0.75240590827186049</v>
      </c>
      <c r="V75" s="22">
        <f t="shared" si="19"/>
        <v>0.75931129670162745</v>
      </c>
      <c r="W75" s="22">
        <f t="shared" si="19"/>
        <v>0.76731829813566454</v>
      </c>
      <c r="X75" s="22">
        <f t="shared" si="19"/>
        <v>0.77879111868556206</v>
      </c>
      <c r="Y75" s="22">
        <f t="shared" si="19"/>
        <v>0.79073565982461014</v>
      </c>
      <c r="Z75" s="22">
        <f t="shared" si="19"/>
        <v>0.80371012779654638</v>
      </c>
      <c r="AA75" s="22">
        <f t="shared" si="19"/>
        <v>0.81550908040540082</v>
      </c>
      <c r="AB75" s="22">
        <f t="shared" si="19"/>
        <v>0.82902780139895904</v>
      </c>
      <c r="AC75" s="22">
        <f t="shared" si="19"/>
        <v>0.84464755683097381</v>
      </c>
      <c r="AD75" s="22">
        <f t="shared" si="19"/>
        <v>0.85968551744566435</v>
      </c>
      <c r="AE75" s="22">
        <f t="shared" si="19"/>
        <v>0.8755074666247592</v>
      </c>
      <c r="AF75" s="22">
        <f t="shared" si="19"/>
        <v>0.89180930594872954</v>
      </c>
      <c r="AG75" s="22">
        <f t="shared" si="19"/>
        <v>0.90994863616879917</v>
      </c>
      <c r="AH75" s="22">
        <f t="shared" si="19"/>
        <v>0.9263714960611904</v>
      </c>
      <c r="AI75" s="22">
        <f t="shared" si="19"/>
        <v>0.94343667287055244</v>
      </c>
      <c r="AJ75" s="22">
        <f t="shared" si="19"/>
        <v>0.96094790033417754</v>
      </c>
      <c r="AK75" s="22">
        <f t="shared" si="19"/>
        <v>0.97793567114680158</v>
      </c>
      <c r="AL75" s="22">
        <f t="shared" si="19"/>
        <v>0.99505219398504785</v>
      </c>
      <c r="AM75" s="22">
        <f t="shared" si="19"/>
        <v>1.0128947963829298</v>
      </c>
      <c r="AN75" s="22">
        <f t="shared" si="19"/>
        <v>1.0313281874314744</v>
      </c>
      <c r="AO75" s="22">
        <f t="shared" si="19"/>
        <v>1.0489339637926334</v>
      </c>
      <c r="AP75" s="22">
        <f t="shared" si="19"/>
        <v>1.066911644636569</v>
      </c>
      <c r="AQ75" s="22">
        <f t="shared" si="19"/>
        <v>1.0852936299122902</v>
      </c>
      <c r="AR75" s="22">
        <f t="shared" si="19"/>
        <v>1.1049513697822153</v>
      </c>
      <c r="AS75" s="22">
        <f t="shared" si="19"/>
        <v>1.1248254589157749</v>
      </c>
      <c r="AT75" s="22">
        <f t="shared" si="19"/>
        <v>1.1367203402422674</v>
      </c>
      <c r="AU75" s="22">
        <f t="shared" si="19"/>
        <v>1.1481530796770461</v>
      </c>
      <c r="AV75" s="22">
        <f t="shared" si="19"/>
        <v>1.1608020370171399</v>
      </c>
      <c r="AW75" s="22">
        <f t="shared" si="19"/>
        <v>1.1730864481863896</v>
      </c>
      <c r="AY75" s="85"/>
    </row>
    <row r="76" spans="1:51" x14ac:dyDescent="0.25">
      <c r="A76" s="102" t="str">
        <f t="shared" si="0"/>
        <v>FS U&amp;D</v>
      </c>
      <c r="B76" s="102" t="s">
        <v>1005</v>
      </c>
      <c r="C76" s="102" t="s">
        <v>1337</v>
      </c>
      <c r="D76" t="s">
        <v>369</v>
      </c>
      <c r="E76" t="s">
        <v>55</v>
      </c>
      <c r="F76" t="s">
        <v>422</v>
      </c>
      <c r="G76" t="s">
        <v>1159</v>
      </c>
      <c r="H76" t="s">
        <v>1244</v>
      </c>
      <c r="I76" t="s">
        <v>139</v>
      </c>
      <c r="J76" t="s">
        <v>287</v>
      </c>
      <c r="K76" s="22">
        <f t="shared" si="16"/>
        <v>15.429280800788639</v>
      </c>
      <c r="L76" s="22">
        <f t="shared" si="19"/>
        <v>15.35072698203709</v>
      </c>
      <c r="M76" s="22">
        <f t="shared" si="19"/>
        <v>15.207351875662043</v>
      </c>
      <c r="N76" s="22">
        <f t="shared" si="19"/>
        <v>14.814893699547214</v>
      </c>
      <c r="O76" s="22">
        <f t="shared" si="19"/>
        <v>14.438096972663228</v>
      </c>
      <c r="P76" s="22">
        <f t="shared" si="19"/>
        <v>14.314758846199135</v>
      </c>
      <c r="Q76" s="22">
        <f t="shared" si="19"/>
        <v>14.115554649678398</v>
      </c>
      <c r="R76" s="22">
        <f t="shared" si="19"/>
        <v>13.66798161990047</v>
      </c>
      <c r="S76" s="22">
        <f t="shared" si="19"/>
        <v>12.166328141225097</v>
      </c>
      <c r="T76" s="22">
        <f t="shared" si="19"/>
        <v>12.463610414813839</v>
      </c>
      <c r="U76" s="22">
        <f t="shared" si="19"/>
        <v>12.624180384375714</v>
      </c>
      <c r="V76" s="22">
        <f t="shared" si="19"/>
        <v>12.751805743467081</v>
      </c>
      <c r="W76" s="22">
        <f t="shared" si="19"/>
        <v>12.923326016620354</v>
      </c>
      <c r="X76" s="22">
        <f t="shared" si="19"/>
        <v>13.25262145197801</v>
      </c>
      <c r="Y76" s="22">
        <f t="shared" si="19"/>
        <v>13.613027690777479</v>
      </c>
      <c r="Z76" s="22">
        <f t="shared" si="19"/>
        <v>14.005728103550339</v>
      </c>
      <c r="AA76" s="22">
        <f t="shared" si="19"/>
        <v>14.32592763712187</v>
      </c>
      <c r="AB76" s="22">
        <f t="shared" si="19"/>
        <v>14.710285410323998</v>
      </c>
      <c r="AC76" s="22">
        <f t="shared" si="19"/>
        <v>15.173253105796089</v>
      </c>
      <c r="AD76" s="22">
        <f t="shared" si="19"/>
        <v>15.47822319183811</v>
      </c>
      <c r="AE76" s="22">
        <f t="shared" si="19"/>
        <v>15.789739593019302</v>
      </c>
      <c r="AF76" s="22">
        <f t="shared" si="19"/>
        <v>16.093283241134344</v>
      </c>
      <c r="AG76" s="22">
        <f t="shared" si="19"/>
        <v>16.444459062010196</v>
      </c>
      <c r="AH76" s="22">
        <f t="shared" si="19"/>
        <v>16.694708961891717</v>
      </c>
      <c r="AI76" s="22">
        <f t="shared" si="19"/>
        <v>16.95834334016514</v>
      </c>
      <c r="AJ76" s="22">
        <f t="shared" si="19"/>
        <v>17.210617740902418</v>
      </c>
      <c r="AK76" s="22">
        <f t="shared" si="19"/>
        <v>17.41443137892249</v>
      </c>
      <c r="AL76" s="22">
        <f t="shared" si="19"/>
        <v>17.595815239613078</v>
      </c>
      <c r="AM76" s="22">
        <f t="shared" si="19"/>
        <v>17.776384709935595</v>
      </c>
      <c r="AN76" s="22">
        <f t="shared" si="19"/>
        <v>18.054309099342483</v>
      </c>
      <c r="AO76" s="22">
        <f t="shared" si="19"/>
        <v>18.280646748605641</v>
      </c>
      <c r="AP76" s="22">
        <f t="shared" si="19"/>
        <v>18.497984454615345</v>
      </c>
      <c r="AQ76" s="22">
        <f t="shared" si="19"/>
        <v>18.70703547273348</v>
      </c>
      <c r="AR76" s="22">
        <f t="shared" si="19"/>
        <v>18.935485661659122</v>
      </c>
      <c r="AS76" s="22">
        <f t="shared" si="19"/>
        <v>19.159250135643951</v>
      </c>
      <c r="AT76" s="22">
        <f t="shared" si="19"/>
        <v>19.11314806868306</v>
      </c>
      <c r="AU76" s="22">
        <f t="shared" si="19"/>
        <v>19.040808228696374</v>
      </c>
      <c r="AV76" s="22">
        <f t="shared" si="19"/>
        <v>18.992992620644625</v>
      </c>
      <c r="AW76" s="22">
        <f t="shared" si="19"/>
        <v>18.921839562511444</v>
      </c>
      <c r="AY76" s="85"/>
    </row>
    <row r="77" spans="1:51" x14ac:dyDescent="0.25">
      <c r="A77" s="102" t="str">
        <f t="shared" si="0"/>
        <v>FS U&amp;D</v>
      </c>
      <c r="B77" s="102" t="s">
        <v>1005</v>
      </c>
      <c r="C77" s="102" t="s">
        <v>1337</v>
      </c>
      <c r="D77" t="s">
        <v>369</v>
      </c>
      <c r="E77" t="s">
        <v>55</v>
      </c>
      <c r="F77" t="s">
        <v>422</v>
      </c>
      <c r="G77" t="s">
        <v>1161</v>
      </c>
      <c r="H77" t="s">
        <v>1245</v>
      </c>
      <c r="I77" t="s">
        <v>139</v>
      </c>
      <c r="J77" t="s">
        <v>287</v>
      </c>
      <c r="K77" s="22">
        <f t="shared" si="16"/>
        <v>9.701944231797869</v>
      </c>
      <c r="L77" s="22">
        <f t="shared" si="19"/>
        <v>9.652549527108631</v>
      </c>
      <c r="M77" s="22">
        <f t="shared" si="19"/>
        <v>9.5623951443970494</v>
      </c>
      <c r="N77" s="22">
        <f t="shared" si="19"/>
        <v>9.3156171262158942</v>
      </c>
      <c r="O77" s="22">
        <f t="shared" si="19"/>
        <v>9.0786870399629098</v>
      </c>
      <c r="P77" s="22">
        <f t="shared" si="19"/>
        <v>9.0011319264058365</v>
      </c>
      <c r="Q77" s="22">
        <f t="shared" si="19"/>
        <v>8.8758721667101366</v>
      </c>
      <c r="R77" s="22">
        <f t="shared" si="19"/>
        <v>8.5944378840220992</v>
      </c>
      <c r="S77" s="22">
        <f t="shared" si="19"/>
        <v>7.6501969635477565</v>
      </c>
      <c r="T77" s="22">
        <f t="shared" si="19"/>
        <v>7.8371282973344023</v>
      </c>
      <c r="U77" s="22">
        <f t="shared" si="19"/>
        <v>7.9380948239084157</v>
      </c>
      <c r="V77" s="22">
        <f t="shared" si="19"/>
        <v>8.0183457528048763</v>
      </c>
      <c r="W77" s="22">
        <f t="shared" si="19"/>
        <v>8.1261978391231704</v>
      </c>
      <c r="X77" s="22">
        <f t="shared" si="19"/>
        <v>8.3332590748913482</v>
      </c>
      <c r="Y77" s="22">
        <f t="shared" si="19"/>
        <v>8.5598828089960346</v>
      </c>
      <c r="Z77" s="22">
        <f t="shared" si="19"/>
        <v>8.8068131457834475</v>
      </c>
      <c r="AA77" s="22">
        <f t="shared" si="19"/>
        <v>9.0081548711605581</v>
      </c>
      <c r="AB77" s="22">
        <f t="shared" si="19"/>
        <v>9.249839349446443</v>
      </c>
      <c r="AC77" s="22">
        <f t="shared" si="19"/>
        <v>9.5409538103592695</v>
      </c>
      <c r="AD77" s="22">
        <f t="shared" si="19"/>
        <v>9.7327192468269903</v>
      </c>
      <c r="AE77" s="22">
        <f t="shared" si="19"/>
        <v>9.9286010115425469</v>
      </c>
      <c r="AF77" s="22">
        <f t="shared" si="19"/>
        <v>10.119469502689464</v>
      </c>
      <c r="AG77" s="22">
        <f t="shared" si="19"/>
        <v>10.340289142547157</v>
      </c>
      <c r="AH77" s="22">
        <f t="shared" si="19"/>
        <v>10.497646481752456</v>
      </c>
      <c r="AI77" s="22">
        <f t="shared" si="19"/>
        <v>10.663419991782989</v>
      </c>
      <c r="AJ77" s="22">
        <f t="shared" si="19"/>
        <v>10.822050338761844</v>
      </c>
      <c r="AK77" s="22">
        <f t="shared" si="19"/>
        <v>10.950208518995984</v>
      </c>
      <c r="AL77" s="22">
        <f t="shared" si="19"/>
        <v>11.064262837125854</v>
      </c>
      <c r="AM77" s="22">
        <f t="shared" si="19"/>
        <v>11.17780506593439</v>
      </c>
      <c r="AN77" s="22">
        <f t="shared" si="19"/>
        <v>11.352564146509573</v>
      </c>
      <c r="AO77" s="22">
        <f t="shared" si="19"/>
        <v>11.494885443208972</v>
      </c>
      <c r="AP77" s="22">
        <f t="shared" si="19"/>
        <v>11.631547568320162</v>
      </c>
      <c r="AQ77" s="22">
        <f t="shared" si="19"/>
        <v>11.762999017390882</v>
      </c>
      <c r="AR77" s="22">
        <f t="shared" si="19"/>
        <v>11.906648680736627</v>
      </c>
      <c r="AS77" s="22">
        <f t="shared" si="19"/>
        <v>12.047351962742322</v>
      </c>
      <c r="AT77" s="22">
        <f t="shared" si="19"/>
        <v>12.018362945794602</v>
      </c>
      <c r="AU77" s="22">
        <f t="shared" si="19"/>
        <v>11.972875595972562</v>
      </c>
      <c r="AV77" s="22">
        <f t="shared" si="19"/>
        <v>11.942809103002656</v>
      </c>
      <c r="AW77" s="22">
        <f t="shared" si="19"/>
        <v>11.898068002568817</v>
      </c>
      <c r="AY77" s="85"/>
    </row>
    <row r="78" spans="1:51" x14ac:dyDescent="0.25">
      <c r="A78" s="102" t="str">
        <f t="shared" si="0"/>
        <v>FS U&amp;D</v>
      </c>
      <c r="B78" s="102" t="s">
        <v>1005</v>
      </c>
      <c r="C78" s="102" t="s">
        <v>1337</v>
      </c>
      <c r="D78" t="s">
        <v>369</v>
      </c>
      <c r="E78" t="s">
        <v>55</v>
      </c>
      <c r="F78" t="s">
        <v>422</v>
      </c>
      <c r="G78" t="s">
        <v>1163</v>
      </c>
      <c r="H78" t="s">
        <v>1246</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85"/>
    </row>
    <row r="79" spans="1:51" x14ac:dyDescent="0.25">
      <c r="A79" s="102" t="str">
        <f t="shared" si="0"/>
        <v>FS U&amp;D</v>
      </c>
      <c r="B79" s="102" t="s">
        <v>1005</v>
      </c>
      <c r="C79" s="102" t="s">
        <v>1337</v>
      </c>
      <c r="D79" t="s">
        <v>369</v>
      </c>
      <c r="E79" t="s">
        <v>55</v>
      </c>
      <c r="F79" t="s">
        <v>422</v>
      </c>
      <c r="G79" t="s">
        <v>1165</v>
      </c>
      <c r="H79" t="s">
        <v>1247</v>
      </c>
      <c r="I79" t="s">
        <v>139</v>
      </c>
      <c r="J79" t="s">
        <v>287</v>
      </c>
      <c r="K79" s="22">
        <f t="shared" si="16"/>
        <v>5.7999838553710088</v>
      </c>
      <c r="L79" s="22">
        <f t="shared" si="19"/>
        <v>5.8031139960917857</v>
      </c>
      <c r="M79" s="22">
        <f t="shared" si="19"/>
        <v>5.8103099227335253</v>
      </c>
      <c r="N79" s="22">
        <f t="shared" si="19"/>
        <v>5.8209929462353873</v>
      </c>
      <c r="O79" s="22">
        <f t="shared" si="19"/>
        <v>5.8354121165006498</v>
      </c>
      <c r="P79" s="22">
        <f t="shared" si="19"/>
        <v>5.8538572193681269</v>
      </c>
      <c r="Q79" s="22">
        <f t="shared" si="19"/>
        <v>5.8741818038916174</v>
      </c>
      <c r="R79" s="22">
        <f t="shared" si="19"/>
        <v>5.8960701972534357</v>
      </c>
      <c r="S79" s="22">
        <f t="shared" si="19"/>
        <v>5.9177559307877479</v>
      </c>
      <c r="T79" s="22">
        <f t="shared" si="19"/>
        <v>5.9266307004561112</v>
      </c>
      <c r="U79" s="22">
        <f t="shared" si="19"/>
        <v>5.9367082769549988</v>
      </c>
      <c r="V79" s="22">
        <f t="shared" si="19"/>
        <v>5.9481053028915358</v>
      </c>
      <c r="W79" s="22">
        <f t="shared" si="19"/>
        <v>5.960904450999025</v>
      </c>
      <c r="X79" s="22">
        <f t="shared" si="19"/>
        <v>5.9752866719651836</v>
      </c>
      <c r="Y79" s="22">
        <f t="shared" si="19"/>
        <v>5.9843295860357024</v>
      </c>
      <c r="Z79" s="22">
        <f t="shared" si="19"/>
        <v>5.9945123676402678</v>
      </c>
      <c r="AA79" s="22">
        <f t="shared" si="19"/>
        <v>6.0055516159641433</v>
      </c>
      <c r="AB79" s="22">
        <f t="shared" si="19"/>
        <v>6.0177061448313278</v>
      </c>
      <c r="AC79" s="22">
        <f t="shared" si="19"/>
        <v>6.03097456248548</v>
      </c>
      <c r="AD79" s="22">
        <f t="shared" si="19"/>
        <v>6.0397566686890718</v>
      </c>
      <c r="AE79" s="22">
        <f t="shared" si="19"/>
        <v>6.0493932233323875</v>
      </c>
      <c r="AF79" s="22">
        <f t="shared" si="19"/>
        <v>6.0598194909466505</v>
      </c>
      <c r="AG79" s="22">
        <f t="shared" si="19"/>
        <v>6.0711483366347876</v>
      </c>
      <c r="AH79" s="22">
        <f t="shared" si="19"/>
        <v>6.0829788619886944</v>
      </c>
      <c r="AI79" s="22">
        <f t="shared" si="19"/>
        <v>6.0905477121768259</v>
      </c>
      <c r="AJ79" s="22">
        <f t="shared" si="19"/>
        <v>6.0987586244880356</v>
      </c>
      <c r="AK79" s="22">
        <f t="shared" si="19"/>
        <v>6.1074872449990725</v>
      </c>
      <c r="AL79" s="22">
        <f t="shared" si="19"/>
        <v>6.1167813545421765</v>
      </c>
      <c r="AM79" s="22">
        <f t="shared" si="19"/>
        <v>6.1266844936604166</v>
      </c>
      <c r="AN79" s="22">
        <f t="shared" si="19"/>
        <v>6.1325212653673837</v>
      </c>
      <c r="AO79" s="22">
        <f t="shared" si="19"/>
        <v>6.1387404789422586</v>
      </c>
      <c r="AP79" s="22">
        <f t="shared" si="19"/>
        <v>6.145451732291618</v>
      </c>
      <c r="AQ79" s="22">
        <f t="shared" si="19"/>
        <v>6.152643186293405</v>
      </c>
      <c r="AR79" s="22">
        <f t="shared" si="19"/>
        <v>6.1603920516403416</v>
      </c>
      <c r="AS79" s="22">
        <f t="shared" si="19"/>
        <v>6.1638844604068606</v>
      </c>
      <c r="AT79" s="22">
        <f t="shared" si="19"/>
        <v>6.1669158271420823</v>
      </c>
      <c r="AU79" s="22">
        <f t="shared" si="19"/>
        <v>6.1702623626652491</v>
      </c>
      <c r="AV79" s="22">
        <f t="shared" si="19"/>
        <v>6.1740883613222994</v>
      </c>
      <c r="AW79" s="22">
        <f t="shared" si="19"/>
        <v>6.1782170575379913</v>
      </c>
      <c r="AY79" s="85"/>
    </row>
    <row r="80" spans="1:51" x14ac:dyDescent="0.25">
      <c r="A80" s="102" t="str">
        <f t="shared" si="0"/>
        <v>FS U&amp;D</v>
      </c>
      <c r="B80" s="102" t="s">
        <v>1005</v>
      </c>
      <c r="C80" s="102" t="s">
        <v>1337</v>
      </c>
      <c r="D80" t="s">
        <v>369</v>
      </c>
      <c r="E80" t="s">
        <v>55</v>
      </c>
      <c r="F80" t="s">
        <v>422</v>
      </c>
      <c r="G80" t="s">
        <v>1167</v>
      </c>
      <c r="H80" t="s">
        <v>1248</v>
      </c>
      <c r="I80" t="s">
        <v>139</v>
      </c>
      <c r="J80" t="s">
        <v>287</v>
      </c>
      <c r="K80" s="22">
        <f t="shared" si="16"/>
        <v>0.64744945388640951</v>
      </c>
      <c r="L80" s="22">
        <f t="shared" si="19"/>
        <v>0.64779887001424552</v>
      </c>
      <c r="M80" s="22">
        <f t="shared" si="19"/>
        <v>0.64860214790097404</v>
      </c>
      <c r="N80" s="22">
        <f t="shared" si="19"/>
        <v>0.64979468876050261</v>
      </c>
      <c r="O80" s="22">
        <f t="shared" si="19"/>
        <v>0.65140429391571231</v>
      </c>
      <c r="P80" s="22">
        <f t="shared" si="19"/>
        <v>0.6534633120226967</v>
      </c>
      <c r="Q80" s="22">
        <f t="shared" si="19"/>
        <v>0.65573213577778644</v>
      </c>
      <c r="R80" s="22">
        <f t="shared" si="19"/>
        <v>0.65817552677368318</v>
      </c>
      <c r="S80" s="22">
        <f t="shared" si="19"/>
        <v>0.66059629494891092</v>
      </c>
      <c r="T80" s="22">
        <f t="shared" si="19"/>
        <v>0.66158698128846494</v>
      </c>
      <c r="U80" s="22">
        <f t="shared" si="19"/>
        <v>0.66271193638547965</v>
      </c>
      <c r="V80" s="22">
        <f t="shared" si="19"/>
        <v>0.6639841809990068</v>
      </c>
      <c r="W80" s="22">
        <f t="shared" si="19"/>
        <v>0.66541294384715366</v>
      </c>
      <c r="X80" s="22">
        <f t="shared" si="19"/>
        <v>0.66701842436958481</v>
      </c>
      <c r="Y80" s="22">
        <f t="shared" si="19"/>
        <v>0.66802788058920459</v>
      </c>
      <c r="Z80" s="22">
        <f t="shared" si="19"/>
        <v>0.66916457968239529</v>
      </c>
      <c r="AA80" s="22">
        <f t="shared" si="19"/>
        <v>0.67039688575028045</v>
      </c>
      <c r="AB80" s="22">
        <f t="shared" si="19"/>
        <v>0.671753690057592</v>
      </c>
      <c r="AC80" s="22">
        <f t="shared" si="19"/>
        <v>0.67323483724322841</v>
      </c>
      <c r="AD80" s="22">
        <f t="shared" si="19"/>
        <v>0.67421517960404742</v>
      </c>
      <c r="AE80" s="22">
        <f t="shared" si="19"/>
        <v>0.6752909036399658</v>
      </c>
      <c r="AF80" s="22">
        <f t="shared" si="19"/>
        <v>0.67645478296122918</v>
      </c>
      <c r="AG80" s="22">
        <f t="shared" si="19"/>
        <v>0.67771941664588264</v>
      </c>
      <c r="AH80" s="22">
        <f t="shared" si="19"/>
        <v>0.67904005259428835</v>
      </c>
      <c r="AI80" s="22">
        <f t="shared" si="19"/>
        <v>0.67988495976007579</v>
      </c>
      <c r="AJ80" s="22">
        <f t="shared" si="19"/>
        <v>0.68080154001691195</v>
      </c>
      <c r="AK80" s="22">
        <f t="shared" si="19"/>
        <v>0.68177591179517449</v>
      </c>
      <c r="AL80" s="22">
        <f t="shared" si="19"/>
        <v>0.68281340884656228</v>
      </c>
      <c r="AM80" s="22">
        <f t="shared" si="19"/>
        <v>0.68391889158129904</v>
      </c>
      <c r="AN80" s="22">
        <f t="shared" si="19"/>
        <v>0.68457044764565533</v>
      </c>
      <c r="AO80" s="22">
        <f t="shared" si="19"/>
        <v>0.68526469551479852</v>
      </c>
      <c r="AP80" s="22">
        <f t="shared" si="19"/>
        <v>0.68601386955119048</v>
      </c>
      <c r="AQ80" s="22">
        <f t="shared" si="19"/>
        <v>0.68681664815923671</v>
      </c>
      <c r="AR80" s="22">
        <f t="shared" si="19"/>
        <v>0.68768165033203899</v>
      </c>
      <c r="AS80" s="22">
        <f t="shared" si="19"/>
        <v>0.68807150627043723</v>
      </c>
      <c r="AT80" s="22">
        <f t="shared" si="19"/>
        <v>0.68840989630499416</v>
      </c>
      <c r="AU80" s="22">
        <f t="shared" si="19"/>
        <v>0.68878346848224781</v>
      </c>
      <c r="AV80" s="22">
        <f t="shared" si="19"/>
        <v>0.68921056290230964</v>
      </c>
      <c r="AW80" s="22">
        <f t="shared" si="19"/>
        <v>0.68967144730764052</v>
      </c>
      <c r="AY80" s="85"/>
    </row>
    <row r="81" spans="1:51" x14ac:dyDescent="0.25">
      <c r="A81" s="102" t="str">
        <f t="shared" si="0"/>
        <v>FS U&amp;D</v>
      </c>
      <c r="B81" s="102" t="s">
        <v>1005</v>
      </c>
      <c r="C81" s="102" t="s">
        <v>1337</v>
      </c>
      <c r="D81" t="s">
        <v>369</v>
      </c>
      <c r="E81" t="s">
        <v>55</v>
      </c>
      <c r="F81" t="s">
        <v>422</v>
      </c>
      <c r="G81" t="s">
        <v>1169</v>
      </c>
      <c r="H81" t="s">
        <v>1249</v>
      </c>
      <c r="I81" t="s">
        <v>139</v>
      </c>
      <c r="J81" t="s">
        <v>287</v>
      </c>
      <c r="K81" s="22">
        <f t="shared" si="16"/>
        <v>0.71689894789530229</v>
      </c>
      <c r="L81" s="22">
        <f t="shared" si="19"/>
        <v>0.71876228746109427</v>
      </c>
      <c r="M81" s="22">
        <f t="shared" si="19"/>
        <v>0.72127503720090047</v>
      </c>
      <c r="N81" s="22">
        <f t="shared" si="19"/>
        <v>0.72433550259006296</v>
      </c>
      <c r="O81" s="22">
        <f t="shared" si="19"/>
        <v>0.72800120185684258</v>
      </c>
      <c r="P81" s="22">
        <f t="shared" si="19"/>
        <v>0.73233490465194795</v>
      </c>
      <c r="Q81" s="22">
        <f t="shared" si="19"/>
        <v>0.73692777433186207</v>
      </c>
      <c r="R81" s="22">
        <f t="shared" si="19"/>
        <v>0.74172607064181018</v>
      </c>
      <c r="S81" s="22">
        <f t="shared" si="19"/>
        <v>0.74639750027277085</v>
      </c>
      <c r="T81" s="22">
        <f t="shared" si="19"/>
        <v>0.74854009324631066</v>
      </c>
      <c r="U81" s="22">
        <f t="shared" ref="L81:AW87" si="20">U1490</f>
        <v>0.75085065923922678</v>
      </c>
      <c r="V81" s="22">
        <f t="shared" si="20"/>
        <v>0.75335493730359926</v>
      </c>
      <c r="W81" s="22">
        <f t="shared" si="20"/>
        <v>0.75607146605668685</v>
      </c>
      <c r="X81" s="22">
        <f t="shared" si="20"/>
        <v>0.75903679046714201</v>
      </c>
      <c r="Y81" s="22">
        <f t="shared" si="20"/>
        <v>0.76094537488964475</v>
      </c>
      <c r="Z81" s="22">
        <f t="shared" si="20"/>
        <v>0.76302818529273087</v>
      </c>
      <c r="AA81" s="22">
        <f t="shared" si="20"/>
        <v>0.76523341198680583</v>
      </c>
      <c r="AB81" s="22">
        <f t="shared" si="20"/>
        <v>0.76761119115957532</v>
      </c>
      <c r="AC81" s="22">
        <f t="shared" si="20"/>
        <v>0.77016232439967147</v>
      </c>
      <c r="AD81" s="22">
        <f t="shared" si="20"/>
        <v>0.77184151262759737</v>
      </c>
      <c r="AE81" s="22">
        <f t="shared" si="20"/>
        <v>0.7736515769208151</v>
      </c>
      <c r="AF81" s="22">
        <f t="shared" si="20"/>
        <v>0.77558124888408586</v>
      </c>
      <c r="AG81" s="22">
        <f t="shared" si="20"/>
        <v>0.77765221756919434</v>
      </c>
      <c r="AH81" s="22">
        <f t="shared" si="20"/>
        <v>0.7797906862662336</v>
      </c>
      <c r="AI81" s="22">
        <f t="shared" si="20"/>
        <v>0.7811163537007122</v>
      </c>
      <c r="AJ81" s="22">
        <f t="shared" si="20"/>
        <v>0.78254032699837495</v>
      </c>
      <c r="AK81" s="22">
        <f t="shared" si="20"/>
        <v>0.78404012574492399</v>
      </c>
      <c r="AL81" s="22">
        <f t="shared" si="20"/>
        <v>0.78562503827513464</v>
      </c>
      <c r="AM81" s="22">
        <f t="shared" si="20"/>
        <v>0.78730345031212023</v>
      </c>
      <c r="AN81" s="22">
        <f t="shared" si="20"/>
        <v>0.78821861780581803</v>
      </c>
      <c r="AO81" s="22">
        <f t="shared" si="20"/>
        <v>0.78918935012210545</v>
      </c>
      <c r="AP81" s="22">
        <f t="shared" si="20"/>
        <v>0.79023602178732166</v>
      </c>
      <c r="AQ81" s="22">
        <f t="shared" si="20"/>
        <v>0.79135668556159844</v>
      </c>
      <c r="AR81" s="22">
        <f t="shared" si="20"/>
        <v>0.79256558771735774</v>
      </c>
      <c r="AS81" s="22">
        <f t="shared" si="20"/>
        <v>0.79298785766331426</v>
      </c>
      <c r="AT81" s="22">
        <f t="shared" si="20"/>
        <v>0.79331656903659509</v>
      </c>
      <c r="AU81" s="22">
        <f t="shared" si="20"/>
        <v>0.79369322526599873</v>
      </c>
      <c r="AV81" s="22">
        <f t="shared" si="20"/>
        <v>0.79414770745075947</v>
      </c>
      <c r="AW81" s="22">
        <f t="shared" si="20"/>
        <v>0.79464809471787612</v>
      </c>
      <c r="AY81" s="85"/>
    </row>
    <row r="82" spans="1:51" x14ac:dyDescent="0.25">
      <c r="A82" s="102" t="str">
        <f t="shared" si="0"/>
        <v>FS U&amp;D</v>
      </c>
      <c r="B82" s="102" t="s">
        <v>1005</v>
      </c>
      <c r="C82" s="102" t="s">
        <v>1337</v>
      </c>
      <c r="D82" t="s">
        <v>369</v>
      </c>
      <c r="E82" t="s">
        <v>55</v>
      </c>
      <c r="F82" t="s">
        <v>422</v>
      </c>
      <c r="G82" t="s">
        <v>1171</v>
      </c>
      <c r="H82" t="s">
        <v>1250</v>
      </c>
      <c r="I82" t="s">
        <v>139</v>
      </c>
      <c r="J82" t="s">
        <v>287</v>
      </c>
      <c r="K82" s="22">
        <f t="shared" si="16"/>
        <v>1.1864531966682197</v>
      </c>
      <c r="L82" s="22">
        <f t="shared" si="20"/>
        <v>1.1895369858002907</v>
      </c>
      <c r="M82" s="22">
        <f t="shared" si="20"/>
        <v>1.1936955355791294</v>
      </c>
      <c r="N82" s="22">
        <f t="shared" si="20"/>
        <v>1.1987605436321125</v>
      </c>
      <c r="O82" s="22">
        <f t="shared" si="20"/>
        <v>1.2048272014586632</v>
      </c>
      <c r="P82" s="22">
        <f t="shared" si="20"/>
        <v>1.2119993915556884</v>
      </c>
      <c r="Q82" s="22">
        <f t="shared" si="20"/>
        <v>1.2196004975827131</v>
      </c>
      <c r="R82" s="22">
        <f t="shared" si="20"/>
        <v>1.2275415805096901</v>
      </c>
      <c r="S82" s="22">
        <f t="shared" si="20"/>
        <v>1.2352727016599383</v>
      </c>
      <c r="T82" s="22">
        <f t="shared" si="20"/>
        <v>1.238818649509462</v>
      </c>
      <c r="U82" s="22">
        <f t="shared" si="20"/>
        <v>1.2426425892940813</v>
      </c>
      <c r="V82" s="22">
        <f t="shared" si="20"/>
        <v>1.2467871186221595</v>
      </c>
      <c r="W82" s="22">
        <f t="shared" si="20"/>
        <v>1.2512829185286929</v>
      </c>
      <c r="X82" s="22">
        <f t="shared" si="20"/>
        <v>1.2561904701944779</v>
      </c>
      <c r="Y82" s="22">
        <f t="shared" si="20"/>
        <v>1.2593491386453628</v>
      </c>
      <c r="Z82" s="22">
        <f t="shared" si="20"/>
        <v>1.2627961475551268</v>
      </c>
      <c r="AA82" s="22">
        <f t="shared" si="20"/>
        <v>1.2664457529398805</v>
      </c>
      <c r="AB82" s="22">
        <f t="shared" si="20"/>
        <v>1.2703809291718808</v>
      </c>
      <c r="AC82" s="22">
        <f t="shared" si="20"/>
        <v>1.2746030028640307</v>
      </c>
      <c r="AD82" s="22">
        <f t="shared" si="20"/>
        <v>1.2773820252725296</v>
      </c>
      <c r="AE82" s="22">
        <f t="shared" si="20"/>
        <v>1.2803776449106503</v>
      </c>
      <c r="AF82" s="22">
        <f t="shared" si="20"/>
        <v>1.2835712128131631</v>
      </c>
      <c r="AG82" s="22">
        <f t="shared" si="20"/>
        <v>1.2869986239202102</v>
      </c>
      <c r="AH82" s="22">
        <f t="shared" si="20"/>
        <v>1.2905377461759007</v>
      </c>
      <c r="AI82" s="22">
        <f t="shared" si="20"/>
        <v>1.2927316988521784</v>
      </c>
      <c r="AJ82" s="22">
        <f t="shared" si="20"/>
        <v>1.2950883457351767</v>
      </c>
      <c r="AK82" s="22">
        <f t="shared" si="20"/>
        <v>1.2975704821958689</v>
      </c>
      <c r="AL82" s="22">
        <f t="shared" si="20"/>
        <v>1.3001934802396349</v>
      </c>
      <c r="AM82" s="22">
        <f t="shared" si="20"/>
        <v>1.3029712180678941</v>
      </c>
      <c r="AN82" s="22">
        <f t="shared" si="20"/>
        <v>1.3044858016805112</v>
      </c>
      <c r="AO82" s="22">
        <f t="shared" si="20"/>
        <v>1.3060923439458467</v>
      </c>
      <c r="AP82" s="22">
        <f t="shared" si="20"/>
        <v>1.3078245642911324</v>
      </c>
      <c r="AQ82" s="22">
        <f t="shared" si="20"/>
        <v>1.309679240073939</v>
      </c>
      <c r="AR82" s="22">
        <f t="shared" si="20"/>
        <v>1.3116799485857458</v>
      </c>
      <c r="AS82" s="22">
        <f t="shared" si="20"/>
        <v>1.3123787967688931</v>
      </c>
      <c r="AT82" s="22">
        <f t="shared" si="20"/>
        <v>1.3129228074146826</v>
      </c>
      <c r="AU82" s="22">
        <f t="shared" si="20"/>
        <v>1.3135461658234697</v>
      </c>
      <c r="AV82" s="22">
        <f t="shared" si="20"/>
        <v>1.3142983246075228</v>
      </c>
      <c r="AW82" s="22">
        <f t="shared" si="20"/>
        <v>1.3151264553704232</v>
      </c>
      <c r="AY82" s="85"/>
    </row>
    <row r="83" spans="1:51" x14ac:dyDescent="0.25">
      <c r="A83" s="102" t="str">
        <f t="shared" si="0"/>
        <v>FS U&amp;D</v>
      </c>
      <c r="B83" s="102" t="s">
        <v>1005</v>
      </c>
      <c r="C83" s="102" t="s">
        <v>1337</v>
      </c>
      <c r="D83" t="s">
        <v>369</v>
      </c>
      <c r="E83" t="s">
        <v>55</v>
      </c>
      <c r="F83" t="s">
        <v>422</v>
      </c>
      <c r="G83" t="s">
        <v>1173</v>
      </c>
      <c r="H83" t="s">
        <v>1251</v>
      </c>
      <c r="I83" t="s">
        <v>139</v>
      </c>
      <c r="J83" t="s">
        <v>287</v>
      </c>
      <c r="K83" s="22">
        <f t="shared" si="16"/>
        <v>0.19181822763057532</v>
      </c>
      <c r="L83" s="22">
        <f t="shared" si="20"/>
        <v>0.19311010534642395</v>
      </c>
      <c r="M83" s="22">
        <f t="shared" si="20"/>
        <v>0.19389173119299405</v>
      </c>
      <c r="N83" s="22">
        <f t="shared" si="20"/>
        <v>0.19286331841675533</v>
      </c>
      <c r="O83" s="22">
        <f t="shared" si="20"/>
        <v>0.19181235815879408</v>
      </c>
      <c r="P83" s="22">
        <f t="shared" si="20"/>
        <v>0.19246355732374573</v>
      </c>
      <c r="Q83" s="22">
        <f t="shared" si="20"/>
        <v>0.19254768245204176</v>
      </c>
      <c r="R83" s="22">
        <f t="shared" si="20"/>
        <v>0.1907519738898287</v>
      </c>
      <c r="S83" s="22">
        <f t="shared" si="20"/>
        <v>0.18088699682644091</v>
      </c>
      <c r="T83" s="22">
        <f t="shared" si="20"/>
        <v>0.1838972381660133</v>
      </c>
      <c r="U83" s="22">
        <f t="shared" si="20"/>
        <v>0.18587548996919678</v>
      </c>
      <c r="V83" s="22">
        <f t="shared" si="20"/>
        <v>0.18760159282395869</v>
      </c>
      <c r="W83" s="22">
        <f t="shared" si="20"/>
        <v>0.1896732782375587</v>
      </c>
      <c r="X83" s="22">
        <f t="shared" si="20"/>
        <v>0.1930022477976579</v>
      </c>
      <c r="Y83" s="22">
        <f t="shared" si="20"/>
        <v>0.19680822491201644</v>
      </c>
      <c r="Z83" s="22">
        <f t="shared" si="20"/>
        <v>0.20092114686502896</v>
      </c>
      <c r="AA83" s="22">
        <f t="shared" si="20"/>
        <v>0.20449468327122119</v>
      </c>
      <c r="AB83" s="22">
        <f t="shared" si="20"/>
        <v>0.20863723377024176</v>
      </c>
      <c r="AC83" s="22">
        <f t="shared" si="20"/>
        <v>0.21348409201000912</v>
      </c>
      <c r="AD83" s="22">
        <f t="shared" si="20"/>
        <v>0.21835511855598433</v>
      </c>
      <c r="AE83" s="22">
        <f t="shared" si="20"/>
        <v>0.22343868148870985</v>
      </c>
      <c r="AF83" s="22">
        <f t="shared" si="20"/>
        <v>0.22861834548683552</v>
      </c>
      <c r="AG83" s="22">
        <f t="shared" si="20"/>
        <v>0.23439670920107816</v>
      </c>
      <c r="AH83" s="22">
        <f t="shared" si="20"/>
        <v>0.23945118587989581</v>
      </c>
      <c r="AI83" s="22">
        <f t="shared" si="20"/>
        <v>0.24500563890300198</v>
      </c>
      <c r="AJ83" s="22">
        <f t="shared" si="20"/>
        <v>0.25065226424650994</v>
      </c>
      <c r="AK83" s="22">
        <f t="shared" si="20"/>
        <v>0.25603495440723167</v>
      </c>
      <c r="AL83" s="22">
        <f t="shared" si="20"/>
        <v>0.26139389266760604</v>
      </c>
      <c r="AM83" s="22">
        <f t="shared" si="20"/>
        <v>0.26694586167829398</v>
      </c>
      <c r="AN83" s="22">
        <f t="shared" si="20"/>
        <v>0.2729875481925238</v>
      </c>
      <c r="AO83" s="22">
        <f t="shared" si="20"/>
        <v>0.27866949697835908</v>
      </c>
      <c r="AP83" s="22">
        <f t="shared" si="20"/>
        <v>0.28442636508269281</v>
      </c>
      <c r="AQ83" s="22">
        <f t="shared" si="20"/>
        <v>0.29026877942449542</v>
      </c>
      <c r="AR83" s="22">
        <f t="shared" si="20"/>
        <v>0.2965076361345787</v>
      </c>
      <c r="AS83" s="22">
        <f t="shared" si="20"/>
        <v>0.30314124222534444</v>
      </c>
      <c r="AT83" s="22">
        <f t="shared" si="20"/>
        <v>0.30687944467675132</v>
      </c>
      <c r="AU83" s="22">
        <f t="shared" si="20"/>
        <v>0.31041516575775774</v>
      </c>
      <c r="AV83" s="22">
        <f t="shared" si="20"/>
        <v>0.31434593932944749</v>
      </c>
      <c r="AW83" s="22">
        <f t="shared" si="20"/>
        <v>0.31810899011348942</v>
      </c>
      <c r="AY83" s="85"/>
    </row>
    <row r="84" spans="1:51" x14ac:dyDescent="0.25">
      <c r="A84" s="102" t="str">
        <f t="shared" si="0"/>
        <v>FS U&amp;D</v>
      </c>
      <c r="B84" s="102" t="s">
        <v>1005</v>
      </c>
      <c r="C84" s="102" t="s">
        <v>1337</v>
      </c>
      <c r="D84" t="s">
        <v>369</v>
      </c>
      <c r="E84" t="s">
        <v>55</v>
      </c>
      <c r="F84" t="s">
        <v>422</v>
      </c>
      <c r="G84" t="s">
        <v>1175</v>
      </c>
      <c r="H84" t="s">
        <v>1252</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85"/>
    </row>
    <row r="85" spans="1:51" x14ac:dyDescent="0.25">
      <c r="A85" s="102" t="str">
        <f t="shared" si="0"/>
        <v>FS U&amp;D</v>
      </c>
      <c r="B85" s="102" t="s">
        <v>1005</v>
      </c>
      <c r="C85" s="102" t="s">
        <v>1337</v>
      </c>
      <c r="D85" t="s">
        <v>369</v>
      </c>
      <c r="E85" t="s">
        <v>55</v>
      </c>
      <c r="F85" t="s">
        <v>422</v>
      </c>
      <c r="G85" t="s">
        <v>1177</v>
      </c>
      <c r="H85" t="s">
        <v>1253</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85"/>
    </row>
    <row r="86" spans="1:51" x14ac:dyDescent="0.25">
      <c r="A86" s="102" t="str">
        <f t="shared" si="0"/>
        <v>FS U&amp;D</v>
      </c>
      <c r="B86" s="102" t="s">
        <v>1005</v>
      </c>
      <c r="C86" s="102" t="s">
        <v>1337</v>
      </c>
      <c r="D86" t="s">
        <v>369</v>
      </c>
      <c r="E86" t="s">
        <v>55</v>
      </c>
      <c r="F86" t="s">
        <v>422</v>
      </c>
      <c r="G86" t="s">
        <v>1179</v>
      </c>
      <c r="H86" t="s">
        <v>1254</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85"/>
    </row>
    <row r="87" spans="1:51" x14ac:dyDescent="0.25">
      <c r="A87" s="102" t="str">
        <f t="shared" si="0"/>
        <v>FS U&amp;D</v>
      </c>
      <c r="B87" s="102" t="s">
        <v>1005</v>
      </c>
      <c r="C87" s="102" t="s">
        <v>1337</v>
      </c>
      <c r="D87" t="s">
        <v>369</v>
      </c>
      <c r="E87" t="s">
        <v>55</v>
      </c>
      <c r="F87" t="s">
        <v>422</v>
      </c>
      <c r="G87" t="s">
        <v>1181</v>
      </c>
      <c r="H87" t="s">
        <v>1255</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85"/>
    </row>
    <row r="88" spans="1:51" x14ac:dyDescent="0.25">
      <c r="A88" s="102" t="str">
        <f t="shared" si="0"/>
        <v>FS U&amp;D</v>
      </c>
      <c r="B88" s="102" t="s">
        <v>1005</v>
      </c>
      <c r="C88" s="102" t="s">
        <v>1337</v>
      </c>
      <c r="D88" t="s">
        <v>369</v>
      </c>
      <c r="E88" t="s">
        <v>55</v>
      </c>
      <c r="F88" t="s">
        <v>422</v>
      </c>
      <c r="G88" t="s">
        <v>1183</v>
      </c>
      <c r="H88" t="s">
        <v>1256</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85"/>
    </row>
    <row r="89" spans="1:51" x14ac:dyDescent="0.25">
      <c r="A89" s="102" t="str">
        <f t="shared" si="0"/>
        <v>FS FSOM</v>
      </c>
      <c r="B89" s="102" t="s">
        <v>1005</v>
      </c>
      <c r="C89" s="102" t="s">
        <v>60</v>
      </c>
      <c r="D89" t="s">
        <v>369</v>
      </c>
      <c r="E89" t="s">
        <v>55</v>
      </c>
      <c r="F89" t="s">
        <v>60</v>
      </c>
      <c r="G89" t="s">
        <v>1267</v>
      </c>
      <c r="H89" t="s">
        <v>1268</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85"/>
    </row>
    <row r="90" spans="1:51" x14ac:dyDescent="0.25">
      <c r="A90" s="102" t="str">
        <f t="shared" si="0"/>
        <v>FS FSOM</v>
      </c>
      <c r="B90" s="102" t="s">
        <v>1005</v>
      </c>
      <c r="C90" s="102" t="s">
        <v>60</v>
      </c>
      <c r="D90" t="s">
        <v>369</v>
      </c>
      <c r="E90" t="s">
        <v>55</v>
      </c>
      <c r="F90" t="s">
        <v>60</v>
      </c>
      <c r="G90" t="s">
        <v>1269</v>
      </c>
      <c r="H90" t="s">
        <v>1270</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85"/>
    </row>
    <row r="91" spans="1:51" x14ac:dyDescent="0.25">
      <c r="A91" s="102" t="str">
        <f t="shared" si="0"/>
        <v>FS FSOM</v>
      </c>
      <c r="B91" s="102" t="s">
        <v>1005</v>
      </c>
      <c r="C91" s="102" t="s">
        <v>60</v>
      </c>
      <c r="D91" t="s">
        <v>369</v>
      </c>
      <c r="E91" t="s">
        <v>55</v>
      </c>
      <c r="F91" t="s">
        <v>60</v>
      </c>
      <c r="G91" t="s">
        <v>1271</v>
      </c>
      <c r="H91" t="s">
        <v>1272</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85"/>
    </row>
    <row r="92" spans="1:51" x14ac:dyDescent="0.25">
      <c r="A92" s="102" t="str">
        <f t="shared" si="0"/>
        <v>FS FSOM</v>
      </c>
      <c r="B92" s="102" t="s">
        <v>1005</v>
      </c>
      <c r="C92" s="102" t="s">
        <v>60</v>
      </c>
      <c r="D92" t="s">
        <v>369</v>
      </c>
      <c r="E92" t="s">
        <v>55</v>
      </c>
      <c r="F92" t="s">
        <v>60</v>
      </c>
      <c r="G92" t="s">
        <v>1273</v>
      </c>
      <c r="H92" t="s">
        <v>1274</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85"/>
    </row>
    <row r="93" spans="1:51" x14ac:dyDescent="0.25">
      <c r="A93" s="102" t="str">
        <f t="shared" si="0"/>
        <v>FS FSOM</v>
      </c>
      <c r="B93" s="102" t="s">
        <v>1005</v>
      </c>
      <c r="C93" s="102" t="s">
        <v>60</v>
      </c>
      <c r="D93" t="s">
        <v>369</v>
      </c>
      <c r="E93" t="s">
        <v>55</v>
      </c>
      <c r="F93" t="s">
        <v>60</v>
      </c>
      <c r="G93" t="s">
        <v>1275</v>
      </c>
      <c r="H93" t="s">
        <v>1276</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85"/>
    </row>
    <row r="94" spans="1:51" x14ac:dyDescent="0.25">
      <c r="A94" s="102" t="str">
        <f t="shared" si="0"/>
        <v>FS FSOM</v>
      </c>
      <c r="B94" s="102" t="s">
        <v>1005</v>
      </c>
      <c r="C94" s="102" t="s">
        <v>60</v>
      </c>
      <c r="D94" t="s">
        <v>369</v>
      </c>
      <c r="E94" t="s">
        <v>55</v>
      </c>
      <c r="F94" t="s">
        <v>60</v>
      </c>
      <c r="G94" t="s">
        <v>1277</v>
      </c>
      <c r="H94" t="s">
        <v>1278</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85"/>
    </row>
    <row r="95" spans="1:51" x14ac:dyDescent="0.25">
      <c r="A95" s="102" t="str">
        <f t="shared" si="0"/>
        <v>FS FSOM</v>
      </c>
      <c r="B95" s="102" t="s">
        <v>1005</v>
      </c>
      <c r="C95" s="102" t="s">
        <v>60</v>
      </c>
      <c r="D95" t="s">
        <v>369</v>
      </c>
      <c r="E95" t="s">
        <v>55</v>
      </c>
      <c r="F95" t="s">
        <v>60</v>
      </c>
      <c r="G95" t="s">
        <v>1279</v>
      </c>
      <c r="H95" t="s">
        <v>1280</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85"/>
    </row>
    <row r="96" spans="1:51" x14ac:dyDescent="0.25">
      <c r="A96" s="102" t="str">
        <f t="shared" si="0"/>
        <v>FS FSOM</v>
      </c>
      <c r="B96" s="102" t="s">
        <v>1005</v>
      </c>
      <c r="C96" s="102" t="s">
        <v>60</v>
      </c>
      <c r="D96" t="s">
        <v>369</v>
      </c>
      <c r="E96" t="s">
        <v>55</v>
      </c>
      <c r="F96" t="s">
        <v>60</v>
      </c>
      <c r="G96" t="s">
        <v>1281</v>
      </c>
      <c r="H96" t="s">
        <v>1282</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85"/>
    </row>
    <row r="97" spans="1:51" x14ac:dyDescent="0.25">
      <c r="A97" s="102" t="str">
        <f t="shared" si="0"/>
        <v>FS FSOM</v>
      </c>
      <c r="B97" s="102" t="s">
        <v>1005</v>
      </c>
      <c r="C97" s="102" t="s">
        <v>60</v>
      </c>
      <c r="D97" t="s">
        <v>369</v>
      </c>
      <c r="E97" t="s">
        <v>55</v>
      </c>
      <c r="F97" t="s">
        <v>60</v>
      </c>
      <c r="G97" t="s">
        <v>1283</v>
      </c>
      <c r="H97" t="s">
        <v>1284</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85"/>
    </row>
    <row r="98" spans="1:51" x14ac:dyDescent="0.25">
      <c r="A98" s="102" t="str">
        <f t="shared" si="0"/>
        <v>FS FSOM</v>
      </c>
      <c r="B98" s="102" t="s">
        <v>1005</v>
      </c>
      <c r="C98" s="102" t="s">
        <v>60</v>
      </c>
      <c r="D98" t="s">
        <v>369</v>
      </c>
      <c r="E98" t="s">
        <v>55</v>
      </c>
      <c r="F98" t="s">
        <v>60</v>
      </c>
      <c r="G98" t="s">
        <v>1285</v>
      </c>
      <c r="H98" t="s">
        <v>1286</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85"/>
    </row>
    <row r="99" spans="1:51" x14ac:dyDescent="0.25">
      <c r="A99" s="102" t="str">
        <f t="shared" si="0"/>
        <v>FS FSOM</v>
      </c>
      <c r="B99" s="102" t="s">
        <v>1005</v>
      </c>
      <c r="C99" s="102" t="s">
        <v>60</v>
      </c>
      <c r="D99" t="s">
        <v>369</v>
      </c>
      <c r="E99" t="s">
        <v>55</v>
      </c>
      <c r="F99" t="s">
        <v>60</v>
      </c>
      <c r="G99" t="s">
        <v>1287</v>
      </c>
      <c r="H99" t="s">
        <v>1288</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85"/>
    </row>
    <row r="100" spans="1:51" x14ac:dyDescent="0.25">
      <c r="A100" s="102" t="str">
        <f t="shared" si="0"/>
        <v>FS FSOM</v>
      </c>
      <c r="B100" s="102" t="s">
        <v>1005</v>
      </c>
      <c r="C100" s="102" t="s">
        <v>60</v>
      </c>
      <c r="D100" t="s">
        <v>369</v>
      </c>
      <c r="E100" t="s">
        <v>55</v>
      </c>
      <c r="F100" t="s">
        <v>60</v>
      </c>
      <c r="G100" t="s">
        <v>1289</v>
      </c>
      <c r="H100" t="s">
        <v>1290</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85"/>
    </row>
    <row r="101" spans="1:51" x14ac:dyDescent="0.25">
      <c r="A101" s="102" t="str">
        <f t="shared" si="0"/>
        <v>FS Volatilisation</v>
      </c>
      <c r="B101" s="102" t="s">
        <v>1005</v>
      </c>
      <c r="C101" s="102" t="s">
        <v>62</v>
      </c>
      <c r="D101" t="s">
        <v>369</v>
      </c>
      <c r="E101" t="s">
        <v>61</v>
      </c>
      <c r="F101" t="s">
        <v>62</v>
      </c>
      <c r="G101" t="s">
        <v>435</v>
      </c>
      <c r="H101" t="s">
        <v>1185</v>
      </c>
      <c r="I101" t="s">
        <v>139</v>
      </c>
      <c r="J101" t="s">
        <v>287</v>
      </c>
      <c r="K101" s="22">
        <f t="shared" si="16"/>
        <v>0.66064812063358536</v>
      </c>
      <c r="L101" s="22">
        <f t="shared" si="22"/>
        <v>0.66056660352543128</v>
      </c>
      <c r="M101" s="22">
        <f t="shared" si="22"/>
        <v>0.66042995522505377</v>
      </c>
      <c r="N101" s="22">
        <f t="shared" si="22"/>
        <v>0.66031365898338112</v>
      </c>
      <c r="O101" s="22">
        <f t="shared" si="22"/>
        <v>0.66027560568732091</v>
      </c>
      <c r="P101" s="22">
        <f t="shared" si="22"/>
        <v>0.66023708971175277</v>
      </c>
      <c r="Q101" s="22">
        <f t="shared" si="22"/>
        <v>0.66011966991986881</v>
      </c>
      <c r="R101" s="22">
        <f t="shared" si="22"/>
        <v>0.66002765167075472</v>
      </c>
      <c r="S101" s="22">
        <f t="shared" si="22"/>
        <v>0.66002145648060517</v>
      </c>
      <c r="T101" s="22">
        <f t="shared" si="22"/>
        <v>0.66040420720172732</v>
      </c>
      <c r="U101" s="22">
        <f t="shared" si="22"/>
        <v>0.66019485697997204</v>
      </c>
      <c r="V101" s="22">
        <f t="shared" si="22"/>
        <v>0.66003652312909888</v>
      </c>
      <c r="W101" s="22">
        <f t="shared" si="22"/>
        <v>0.65989054673114655</v>
      </c>
      <c r="X101" s="22">
        <f t="shared" si="22"/>
        <v>0.65972835879321112</v>
      </c>
      <c r="Y101" s="22">
        <f t="shared" si="22"/>
        <v>0.65950794659321976</v>
      </c>
      <c r="Z101" s="22">
        <f t="shared" ref="L101:AW108" si="23">Z1510</f>
        <v>0.65927714888243172</v>
      </c>
      <c r="AA101" s="22">
        <f t="shared" si="23"/>
        <v>0.65903551292141993</v>
      </c>
      <c r="AB101" s="22">
        <f t="shared" si="23"/>
        <v>0.65882075529961204</v>
      </c>
      <c r="AC101" s="22">
        <f t="shared" si="23"/>
        <v>0.65858383398788667</v>
      </c>
      <c r="AD101" s="22">
        <f t="shared" si="23"/>
        <v>0.65832049506454571</v>
      </c>
      <c r="AE101" s="22">
        <f t="shared" si="23"/>
        <v>0.65806825645343991</v>
      </c>
      <c r="AF101" s="22">
        <f t="shared" si="23"/>
        <v>0.65781181226611019</v>
      </c>
      <c r="AG101" s="22">
        <f t="shared" si="23"/>
        <v>0.65755610222279148</v>
      </c>
      <c r="AH101" s="22">
        <f t="shared" si="23"/>
        <v>0.65728213410220515</v>
      </c>
      <c r="AI101" s="22">
        <f t="shared" si="23"/>
        <v>0.65704025946446432</v>
      </c>
      <c r="AJ101" s="22">
        <f t="shared" si="23"/>
        <v>0.65679167627959911</v>
      </c>
      <c r="AK101" s="22">
        <f t="shared" si="23"/>
        <v>0.65654442966296833</v>
      </c>
      <c r="AL101" s="22">
        <f t="shared" si="23"/>
        <v>0.6563107846246663</v>
      </c>
      <c r="AM101" s="22">
        <f t="shared" si="23"/>
        <v>0.65608183818668697</v>
      </c>
      <c r="AN101" s="22">
        <f t="shared" si="23"/>
        <v>0.6558502326056066</v>
      </c>
      <c r="AO101" s="22">
        <f t="shared" si="23"/>
        <v>0.65561383844940613</v>
      </c>
      <c r="AP101" s="22">
        <f t="shared" si="23"/>
        <v>0.65539317250053775</v>
      </c>
      <c r="AQ101" s="22">
        <f t="shared" si="23"/>
        <v>0.65517393492300557</v>
      </c>
      <c r="AR101" s="22">
        <f t="shared" si="23"/>
        <v>0.65495579618392019</v>
      </c>
      <c r="AS101" s="22">
        <f t="shared" si="23"/>
        <v>0.65472963164045961</v>
      </c>
      <c r="AT101" s="22">
        <f t="shared" si="23"/>
        <v>0.65450342769214809</v>
      </c>
      <c r="AU101" s="22">
        <f t="shared" si="23"/>
        <v>0.65436308710087154</v>
      </c>
      <c r="AV101" s="22">
        <f t="shared" si="23"/>
        <v>0.65422967735758231</v>
      </c>
      <c r="AW101" s="22">
        <f t="shared" si="23"/>
        <v>0.65408646829531714</v>
      </c>
      <c r="AY101" s="85"/>
    </row>
    <row r="102" spans="1:51" x14ac:dyDescent="0.25">
      <c r="A102" s="102" t="str">
        <f t="shared" si="0"/>
        <v>FS Volatilisation</v>
      </c>
      <c r="B102" s="102" t="s">
        <v>1005</v>
      </c>
      <c r="C102" s="102" t="s">
        <v>62</v>
      </c>
      <c r="D102" t="s">
        <v>369</v>
      </c>
      <c r="E102" t="s">
        <v>61</v>
      </c>
      <c r="F102" t="s">
        <v>62</v>
      </c>
      <c r="G102" t="s">
        <v>436</v>
      </c>
      <c r="H102" t="s">
        <v>1186</v>
      </c>
      <c r="I102" t="s">
        <v>139</v>
      </c>
      <c r="J102" t="s">
        <v>287</v>
      </c>
      <c r="K102" s="22">
        <f t="shared" si="16"/>
        <v>8.720555192363328E-3</v>
      </c>
      <c r="L102" s="22">
        <f t="shared" si="23"/>
        <v>8.7194791665356954E-3</v>
      </c>
      <c r="M102" s="22">
        <f t="shared" si="23"/>
        <v>8.7176754089707108E-3</v>
      </c>
      <c r="N102" s="22">
        <f t="shared" si="23"/>
        <v>8.7161402985806314E-3</v>
      </c>
      <c r="O102" s="22">
        <f t="shared" si="23"/>
        <v>8.7156379950726372E-3</v>
      </c>
      <c r="P102" s="22">
        <f t="shared" si="23"/>
        <v>8.7151295841951387E-3</v>
      </c>
      <c r="Q102" s="22">
        <f t="shared" si="23"/>
        <v>8.7135796429422714E-3</v>
      </c>
      <c r="R102" s="22">
        <f t="shared" si="23"/>
        <v>8.7123650020539626E-3</v>
      </c>
      <c r="S102" s="22">
        <f t="shared" si="23"/>
        <v>8.7122832255439892E-3</v>
      </c>
      <c r="T102" s="22">
        <f t="shared" si="23"/>
        <v>8.7173355350628028E-3</v>
      </c>
      <c r="U102" s="22">
        <f t="shared" si="23"/>
        <v>8.7145721121356327E-3</v>
      </c>
      <c r="V102" s="22">
        <f t="shared" si="23"/>
        <v>8.7124821053041063E-3</v>
      </c>
      <c r="W102" s="22">
        <f t="shared" si="23"/>
        <v>8.7105552168511343E-3</v>
      </c>
      <c r="X102" s="22">
        <f t="shared" si="23"/>
        <v>8.7084143360703897E-3</v>
      </c>
      <c r="Y102" s="22">
        <f t="shared" si="23"/>
        <v>8.7055048950305004E-3</v>
      </c>
      <c r="Z102" s="22">
        <f t="shared" si="23"/>
        <v>8.7024583652481006E-3</v>
      </c>
      <c r="AA102" s="22">
        <f t="shared" si="23"/>
        <v>8.6992687705627434E-3</v>
      </c>
      <c r="AB102" s="22">
        <f t="shared" si="23"/>
        <v>8.6964339699548802E-3</v>
      </c>
      <c r="AC102" s="22">
        <f t="shared" si="23"/>
        <v>8.6933066086401032E-3</v>
      </c>
      <c r="AD102" s="22">
        <f t="shared" si="23"/>
        <v>8.6898305348520055E-3</v>
      </c>
      <c r="AE102" s="22">
        <f t="shared" si="23"/>
        <v>8.6865009851854087E-3</v>
      </c>
      <c r="AF102" s="22">
        <f t="shared" si="23"/>
        <v>8.6831159219126538E-3</v>
      </c>
      <c r="AG102" s="22">
        <f t="shared" si="23"/>
        <v>8.6797405493408489E-3</v>
      </c>
      <c r="AH102" s="22">
        <f t="shared" si="23"/>
        <v>8.6761241701491087E-3</v>
      </c>
      <c r="AI102" s="22">
        <f t="shared" si="23"/>
        <v>8.672931424930929E-3</v>
      </c>
      <c r="AJ102" s="22">
        <f t="shared" si="23"/>
        <v>8.6696501268907124E-3</v>
      </c>
      <c r="AK102" s="22">
        <f t="shared" si="23"/>
        <v>8.6663864715511834E-3</v>
      </c>
      <c r="AL102" s="22">
        <f t="shared" si="23"/>
        <v>8.6633023570455974E-3</v>
      </c>
      <c r="AM102" s="22">
        <f t="shared" si="23"/>
        <v>8.6602802640642716E-3</v>
      </c>
      <c r="AN102" s="22">
        <f t="shared" si="23"/>
        <v>8.6572230703940104E-3</v>
      </c>
      <c r="AO102" s="22">
        <f t="shared" si="23"/>
        <v>8.6541026675321618E-3</v>
      </c>
      <c r="AP102" s="22">
        <f t="shared" si="23"/>
        <v>8.651189877007099E-3</v>
      </c>
      <c r="AQ102" s="22">
        <f t="shared" si="23"/>
        <v>8.6482959409836767E-3</v>
      </c>
      <c r="AR102" s="22">
        <f t="shared" si="23"/>
        <v>8.6454165096277492E-3</v>
      </c>
      <c r="AS102" s="22">
        <f t="shared" si="23"/>
        <v>8.642431137654066E-3</v>
      </c>
      <c r="AT102" s="22">
        <f t="shared" si="23"/>
        <v>8.6394452455363525E-3</v>
      </c>
      <c r="AU102" s="22">
        <f t="shared" si="23"/>
        <v>8.6375927497315073E-3</v>
      </c>
      <c r="AV102" s="22">
        <f t="shared" si="23"/>
        <v>8.635831741120089E-3</v>
      </c>
      <c r="AW102" s="22">
        <f t="shared" si="23"/>
        <v>8.6339413814981846E-3</v>
      </c>
      <c r="AY102" s="85"/>
    </row>
    <row r="103" spans="1:51" x14ac:dyDescent="0.25">
      <c r="A103" s="102" t="str">
        <f t="shared" si="0"/>
        <v>FS Volatilisation</v>
      </c>
      <c r="B103" s="102" t="s">
        <v>1005</v>
      </c>
      <c r="C103" s="102" t="s">
        <v>62</v>
      </c>
      <c r="D103" t="s">
        <v>369</v>
      </c>
      <c r="E103" t="s">
        <v>61</v>
      </c>
      <c r="F103" t="s">
        <v>62</v>
      </c>
      <c r="G103" t="s">
        <v>437</v>
      </c>
      <c r="H103" t="s">
        <v>1187</v>
      </c>
      <c r="I103" t="s">
        <v>139</v>
      </c>
      <c r="J103" t="s">
        <v>287</v>
      </c>
      <c r="K103" s="22">
        <f t="shared" si="16"/>
        <v>1.2055794850635659</v>
      </c>
      <c r="L103" s="22">
        <f t="shared" si="23"/>
        <v>1.2104278424184185</v>
      </c>
      <c r="M103" s="22">
        <f t="shared" si="23"/>
        <v>1.2110410080270337</v>
      </c>
      <c r="N103" s="22">
        <f t="shared" si="23"/>
        <v>1.1943250378730979</v>
      </c>
      <c r="O103" s="22">
        <f t="shared" si="23"/>
        <v>1.1785336367211481</v>
      </c>
      <c r="P103" s="22">
        <f t="shared" si="23"/>
        <v>1.1807984846872717</v>
      </c>
      <c r="Q103" s="22">
        <f t="shared" si="23"/>
        <v>1.1777806975328995</v>
      </c>
      <c r="R103" s="22">
        <f t="shared" si="23"/>
        <v>1.1565987272959932</v>
      </c>
      <c r="S103" s="22">
        <f t="shared" si="23"/>
        <v>1.0565661190304907</v>
      </c>
      <c r="T103" s="22">
        <f t="shared" si="23"/>
        <v>1.0843981444045876</v>
      </c>
      <c r="U103" s="22">
        <f t="shared" si="23"/>
        <v>1.1022978887172767</v>
      </c>
      <c r="V103" s="22">
        <f t="shared" si="23"/>
        <v>1.1179525333401792</v>
      </c>
      <c r="W103" s="22">
        <f t="shared" si="23"/>
        <v>1.1371937582920058</v>
      </c>
      <c r="X103" s="22">
        <f t="shared" si="23"/>
        <v>1.1688596383194103</v>
      </c>
      <c r="Y103" s="22">
        <f t="shared" si="23"/>
        <v>1.2033526446166931</v>
      </c>
      <c r="Z103" s="22">
        <f t="shared" si="23"/>
        <v>1.2408507133252609</v>
      </c>
      <c r="AA103" s="22">
        <f t="shared" si="23"/>
        <v>1.2731843133951926</v>
      </c>
      <c r="AB103" s="22">
        <f t="shared" si="23"/>
        <v>1.3110551040849183</v>
      </c>
      <c r="AC103" s="22">
        <f t="shared" si="23"/>
        <v>1.355728169291323</v>
      </c>
      <c r="AD103" s="22">
        <f t="shared" si="23"/>
        <v>1.3939596257860098</v>
      </c>
      <c r="AE103" s="22">
        <f t="shared" si="23"/>
        <v>1.4337807294637712</v>
      </c>
      <c r="AF103" s="22">
        <f t="shared" si="23"/>
        <v>1.47406827607512</v>
      </c>
      <c r="AG103" s="22">
        <f t="shared" si="23"/>
        <v>1.5194978047800693</v>
      </c>
      <c r="AH103" s="22">
        <f t="shared" si="23"/>
        <v>1.5577289711925291</v>
      </c>
      <c r="AI103" s="22">
        <f t="shared" si="23"/>
        <v>1.5982604880799263</v>
      </c>
      <c r="AJ103" s="22">
        <f t="shared" si="23"/>
        <v>1.6390864176929789</v>
      </c>
      <c r="AK103" s="22">
        <f t="shared" si="23"/>
        <v>1.6769805965077378</v>
      </c>
      <c r="AL103" s="22">
        <f t="shared" si="23"/>
        <v>1.7141634850883904</v>
      </c>
      <c r="AM103" s="22">
        <f t="shared" si="23"/>
        <v>1.7525800299502974</v>
      </c>
      <c r="AN103" s="22">
        <f t="shared" si="23"/>
        <v>1.7962799809461818</v>
      </c>
      <c r="AO103" s="22">
        <f t="shared" si="23"/>
        <v>1.8363745934977889</v>
      </c>
      <c r="AP103" s="22">
        <f t="shared" si="23"/>
        <v>1.8767319429652667</v>
      </c>
      <c r="AQ103" s="22">
        <f t="shared" si="23"/>
        <v>1.9174419078072971</v>
      </c>
      <c r="AR103" s="22">
        <f t="shared" si="23"/>
        <v>1.9611841098019933</v>
      </c>
      <c r="AS103" s="22">
        <f t="shared" si="23"/>
        <v>2.0057175014121866</v>
      </c>
      <c r="AT103" s="22">
        <f t="shared" si="23"/>
        <v>2.0250554676371522</v>
      </c>
      <c r="AU103" s="22">
        <f t="shared" si="23"/>
        <v>2.0424822718000586</v>
      </c>
      <c r="AV103" s="22">
        <f t="shared" si="23"/>
        <v>2.0630523613917346</v>
      </c>
      <c r="AW103" s="22">
        <f t="shared" si="23"/>
        <v>2.082006990762475</v>
      </c>
      <c r="AY103" s="85"/>
    </row>
    <row r="104" spans="1:51" x14ac:dyDescent="0.25">
      <c r="A104" s="102" t="str">
        <f t="shared" si="0"/>
        <v>FS Volatilisation</v>
      </c>
      <c r="B104" s="102" t="s">
        <v>1005</v>
      </c>
      <c r="C104" s="102" t="s">
        <v>62</v>
      </c>
      <c r="D104" t="s">
        <v>369</v>
      </c>
      <c r="E104" t="s">
        <v>61</v>
      </c>
      <c r="F104" t="s">
        <v>62</v>
      </c>
      <c r="G104" t="s">
        <v>438</v>
      </c>
      <c r="H104" t="s">
        <v>1266</v>
      </c>
      <c r="I104" t="s">
        <v>139</v>
      </c>
      <c r="J104" t="s">
        <v>287</v>
      </c>
      <c r="K104" s="22">
        <f t="shared" si="16"/>
        <v>4.4098974147867755</v>
      </c>
      <c r="L104" s="22">
        <f t="shared" si="23"/>
        <v>4.4002705988392581</v>
      </c>
      <c r="M104" s="22">
        <f t="shared" si="23"/>
        <v>4.3810790490560496</v>
      </c>
      <c r="N104" s="22">
        <f t="shared" si="23"/>
        <v>4.3210884872533324</v>
      </c>
      <c r="O104" s="22">
        <f t="shared" si="23"/>
        <v>4.2648964492483783</v>
      </c>
      <c r="P104" s="22">
        <f t="shared" si="23"/>
        <v>4.2527084614653266</v>
      </c>
      <c r="Q104" s="22">
        <f t="shared" si="23"/>
        <v>4.2283311412429541</v>
      </c>
      <c r="R104" s="22">
        <f t="shared" si="23"/>
        <v>4.1624951000433894</v>
      </c>
      <c r="S104" s="22">
        <f t="shared" si="23"/>
        <v>3.918294133105289</v>
      </c>
      <c r="T104" s="22">
        <f t="shared" si="23"/>
        <v>3.9728149933985741</v>
      </c>
      <c r="U104" s="22">
        <f t="shared" si="23"/>
        <v>4.0046383553460947</v>
      </c>
      <c r="V104" s="22">
        <f t="shared" si="23"/>
        <v>4.0313393560711299</v>
      </c>
      <c r="W104" s="22">
        <f t="shared" si="23"/>
        <v>4.0659554364901567</v>
      </c>
      <c r="X104" s="22">
        <f t="shared" si="23"/>
        <v>4.127860980146191</v>
      </c>
      <c r="Y104" s="22">
        <f t="shared" si="23"/>
        <v>4.1932975047825973</v>
      </c>
      <c r="Z104" s="22">
        <f t="shared" si="23"/>
        <v>4.2646556600059613</v>
      </c>
      <c r="AA104" s="22">
        <f t="shared" si="23"/>
        <v>4.3240622404895737</v>
      </c>
      <c r="AB104" s="22">
        <f t="shared" si="23"/>
        <v>4.3947968135079751</v>
      </c>
      <c r="AC104" s="22">
        <f t="shared" si="23"/>
        <v>4.4793345574908621</v>
      </c>
      <c r="AD104" s="22">
        <f t="shared" si="23"/>
        <v>4.5365384381843912</v>
      </c>
      <c r="AE104" s="22">
        <f t="shared" si="23"/>
        <v>4.5953040720129232</v>
      </c>
      <c r="AF104" s="22">
        <f t="shared" si="23"/>
        <v>4.6531478649857521</v>
      </c>
      <c r="AG104" s="22">
        <f t="shared" si="23"/>
        <v>4.7195989933520908</v>
      </c>
      <c r="AH104" s="22">
        <f t="shared" si="23"/>
        <v>4.7691902048211627</v>
      </c>
      <c r="AI104" s="22">
        <f t="shared" si="23"/>
        <v>4.8198409519315524</v>
      </c>
      <c r="AJ104" s="22">
        <f t="shared" si="23"/>
        <v>4.8689648702732589</v>
      </c>
      <c r="AK104" s="22">
        <f t="shared" si="23"/>
        <v>4.9101688608077527</v>
      </c>
      <c r="AL104" s="22">
        <f t="shared" si="23"/>
        <v>4.9479174362838023</v>
      </c>
      <c r="AM104" s="22">
        <f t="shared" si="23"/>
        <v>4.9859362473479623</v>
      </c>
      <c r="AN104" s="22">
        <f t="shared" si="23"/>
        <v>5.0387466715290952</v>
      </c>
      <c r="AO104" s="22">
        <f t="shared" si="23"/>
        <v>5.0829929376217953</v>
      </c>
      <c r="AP104" s="22">
        <f t="shared" si="23"/>
        <v>5.1260297941923829</v>
      </c>
      <c r="AQ104" s="22">
        <f t="shared" si="23"/>
        <v>5.1679798732444908</v>
      </c>
      <c r="AR104" s="22">
        <f t="shared" si="23"/>
        <v>5.2136546695362291</v>
      </c>
      <c r="AS104" s="22">
        <f t="shared" si="23"/>
        <v>5.2573345909610909</v>
      </c>
      <c r="AT104" s="22">
        <f t="shared" si="23"/>
        <v>5.2543577680109008</v>
      </c>
      <c r="AU104" s="22">
        <f t="shared" si="23"/>
        <v>5.2470482911537353</v>
      </c>
      <c r="AV104" s="22">
        <f t="shared" si="23"/>
        <v>5.2442604689487187</v>
      </c>
      <c r="AW104" s="22">
        <f t="shared" si="23"/>
        <v>5.2376395842644694</v>
      </c>
      <c r="AY104" s="85"/>
    </row>
    <row r="105" spans="1:51" x14ac:dyDescent="0.25">
      <c r="A105" s="102" t="str">
        <f t="shared" si="0"/>
        <v>FS Leaching</v>
      </c>
      <c r="B105" s="102" t="s">
        <v>1005</v>
      </c>
      <c r="C105" s="102" t="s">
        <v>1191</v>
      </c>
      <c r="D105" t="s">
        <v>369</v>
      </c>
      <c r="E105" t="s">
        <v>61</v>
      </c>
      <c r="F105" t="s">
        <v>63</v>
      </c>
      <c r="G105" t="s">
        <v>435</v>
      </c>
      <c r="H105" t="s">
        <v>1188</v>
      </c>
      <c r="I105" t="s">
        <v>139</v>
      </c>
      <c r="J105" t="s">
        <v>287</v>
      </c>
      <c r="K105" s="22">
        <f t="shared" si="16"/>
        <v>2.2792360161858692E-4</v>
      </c>
      <c r="L105" s="22">
        <f t="shared" si="23"/>
        <v>2.278954782162738E-4</v>
      </c>
      <c r="M105" s="22">
        <f t="shared" si="23"/>
        <v>2.2784833455264354E-4</v>
      </c>
      <c r="N105" s="22">
        <f t="shared" si="23"/>
        <v>2.2780821234926642E-4</v>
      </c>
      <c r="O105" s="22">
        <f t="shared" si="23"/>
        <v>2.2779508396212562E-4</v>
      </c>
      <c r="P105" s="22">
        <f t="shared" si="23"/>
        <v>2.2778179595055463E-4</v>
      </c>
      <c r="Q105" s="22">
        <f t="shared" si="23"/>
        <v>2.2774128612235473E-4</v>
      </c>
      <c r="R105" s="22">
        <f t="shared" si="23"/>
        <v>2.2770953982641034E-4</v>
      </c>
      <c r="S105" s="22">
        <f t="shared" si="23"/>
        <v>2.2770740248580869E-4</v>
      </c>
      <c r="T105" s="22">
        <f t="shared" si="23"/>
        <v>2.2783945148459591E-4</v>
      </c>
      <c r="U105" s="22">
        <f t="shared" si="23"/>
        <v>2.2776722565809031E-4</v>
      </c>
      <c r="V105" s="22">
        <f t="shared" si="23"/>
        <v>2.2771260047953912E-4</v>
      </c>
      <c r="W105" s="22">
        <f t="shared" si="23"/>
        <v>2.2766223862224547E-4</v>
      </c>
      <c r="X105" s="22">
        <f t="shared" si="23"/>
        <v>2.276062837836578E-4</v>
      </c>
      <c r="Y105" s="22">
        <f t="shared" si="23"/>
        <v>2.2753024157466073E-4</v>
      </c>
      <c r="Z105" s="22">
        <f t="shared" si="23"/>
        <v>2.2745061636443892E-4</v>
      </c>
      <c r="AA105" s="22">
        <f t="shared" si="23"/>
        <v>2.2736725195788982E-4</v>
      </c>
      <c r="AB105" s="22">
        <f t="shared" si="23"/>
        <v>2.2729316057836611E-4</v>
      </c>
      <c r="AC105" s="22">
        <f t="shared" si="23"/>
        <v>2.2721142272582082E-4</v>
      </c>
      <c r="AD105" s="22">
        <f t="shared" si="23"/>
        <v>2.2712057079726826E-4</v>
      </c>
      <c r="AE105" s="22">
        <f t="shared" si="23"/>
        <v>2.2703354847643673E-4</v>
      </c>
      <c r="AF105" s="22">
        <f t="shared" si="23"/>
        <v>2.26945075231808E-4</v>
      </c>
      <c r="AG105" s="22">
        <f t="shared" si="23"/>
        <v>2.2685685526686305E-4</v>
      </c>
      <c r="AH105" s="22">
        <f t="shared" si="23"/>
        <v>2.2676233626526071E-4</v>
      </c>
      <c r="AI105" s="22">
        <f t="shared" si="23"/>
        <v>2.2667888951524015E-4</v>
      </c>
      <c r="AJ105" s="22">
        <f t="shared" si="23"/>
        <v>2.2659312831646165E-4</v>
      </c>
      <c r="AK105" s="22">
        <f t="shared" si="23"/>
        <v>2.2650782823372401E-4</v>
      </c>
      <c r="AL105" s="22">
        <f t="shared" si="23"/>
        <v>2.2642722069550987E-4</v>
      </c>
      <c r="AM105" s="22">
        <f t="shared" si="23"/>
        <v>2.2634823417440697E-4</v>
      </c>
      <c r="AN105" s="22">
        <f t="shared" si="23"/>
        <v>2.2626833024893425E-4</v>
      </c>
      <c r="AO105" s="22">
        <f t="shared" si="23"/>
        <v>2.2618677426504506E-4</v>
      </c>
      <c r="AP105" s="22">
        <f t="shared" si="23"/>
        <v>2.2611064451268553E-4</v>
      </c>
      <c r="AQ105" s="22">
        <f t="shared" si="23"/>
        <v>2.2603500754843689E-4</v>
      </c>
      <c r="AR105" s="22">
        <f t="shared" si="23"/>
        <v>2.2595974968345244E-4</v>
      </c>
      <c r="AS105" s="22">
        <f t="shared" si="23"/>
        <v>2.2588172291595847E-4</v>
      </c>
      <c r="AT105" s="22">
        <f t="shared" si="23"/>
        <v>2.25803682553791E-4</v>
      </c>
      <c r="AU105" s="22">
        <f t="shared" si="23"/>
        <v>2.2575526504980067E-4</v>
      </c>
      <c r="AV105" s="22">
        <f t="shared" si="23"/>
        <v>2.2570923868836588E-4</v>
      </c>
      <c r="AW105" s="22">
        <f t="shared" si="23"/>
        <v>2.2565983156188431E-4</v>
      </c>
      <c r="AY105" s="85"/>
    </row>
    <row r="106" spans="1:51" x14ac:dyDescent="0.25">
      <c r="A106" s="102" t="str">
        <f t="shared" si="0"/>
        <v>FS Leaching</v>
      </c>
      <c r="B106" s="102" t="s">
        <v>1005</v>
      </c>
      <c r="C106" s="102" t="s">
        <v>1191</v>
      </c>
      <c r="D106" t="s">
        <v>369</v>
      </c>
      <c r="E106" t="s">
        <v>61</v>
      </c>
      <c r="F106" t="s">
        <v>63</v>
      </c>
      <c r="G106" t="s">
        <v>436</v>
      </c>
      <c r="H106" t="s">
        <v>1189</v>
      </c>
      <c r="I106" t="s">
        <v>139</v>
      </c>
      <c r="J106" t="s">
        <v>287</v>
      </c>
      <c r="K106" s="22">
        <f t="shared" si="16"/>
        <v>1.5042957706826741E-6</v>
      </c>
      <c r="L106" s="22">
        <f t="shared" si="23"/>
        <v>1.5041101562274073E-6</v>
      </c>
      <c r="M106" s="22">
        <f t="shared" si="23"/>
        <v>1.5037990080474479E-6</v>
      </c>
      <c r="N106" s="22">
        <f t="shared" si="23"/>
        <v>1.5035342015051588E-6</v>
      </c>
      <c r="O106" s="22">
        <f t="shared" si="23"/>
        <v>1.5034475541500297E-6</v>
      </c>
      <c r="P106" s="22">
        <f t="shared" si="23"/>
        <v>1.5033598532736611E-6</v>
      </c>
      <c r="Q106" s="22">
        <f t="shared" si="23"/>
        <v>1.5030924884075416E-6</v>
      </c>
      <c r="R106" s="22">
        <f t="shared" si="23"/>
        <v>1.5028829628543084E-6</v>
      </c>
      <c r="S106" s="22">
        <f t="shared" si="23"/>
        <v>1.5028688564063377E-6</v>
      </c>
      <c r="T106" s="22">
        <f t="shared" si="23"/>
        <v>1.5037403797983331E-6</v>
      </c>
      <c r="U106" s="22">
        <f t="shared" si="23"/>
        <v>1.5032636893433962E-6</v>
      </c>
      <c r="V106" s="22">
        <f t="shared" si="23"/>
        <v>1.5029031631649579E-6</v>
      </c>
      <c r="W106" s="22">
        <f t="shared" si="23"/>
        <v>1.5025707749068207E-6</v>
      </c>
      <c r="X106" s="22">
        <f t="shared" si="23"/>
        <v>1.5022014729721417E-6</v>
      </c>
      <c r="Y106" s="22">
        <f t="shared" si="23"/>
        <v>1.5016995943927613E-6</v>
      </c>
      <c r="Z106" s="22">
        <f t="shared" si="23"/>
        <v>1.5011740680052976E-6</v>
      </c>
      <c r="AA106" s="22">
        <f t="shared" si="23"/>
        <v>1.5006238629220729E-6</v>
      </c>
      <c r="AB106" s="22">
        <f t="shared" si="23"/>
        <v>1.5001348598172167E-6</v>
      </c>
      <c r="AC106" s="22">
        <f t="shared" si="23"/>
        <v>1.4995953899904175E-6</v>
      </c>
      <c r="AD106" s="22">
        <f t="shared" si="23"/>
        <v>1.4989957672619707E-6</v>
      </c>
      <c r="AE106" s="22">
        <f t="shared" si="23"/>
        <v>1.4984214199444828E-6</v>
      </c>
      <c r="AF106" s="22">
        <f t="shared" si="23"/>
        <v>1.497837496529933E-6</v>
      </c>
      <c r="AG106" s="22">
        <f t="shared" si="23"/>
        <v>1.497255244761296E-6</v>
      </c>
      <c r="AH106" s="22">
        <f t="shared" si="23"/>
        <v>1.4966314193507213E-6</v>
      </c>
      <c r="AI106" s="22">
        <f t="shared" si="23"/>
        <v>1.4960806708005854E-6</v>
      </c>
      <c r="AJ106" s="22">
        <f t="shared" si="23"/>
        <v>1.4955146468886474E-6</v>
      </c>
      <c r="AK106" s="22">
        <f t="shared" si="23"/>
        <v>1.494951666342579E-6</v>
      </c>
      <c r="AL106" s="22">
        <f t="shared" si="23"/>
        <v>1.494419656590365E-6</v>
      </c>
      <c r="AM106" s="22">
        <f t="shared" si="23"/>
        <v>1.493898345551086E-6</v>
      </c>
      <c r="AN106" s="22">
        <f t="shared" si="23"/>
        <v>1.4933709796429669E-6</v>
      </c>
      <c r="AO106" s="22">
        <f t="shared" si="23"/>
        <v>1.4928327101492978E-6</v>
      </c>
      <c r="AP106" s="22">
        <f t="shared" si="23"/>
        <v>1.4923302537837247E-6</v>
      </c>
      <c r="AQ106" s="22">
        <f t="shared" si="23"/>
        <v>1.4918310498196839E-6</v>
      </c>
      <c r="AR106" s="22">
        <f t="shared" si="23"/>
        <v>1.4913343479107866E-6</v>
      </c>
      <c r="AS106" s="22">
        <f t="shared" si="23"/>
        <v>1.490819371245326E-6</v>
      </c>
      <c r="AT106" s="22">
        <f t="shared" si="23"/>
        <v>1.490304304855021E-6</v>
      </c>
      <c r="AU106" s="22">
        <f t="shared" si="23"/>
        <v>1.4899847493286845E-6</v>
      </c>
      <c r="AV106" s="22">
        <f t="shared" si="23"/>
        <v>1.4896809753432154E-6</v>
      </c>
      <c r="AW106" s="22">
        <f t="shared" si="23"/>
        <v>1.489354888308437E-6</v>
      </c>
      <c r="AY106" s="85"/>
    </row>
    <row r="107" spans="1:51" x14ac:dyDescent="0.25">
      <c r="A107" s="102" t="str">
        <f t="shared" si="0"/>
        <v>FS Leaching</v>
      </c>
      <c r="B107" s="102" t="s">
        <v>1005</v>
      </c>
      <c r="C107" s="102" t="s">
        <v>1191</v>
      </c>
      <c r="D107" t="s">
        <v>369</v>
      </c>
      <c r="E107" t="s">
        <v>61</v>
      </c>
      <c r="F107" t="s">
        <v>63</v>
      </c>
      <c r="G107" t="s">
        <v>437</v>
      </c>
      <c r="H107" t="s">
        <v>1190</v>
      </c>
      <c r="I107" t="s">
        <v>139</v>
      </c>
      <c r="J107" t="s">
        <v>287</v>
      </c>
      <c r="K107" s="22">
        <f t="shared" si="16"/>
        <v>0.20796246117346509</v>
      </c>
      <c r="L107" s="22">
        <f t="shared" si="23"/>
        <v>0.20879880281717714</v>
      </c>
      <c r="M107" s="22">
        <f t="shared" si="23"/>
        <v>0.20890457388466332</v>
      </c>
      <c r="N107" s="22">
        <f t="shared" si="23"/>
        <v>0.20602106903310935</v>
      </c>
      <c r="O107" s="22">
        <f t="shared" si="23"/>
        <v>0.20329705233439804</v>
      </c>
      <c r="P107" s="22">
        <f t="shared" si="23"/>
        <v>0.2036877386085543</v>
      </c>
      <c r="Q107" s="22">
        <f t="shared" si="23"/>
        <v>0.20316717032442511</v>
      </c>
      <c r="R107" s="22">
        <f t="shared" si="23"/>
        <v>0.19951328045855884</v>
      </c>
      <c r="S107" s="22">
        <f t="shared" si="23"/>
        <v>0.18225765553275963</v>
      </c>
      <c r="T107" s="22">
        <f t="shared" si="23"/>
        <v>0.18705867990979133</v>
      </c>
      <c r="U107" s="22">
        <f t="shared" si="23"/>
        <v>0.19014638580373017</v>
      </c>
      <c r="V107" s="22">
        <f t="shared" si="23"/>
        <v>0.19284681200118092</v>
      </c>
      <c r="W107" s="22">
        <f t="shared" si="23"/>
        <v>0.19616592330537094</v>
      </c>
      <c r="X107" s="22">
        <f t="shared" si="23"/>
        <v>0.20162828761009829</v>
      </c>
      <c r="Y107" s="22">
        <f t="shared" si="23"/>
        <v>0.20757833119637956</v>
      </c>
      <c r="Z107" s="22">
        <f t="shared" si="23"/>
        <v>0.21404674804860749</v>
      </c>
      <c r="AA107" s="22">
        <f t="shared" si="23"/>
        <v>0.21962429406067066</v>
      </c>
      <c r="AB107" s="22">
        <f t="shared" si="23"/>
        <v>0.22615700545464837</v>
      </c>
      <c r="AC107" s="22">
        <f t="shared" si="23"/>
        <v>0.23386310920275319</v>
      </c>
      <c r="AD107" s="22">
        <f t="shared" si="23"/>
        <v>0.24045803544808661</v>
      </c>
      <c r="AE107" s="22">
        <f t="shared" si="23"/>
        <v>0.2473271758325005</v>
      </c>
      <c r="AF107" s="22">
        <f t="shared" si="23"/>
        <v>0.25427677762295814</v>
      </c>
      <c r="AG107" s="22">
        <f t="shared" si="23"/>
        <v>0.26211337132456192</v>
      </c>
      <c r="AH107" s="22">
        <f t="shared" si="23"/>
        <v>0.26870824753071121</v>
      </c>
      <c r="AI107" s="22">
        <f t="shared" si="23"/>
        <v>0.27569993419378713</v>
      </c>
      <c r="AJ107" s="22">
        <f t="shared" si="23"/>
        <v>0.28274240705203879</v>
      </c>
      <c r="AK107" s="22">
        <f t="shared" si="23"/>
        <v>0.28927915289758471</v>
      </c>
      <c r="AL107" s="22">
        <f t="shared" si="23"/>
        <v>0.29569320117774733</v>
      </c>
      <c r="AM107" s="22">
        <f t="shared" si="23"/>
        <v>0.30232005516642629</v>
      </c>
      <c r="AN107" s="22">
        <f t="shared" si="23"/>
        <v>0.30985829671321635</v>
      </c>
      <c r="AO107" s="22">
        <f t="shared" si="23"/>
        <v>0.31677461737836854</v>
      </c>
      <c r="AP107" s="22">
        <f t="shared" si="23"/>
        <v>0.32373626016150842</v>
      </c>
      <c r="AQ107" s="22">
        <f t="shared" si="23"/>
        <v>0.33075872909675869</v>
      </c>
      <c r="AR107" s="22">
        <f t="shared" si="23"/>
        <v>0.33830425894084387</v>
      </c>
      <c r="AS107" s="22">
        <f t="shared" si="23"/>
        <v>0.34598626899360208</v>
      </c>
      <c r="AT107" s="22">
        <f t="shared" si="23"/>
        <v>0.34932206816740874</v>
      </c>
      <c r="AU107" s="22">
        <f t="shared" si="23"/>
        <v>0.35232819188551001</v>
      </c>
      <c r="AV107" s="22">
        <f t="shared" si="23"/>
        <v>0.35587653234007416</v>
      </c>
      <c r="AW107" s="22">
        <f t="shared" si="23"/>
        <v>0.35914620590652685</v>
      </c>
      <c r="AY107" s="85"/>
    </row>
    <row r="108" spans="1:51" x14ac:dyDescent="0.25">
      <c r="A108" s="102" t="str">
        <f t="shared" si="0"/>
        <v>FS Leaching</v>
      </c>
      <c r="B108" s="102" t="s">
        <v>1005</v>
      </c>
      <c r="C108" s="102" t="s">
        <v>1191</v>
      </c>
      <c r="D108" t="s">
        <v>369</v>
      </c>
      <c r="E108" t="s">
        <v>61</v>
      </c>
      <c r="F108" t="s">
        <v>63</v>
      </c>
      <c r="G108" t="s">
        <v>438</v>
      </c>
      <c r="H108" t="s">
        <v>1192</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85"/>
    </row>
    <row r="109" spans="1:51" x14ac:dyDescent="0.25">
      <c r="A109" s="102" t="str">
        <f t="shared" si="0"/>
        <v>FS Leaching</v>
      </c>
      <c r="B109" s="102" t="s">
        <v>1005</v>
      </c>
      <c r="C109" s="102" t="s">
        <v>1191</v>
      </c>
      <c r="D109" t="s">
        <v>369</v>
      </c>
      <c r="E109" t="s">
        <v>61</v>
      </c>
      <c r="F109" t="s">
        <v>63</v>
      </c>
      <c r="G109" t="s">
        <v>439</v>
      </c>
      <c r="H109" t="s">
        <v>1193</v>
      </c>
      <c r="I109" t="s">
        <v>139</v>
      </c>
      <c r="J109" t="s">
        <v>287</v>
      </c>
      <c r="K109" s="22">
        <f t="shared" si="16"/>
        <v>0.10175116378121943</v>
      </c>
      <c r="L109" s="22">
        <f t="shared" si="24"/>
        <v>0.10196112149474701</v>
      </c>
      <c r="M109" s="22">
        <f t="shared" si="24"/>
        <v>0.10231307662851437</v>
      </c>
      <c r="N109" s="22">
        <f t="shared" si="24"/>
        <v>0.10261261243819185</v>
      </c>
      <c r="O109" s="22">
        <f t="shared" si="24"/>
        <v>0.10271062355774604</v>
      </c>
      <c r="P109" s="22">
        <f t="shared" si="24"/>
        <v>0.10280982636740998</v>
      </c>
      <c r="Q109" s="22">
        <f t="shared" si="24"/>
        <v>0.10311225602401949</v>
      </c>
      <c r="R109" s="22">
        <f t="shared" si="24"/>
        <v>0.10334926076602191</v>
      </c>
      <c r="S109" s="22">
        <f t="shared" si="24"/>
        <v>0.1033652172687505</v>
      </c>
      <c r="T109" s="22">
        <f t="shared" si="24"/>
        <v>0.10237939394800614</v>
      </c>
      <c r="U109" s="22">
        <f t="shared" si="24"/>
        <v>0.10291860215695282</v>
      </c>
      <c r="V109" s="22">
        <f t="shared" si="24"/>
        <v>0.10332641119306983</v>
      </c>
      <c r="W109" s="22">
        <f t="shared" si="24"/>
        <v>0.10370239203239459</v>
      </c>
      <c r="X109" s="22">
        <f t="shared" si="24"/>
        <v>0.1041201277615169</v>
      </c>
      <c r="Y109" s="22">
        <f t="shared" si="24"/>
        <v>0.1046878275069046</v>
      </c>
      <c r="Z109" s="22">
        <f t="shared" si="24"/>
        <v>0.10528227646052629</v>
      </c>
      <c r="AA109" s="22">
        <f t="shared" si="24"/>
        <v>0.1059046407105468</v>
      </c>
      <c r="AB109" s="22">
        <f t="shared" si="24"/>
        <v>0.10645777636830578</v>
      </c>
      <c r="AC109" s="22">
        <f t="shared" si="24"/>
        <v>0.10706799743750575</v>
      </c>
      <c r="AD109" s="22">
        <f t="shared" si="24"/>
        <v>0.10774626043627387</v>
      </c>
      <c r="AE109" s="22">
        <f t="shared" si="24"/>
        <v>0.10839593316449521</v>
      </c>
      <c r="AF109" s="22">
        <f t="shared" si="24"/>
        <v>0.10905643789090745</v>
      </c>
      <c r="AG109" s="22">
        <f t="shared" si="24"/>
        <v>0.10971505173574356</v>
      </c>
      <c r="AH109" s="22">
        <f t="shared" si="24"/>
        <v>0.11042069158828928</v>
      </c>
      <c r="AI109" s="22">
        <f t="shared" si="24"/>
        <v>0.11104367058067952</v>
      </c>
      <c r="AJ109" s="22">
        <f t="shared" si="24"/>
        <v>0.11168392829219058</v>
      </c>
      <c r="AK109" s="22">
        <f t="shared" si="24"/>
        <v>0.11232074350166987</v>
      </c>
      <c r="AL109" s="22">
        <f t="shared" si="24"/>
        <v>0.11292252611061948</v>
      </c>
      <c r="AM109" s="22">
        <f t="shared" si="24"/>
        <v>0.11351220687490285</v>
      </c>
      <c r="AN109" s="22">
        <f t="shared" si="24"/>
        <v>0.11410873660154547</v>
      </c>
      <c r="AO109" s="22">
        <f t="shared" si="24"/>
        <v>0.11471759991442693</v>
      </c>
      <c r="AP109" s="22">
        <f t="shared" si="24"/>
        <v>0.11528595322242488</v>
      </c>
      <c r="AQ109" s="22">
        <f t="shared" si="24"/>
        <v>0.1158506275777887</v>
      </c>
      <c r="AR109" s="22">
        <f t="shared" si="24"/>
        <v>0.1164124717345221</v>
      </c>
      <c r="AS109" s="22">
        <f t="shared" si="24"/>
        <v>0.11699498737450693</v>
      </c>
      <c r="AT109" s="22">
        <f t="shared" si="24"/>
        <v>0.11757760450671237</v>
      </c>
      <c r="AU109" s="22">
        <f t="shared" si="24"/>
        <v>0.11793906960682159</v>
      </c>
      <c r="AV109" s="22">
        <f t="shared" si="24"/>
        <v>0.11828268342357233</v>
      </c>
      <c r="AW109" s="22">
        <f t="shared" si="24"/>
        <v>0.11865153663672662</v>
      </c>
      <c r="AY109" s="85"/>
    </row>
    <row r="110" spans="1:51" x14ac:dyDescent="0.25">
      <c r="A110" s="102" t="str">
        <f t="shared" si="0"/>
        <v>FS Leaching</v>
      </c>
      <c r="B110" s="102" t="s">
        <v>1005</v>
      </c>
      <c r="C110" s="102" t="s">
        <v>1191</v>
      </c>
      <c r="D110" t="s">
        <v>369</v>
      </c>
      <c r="E110" t="s">
        <v>61</v>
      </c>
      <c r="F110" t="s">
        <v>63</v>
      </c>
      <c r="G110" t="s">
        <v>1194</v>
      </c>
      <c r="H110" t="s">
        <v>1195</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85"/>
    </row>
    <row r="111" spans="1:51" x14ac:dyDescent="0.25">
      <c r="A111" s="102" t="str">
        <f t="shared" si="0"/>
        <v>FS Leaching</v>
      </c>
      <c r="B111" s="102" t="s">
        <v>1005</v>
      </c>
      <c r="C111" s="102" t="s">
        <v>1191</v>
      </c>
      <c r="D111" t="s">
        <v>369</v>
      </c>
      <c r="E111" t="s">
        <v>61</v>
      </c>
      <c r="F111" t="s">
        <v>63</v>
      </c>
      <c r="G111" t="s">
        <v>1196</v>
      </c>
      <c r="H111" t="s">
        <v>1197</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85"/>
    </row>
    <row r="112" spans="1:51" x14ac:dyDescent="0.25">
      <c r="A112" s="102" t="str">
        <f t="shared" si="0"/>
        <v>FS Leaching</v>
      </c>
      <c r="B112" s="102" t="s">
        <v>1005</v>
      </c>
      <c r="C112" s="102" t="s">
        <v>1191</v>
      </c>
      <c r="D112" t="s">
        <v>369</v>
      </c>
      <c r="E112" t="s">
        <v>61</v>
      </c>
      <c r="F112" t="s">
        <v>63</v>
      </c>
      <c r="G112" t="s">
        <v>1198</v>
      </c>
      <c r="H112" t="s">
        <v>1199</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85"/>
    </row>
    <row r="113" spans="1:51" x14ac:dyDescent="0.25">
      <c r="A113" s="102" t="str">
        <f t="shared" si="0"/>
        <v>FS Leaching</v>
      </c>
      <c r="B113" s="102" t="s">
        <v>1005</v>
      </c>
      <c r="C113" s="102" t="s">
        <v>1191</v>
      </c>
      <c r="D113" t="s">
        <v>369</v>
      </c>
      <c r="E113" t="s">
        <v>61</v>
      </c>
      <c r="F113" t="s">
        <v>63</v>
      </c>
      <c r="G113" t="s">
        <v>1200</v>
      </c>
      <c r="H113" t="s">
        <v>1201</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85"/>
    </row>
    <row r="114" spans="1:51" x14ac:dyDescent="0.25">
      <c r="A114" s="102" t="str">
        <f t="shared" si="0"/>
        <v>FS Leaching</v>
      </c>
      <c r="B114" s="102" t="s">
        <v>1005</v>
      </c>
      <c r="C114" s="102" t="s">
        <v>1191</v>
      </c>
      <c r="D114" t="s">
        <v>369</v>
      </c>
      <c r="E114" t="s">
        <v>61</v>
      </c>
      <c r="F114" t="s">
        <v>63</v>
      </c>
      <c r="G114" t="s">
        <v>1202</v>
      </c>
      <c r="H114" t="s">
        <v>1203</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85"/>
    </row>
    <row r="115" spans="1:51" x14ac:dyDescent="0.25">
      <c r="A115" s="102" t="str">
        <f t="shared" si="0"/>
        <v>FS Leaching</v>
      </c>
      <c r="B115" s="102" t="s">
        <v>1005</v>
      </c>
      <c r="C115" s="102" t="s">
        <v>1191</v>
      </c>
      <c r="D115" t="s">
        <v>369</v>
      </c>
      <c r="E115" t="s">
        <v>61</v>
      </c>
      <c r="F115" t="s">
        <v>63</v>
      </c>
      <c r="G115" t="s">
        <v>1204</v>
      </c>
      <c r="H115" t="s">
        <v>1205</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85"/>
    </row>
    <row r="116" spans="1:51" x14ac:dyDescent="0.25">
      <c r="A116" s="102" t="str">
        <f t="shared" si="0"/>
        <v>FS Leaching</v>
      </c>
      <c r="B116" s="102" t="s">
        <v>1005</v>
      </c>
      <c r="C116" s="102" t="s">
        <v>1191</v>
      </c>
      <c r="D116" t="s">
        <v>369</v>
      </c>
      <c r="E116" t="s">
        <v>61</v>
      </c>
      <c r="F116" t="s">
        <v>63</v>
      </c>
      <c r="G116" t="s">
        <v>1206</v>
      </c>
      <c r="H116" t="s">
        <v>1207</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85"/>
    </row>
    <row r="117" spans="1:51" x14ac:dyDescent="0.25">
      <c r="A117" s="102" t="str">
        <f t="shared" si="0"/>
        <v>FS Leaching</v>
      </c>
      <c r="B117" s="102" t="s">
        <v>1005</v>
      </c>
      <c r="C117" s="102" t="s">
        <v>1191</v>
      </c>
      <c r="D117" t="s">
        <v>369</v>
      </c>
      <c r="E117" t="s">
        <v>61</v>
      </c>
      <c r="F117" t="s">
        <v>63</v>
      </c>
      <c r="G117" t="s">
        <v>1208</v>
      </c>
      <c r="H117" t="s">
        <v>1209</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85"/>
    </row>
    <row r="118" spans="1:51" x14ac:dyDescent="0.25">
      <c r="A118" s="102" t="str">
        <f t="shared" si="0"/>
        <v>FS Leaching</v>
      </c>
      <c r="B118" s="102" t="s">
        <v>1005</v>
      </c>
      <c r="C118" s="102" t="s">
        <v>1191</v>
      </c>
      <c r="D118" t="s">
        <v>369</v>
      </c>
      <c r="E118" t="s">
        <v>61</v>
      </c>
      <c r="F118" t="s">
        <v>63</v>
      </c>
      <c r="G118" t="s">
        <v>1210</v>
      </c>
      <c r="H118" t="s">
        <v>1211</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85"/>
    </row>
    <row r="119" spans="1:51" x14ac:dyDescent="0.25">
      <c r="A119" s="102" t="str">
        <f t="shared" si="0"/>
        <v>FS Leaching</v>
      </c>
      <c r="B119" s="102" t="s">
        <v>1005</v>
      </c>
      <c r="C119" s="102" t="s">
        <v>1191</v>
      </c>
      <c r="D119" t="s">
        <v>369</v>
      </c>
      <c r="E119" t="s">
        <v>61</v>
      </c>
      <c r="F119" t="s">
        <v>63</v>
      </c>
      <c r="G119" t="s">
        <v>1212</v>
      </c>
      <c r="H119" t="s">
        <v>1213</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85"/>
    </row>
    <row r="120" spans="1:51" x14ac:dyDescent="0.25">
      <c r="A120" s="102" t="str">
        <f t="shared" si="0"/>
        <v>FS Leaching</v>
      </c>
      <c r="B120" s="102" t="s">
        <v>1005</v>
      </c>
      <c r="C120" s="102" t="s">
        <v>1191</v>
      </c>
      <c r="D120" t="s">
        <v>369</v>
      </c>
      <c r="E120" t="s">
        <v>61</v>
      </c>
      <c r="F120" t="s">
        <v>63</v>
      </c>
      <c r="G120" t="s">
        <v>1214</v>
      </c>
      <c r="H120" t="s">
        <v>1215</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85"/>
    </row>
    <row r="121" spans="1:51" x14ac:dyDescent="0.25">
      <c r="A121" s="102" t="str">
        <f t="shared" si="0"/>
        <v xml:space="preserve">FS </v>
      </c>
      <c r="B121" s="102" t="s">
        <v>1005</v>
      </c>
      <c r="C121" s="102"/>
      <c r="D121" t="s">
        <v>369</v>
      </c>
      <c r="E121" t="s">
        <v>61</v>
      </c>
      <c r="F121" t="s">
        <v>63</v>
      </c>
      <c r="G121" t="s">
        <v>1216</v>
      </c>
      <c r="H121" t="s">
        <v>1217</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85"/>
    </row>
    <row r="122" spans="1:51" x14ac:dyDescent="0.25">
      <c r="A122" s="102" t="str">
        <f t="shared" si="0"/>
        <v>FS MM Volatilisation</v>
      </c>
      <c r="B122" s="102" t="s">
        <v>1005</v>
      </c>
      <c r="C122" s="102" t="s">
        <v>1333</v>
      </c>
      <c r="D122" t="s">
        <v>369</v>
      </c>
      <c r="E122" t="s">
        <v>64</v>
      </c>
      <c r="F122" t="s">
        <v>62</v>
      </c>
      <c r="G122" t="s">
        <v>1153</v>
      </c>
      <c r="H122" t="s">
        <v>1291</v>
      </c>
      <c r="I122" t="s">
        <v>139</v>
      </c>
      <c r="J122" t="s">
        <v>287</v>
      </c>
      <c r="K122" s="22">
        <f t="shared" si="26"/>
        <v>0.39650006889927725</v>
      </c>
      <c r="L122" s="22">
        <f t="shared" si="27"/>
        <v>0.39917725962597483</v>
      </c>
      <c r="M122" s="22">
        <f t="shared" si="27"/>
        <v>0.40151912336157097</v>
      </c>
      <c r="N122" s="22">
        <f t="shared" si="27"/>
        <v>0.40182204834461305</v>
      </c>
      <c r="O122" s="22">
        <f t="shared" si="27"/>
        <v>0.40234380692675509</v>
      </c>
      <c r="P122" s="22">
        <f t="shared" si="27"/>
        <v>0.40533756143141658</v>
      </c>
      <c r="Q122" s="22">
        <f t="shared" si="27"/>
        <v>0.40773146882804268</v>
      </c>
      <c r="R122" s="22">
        <f t="shared" si="27"/>
        <v>0.4077524587520438</v>
      </c>
      <c r="S122" s="22">
        <f t="shared" si="27"/>
        <v>0.39694956601748077</v>
      </c>
      <c r="T122" s="22">
        <f t="shared" si="27"/>
        <v>0.40216838368989699</v>
      </c>
      <c r="U122" s="22">
        <f t="shared" si="27"/>
        <v>0.40611893900122115</v>
      </c>
      <c r="V122" s="22">
        <f t="shared" si="27"/>
        <v>0.40984619445157972</v>
      </c>
      <c r="W122" s="22">
        <f t="shared" si="27"/>
        <v>0.41416805701435672</v>
      </c>
      <c r="X122" s="22">
        <f t="shared" si="27"/>
        <v>0.42036063160455023</v>
      </c>
      <c r="Y122" s="22">
        <f t="shared" si="27"/>
        <v>0.42680782230429931</v>
      </c>
      <c r="Z122" s="22">
        <f t="shared" si="27"/>
        <v>0.43381092675754646</v>
      </c>
      <c r="AA122" s="22">
        <f t="shared" si="27"/>
        <v>0.4401795345291673</v>
      </c>
      <c r="AB122" s="22">
        <f t="shared" si="27"/>
        <v>0.44747640522914289</v>
      </c>
      <c r="AC122" s="22">
        <f t="shared" si="27"/>
        <v>0.45590733118781618</v>
      </c>
      <c r="AD122" s="22">
        <f t="shared" si="27"/>
        <v>0.46402422732384918</v>
      </c>
      <c r="AE122" s="22">
        <f t="shared" si="27"/>
        <v>0.47256428946703954</v>
      </c>
      <c r="AF122" s="22">
        <f t="shared" si="27"/>
        <v>0.48136337732272266</v>
      </c>
      <c r="AG122" s="22">
        <f t="shared" si="27"/>
        <v>0.49115427006051043</v>
      </c>
      <c r="AH122" s="22">
        <f t="shared" si="27"/>
        <v>0.50001868003063199</v>
      </c>
      <c r="AI122" s="22">
        <f t="shared" si="27"/>
        <v>0.50922978725811852</v>
      </c>
      <c r="AJ122" s="22">
        <f t="shared" si="27"/>
        <v>0.51868165497998486</v>
      </c>
      <c r="AK122" s="22">
        <f t="shared" si="27"/>
        <v>0.52785098151313881</v>
      </c>
      <c r="AL122" s="22">
        <f t="shared" si="27"/>
        <v>0.53708980329541955</v>
      </c>
      <c r="AM122" s="22">
        <f t="shared" si="27"/>
        <v>0.54672053409535659</v>
      </c>
      <c r="AN122" s="22">
        <f t="shared" si="27"/>
        <v>0.55667014923331293</v>
      </c>
      <c r="AO122" s="22">
        <f t="shared" si="27"/>
        <v>0.5661730507090722</v>
      </c>
      <c r="AP122" s="22">
        <f t="shared" si="27"/>
        <v>0.57587669150956888</v>
      </c>
      <c r="AQ122" s="22">
        <f t="shared" si="27"/>
        <v>0.5857985598453167</v>
      </c>
      <c r="AR122" s="22">
        <f t="shared" si="27"/>
        <v>0.59640903003350576</v>
      </c>
      <c r="AS122" s="22">
        <f t="shared" si="27"/>
        <v>0.60713627699395989</v>
      </c>
      <c r="AT122" s="22">
        <f t="shared" si="27"/>
        <v>0.61355666329177083</v>
      </c>
      <c r="AU122" s="22">
        <f t="shared" si="27"/>
        <v>0.6197276036819036</v>
      </c>
      <c r="AV122" s="22">
        <f t="shared" si="27"/>
        <v>0.62655501037549211</v>
      </c>
      <c r="AW122" s="22">
        <f t="shared" si="27"/>
        <v>0.63318564946997902</v>
      </c>
      <c r="AY122" s="85"/>
    </row>
    <row r="123" spans="1:51" x14ac:dyDescent="0.25">
      <c r="A123" s="102" t="str">
        <f t="shared" si="0"/>
        <v>FS MM Volatilisation</v>
      </c>
      <c r="B123" s="102" t="s">
        <v>1005</v>
      </c>
      <c r="C123" s="102" t="s">
        <v>1333</v>
      </c>
      <c r="D123" t="s">
        <v>369</v>
      </c>
      <c r="E123" t="s">
        <v>64</v>
      </c>
      <c r="F123" t="s">
        <v>62</v>
      </c>
      <c r="G123" t="s">
        <v>1155</v>
      </c>
      <c r="H123" t="s">
        <v>1292</v>
      </c>
      <c r="I123" t="s">
        <v>139</v>
      </c>
      <c r="J123" t="s">
        <v>287</v>
      </c>
      <c r="K123" s="22">
        <f t="shared" si="26"/>
        <v>3.1281584559645491E-2</v>
      </c>
      <c r="L123" s="22">
        <f t="shared" si="27"/>
        <v>3.1492799574896264E-2</v>
      </c>
      <c r="M123" s="22">
        <f t="shared" si="27"/>
        <v>3.1677559211068809E-2</v>
      </c>
      <c r="N123" s="22">
        <f t="shared" si="27"/>
        <v>3.1701458257287304E-2</v>
      </c>
      <c r="O123" s="22">
        <f t="shared" si="27"/>
        <v>3.1742622021148185E-2</v>
      </c>
      <c r="P123" s="22">
        <f t="shared" si="27"/>
        <v>3.1978812105423256E-2</v>
      </c>
      <c r="Q123" s="22">
        <f t="shared" si="27"/>
        <v>3.2167677688381177E-2</v>
      </c>
      <c r="R123" s="22">
        <f t="shared" si="27"/>
        <v>3.2169333673169188E-2</v>
      </c>
      <c r="S123" s="22">
        <f t="shared" si="27"/>
        <v>3.1317047307865033E-2</v>
      </c>
      <c r="T123" s="22">
        <f t="shared" si="27"/>
        <v>3.1728782132462323E-2</v>
      </c>
      <c r="U123" s="22">
        <f t="shared" si="27"/>
        <v>3.2040458320493799E-2</v>
      </c>
      <c r="V123" s="22">
        <f t="shared" si="27"/>
        <v>3.2334517428401308E-2</v>
      </c>
      <c r="W123" s="22">
        <f t="shared" si="27"/>
        <v>3.2675487631982837E-2</v>
      </c>
      <c r="X123" s="22">
        <f t="shared" si="27"/>
        <v>3.316404630039068E-2</v>
      </c>
      <c r="Y123" s="22">
        <f t="shared" si="27"/>
        <v>3.3672692721578558E-2</v>
      </c>
      <c r="Z123" s="22">
        <f t="shared" si="27"/>
        <v>3.4225197554030251E-2</v>
      </c>
      <c r="AA123" s="22">
        <f t="shared" si="27"/>
        <v>3.4727644232257139E-2</v>
      </c>
      <c r="AB123" s="22">
        <f t="shared" si="27"/>
        <v>3.5303325539087042E-2</v>
      </c>
      <c r="AC123" s="22">
        <f t="shared" si="27"/>
        <v>3.5968477310748759E-2</v>
      </c>
      <c r="AD123" s="22">
        <f t="shared" si="27"/>
        <v>3.6608853927948493E-2</v>
      </c>
      <c r="AE123" s="22">
        <f t="shared" si="27"/>
        <v>3.7282615919512485E-2</v>
      </c>
      <c r="AF123" s="22">
        <f t="shared" si="27"/>
        <v>3.7976813556273109E-2</v>
      </c>
      <c r="AG123" s="22">
        <f t="shared" si="27"/>
        <v>3.8749258917863509E-2</v>
      </c>
      <c r="AH123" s="22">
        <f t="shared" si="27"/>
        <v>3.9448610095333729E-2</v>
      </c>
      <c r="AI123" s="22">
        <f t="shared" si="27"/>
        <v>4.0175313700769343E-2</v>
      </c>
      <c r="AJ123" s="22">
        <f t="shared" si="27"/>
        <v>4.0921011930302946E-2</v>
      </c>
      <c r="AK123" s="22">
        <f t="shared" si="27"/>
        <v>4.164441927824649E-2</v>
      </c>
      <c r="AL123" s="22">
        <f t="shared" si="27"/>
        <v>4.2373309403325697E-2</v>
      </c>
      <c r="AM123" s="22">
        <f t="shared" si="27"/>
        <v>4.313311890531582E-2</v>
      </c>
      <c r="AN123" s="22">
        <f t="shared" si="27"/>
        <v>4.3918086555228081E-2</v>
      </c>
      <c r="AO123" s="22">
        <f t="shared" si="27"/>
        <v>4.4667811055658022E-2</v>
      </c>
      <c r="AP123" s="22">
        <f t="shared" si="27"/>
        <v>4.5433372739114561E-2</v>
      </c>
      <c r="AQ123" s="22">
        <f t="shared" si="27"/>
        <v>4.6216151325246931E-2</v>
      </c>
      <c r="AR123" s="22">
        <f t="shared" si="27"/>
        <v>4.705325665370462E-2</v>
      </c>
      <c r="AS123" s="22">
        <f t="shared" si="27"/>
        <v>4.7899575000677964E-2</v>
      </c>
      <c r="AT123" s="22">
        <f t="shared" si="27"/>
        <v>4.8406106708069871E-2</v>
      </c>
      <c r="AU123" s="22">
        <f t="shared" si="27"/>
        <v>4.8892958561998573E-2</v>
      </c>
      <c r="AV123" s="22">
        <f t="shared" si="27"/>
        <v>4.9431601847487718E-2</v>
      </c>
      <c r="AW123" s="22">
        <f t="shared" si="27"/>
        <v>4.9954721296355649E-2</v>
      </c>
      <c r="AY123" s="85"/>
    </row>
    <row r="124" spans="1:51" x14ac:dyDescent="0.25">
      <c r="A124" s="102" t="str">
        <f t="shared" si="0"/>
        <v>FS MM Volatilisation</v>
      </c>
      <c r="B124" s="102" t="s">
        <v>1005</v>
      </c>
      <c r="C124" s="102" t="s">
        <v>1333</v>
      </c>
      <c r="D124" t="s">
        <v>369</v>
      </c>
      <c r="E124" t="s">
        <v>64</v>
      </c>
      <c r="F124" t="s">
        <v>62</v>
      </c>
      <c r="G124" t="s">
        <v>1157</v>
      </c>
      <c r="H124" t="s">
        <v>1293</v>
      </c>
      <c r="I124" t="s">
        <v>139</v>
      </c>
      <c r="J124" t="s">
        <v>287</v>
      </c>
      <c r="K124" s="22">
        <f t="shared" si="26"/>
        <v>2.8996787363609876E-4</v>
      </c>
      <c r="L124" s="22">
        <f t="shared" si="27"/>
        <v>2.9192575299913116E-4</v>
      </c>
      <c r="M124" s="22">
        <f t="shared" si="27"/>
        <v>2.9363840149788538E-4</v>
      </c>
      <c r="N124" s="22">
        <f t="shared" si="27"/>
        <v>2.9385993617112721E-4</v>
      </c>
      <c r="O124" s="22">
        <f t="shared" si="27"/>
        <v>2.9424150792478436E-4</v>
      </c>
      <c r="P124" s="22">
        <f t="shared" si="27"/>
        <v>2.964308962654098E-4</v>
      </c>
      <c r="Q124" s="22">
        <f t="shared" si="27"/>
        <v>2.9818160526127053E-4</v>
      </c>
      <c r="R124" s="22">
        <f t="shared" si="27"/>
        <v>2.9819695558301769E-4</v>
      </c>
      <c r="S124" s="22">
        <f t="shared" si="27"/>
        <v>2.9029659923741555E-4</v>
      </c>
      <c r="T124" s="22">
        <f t="shared" si="27"/>
        <v>2.9411321764952843E-4</v>
      </c>
      <c r="U124" s="22">
        <f t="shared" si="27"/>
        <v>2.970023322125765E-4</v>
      </c>
      <c r="V124" s="22">
        <f t="shared" si="27"/>
        <v>2.99728143434853E-4</v>
      </c>
      <c r="W124" s="22">
        <f t="shared" si="27"/>
        <v>3.0288880189565705E-4</v>
      </c>
      <c r="X124" s="22">
        <f t="shared" si="27"/>
        <v>3.0741754684956394E-4</v>
      </c>
      <c r="Y124" s="22">
        <f t="shared" si="27"/>
        <v>3.1213249729918828E-4</v>
      </c>
      <c r="Z124" s="22">
        <f t="shared" si="27"/>
        <v>3.1725399781442622E-4</v>
      </c>
      <c r="AA124" s="22">
        <f t="shared" si="27"/>
        <v>3.2191147910739512E-4</v>
      </c>
      <c r="AB124" s="22">
        <f t="shared" si="27"/>
        <v>3.2724781634169446E-4</v>
      </c>
      <c r="AC124" s="22">
        <f t="shared" si="27"/>
        <v>3.3341350927538441E-4</v>
      </c>
      <c r="AD124" s="22">
        <f t="shared" si="27"/>
        <v>3.3934954636013071E-4</v>
      </c>
      <c r="AE124" s="22">
        <f t="shared" si="27"/>
        <v>3.4559505261503654E-4</v>
      </c>
      <c r="AF124" s="22">
        <f t="shared" si="27"/>
        <v>3.5202998919028807E-4</v>
      </c>
      <c r="AG124" s="22">
        <f t="shared" si="27"/>
        <v>3.5919025111926287E-4</v>
      </c>
      <c r="AH124" s="22">
        <f t="shared" si="27"/>
        <v>3.6567295897152252E-4</v>
      </c>
      <c r="AI124" s="22">
        <f t="shared" si="27"/>
        <v>3.7240921297521811E-4</v>
      </c>
      <c r="AJ124" s="22">
        <f t="shared" si="27"/>
        <v>3.7932153960559638E-4</v>
      </c>
      <c r="AK124" s="22">
        <f t="shared" si="27"/>
        <v>3.8602723861057959E-4</v>
      </c>
      <c r="AL124" s="22">
        <f t="shared" si="27"/>
        <v>3.9278376078357157E-4</v>
      </c>
      <c r="AM124" s="22">
        <f t="shared" si="27"/>
        <v>3.9982689330905129E-4</v>
      </c>
      <c r="AN124" s="22">
        <f t="shared" si="27"/>
        <v>4.0710323188084528E-4</v>
      </c>
      <c r="AO124" s="22">
        <f t="shared" si="27"/>
        <v>4.1405288044446054E-4</v>
      </c>
      <c r="AP124" s="22">
        <f t="shared" si="27"/>
        <v>4.2114933340917202E-4</v>
      </c>
      <c r="AQ124" s="22">
        <f t="shared" si="27"/>
        <v>4.284053802285357E-4</v>
      </c>
      <c r="AR124" s="22">
        <f t="shared" si="27"/>
        <v>4.3616501438771657E-4</v>
      </c>
      <c r="AS124" s="22">
        <f t="shared" si="27"/>
        <v>4.4401004957201647E-4</v>
      </c>
      <c r="AT124" s="22">
        <f t="shared" si="27"/>
        <v>4.4870539746405302E-4</v>
      </c>
      <c r="AU124" s="22">
        <f t="shared" si="27"/>
        <v>4.5321832092514971E-4</v>
      </c>
      <c r="AV124" s="22">
        <f t="shared" si="27"/>
        <v>4.5821133040150263E-4</v>
      </c>
      <c r="AW124" s="22">
        <f t="shared" si="27"/>
        <v>4.630604400735748E-4</v>
      </c>
      <c r="AY124" s="85"/>
    </row>
    <row r="125" spans="1:51" x14ac:dyDescent="0.25">
      <c r="A125" s="102" t="str">
        <f t="shared" si="0"/>
        <v>FS MM Volatilisation</v>
      </c>
      <c r="B125" s="102" t="s">
        <v>1005</v>
      </c>
      <c r="C125" s="102" t="s">
        <v>1333</v>
      </c>
      <c r="D125" t="s">
        <v>369</v>
      </c>
      <c r="E125" t="s">
        <v>64</v>
      </c>
      <c r="F125" t="s">
        <v>62</v>
      </c>
      <c r="G125" t="s">
        <v>1159</v>
      </c>
      <c r="H125" t="s">
        <v>1294</v>
      </c>
      <c r="I125" t="s">
        <v>139</v>
      </c>
      <c r="J125" t="s">
        <v>287</v>
      </c>
      <c r="K125" s="22">
        <f t="shared" si="26"/>
        <v>3.2482696422712933E-3</v>
      </c>
      <c r="L125" s="22">
        <f t="shared" si="27"/>
        <v>3.2317319962183351E-3</v>
      </c>
      <c r="M125" s="22">
        <f t="shared" si="27"/>
        <v>3.2015477632972725E-3</v>
      </c>
      <c r="N125" s="22">
        <f t="shared" si="27"/>
        <v>3.1189249893783613E-3</v>
      </c>
      <c r="O125" s="22">
        <f t="shared" si="27"/>
        <v>3.0395993626659438E-3</v>
      </c>
      <c r="P125" s="22">
        <f t="shared" si="27"/>
        <v>3.013633441305081E-3</v>
      </c>
      <c r="Q125" s="22">
        <f t="shared" si="27"/>
        <v>2.9716957157217678E-3</v>
      </c>
      <c r="R125" s="22">
        <f t="shared" si="27"/>
        <v>2.8774698147158886E-3</v>
      </c>
      <c r="S125" s="22">
        <f t="shared" si="27"/>
        <v>2.5613322402579155E-3</v>
      </c>
      <c r="T125" s="22">
        <f t="shared" si="27"/>
        <v>2.623917982066072E-3</v>
      </c>
      <c r="U125" s="22">
        <f t="shared" si="27"/>
        <v>2.6577221861843617E-3</v>
      </c>
      <c r="V125" s="22">
        <f t="shared" si="27"/>
        <v>2.6845906828351748E-3</v>
      </c>
      <c r="W125" s="22">
        <f t="shared" si="27"/>
        <v>2.7207002140253378E-3</v>
      </c>
      <c r="X125" s="22">
        <f t="shared" si="27"/>
        <v>2.7900255688374769E-3</v>
      </c>
      <c r="Y125" s="22">
        <f t="shared" si="27"/>
        <v>2.8659005664794695E-3</v>
      </c>
      <c r="Z125" s="22">
        <f t="shared" si="27"/>
        <v>2.9485743375895451E-3</v>
      </c>
      <c r="AA125" s="22">
        <f t="shared" si="27"/>
        <v>3.0159847657098681E-3</v>
      </c>
      <c r="AB125" s="22">
        <f t="shared" si="27"/>
        <v>3.0969021916471581E-3</v>
      </c>
      <c r="AC125" s="22">
        <f t="shared" si="27"/>
        <v>3.1943690749044406E-3</v>
      </c>
      <c r="AD125" s="22">
        <f t="shared" si="27"/>
        <v>3.2585733035448653E-3</v>
      </c>
      <c r="AE125" s="22">
        <f t="shared" si="27"/>
        <v>3.3241557037935383E-3</v>
      </c>
      <c r="AF125" s="22">
        <f t="shared" si="27"/>
        <v>3.3880596297124936E-3</v>
      </c>
      <c r="AG125" s="22">
        <f t="shared" si="27"/>
        <v>3.4619913814758307E-3</v>
      </c>
      <c r="AH125" s="22">
        <f t="shared" si="27"/>
        <v>3.5146755709245725E-3</v>
      </c>
      <c r="AI125" s="22">
        <f t="shared" si="27"/>
        <v>3.5701775452979248E-3</v>
      </c>
      <c r="AJ125" s="22">
        <f t="shared" si="27"/>
        <v>3.6232879454531405E-3</v>
      </c>
      <c r="AK125" s="22">
        <f t="shared" si="27"/>
        <v>3.6661960797731564E-3</v>
      </c>
      <c r="AL125" s="22">
        <f t="shared" si="27"/>
        <v>3.7043821557080172E-3</v>
      </c>
      <c r="AM125" s="22">
        <f t="shared" si="27"/>
        <v>3.7423967810390727E-3</v>
      </c>
      <c r="AN125" s="22">
        <f t="shared" si="27"/>
        <v>3.8009071788089443E-3</v>
      </c>
      <c r="AO125" s="22">
        <f t="shared" si="27"/>
        <v>3.8485572102327672E-3</v>
      </c>
      <c r="AP125" s="22">
        <f t="shared" si="27"/>
        <v>3.8943125167611257E-3</v>
      </c>
      <c r="AQ125" s="22">
        <f t="shared" si="27"/>
        <v>3.9383232574175748E-3</v>
      </c>
      <c r="AR125" s="22">
        <f t="shared" si="27"/>
        <v>3.9864180340335002E-3</v>
      </c>
      <c r="AS125" s="22">
        <f t="shared" si="27"/>
        <v>4.0335263443460959E-3</v>
      </c>
      <c r="AT125" s="22">
        <f t="shared" si="27"/>
        <v>4.0238206460385395E-3</v>
      </c>
      <c r="AU125" s="22">
        <f t="shared" si="27"/>
        <v>4.0085912060413426E-3</v>
      </c>
      <c r="AV125" s="22">
        <f t="shared" si="27"/>
        <v>3.9985247622409742E-3</v>
      </c>
      <c r="AW125" s="22">
        <f t="shared" si="27"/>
        <v>3.9835451710550415E-3</v>
      </c>
      <c r="AY125" s="85"/>
    </row>
    <row r="126" spans="1:51" x14ac:dyDescent="0.25">
      <c r="A126" s="102" t="str">
        <f t="shared" si="0"/>
        <v>FS MM Volatilisation</v>
      </c>
      <c r="B126" s="102" t="s">
        <v>1005</v>
      </c>
      <c r="C126" s="102" t="s">
        <v>1333</v>
      </c>
      <c r="D126" t="s">
        <v>369</v>
      </c>
      <c r="E126" t="s">
        <v>64</v>
      </c>
      <c r="F126" t="s">
        <v>62</v>
      </c>
      <c r="G126" t="s">
        <v>1161</v>
      </c>
      <c r="H126" t="s">
        <v>1295</v>
      </c>
      <c r="I126" t="s">
        <v>139</v>
      </c>
      <c r="J126" t="s">
        <v>287</v>
      </c>
      <c r="K126" s="22">
        <f t="shared" si="26"/>
        <v>1.6169907052996448E-2</v>
      </c>
      <c r="L126" s="22">
        <f t="shared" si="27"/>
        <v>1.6087582545181053E-2</v>
      </c>
      <c r="M126" s="22">
        <f t="shared" si="27"/>
        <v>1.5937325240661746E-2</v>
      </c>
      <c r="N126" s="22">
        <f t="shared" si="27"/>
        <v>1.5526028543693155E-2</v>
      </c>
      <c r="O126" s="22">
        <f t="shared" si="27"/>
        <v>1.5131145066604845E-2</v>
      </c>
      <c r="P126" s="22">
        <f t="shared" si="27"/>
        <v>1.5001886544009729E-2</v>
      </c>
      <c r="Q126" s="22">
        <f t="shared" si="27"/>
        <v>1.4793120277850224E-2</v>
      </c>
      <c r="R126" s="22">
        <f t="shared" si="27"/>
        <v>1.4324063140036831E-2</v>
      </c>
      <c r="S126" s="22">
        <f t="shared" si="27"/>
        <v>1.2750328272579596E-2</v>
      </c>
      <c r="T126" s="22">
        <f t="shared" si="27"/>
        <v>1.3061880495557336E-2</v>
      </c>
      <c r="U126" s="22">
        <f t="shared" si="27"/>
        <v>1.3230158039847359E-2</v>
      </c>
      <c r="V126" s="22">
        <f t="shared" si="27"/>
        <v>1.3363909588008125E-2</v>
      </c>
      <c r="W126" s="22">
        <f t="shared" si="27"/>
        <v>1.3543663065205281E-2</v>
      </c>
      <c r="X126" s="22">
        <f t="shared" si="27"/>
        <v>1.3888765124818915E-2</v>
      </c>
      <c r="Y126" s="22">
        <f t="shared" si="27"/>
        <v>1.4266471348326726E-2</v>
      </c>
      <c r="Z126" s="22">
        <f t="shared" si="27"/>
        <v>1.4678021909639079E-2</v>
      </c>
      <c r="AA126" s="22">
        <f t="shared" si="27"/>
        <v>1.5013591451934262E-2</v>
      </c>
      <c r="AB126" s="22">
        <f t="shared" si="27"/>
        <v>1.5416398915744074E-2</v>
      </c>
      <c r="AC126" s="22">
        <f t="shared" si="27"/>
        <v>1.5901589683932116E-2</v>
      </c>
      <c r="AD126" s="22">
        <f t="shared" si="27"/>
        <v>1.6221198744711653E-2</v>
      </c>
      <c r="AE126" s="22">
        <f t="shared" si="27"/>
        <v>1.6547668352570915E-2</v>
      </c>
      <c r="AF126" s="22">
        <f t="shared" si="27"/>
        <v>1.6865782504482438E-2</v>
      </c>
      <c r="AG126" s="22">
        <f t="shared" si="27"/>
        <v>1.7233815237578592E-2</v>
      </c>
      <c r="AH126" s="22">
        <f t="shared" si="27"/>
        <v>1.7496077469587427E-2</v>
      </c>
      <c r="AI126" s="22">
        <f t="shared" si="27"/>
        <v>1.7772366652971647E-2</v>
      </c>
      <c r="AJ126" s="22">
        <f t="shared" si="27"/>
        <v>1.8036750564603077E-2</v>
      </c>
      <c r="AK126" s="22">
        <f t="shared" si="27"/>
        <v>1.825034753165997E-2</v>
      </c>
      <c r="AL126" s="22">
        <f t="shared" si="27"/>
        <v>1.8440438061876424E-2</v>
      </c>
      <c r="AM126" s="22">
        <f t="shared" si="27"/>
        <v>1.862967510989065E-2</v>
      </c>
      <c r="AN126" s="22">
        <f t="shared" si="27"/>
        <v>1.8920940244182623E-2</v>
      </c>
      <c r="AO126" s="22">
        <f t="shared" si="27"/>
        <v>1.9158142405348286E-2</v>
      </c>
      <c r="AP126" s="22">
        <f t="shared" si="27"/>
        <v>1.9385912613866938E-2</v>
      </c>
      <c r="AQ126" s="22">
        <f t="shared" si="27"/>
        <v>1.9604998362318136E-2</v>
      </c>
      <c r="AR126" s="22">
        <f t="shared" si="27"/>
        <v>1.9844414467894381E-2</v>
      </c>
      <c r="AS126" s="22">
        <f t="shared" si="27"/>
        <v>2.0078919937903877E-2</v>
      </c>
      <c r="AT126" s="22">
        <f t="shared" si="27"/>
        <v>2.0030604909657669E-2</v>
      </c>
      <c r="AU126" s="22">
        <f t="shared" si="27"/>
        <v>1.9954792659954267E-2</v>
      </c>
      <c r="AV126" s="22">
        <f t="shared" si="27"/>
        <v>1.9904681838337764E-2</v>
      </c>
      <c r="AW126" s="22">
        <f t="shared" si="27"/>
        <v>1.9830113337614693E-2</v>
      </c>
      <c r="AY126" s="85"/>
    </row>
    <row r="127" spans="1:51" x14ac:dyDescent="0.25">
      <c r="A127" s="102" t="str">
        <f t="shared" si="0"/>
        <v>FS MM Volatilisation</v>
      </c>
      <c r="B127" s="102" t="s">
        <v>1005</v>
      </c>
      <c r="C127" s="102" t="s">
        <v>1333</v>
      </c>
      <c r="D127" t="s">
        <v>369</v>
      </c>
      <c r="E127" t="s">
        <v>64</v>
      </c>
      <c r="F127" t="s">
        <v>62</v>
      </c>
      <c r="G127" t="s">
        <v>1163</v>
      </c>
      <c r="H127" t="s">
        <v>1296</v>
      </c>
      <c r="I127" t="s">
        <v>139</v>
      </c>
      <c r="J127" t="s">
        <v>287</v>
      </c>
      <c r="K127" s="22">
        <f t="shared" si="26"/>
        <v>0.15881310952891459</v>
      </c>
      <c r="L127" s="22">
        <f t="shared" si="27"/>
        <v>0.16473779708525871</v>
      </c>
      <c r="M127" s="22">
        <f t="shared" si="27"/>
        <v>0.17006036536738212</v>
      </c>
      <c r="N127" s="22">
        <f t="shared" si="27"/>
        <v>0.1725581026820969</v>
      </c>
      <c r="O127" s="22">
        <f t="shared" si="27"/>
        <v>0.17509405758016705</v>
      </c>
      <c r="P127" s="22">
        <f t="shared" si="27"/>
        <v>0.18069182253517682</v>
      </c>
      <c r="Q127" s="22">
        <f t="shared" si="27"/>
        <v>0.18541356320951116</v>
      </c>
      <c r="R127" s="22">
        <f t="shared" si="27"/>
        <v>0.18679194415388084</v>
      </c>
      <c r="S127" s="22">
        <f t="shared" si="27"/>
        <v>0.17296868678120739</v>
      </c>
      <c r="T127" s="22">
        <f t="shared" si="27"/>
        <v>0.18144262132443914</v>
      </c>
      <c r="U127" s="22">
        <f t="shared" si="27"/>
        <v>0.18812503294384797</v>
      </c>
      <c r="V127" s="22">
        <f t="shared" si="27"/>
        <v>0.19446239722796549</v>
      </c>
      <c r="W127" s="22">
        <f t="shared" si="27"/>
        <v>0.2016240264907645</v>
      </c>
      <c r="X127" s="22">
        <f t="shared" si="27"/>
        <v>0.21147893804143503</v>
      </c>
      <c r="Y127" s="22">
        <f t="shared" si="27"/>
        <v>0.2221363393242273</v>
      </c>
      <c r="Z127" s="22">
        <f t="shared" si="27"/>
        <v>0.23365788448441194</v>
      </c>
      <c r="AA127" s="22">
        <f t="shared" si="27"/>
        <v>0.24430091045471902</v>
      </c>
      <c r="AB127" s="22">
        <f t="shared" si="27"/>
        <v>0.25637491269914275</v>
      </c>
      <c r="AC127" s="22">
        <f t="shared" si="27"/>
        <v>0.27021906806746643</v>
      </c>
      <c r="AD127" s="22">
        <f t="shared" si="27"/>
        <v>0.28476142142999822</v>
      </c>
      <c r="AE127" s="22">
        <f t="shared" si="27"/>
        <v>0.30011305574638969</v>
      </c>
      <c r="AF127" s="22">
        <f t="shared" si="27"/>
        <v>0.31603885980078922</v>
      </c>
      <c r="AG127" s="22">
        <f t="shared" si="27"/>
        <v>0.33369229141350232</v>
      </c>
      <c r="AH127" s="22">
        <f t="shared" si="27"/>
        <v>0.35009811029288379</v>
      </c>
      <c r="AI127" s="22">
        <f t="shared" si="27"/>
        <v>0.3675707773071587</v>
      </c>
      <c r="AJ127" s="22">
        <f t="shared" si="27"/>
        <v>0.38563080115839554</v>
      </c>
      <c r="AK127" s="22">
        <f t="shared" si="27"/>
        <v>0.4034429737992129</v>
      </c>
      <c r="AL127" s="22">
        <f t="shared" si="27"/>
        <v>0.42156904095031289</v>
      </c>
      <c r="AM127" s="22">
        <f t="shared" si="27"/>
        <v>0.44054187589856841</v>
      </c>
      <c r="AN127" s="22">
        <f t="shared" si="27"/>
        <v>0.4600083648860695</v>
      </c>
      <c r="AO127" s="22">
        <f t="shared" si="27"/>
        <v>0.4789155318145385</v>
      </c>
      <c r="AP127" s="22">
        <f t="shared" si="27"/>
        <v>0.4983346210539078</v>
      </c>
      <c r="AQ127" s="22">
        <f t="shared" si="27"/>
        <v>0.51830220925788251</v>
      </c>
      <c r="AR127" s="22">
        <f t="shared" si="27"/>
        <v>0.53962685269510091</v>
      </c>
      <c r="AS127" s="22">
        <f t="shared" si="27"/>
        <v>0.56169127095769178</v>
      </c>
      <c r="AT127" s="22">
        <f t="shared" si="27"/>
        <v>0.57653019243567449</v>
      </c>
      <c r="AU127" s="22">
        <f t="shared" si="27"/>
        <v>0.59104442540925484</v>
      </c>
      <c r="AV127" s="22">
        <f t="shared" si="27"/>
        <v>0.60681048738089205</v>
      </c>
      <c r="AW127" s="22">
        <f t="shared" si="27"/>
        <v>0.62234884521273104</v>
      </c>
      <c r="AY127" s="85"/>
    </row>
    <row r="128" spans="1:51" x14ac:dyDescent="0.25">
      <c r="A128" s="102" t="str">
        <f t="shared" si="0"/>
        <v>FS MM Volatilisation</v>
      </c>
      <c r="B128" s="102" t="s">
        <v>1005</v>
      </c>
      <c r="C128" s="102" t="s">
        <v>1333</v>
      </c>
      <c r="D128" t="s">
        <v>369</v>
      </c>
      <c r="E128" t="s">
        <v>64</v>
      </c>
      <c r="F128" t="s">
        <v>62</v>
      </c>
      <c r="G128" t="s">
        <v>1165</v>
      </c>
      <c r="H128" t="s">
        <v>1297</v>
      </c>
      <c r="I128" t="s">
        <v>139</v>
      </c>
      <c r="J128" t="s">
        <v>287</v>
      </c>
      <c r="K128" s="22">
        <f t="shared" si="26"/>
        <v>1.1717139101759614E-4</v>
      </c>
      <c r="L128" s="22">
        <f t="shared" si="27"/>
        <v>1.1723462618367247E-4</v>
      </c>
      <c r="M128" s="22">
        <f t="shared" si="27"/>
        <v>1.1737999843906114E-4</v>
      </c>
      <c r="N128" s="22">
        <f t="shared" si="27"/>
        <v>1.1759581709566441E-4</v>
      </c>
      <c r="O128" s="22">
        <f t="shared" si="27"/>
        <v>1.178871134646596E-4</v>
      </c>
      <c r="P128" s="22">
        <f t="shared" si="27"/>
        <v>1.182597418054167E-4</v>
      </c>
      <c r="Q128" s="22">
        <f t="shared" si="27"/>
        <v>1.1867033947255795E-4</v>
      </c>
      <c r="R128" s="22">
        <f t="shared" si="27"/>
        <v>1.1911252923744314E-4</v>
      </c>
      <c r="S128" s="22">
        <f t="shared" si="27"/>
        <v>1.1955062486439893E-4</v>
      </c>
      <c r="T128" s="22">
        <f t="shared" si="27"/>
        <v>1.1972991314052751E-4</v>
      </c>
      <c r="U128" s="22">
        <f t="shared" si="27"/>
        <v>1.1993350054454542E-4</v>
      </c>
      <c r="V128" s="22">
        <f t="shared" si="27"/>
        <v>1.2016374349275828E-4</v>
      </c>
      <c r="W128" s="22">
        <f t="shared" si="27"/>
        <v>1.2042231214139446E-4</v>
      </c>
      <c r="X128" s="22">
        <f t="shared" si="27"/>
        <v>1.207128620599027E-4</v>
      </c>
      <c r="Y128" s="22">
        <f t="shared" si="27"/>
        <v>1.2089554719264044E-4</v>
      </c>
      <c r="Z128" s="22">
        <f t="shared" si="27"/>
        <v>1.2110125995232866E-4</v>
      </c>
      <c r="AA128" s="22">
        <f t="shared" si="27"/>
        <v>1.2132427506998271E-4</v>
      </c>
      <c r="AB128" s="22">
        <f t="shared" si="27"/>
        <v>1.2156982110770359E-4</v>
      </c>
      <c r="AC128" s="22">
        <f t="shared" si="27"/>
        <v>1.2183786994920164E-4</v>
      </c>
      <c r="AD128" s="22">
        <f t="shared" si="27"/>
        <v>1.2201528623614288E-4</v>
      </c>
      <c r="AE128" s="22">
        <f t="shared" si="27"/>
        <v>1.2220996410772502E-4</v>
      </c>
      <c r="AF128" s="22">
        <f t="shared" si="27"/>
        <v>1.2242059577670001E-4</v>
      </c>
      <c r="AG128" s="22">
        <f t="shared" si="27"/>
        <v>1.2264946134615736E-4</v>
      </c>
      <c r="AH128" s="22">
        <f t="shared" si="27"/>
        <v>1.2288846185835745E-4</v>
      </c>
      <c r="AI128" s="22">
        <f t="shared" ref="L128:AW135" si="28">AI1537</f>
        <v>1.2304136792276417E-4</v>
      </c>
      <c r="AJ128" s="22">
        <f t="shared" si="28"/>
        <v>1.2320724493915228E-4</v>
      </c>
      <c r="AK128" s="22">
        <f t="shared" si="28"/>
        <v>1.2338358070705196E-4</v>
      </c>
      <c r="AL128" s="22">
        <f t="shared" si="28"/>
        <v>1.2357134049580156E-4</v>
      </c>
      <c r="AM128" s="22">
        <f t="shared" si="28"/>
        <v>1.2377140391233165E-4</v>
      </c>
      <c r="AN128" s="22">
        <f t="shared" si="28"/>
        <v>1.2388931849227042E-4</v>
      </c>
      <c r="AO128" s="22">
        <f t="shared" si="28"/>
        <v>1.2401495917055069E-4</v>
      </c>
      <c r="AP128" s="22">
        <f t="shared" si="28"/>
        <v>1.2415054004629534E-4</v>
      </c>
      <c r="AQ128" s="22">
        <f t="shared" si="28"/>
        <v>1.2429582194532134E-4</v>
      </c>
      <c r="AR128" s="22">
        <f t="shared" si="28"/>
        <v>1.2445236467960286E-4</v>
      </c>
      <c r="AS128" s="22">
        <f t="shared" si="28"/>
        <v>1.2452291839205781E-4</v>
      </c>
      <c r="AT128" s="22">
        <f t="shared" si="28"/>
        <v>1.2458415812408247E-4</v>
      </c>
      <c r="AU128" s="22">
        <f t="shared" si="28"/>
        <v>1.2465176490232825E-4</v>
      </c>
      <c r="AV128" s="22">
        <f t="shared" si="28"/>
        <v>1.2472905780449089E-4</v>
      </c>
      <c r="AW128" s="22">
        <f t="shared" si="28"/>
        <v>1.248124658088483E-4</v>
      </c>
      <c r="AY128" s="85"/>
    </row>
    <row r="129" spans="1:51" x14ac:dyDescent="0.25">
      <c r="A129" s="102" t="str">
        <f t="shared" si="0"/>
        <v>FS MM Volatilisation</v>
      </c>
      <c r="B129" s="102" t="s">
        <v>1005</v>
      </c>
      <c r="C129" s="102" t="s">
        <v>1333</v>
      </c>
      <c r="D129" t="s">
        <v>369</v>
      </c>
      <c r="E129" t="s">
        <v>64</v>
      </c>
      <c r="F129" t="s">
        <v>62</v>
      </c>
      <c r="G129" t="s">
        <v>1167</v>
      </c>
      <c r="H129" t="s">
        <v>1298</v>
      </c>
      <c r="I129" t="s">
        <v>139</v>
      </c>
      <c r="J129" t="s">
        <v>287</v>
      </c>
      <c r="K129" s="22">
        <f t="shared" si="26"/>
        <v>8.0409045079441203E-4</v>
      </c>
      <c r="L129" s="22">
        <f t="shared" si="28"/>
        <v>8.0452440308220838E-4</v>
      </c>
      <c r="M129" s="22">
        <f t="shared" si="28"/>
        <v>8.055220223931452E-4</v>
      </c>
      <c r="N129" s="22">
        <f t="shared" si="28"/>
        <v>8.0700308120255969E-4</v>
      </c>
      <c r="O129" s="22">
        <f t="shared" si="28"/>
        <v>8.0900210695983646E-4</v>
      </c>
      <c r="P129" s="22">
        <f t="shared" si="28"/>
        <v>8.1155927460883318E-4</v>
      </c>
      <c r="Q129" s="22">
        <f t="shared" si="28"/>
        <v>8.1437700733692851E-4</v>
      </c>
      <c r="R129" s="22">
        <f t="shared" si="28"/>
        <v>8.1741154131570351E-4</v>
      </c>
      <c r="S129" s="22">
        <f t="shared" si="28"/>
        <v>8.2041797921074454E-4</v>
      </c>
      <c r="T129" s="22">
        <f t="shared" si="28"/>
        <v>8.2164834772922271E-4</v>
      </c>
      <c r="U129" s="22">
        <f t="shared" si="28"/>
        <v>8.2304546938196678E-4</v>
      </c>
      <c r="V129" s="22">
        <f t="shared" si="28"/>
        <v>8.2462551511166995E-4</v>
      </c>
      <c r="W129" s="22">
        <f t="shared" si="28"/>
        <v>8.2639994639082011E-4</v>
      </c>
      <c r="X129" s="22">
        <f t="shared" si="28"/>
        <v>8.2839384962029086E-4</v>
      </c>
      <c r="Y129" s="22">
        <f t="shared" si="28"/>
        <v>8.2964752911885125E-4</v>
      </c>
      <c r="Z129" s="22">
        <f t="shared" si="28"/>
        <v>8.3105923605716848E-4</v>
      </c>
      <c r="AA129" s="22">
        <f t="shared" si="28"/>
        <v>8.3258968068986462E-4</v>
      </c>
      <c r="AB129" s="22">
        <f t="shared" si="28"/>
        <v>8.3427474410378356E-4</v>
      </c>
      <c r="AC129" s="22">
        <f t="shared" si="28"/>
        <v>8.3611423335046113E-4</v>
      </c>
      <c r="AD129" s="22">
        <f t="shared" si="28"/>
        <v>8.373317553147042E-4</v>
      </c>
      <c r="AE129" s="22">
        <f t="shared" si="28"/>
        <v>8.3866773516576396E-4</v>
      </c>
      <c r="AF129" s="22">
        <f t="shared" si="28"/>
        <v>8.4011319819378471E-4</v>
      </c>
      <c r="AG129" s="22">
        <f t="shared" si="28"/>
        <v>8.416837916408544E-4</v>
      </c>
      <c r="AH129" s="22">
        <f t="shared" si="28"/>
        <v>8.4332393628645482E-4</v>
      </c>
      <c r="AI129" s="22">
        <f t="shared" si="28"/>
        <v>8.4437325647622322E-4</v>
      </c>
      <c r="AJ129" s="22">
        <f t="shared" si="28"/>
        <v>8.4551159002100391E-4</v>
      </c>
      <c r="AK129" s="22">
        <f t="shared" si="28"/>
        <v>8.4672169690691037E-4</v>
      </c>
      <c r="AL129" s="22">
        <f t="shared" si="28"/>
        <v>8.4801020130944032E-4</v>
      </c>
      <c r="AM129" s="22">
        <f t="shared" si="28"/>
        <v>8.4938313954451667E-4</v>
      </c>
      <c r="AN129" s="22">
        <f t="shared" si="28"/>
        <v>8.5019233014057226E-4</v>
      </c>
      <c r="AO129" s="22">
        <f t="shared" si="28"/>
        <v>8.5105454120386272E-4</v>
      </c>
      <c r="AP129" s="22">
        <f t="shared" si="28"/>
        <v>8.5198496702325278E-4</v>
      </c>
      <c r="AQ129" s="22">
        <f t="shared" si="28"/>
        <v>8.5298196626227814E-4</v>
      </c>
      <c r="AR129" s="22">
        <f t="shared" si="28"/>
        <v>8.5405624315430654E-4</v>
      </c>
      <c r="AS129" s="22">
        <f t="shared" si="28"/>
        <v>8.545404190778012E-4</v>
      </c>
      <c r="AT129" s="22">
        <f t="shared" si="28"/>
        <v>8.5496067766910582E-4</v>
      </c>
      <c r="AU129" s="22">
        <f t="shared" si="28"/>
        <v>8.5542463021182405E-4</v>
      </c>
      <c r="AV129" s="22">
        <f t="shared" si="28"/>
        <v>8.5595505392706218E-4</v>
      </c>
      <c r="AW129" s="22">
        <f t="shared" si="28"/>
        <v>8.5652744262400531E-4</v>
      </c>
      <c r="AY129" s="85"/>
    </row>
    <row r="130" spans="1:51" x14ac:dyDescent="0.25">
      <c r="A130" s="102" t="str">
        <f t="shared" si="0"/>
        <v>FS MM Volatilisation</v>
      </c>
      <c r="B130" s="102" t="s">
        <v>1005</v>
      </c>
      <c r="C130" s="102" t="s">
        <v>1333</v>
      </c>
      <c r="D130" t="s">
        <v>369</v>
      </c>
      <c r="E130" t="s">
        <v>64</v>
      </c>
      <c r="F130" t="s">
        <v>62</v>
      </c>
      <c r="G130" t="s">
        <v>1169</v>
      </c>
      <c r="H130" t="s">
        <v>1299</v>
      </c>
      <c r="I130" t="s">
        <v>139</v>
      </c>
      <c r="J130" t="s">
        <v>287</v>
      </c>
      <c r="K130" s="22">
        <f t="shared" si="26"/>
        <v>1.4482807028187922E-5</v>
      </c>
      <c r="L130" s="22">
        <f t="shared" si="28"/>
        <v>1.4520450251739282E-5</v>
      </c>
      <c r="M130" s="22">
        <f t="shared" si="28"/>
        <v>1.4571212872745464E-5</v>
      </c>
      <c r="N130" s="22">
        <f t="shared" si="28"/>
        <v>1.4633040456364911E-5</v>
      </c>
      <c r="O130" s="22">
        <f t="shared" si="28"/>
        <v>1.4707094987006923E-5</v>
      </c>
      <c r="P130" s="22">
        <f t="shared" si="28"/>
        <v>1.4794644538423194E-5</v>
      </c>
      <c r="Q130" s="22">
        <f t="shared" si="28"/>
        <v>1.4887429784482061E-5</v>
      </c>
      <c r="R130" s="22">
        <f t="shared" si="28"/>
        <v>1.4984365063470914E-5</v>
      </c>
      <c r="S130" s="22">
        <f t="shared" si="28"/>
        <v>1.5078737379247896E-5</v>
      </c>
      <c r="T130" s="22">
        <f t="shared" si="28"/>
        <v>1.5122022085784052E-5</v>
      </c>
      <c r="U130" s="22">
        <f t="shared" si="28"/>
        <v>1.5168700186651053E-5</v>
      </c>
      <c r="V130" s="22">
        <f t="shared" si="28"/>
        <v>1.5219291662698976E-5</v>
      </c>
      <c r="W130" s="22">
        <f t="shared" si="28"/>
        <v>1.5274171031448217E-5</v>
      </c>
      <c r="X130" s="22">
        <f t="shared" si="28"/>
        <v>1.5334076575093776E-5</v>
      </c>
      <c r="Y130" s="22">
        <f t="shared" si="28"/>
        <v>1.5372633836154438E-5</v>
      </c>
      <c r="Z130" s="22">
        <f t="shared" si="28"/>
        <v>1.5414710813994563E-5</v>
      </c>
      <c r="AA130" s="22">
        <f t="shared" si="28"/>
        <v>1.5459260848218299E-5</v>
      </c>
      <c r="AB130" s="22">
        <f t="shared" si="28"/>
        <v>1.550729679110253E-5</v>
      </c>
      <c r="AC130" s="22">
        <f t="shared" si="28"/>
        <v>1.5558834836357002E-5</v>
      </c>
      <c r="AD130" s="22">
        <f t="shared" si="28"/>
        <v>1.5592757830860554E-5</v>
      </c>
      <c r="AE130" s="22">
        <f t="shared" si="28"/>
        <v>1.5629324786279091E-5</v>
      </c>
      <c r="AF130" s="22">
        <f t="shared" si="28"/>
        <v>1.5668308058264363E-5</v>
      </c>
      <c r="AG130" s="22">
        <f t="shared" si="28"/>
        <v>1.5710145809478675E-5</v>
      </c>
      <c r="AH130" s="22">
        <f t="shared" si="28"/>
        <v>1.5753347197297649E-5</v>
      </c>
      <c r="AI130" s="22">
        <f t="shared" si="28"/>
        <v>1.5780128357590142E-5</v>
      </c>
      <c r="AJ130" s="22">
        <f t="shared" si="28"/>
        <v>1.5808895494916665E-5</v>
      </c>
      <c r="AK130" s="22">
        <f t="shared" si="28"/>
        <v>1.5839194459493418E-5</v>
      </c>
      <c r="AL130" s="22">
        <f t="shared" si="28"/>
        <v>1.5871212894447166E-5</v>
      </c>
      <c r="AM130" s="22">
        <f t="shared" si="28"/>
        <v>1.5905120208325659E-5</v>
      </c>
      <c r="AN130" s="22">
        <f t="shared" si="28"/>
        <v>1.5923608440521578E-5</v>
      </c>
      <c r="AO130" s="22">
        <f t="shared" si="28"/>
        <v>1.5943219194385969E-5</v>
      </c>
      <c r="AP130" s="22">
        <f t="shared" si="28"/>
        <v>1.5964364076511548E-5</v>
      </c>
      <c r="AQ130" s="22">
        <f t="shared" si="28"/>
        <v>1.5987003748719161E-5</v>
      </c>
      <c r="AR130" s="22">
        <f t="shared" si="28"/>
        <v>1.6011426014492075E-5</v>
      </c>
      <c r="AS130" s="22">
        <f t="shared" si="28"/>
        <v>1.6019956720470997E-5</v>
      </c>
      <c r="AT130" s="22">
        <f t="shared" si="28"/>
        <v>1.6026597354274649E-5</v>
      </c>
      <c r="AU130" s="22">
        <f t="shared" si="28"/>
        <v>1.6034206571030276E-5</v>
      </c>
      <c r="AV130" s="22">
        <f t="shared" si="28"/>
        <v>1.6043388029308272E-5</v>
      </c>
      <c r="AW130" s="22">
        <f t="shared" si="28"/>
        <v>1.6053496862987396E-5</v>
      </c>
      <c r="AY130" s="85"/>
    </row>
    <row r="131" spans="1:51" x14ac:dyDescent="0.25">
      <c r="A131" s="102" t="str">
        <f t="shared" si="0"/>
        <v>FS MM Volatilisation</v>
      </c>
      <c r="B131" s="102" t="s">
        <v>1005</v>
      </c>
      <c r="C131" s="102" t="s">
        <v>1333</v>
      </c>
      <c r="D131" t="s">
        <v>369</v>
      </c>
      <c r="E131" t="s">
        <v>64</v>
      </c>
      <c r="F131" t="s">
        <v>62</v>
      </c>
      <c r="G131" t="s">
        <v>1171</v>
      </c>
      <c r="H131" t="s">
        <v>1300</v>
      </c>
      <c r="I131" t="s">
        <v>139</v>
      </c>
      <c r="J131" t="s">
        <v>287</v>
      </c>
      <c r="K131" s="22">
        <f t="shared" si="26"/>
        <v>1.4734983248944019E-3</v>
      </c>
      <c r="L131" s="22">
        <f t="shared" si="28"/>
        <v>1.4773281920422968E-3</v>
      </c>
      <c r="M131" s="22">
        <f t="shared" si="28"/>
        <v>1.4824928425740808E-3</v>
      </c>
      <c r="N131" s="22">
        <f t="shared" si="28"/>
        <v>1.4887832558011719E-3</v>
      </c>
      <c r="O131" s="22">
        <f t="shared" si="28"/>
        <v>1.4963176534244689E-3</v>
      </c>
      <c r="P131" s="22">
        <f t="shared" si="28"/>
        <v>1.5052250508030326E-3</v>
      </c>
      <c r="Q131" s="22">
        <f t="shared" si="28"/>
        <v>1.5146651340946602E-3</v>
      </c>
      <c r="R131" s="22">
        <f t="shared" si="28"/>
        <v>1.5245274467620346E-3</v>
      </c>
      <c r="S131" s="22">
        <f t="shared" si="28"/>
        <v>1.5341290004486333E-3</v>
      </c>
      <c r="T131" s="22">
        <f t="shared" si="28"/>
        <v>1.5385328389069129E-3</v>
      </c>
      <c r="U131" s="22">
        <f t="shared" si="28"/>
        <v>1.5432819254136169E-3</v>
      </c>
      <c r="V131" s="22">
        <f t="shared" si="28"/>
        <v>1.5484291634501014E-3</v>
      </c>
      <c r="W131" s="22">
        <f t="shared" si="28"/>
        <v>1.5540126568824096E-3</v>
      </c>
      <c r="X131" s="22">
        <f t="shared" si="28"/>
        <v>1.5601075194350781E-3</v>
      </c>
      <c r="Y131" s="22">
        <f t="shared" si="28"/>
        <v>1.5640303818660153E-3</v>
      </c>
      <c r="Z131" s="22">
        <f t="shared" si="28"/>
        <v>1.5683113445442707E-3</v>
      </c>
      <c r="AA131" s="22">
        <f t="shared" si="28"/>
        <v>1.5728439189737231E-3</v>
      </c>
      <c r="AB131" s="22">
        <f t="shared" si="28"/>
        <v>1.5777311539715299E-3</v>
      </c>
      <c r="AC131" s="22">
        <f t="shared" si="28"/>
        <v>1.5829746971053286E-3</v>
      </c>
      <c r="AD131" s="22">
        <f t="shared" si="28"/>
        <v>1.5864260636449165E-3</v>
      </c>
      <c r="AE131" s="22">
        <f t="shared" si="28"/>
        <v>1.5901464299696787E-3</v>
      </c>
      <c r="AF131" s="22">
        <f t="shared" si="28"/>
        <v>1.5941126352679608E-3</v>
      </c>
      <c r="AG131" s="22">
        <f t="shared" si="28"/>
        <v>1.5983692587396162E-3</v>
      </c>
      <c r="AH131" s="22">
        <f t="shared" si="28"/>
        <v>1.6027646202507156E-3</v>
      </c>
      <c r="AI131" s="22">
        <f t="shared" si="28"/>
        <v>1.6054893679293186E-3</v>
      </c>
      <c r="AJ131" s="22">
        <f t="shared" si="28"/>
        <v>1.6084161713162683E-3</v>
      </c>
      <c r="AK131" s="22">
        <f t="shared" si="28"/>
        <v>1.6114988246626113E-3</v>
      </c>
      <c r="AL131" s="22">
        <f t="shared" si="28"/>
        <v>1.6147564190072887E-3</v>
      </c>
      <c r="AM131" s="22">
        <f t="shared" si="28"/>
        <v>1.6182061901810947E-3</v>
      </c>
      <c r="AN131" s="22">
        <f t="shared" si="28"/>
        <v>1.6200872053128935E-3</v>
      </c>
      <c r="AO131" s="22">
        <f t="shared" si="28"/>
        <v>1.6220824271585524E-3</v>
      </c>
      <c r="AP131" s="22">
        <f t="shared" si="28"/>
        <v>1.6242337330712453E-3</v>
      </c>
      <c r="AQ131" s="22">
        <f t="shared" si="28"/>
        <v>1.6265371207369889E-3</v>
      </c>
      <c r="AR131" s="22">
        <f t="shared" si="28"/>
        <v>1.6290218716306845E-3</v>
      </c>
      <c r="AS131" s="22">
        <f t="shared" si="28"/>
        <v>1.6298897959871744E-3</v>
      </c>
      <c r="AT131" s="22">
        <f t="shared" si="28"/>
        <v>1.6305654221117833E-3</v>
      </c>
      <c r="AU131" s="22">
        <f t="shared" si="28"/>
        <v>1.6313395930388258E-3</v>
      </c>
      <c r="AV131" s="22">
        <f t="shared" si="28"/>
        <v>1.6322737257222465E-3</v>
      </c>
      <c r="AW131" s="22">
        <f t="shared" si="28"/>
        <v>1.6333022107019772E-3</v>
      </c>
      <c r="AY131" s="85"/>
    </row>
    <row r="132" spans="1:51" x14ac:dyDescent="0.25">
      <c r="A132" s="102" t="str">
        <f t="shared" si="0"/>
        <v>FS MM Volatilisation</v>
      </c>
      <c r="B132" s="102" t="s">
        <v>1005</v>
      </c>
      <c r="C132" s="102" t="s">
        <v>1333</v>
      </c>
      <c r="D132" t="s">
        <v>369</v>
      </c>
      <c r="E132" t="s">
        <v>64</v>
      </c>
      <c r="F132" t="s">
        <v>62</v>
      </c>
      <c r="G132" t="s">
        <v>1173</v>
      </c>
      <c r="H132" t="s">
        <v>1301</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85"/>
    </row>
    <row r="133" spans="1:51" x14ac:dyDescent="0.25">
      <c r="A133" s="102" t="str">
        <f t="shared" si="0"/>
        <v>FS MM Volatilisation</v>
      </c>
      <c r="B133" s="102" t="s">
        <v>1005</v>
      </c>
      <c r="C133" s="102" t="s">
        <v>1333</v>
      </c>
      <c r="D133" t="s">
        <v>369</v>
      </c>
      <c r="E133" t="s">
        <v>64</v>
      </c>
      <c r="F133" t="s">
        <v>62</v>
      </c>
      <c r="G133" t="s">
        <v>1175</v>
      </c>
      <c r="H133" t="s">
        <v>1302</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85"/>
    </row>
    <row r="134" spans="1:51" x14ac:dyDescent="0.25">
      <c r="A134" s="102" t="str">
        <f t="shared" si="0"/>
        <v>FS MM Volatilisation</v>
      </c>
      <c r="B134" s="102" t="s">
        <v>1005</v>
      </c>
      <c r="C134" s="102" t="s">
        <v>1333</v>
      </c>
      <c r="D134" t="s">
        <v>369</v>
      </c>
      <c r="E134" t="s">
        <v>64</v>
      </c>
      <c r="F134" t="s">
        <v>62</v>
      </c>
      <c r="G134" t="s">
        <v>1177</v>
      </c>
      <c r="H134" t="s">
        <v>1303</v>
      </c>
      <c r="I134" t="s">
        <v>139</v>
      </c>
      <c r="J134" t="s">
        <v>287</v>
      </c>
      <c r="K134" s="22">
        <f t="shared" si="26"/>
        <v>0.13127680408912967</v>
      </c>
      <c r="L134" s="22">
        <f t="shared" si="28"/>
        <v>0.13104478756679175</v>
      </c>
      <c r="M134" s="22">
        <f t="shared" si="28"/>
        <v>0.13030955774266942</v>
      </c>
      <c r="N134" s="22">
        <f t="shared" si="28"/>
        <v>0.12743411073001928</v>
      </c>
      <c r="O134" s="22">
        <f t="shared" si="28"/>
        <v>0.1247149107669546</v>
      </c>
      <c r="P134" s="22">
        <f t="shared" si="28"/>
        <v>0.1242760261027246</v>
      </c>
      <c r="Q134" s="22">
        <f t="shared" si="28"/>
        <v>0.1232106270346093</v>
      </c>
      <c r="R134" s="22">
        <f t="shared" si="28"/>
        <v>0.11992927074804736</v>
      </c>
      <c r="S134" s="22">
        <f t="shared" si="28"/>
        <v>0.10697136059413564</v>
      </c>
      <c r="T134" s="22">
        <f t="shared" si="28"/>
        <v>0.10927238007305687</v>
      </c>
      <c r="U134" s="22">
        <f t="shared" si="28"/>
        <v>0.11033195793154126</v>
      </c>
      <c r="V134" s="22">
        <f t="shared" si="28"/>
        <v>0.11110365742908961</v>
      </c>
      <c r="W134" s="22">
        <f t="shared" si="28"/>
        <v>0.1122884240961687</v>
      </c>
      <c r="X134" s="22">
        <f t="shared" si="28"/>
        <v>0.11491943317032226</v>
      </c>
      <c r="Y134" s="22">
        <f t="shared" si="28"/>
        <v>0.117880487302873</v>
      </c>
      <c r="Z134" s="22">
        <f t="shared" si="28"/>
        <v>0.12113886796014842</v>
      </c>
      <c r="AA134" s="22">
        <f t="shared" si="28"/>
        <v>0.12374440018879811</v>
      </c>
      <c r="AB134" s="22">
        <f t="shared" si="28"/>
        <v>0.12693570858518674</v>
      </c>
      <c r="AC134" s="22">
        <f t="shared" si="28"/>
        <v>0.13084113615278595</v>
      </c>
      <c r="AD134" s="22">
        <f t="shared" si="28"/>
        <v>0.13453780909031221</v>
      </c>
      <c r="AE134" s="22">
        <f t="shared" si="28"/>
        <v>0.13838522984786125</v>
      </c>
      <c r="AF134" s="22">
        <f t="shared" si="28"/>
        <v>0.1422552100509078</v>
      </c>
      <c r="AG134" s="22">
        <f t="shared" si="28"/>
        <v>0.14666883461308858</v>
      </c>
      <c r="AH134" s="22">
        <f t="shared" si="28"/>
        <v>0.15024709495665656</v>
      </c>
      <c r="AI134" s="22">
        <f t="shared" si="28"/>
        <v>0.15408132184002271</v>
      </c>
      <c r="AJ134" s="22">
        <f t="shared" si="28"/>
        <v>0.15791627313476184</v>
      </c>
      <c r="AK134" s="22">
        <f t="shared" si="28"/>
        <v>0.16139685457136538</v>
      </c>
      <c r="AL134" s="22">
        <f t="shared" si="28"/>
        <v>0.16476948346525533</v>
      </c>
      <c r="AM134" s="22">
        <f t="shared" si="28"/>
        <v>0.1682466106779141</v>
      </c>
      <c r="AN134" s="22">
        <f t="shared" si="28"/>
        <v>0.17192264568830376</v>
      </c>
      <c r="AO134" s="22">
        <f t="shared" si="28"/>
        <v>0.17515461564548812</v>
      </c>
      <c r="AP134" s="22">
        <f t="shared" si="28"/>
        <v>0.17836303688392388</v>
      </c>
      <c r="AQ134" s="22">
        <f t="shared" si="28"/>
        <v>0.18155644014490915</v>
      </c>
      <c r="AR134" s="22">
        <f t="shared" si="28"/>
        <v>0.18501677268932123</v>
      </c>
      <c r="AS134" s="22">
        <f t="shared" si="28"/>
        <v>0.1885273047927761</v>
      </c>
      <c r="AT134" s="22">
        <f t="shared" si="28"/>
        <v>0.1893481182412324</v>
      </c>
      <c r="AU134" s="22">
        <f t="shared" si="28"/>
        <v>0.18994311944670875</v>
      </c>
      <c r="AV134" s="22">
        <f t="shared" si="28"/>
        <v>0.19083634950059308</v>
      </c>
      <c r="AW134" s="22">
        <f t="shared" si="28"/>
        <v>0.19153378485504027</v>
      </c>
      <c r="AY134" s="85"/>
    </row>
    <row r="135" spans="1:51" x14ac:dyDescent="0.25">
      <c r="A135" s="102" t="str">
        <f t="shared" si="0"/>
        <v>FS MM Volatilisation</v>
      </c>
      <c r="B135" s="102" t="s">
        <v>1005</v>
      </c>
      <c r="C135" s="102" t="s">
        <v>1333</v>
      </c>
      <c r="D135" t="s">
        <v>369</v>
      </c>
      <c r="E135" t="s">
        <v>64</v>
      </c>
      <c r="F135" t="s">
        <v>62</v>
      </c>
      <c r="G135" t="s">
        <v>1179</v>
      </c>
      <c r="H135" t="s">
        <v>1304</v>
      </c>
      <c r="I135" t="s">
        <v>139</v>
      </c>
      <c r="J135" t="s">
        <v>287</v>
      </c>
      <c r="K135" s="22">
        <f t="shared" si="26"/>
        <v>1.2775290998949166E-2</v>
      </c>
      <c r="L135" s="22">
        <f t="shared" si="28"/>
        <v>1.2752712154118219E-2</v>
      </c>
      <c r="M135" s="22">
        <f t="shared" si="28"/>
        <v>1.2681162766399339E-2</v>
      </c>
      <c r="N135" s="22">
        <f t="shared" si="28"/>
        <v>1.2401336695117745E-2</v>
      </c>
      <c r="O135" s="22">
        <f t="shared" si="28"/>
        <v>1.2136715911167996E-2</v>
      </c>
      <c r="P135" s="22">
        <f t="shared" si="28"/>
        <v>1.2094005553162118E-2</v>
      </c>
      <c r="Q135" s="22">
        <f t="shared" si="28"/>
        <v>1.1990325522103915E-2</v>
      </c>
      <c r="R135" s="22">
        <f t="shared" si="28"/>
        <v>1.1670998115233177E-2</v>
      </c>
      <c r="S135" s="22">
        <f t="shared" si="28"/>
        <v>1.0409990322553617E-2</v>
      </c>
      <c r="T135" s="22">
        <f t="shared" si="28"/>
        <v>1.0633915589789026E-2</v>
      </c>
      <c r="U135" s="22">
        <f t="shared" si="28"/>
        <v>1.0737029125893931E-2</v>
      </c>
      <c r="V135" s="22">
        <f t="shared" si="28"/>
        <v>1.0812127584554078E-2</v>
      </c>
      <c r="W135" s="22">
        <f t="shared" si="28"/>
        <v>1.092742395425785E-2</v>
      </c>
      <c r="X135" s="22">
        <f t="shared" ref="L135:AW142" si="29">X1544</f>
        <v>1.1183462382191907E-2</v>
      </c>
      <c r="Y135" s="22">
        <f t="shared" si="29"/>
        <v>1.1471619368260015E-2</v>
      </c>
      <c r="Z135" s="22">
        <f t="shared" si="29"/>
        <v>1.1788710886223677E-2</v>
      </c>
      <c r="AA135" s="22">
        <f t="shared" si="29"/>
        <v>1.2042270017702387E-2</v>
      </c>
      <c r="AB135" s="22">
        <f t="shared" si="29"/>
        <v>1.2352834353223334E-2</v>
      </c>
      <c r="AC135" s="22">
        <f t="shared" si="29"/>
        <v>1.2732893678993665E-2</v>
      </c>
      <c r="AD135" s="22">
        <f t="shared" si="29"/>
        <v>1.3092637906715528E-2</v>
      </c>
      <c r="AE135" s="22">
        <f t="shared" si="29"/>
        <v>1.3467052260524101E-2</v>
      </c>
      <c r="AF135" s="22">
        <f t="shared" si="29"/>
        <v>1.384366200203278E-2</v>
      </c>
      <c r="AG135" s="22">
        <f t="shared" si="29"/>
        <v>1.4273176862127078E-2</v>
      </c>
      <c r="AH135" s="22">
        <f t="shared" si="29"/>
        <v>1.4621397688161536E-2</v>
      </c>
      <c r="AI135" s="22">
        <f t="shared" si="29"/>
        <v>1.4994528071178318E-2</v>
      </c>
      <c r="AJ135" s="22">
        <f t="shared" si="29"/>
        <v>1.5367728950777933E-2</v>
      </c>
      <c r="AK135" s="22">
        <f t="shared" si="29"/>
        <v>1.5706444087901172E-2</v>
      </c>
      <c r="AL135" s="22">
        <f t="shared" si="29"/>
        <v>1.6034653750300141E-2</v>
      </c>
      <c r="AM135" s="22">
        <f t="shared" si="29"/>
        <v>1.6373032737283407E-2</v>
      </c>
      <c r="AN135" s="22">
        <f t="shared" si="29"/>
        <v>1.673076857116438E-2</v>
      </c>
      <c r="AO135" s="22">
        <f t="shared" si="29"/>
        <v>1.7045289913981791E-2</v>
      </c>
      <c r="AP135" s="22">
        <f t="shared" si="29"/>
        <v>1.7357519597303427E-2</v>
      </c>
      <c r="AQ135" s="22">
        <f t="shared" si="29"/>
        <v>1.7668287795989782E-2</v>
      </c>
      <c r="AR135" s="22">
        <f t="shared" si="29"/>
        <v>1.8005032398471E-2</v>
      </c>
      <c r="AS135" s="22">
        <f t="shared" si="29"/>
        <v>1.8346662205000568E-2</v>
      </c>
      <c r="AT135" s="22">
        <f t="shared" si="29"/>
        <v>1.8426540221018993E-2</v>
      </c>
      <c r="AU135" s="22">
        <f t="shared" si="29"/>
        <v>1.8484443165849414E-2</v>
      </c>
      <c r="AV135" s="22">
        <f t="shared" si="29"/>
        <v>1.8571368452815044E-2</v>
      </c>
      <c r="AW135" s="22">
        <f t="shared" si="29"/>
        <v>1.8639239846149461E-2</v>
      </c>
      <c r="AY135" s="85"/>
    </row>
    <row r="136" spans="1:51" x14ac:dyDescent="0.25">
      <c r="A136" s="102" t="str">
        <f t="shared" si="0"/>
        <v>FS MM Volatilisation</v>
      </c>
      <c r="B136" s="102" t="s">
        <v>1005</v>
      </c>
      <c r="C136" s="102" t="s">
        <v>1333</v>
      </c>
      <c r="D136" t="s">
        <v>369</v>
      </c>
      <c r="E136" t="s">
        <v>64</v>
      </c>
      <c r="F136" t="s">
        <v>62</v>
      </c>
      <c r="G136" t="s">
        <v>1181</v>
      </c>
      <c r="H136" t="s">
        <v>1305</v>
      </c>
      <c r="I136" t="s">
        <v>139</v>
      </c>
      <c r="J136" t="s">
        <v>287</v>
      </c>
      <c r="K136" s="22">
        <f t="shared" si="26"/>
        <v>6.4639922525530427E-2</v>
      </c>
      <c r="L136" s="22">
        <f t="shared" si="29"/>
        <v>6.6092820241884495E-2</v>
      </c>
      <c r="M136" s="22">
        <f t="shared" si="29"/>
        <v>6.7406950311631311E-2</v>
      </c>
      <c r="N136" s="22">
        <f t="shared" si="29"/>
        <v>6.8085378535523336E-2</v>
      </c>
      <c r="O136" s="22">
        <f t="shared" si="29"/>
        <v>6.8782509933711544E-2</v>
      </c>
      <c r="P136" s="22">
        <f t="shared" si="29"/>
        <v>7.0170496606956442E-2</v>
      </c>
      <c r="Q136" s="22">
        <f t="shared" si="29"/>
        <v>7.1357352719614867E-2</v>
      </c>
      <c r="R136" s="22">
        <f t="shared" si="29"/>
        <v>7.1807853842609945E-2</v>
      </c>
      <c r="S136" s="22">
        <f t="shared" si="29"/>
        <v>6.89560372793145E-2</v>
      </c>
      <c r="T136" s="22">
        <f t="shared" si="29"/>
        <v>7.1008173280929857E-2</v>
      </c>
      <c r="U136" s="22">
        <f t="shared" si="29"/>
        <v>7.2666722437194436E-2</v>
      </c>
      <c r="V136" s="22">
        <f t="shared" si="29"/>
        <v>7.4247222856444403E-2</v>
      </c>
      <c r="W136" s="22">
        <f t="shared" si="29"/>
        <v>7.600218438166105E-2</v>
      </c>
      <c r="X136" s="22">
        <f t="shared" si="29"/>
        <v>7.8331736592242102E-2</v>
      </c>
      <c r="Y136" s="22">
        <f t="shared" si="29"/>
        <v>8.0778487004079483E-2</v>
      </c>
      <c r="Z136" s="22">
        <f t="shared" si="29"/>
        <v>8.3401229369706939E-2</v>
      </c>
      <c r="AA136" s="22">
        <f t="shared" si="29"/>
        <v>8.5827271656106763E-2</v>
      </c>
      <c r="AB136" s="22">
        <f t="shared" si="29"/>
        <v>8.8549064394725929E-2</v>
      </c>
      <c r="AC136" s="22">
        <f t="shared" si="29"/>
        <v>9.1636240743728642E-2</v>
      </c>
      <c r="AD136" s="22">
        <f t="shared" si="29"/>
        <v>9.4662173779080358E-2</v>
      </c>
      <c r="AE136" s="22">
        <f t="shared" si="29"/>
        <v>9.7831321391472395E-2</v>
      </c>
      <c r="AF136" s="22">
        <f t="shared" si="29"/>
        <v>0.1010924495137356</v>
      </c>
      <c r="AG136" s="22">
        <f t="shared" si="29"/>
        <v>0.10468368456707709</v>
      </c>
      <c r="AH136" s="22">
        <f t="shared" si="29"/>
        <v>0.10798542807128246</v>
      </c>
      <c r="AI136" s="22">
        <f t="shared" si="29"/>
        <v>0.11143964262193619</v>
      </c>
      <c r="AJ136" s="22">
        <f t="shared" si="29"/>
        <v>0.11498300476041527</v>
      </c>
      <c r="AK136" s="22">
        <f t="shared" si="29"/>
        <v>0.11844428302751359</v>
      </c>
      <c r="AL136" s="22">
        <f t="shared" si="29"/>
        <v>0.12193846206930534</v>
      </c>
      <c r="AM136" s="22">
        <f t="shared" si="29"/>
        <v>0.12557241914152842</v>
      </c>
      <c r="AN136" s="22">
        <f t="shared" si="29"/>
        <v>0.12935192234708767</v>
      </c>
      <c r="AO136" s="22">
        <f t="shared" si="29"/>
        <v>0.13299431940651141</v>
      </c>
      <c r="AP136" s="22">
        <f t="shared" si="29"/>
        <v>0.13671453058130023</v>
      </c>
      <c r="AQ136" s="22">
        <f t="shared" si="29"/>
        <v>0.14051897664424154</v>
      </c>
      <c r="AR136" s="22">
        <f t="shared" si="29"/>
        <v>0.14456662668799888</v>
      </c>
      <c r="AS136" s="22">
        <f t="shared" si="29"/>
        <v>0.14869599338087189</v>
      </c>
      <c r="AT136" s="22">
        <f t="shared" si="29"/>
        <v>0.15137911693275455</v>
      </c>
      <c r="AU136" s="22">
        <f t="shared" si="29"/>
        <v>0.1539813872955596</v>
      </c>
      <c r="AV136" s="22">
        <f t="shared" si="29"/>
        <v>0.15681091101615385</v>
      </c>
      <c r="AW136" s="22">
        <f t="shared" si="29"/>
        <v>0.15957796848952543</v>
      </c>
      <c r="AY136" s="85"/>
    </row>
    <row r="137" spans="1:51" x14ac:dyDescent="0.25">
      <c r="A137" s="102" t="str">
        <f t="shared" si="0"/>
        <v>FS MM Volatilisation</v>
      </c>
      <c r="B137" s="102" t="s">
        <v>1005</v>
      </c>
      <c r="C137" s="102" t="s">
        <v>1333</v>
      </c>
      <c r="D137" t="s">
        <v>369</v>
      </c>
      <c r="E137" t="s">
        <v>64</v>
      </c>
      <c r="F137" t="s">
        <v>62</v>
      </c>
      <c r="G137" t="s">
        <v>1183</v>
      </c>
      <c r="H137" t="s">
        <v>1306</v>
      </c>
      <c r="I137" t="s">
        <v>139</v>
      </c>
      <c r="J137" t="s">
        <v>287</v>
      </c>
      <c r="K137" s="22">
        <f t="shared" si="26"/>
        <v>0.3124157271084777</v>
      </c>
      <c r="L137" s="22">
        <f t="shared" si="29"/>
        <v>0.31821414255231495</v>
      </c>
      <c r="M137" s="22">
        <f t="shared" si="29"/>
        <v>0.32201191440693633</v>
      </c>
      <c r="N137" s="22">
        <f t="shared" si="29"/>
        <v>0.3178348082585094</v>
      </c>
      <c r="O137" s="22">
        <f t="shared" si="29"/>
        <v>0.31378386599173785</v>
      </c>
      <c r="P137" s="22">
        <f t="shared" si="29"/>
        <v>0.31779798966820449</v>
      </c>
      <c r="Q137" s="22">
        <f t="shared" si="29"/>
        <v>0.31934474546532327</v>
      </c>
      <c r="R137" s="22">
        <f t="shared" si="29"/>
        <v>0.3122534460886785</v>
      </c>
      <c r="S137" s="22">
        <f t="shared" si="29"/>
        <v>0.26726842990845273</v>
      </c>
      <c r="T137" s="22">
        <f t="shared" si="29"/>
        <v>0.28155383456320437</v>
      </c>
      <c r="U137" s="22">
        <f t="shared" si="29"/>
        <v>0.29111754321840305</v>
      </c>
      <c r="V137" s="22">
        <f t="shared" si="29"/>
        <v>0.2996184601617527</v>
      </c>
      <c r="W137" s="22">
        <f t="shared" si="29"/>
        <v>0.30988409927740257</v>
      </c>
      <c r="X137" s="22">
        <f t="shared" si="29"/>
        <v>0.32626779257260974</v>
      </c>
      <c r="Y137" s="22">
        <f t="shared" si="29"/>
        <v>0.34459114138127506</v>
      </c>
      <c r="Z137" s="22">
        <f t="shared" si="29"/>
        <v>0.36451721195122694</v>
      </c>
      <c r="AA137" s="22">
        <f t="shared" si="29"/>
        <v>0.38201404405887901</v>
      </c>
      <c r="AB137" s="22">
        <f t="shared" si="29"/>
        <v>0.40238508942677492</v>
      </c>
      <c r="AC137" s="22">
        <f t="shared" si="29"/>
        <v>0.4263053965641187</v>
      </c>
      <c r="AD137" s="22">
        <f t="shared" si="29"/>
        <v>0.44998725989455773</v>
      </c>
      <c r="AE137" s="22">
        <f t="shared" si="29"/>
        <v>0.47482812670868052</v>
      </c>
      <c r="AF137" s="22">
        <f t="shared" si="29"/>
        <v>0.50027841318334143</v>
      </c>
      <c r="AG137" s="22">
        <f t="shared" si="29"/>
        <v>0.52877672683612675</v>
      </c>
      <c r="AH137" s="22">
        <f t="shared" si="29"/>
        <v>0.55394333487777203</v>
      </c>
      <c r="AI137" s="22">
        <f t="shared" si="29"/>
        <v>0.58103945126716949</v>
      </c>
      <c r="AJ137" s="22">
        <f t="shared" si="29"/>
        <v>0.60869953568846558</v>
      </c>
      <c r="AK137" s="22">
        <f t="shared" si="29"/>
        <v>0.6352030919632573</v>
      </c>
      <c r="AL137" s="22">
        <f t="shared" si="29"/>
        <v>0.66171943775292319</v>
      </c>
      <c r="AM137" s="22">
        <f t="shared" si="29"/>
        <v>0.68930855279653469</v>
      </c>
      <c r="AN137" s="22">
        <f t="shared" si="29"/>
        <v>0.71866455371182625</v>
      </c>
      <c r="AO137" s="22">
        <f t="shared" si="29"/>
        <v>0.74635733605458598</v>
      </c>
      <c r="AP137" s="22">
        <f t="shared" si="29"/>
        <v>0.7745069527648214</v>
      </c>
      <c r="AQ137" s="22">
        <f t="shared" si="29"/>
        <v>0.80317067030208755</v>
      </c>
      <c r="AR137" s="22">
        <f t="shared" si="29"/>
        <v>0.83386954359351506</v>
      </c>
      <c r="AS137" s="22">
        <f t="shared" si="29"/>
        <v>0.86568293208899882</v>
      </c>
      <c r="AT137" s="22">
        <f t="shared" si="29"/>
        <v>0.88344012524771687</v>
      </c>
      <c r="AU137" s="22">
        <f t="shared" si="29"/>
        <v>0.90027059680950883</v>
      </c>
      <c r="AV137" s="22">
        <f t="shared" si="29"/>
        <v>0.91908561041712944</v>
      </c>
      <c r="AW137" s="22">
        <f t="shared" si="29"/>
        <v>0.9371463380375723</v>
      </c>
      <c r="AY137" s="85"/>
    </row>
    <row r="138" spans="1:51" x14ac:dyDescent="0.25">
      <c r="A138" s="102" t="str">
        <f t="shared" si="0"/>
        <v>FS MM Leaching</v>
      </c>
      <c r="B138" s="102" t="s">
        <v>1005</v>
      </c>
      <c r="C138" s="102" t="s">
        <v>1334</v>
      </c>
      <c r="D138" t="s">
        <v>369</v>
      </c>
      <c r="E138" t="s">
        <v>64</v>
      </c>
      <c r="F138" t="s">
        <v>63</v>
      </c>
      <c r="G138" t="s">
        <v>1153</v>
      </c>
      <c r="H138" t="s">
        <v>1307</v>
      </c>
      <c r="I138" t="s">
        <v>139</v>
      </c>
      <c r="J138" t="s">
        <v>287</v>
      </c>
      <c r="K138" s="22">
        <f t="shared" si="26"/>
        <v>8.9301817319657029E-2</v>
      </c>
      <c r="L138" s="22">
        <f t="shared" si="29"/>
        <v>8.9904788204048389E-2</v>
      </c>
      <c r="M138" s="22">
        <f t="shared" si="29"/>
        <v>9.0432234991344826E-2</v>
      </c>
      <c r="N138" s="22">
        <f t="shared" si="29"/>
        <v>9.0500461338876806E-2</v>
      </c>
      <c r="O138" s="22">
        <f t="shared" si="29"/>
        <v>9.0617974533052939E-2</v>
      </c>
      <c r="P138" s="22">
        <f t="shared" si="29"/>
        <v>9.1292243565634368E-2</v>
      </c>
      <c r="Q138" s="22">
        <f t="shared" si="29"/>
        <v>9.1831411898207801E-2</v>
      </c>
      <c r="R138" s="22">
        <f t="shared" si="29"/>
        <v>9.1836139358568436E-2</v>
      </c>
      <c r="S138" s="22">
        <f t="shared" si="29"/>
        <v>8.9403055409342513E-2</v>
      </c>
      <c r="T138" s="22">
        <f t="shared" si="29"/>
        <v>9.0578464795021837E-2</v>
      </c>
      <c r="U138" s="22">
        <f t="shared" si="29"/>
        <v>9.1468229504779536E-2</v>
      </c>
      <c r="V138" s="22">
        <f t="shared" si="29"/>
        <v>9.2307701453058486E-2</v>
      </c>
      <c r="W138" s="22">
        <f t="shared" si="29"/>
        <v>9.3281093922152392E-2</v>
      </c>
      <c r="X138" s="22">
        <f t="shared" si="29"/>
        <v>9.4675817928952744E-2</v>
      </c>
      <c r="Y138" s="22">
        <f t="shared" si="29"/>
        <v>9.6127887906373721E-2</v>
      </c>
      <c r="Z138" s="22">
        <f t="shared" si="29"/>
        <v>9.7705163684132096E-2</v>
      </c>
      <c r="AA138" s="22">
        <f t="shared" si="29"/>
        <v>9.9139534803866503E-2</v>
      </c>
      <c r="AB138" s="22">
        <f t="shared" si="29"/>
        <v>0.10078297415070787</v>
      </c>
      <c r="AC138" s="22">
        <f t="shared" si="29"/>
        <v>0.10268183134860724</v>
      </c>
      <c r="AD138" s="22">
        <f t="shared" si="29"/>
        <v>0.10450996110897502</v>
      </c>
      <c r="AE138" s="22">
        <f t="shared" si="29"/>
        <v>0.1064333985286125</v>
      </c>
      <c r="AF138" s="22">
        <f t="shared" si="29"/>
        <v>0.10841517507268528</v>
      </c>
      <c r="AG138" s="22">
        <f t="shared" si="29"/>
        <v>0.11062033109470952</v>
      </c>
      <c r="AH138" s="22">
        <f t="shared" si="29"/>
        <v>0.11261681982671894</v>
      </c>
      <c r="AI138" s="22">
        <f t="shared" si="29"/>
        <v>0.11469139352660324</v>
      </c>
      <c r="AJ138" s="22">
        <f t="shared" si="29"/>
        <v>0.11682019256305964</v>
      </c>
      <c r="AK138" s="22">
        <f t="shared" si="29"/>
        <v>0.11888535619665287</v>
      </c>
      <c r="AL138" s="22">
        <f t="shared" si="29"/>
        <v>0.12096617191338277</v>
      </c>
      <c r="AM138" s="22">
        <f t="shared" si="29"/>
        <v>0.12313525542688207</v>
      </c>
      <c r="AN138" s="22">
        <f t="shared" si="29"/>
        <v>0.12537615973723265</v>
      </c>
      <c r="AO138" s="22">
        <f t="shared" si="29"/>
        <v>0.12751645286240365</v>
      </c>
      <c r="AP138" s="22">
        <f t="shared" si="29"/>
        <v>0.12970195754720021</v>
      </c>
      <c r="AQ138" s="22">
        <f t="shared" si="29"/>
        <v>0.131936612577774</v>
      </c>
      <c r="AR138" s="22">
        <f t="shared" si="29"/>
        <v>0.13432635811565444</v>
      </c>
      <c r="AS138" s="22">
        <f t="shared" si="29"/>
        <v>0.13674240472836932</v>
      </c>
      <c r="AT138" s="22">
        <f t="shared" si="29"/>
        <v>0.13818843767832675</v>
      </c>
      <c r="AU138" s="22">
        <f t="shared" si="29"/>
        <v>0.13957828911754586</v>
      </c>
      <c r="AV138" s="22">
        <f t="shared" si="29"/>
        <v>0.14111599332781352</v>
      </c>
      <c r="AW138" s="22">
        <f t="shared" si="29"/>
        <v>0.14260938051125654</v>
      </c>
      <c r="AY138" s="85"/>
    </row>
    <row r="139" spans="1:51" x14ac:dyDescent="0.25">
      <c r="A139" s="102" t="str">
        <f t="shared" si="0"/>
        <v>FS MM Leaching</v>
      </c>
      <c r="B139" s="102" t="s">
        <v>1005</v>
      </c>
      <c r="C139" s="102" t="s">
        <v>1334</v>
      </c>
      <c r="D139" t="s">
        <v>369</v>
      </c>
      <c r="E139" t="s">
        <v>64</v>
      </c>
      <c r="F139" t="s">
        <v>63</v>
      </c>
      <c r="G139" t="s">
        <v>1155</v>
      </c>
      <c r="H139" t="s">
        <v>1308</v>
      </c>
      <c r="I139" t="s">
        <v>139</v>
      </c>
      <c r="J139" t="s">
        <v>287</v>
      </c>
      <c r="K139" s="22">
        <f t="shared" si="26"/>
        <v>2.69668832410737E-2</v>
      </c>
      <c r="L139" s="22">
        <f t="shared" si="29"/>
        <v>2.7148965150772641E-2</v>
      </c>
      <c r="M139" s="22">
        <f t="shared" si="29"/>
        <v>2.730824069919725E-2</v>
      </c>
      <c r="N139" s="22">
        <f t="shared" si="29"/>
        <v>2.7328843325247671E-2</v>
      </c>
      <c r="O139" s="22">
        <f t="shared" si="29"/>
        <v>2.7364329328576024E-2</v>
      </c>
      <c r="P139" s="22">
        <f t="shared" si="29"/>
        <v>2.756794147019246E-2</v>
      </c>
      <c r="Q139" s="22">
        <f t="shared" si="29"/>
        <v>2.7730756627914813E-2</v>
      </c>
      <c r="R139" s="22">
        <f t="shared" si="29"/>
        <v>2.7732184201007922E-2</v>
      </c>
      <c r="S139" s="22">
        <f t="shared" si="29"/>
        <v>2.6997454575745719E-2</v>
      </c>
      <c r="T139" s="22">
        <f t="shared" si="29"/>
        <v>2.7352398390053725E-2</v>
      </c>
      <c r="U139" s="22">
        <f t="shared" si="29"/>
        <v>2.7621084759046378E-2</v>
      </c>
      <c r="V139" s="22">
        <f t="shared" si="29"/>
        <v>2.7874583990001138E-2</v>
      </c>
      <c r="W139" s="22">
        <f t="shared" si="29"/>
        <v>2.8168523820674866E-2</v>
      </c>
      <c r="X139" s="22">
        <f t="shared" si="29"/>
        <v>2.8589695086543694E-2</v>
      </c>
      <c r="Y139" s="22">
        <f t="shared" si="29"/>
        <v>2.9028183380671174E-2</v>
      </c>
      <c r="Z139" s="22">
        <f t="shared" si="29"/>
        <v>2.9504480650026085E-2</v>
      </c>
      <c r="AA139" s="22">
        <f t="shared" si="29"/>
        <v>2.9937624338152707E-2</v>
      </c>
      <c r="AB139" s="22">
        <f t="shared" si="29"/>
        <v>3.0433901326799174E-2</v>
      </c>
      <c r="AC139" s="22">
        <f t="shared" si="29"/>
        <v>3.1007308026507561E-2</v>
      </c>
      <c r="AD139" s="22">
        <f t="shared" si="29"/>
        <v>3.1559356834438362E-2</v>
      </c>
      <c r="AE139" s="22">
        <f t="shared" si="29"/>
        <v>3.2140186137510761E-2</v>
      </c>
      <c r="AF139" s="22">
        <f t="shared" si="29"/>
        <v>3.2738632376097511E-2</v>
      </c>
      <c r="AG139" s="22">
        <f t="shared" si="29"/>
        <v>3.3404533549882341E-2</v>
      </c>
      <c r="AH139" s="22">
        <f t="shared" si="29"/>
        <v>3.4007422495977352E-2</v>
      </c>
      <c r="AI139" s="22">
        <f t="shared" si="29"/>
        <v>3.4633891121352886E-2</v>
      </c>
      <c r="AJ139" s="22">
        <f t="shared" si="29"/>
        <v>3.5276734422674962E-2</v>
      </c>
      <c r="AK139" s="22">
        <f t="shared" si="29"/>
        <v>3.5900361446764215E-2</v>
      </c>
      <c r="AL139" s="22">
        <f t="shared" si="29"/>
        <v>3.6528715002866974E-2</v>
      </c>
      <c r="AM139" s="22">
        <f t="shared" si="29"/>
        <v>3.718372319423778E-2</v>
      </c>
      <c r="AN139" s="22">
        <f t="shared" si="29"/>
        <v>3.7860419444162144E-2</v>
      </c>
      <c r="AO139" s="22">
        <f t="shared" si="29"/>
        <v>3.8506733668670703E-2</v>
      </c>
      <c r="AP139" s="22">
        <f t="shared" si="29"/>
        <v>3.9166700637167727E-2</v>
      </c>
      <c r="AQ139" s="22">
        <f t="shared" si="29"/>
        <v>3.9841509763143906E-2</v>
      </c>
      <c r="AR139" s="22">
        <f t="shared" si="29"/>
        <v>4.0563152287676402E-2</v>
      </c>
      <c r="AS139" s="22">
        <f t="shared" si="29"/>
        <v>4.1292737069549959E-2</v>
      </c>
      <c r="AT139" s="22">
        <f t="shared" si="29"/>
        <v>4.1729402334542996E-2</v>
      </c>
      <c r="AU139" s="22">
        <f t="shared" si="29"/>
        <v>4.2149102208619463E-2</v>
      </c>
      <c r="AV139" s="22">
        <f t="shared" si="29"/>
        <v>4.2613449868523889E-2</v>
      </c>
      <c r="AW139" s="22">
        <f t="shared" si="29"/>
        <v>4.3064414910651432E-2</v>
      </c>
      <c r="AY139" s="85"/>
    </row>
    <row r="140" spans="1:51" x14ac:dyDescent="0.25">
      <c r="A140" s="102" t="str">
        <f t="shared" si="0"/>
        <v>FS MM Leaching</v>
      </c>
      <c r="B140" s="102" t="s">
        <v>1005</v>
      </c>
      <c r="C140" s="102" t="s">
        <v>1334</v>
      </c>
      <c r="D140" t="s">
        <v>369</v>
      </c>
      <c r="E140" t="s">
        <v>64</v>
      </c>
      <c r="F140" t="s">
        <v>63</v>
      </c>
      <c r="G140" t="s">
        <v>1157</v>
      </c>
      <c r="H140" t="s">
        <v>1309</v>
      </c>
      <c r="I140" t="s">
        <v>139</v>
      </c>
      <c r="J140" t="s">
        <v>287</v>
      </c>
      <c r="K140" s="22">
        <f t="shared" si="26"/>
        <v>1.4498393681804938E-3</v>
      </c>
      <c r="L140" s="22">
        <f t="shared" si="29"/>
        <v>1.4596287649956559E-3</v>
      </c>
      <c r="M140" s="22">
        <f t="shared" si="29"/>
        <v>1.4681920074894272E-3</v>
      </c>
      <c r="N140" s="22">
        <f t="shared" si="29"/>
        <v>1.4692996808556361E-3</v>
      </c>
      <c r="O140" s="22">
        <f t="shared" si="29"/>
        <v>1.4712075396239221E-3</v>
      </c>
      <c r="P140" s="22">
        <f t="shared" si="29"/>
        <v>1.4821544813270488E-3</v>
      </c>
      <c r="Q140" s="22">
        <f t="shared" si="29"/>
        <v>1.4909080263063527E-3</v>
      </c>
      <c r="R140" s="22">
        <f t="shared" si="29"/>
        <v>1.4909847779150886E-3</v>
      </c>
      <c r="S140" s="22">
        <f t="shared" si="29"/>
        <v>1.451482996187078E-3</v>
      </c>
      <c r="T140" s="22">
        <f t="shared" si="29"/>
        <v>1.4705660882476425E-3</v>
      </c>
      <c r="U140" s="22">
        <f t="shared" si="29"/>
        <v>1.4850116610628827E-3</v>
      </c>
      <c r="V140" s="22">
        <f t="shared" si="29"/>
        <v>1.4986407171742647E-3</v>
      </c>
      <c r="W140" s="22">
        <f t="shared" si="29"/>
        <v>1.5144440094782853E-3</v>
      </c>
      <c r="X140" s="22">
        <f t="shared" si="29"/>
        <v>1.5370877342478196E-3</v>
      </c>
      <c r="Y140" s="22">
        <f t="shared" si="29"/>
        <v>1.5606624864959412E-3</v>
      </c>
      <c r="Z140" s="22">
        <f t="shared" si="29"/>
        <v>1.5862699890721308E-3</v>
      </c>
      <c r="AA140" s="22">
        <f t="shared" si="29"/>
        <v>1.6095573955369755E-3</v>
      </c>
      <c r="AB140" s="22">
        <f t="shared" si="29"/>
        <v>1.6362390817084723E-3</v>
      </c>
      <c r="AC140" s="22">
        <f t="shared" si="29"/>
        <v>1.6670675463769219E-3</v>
      </c>
      <c r="AD140" s="22">
        <f t="shared" si="29"/>
        <v>1.6967477318006537E-3</v>
      </c>
      <c r="AE140" s="22">
        <f t="shared" si="29"/>
        <v>1.7279752630751828E-3</v>
      </c>
      <c r="AF140" s="22">
        <f t="shared" si="29"/>
        <v>1.7601499459514404E-3</v>
      </c>
      <c r="AG140" s="22">
        <f t="shared" si="29"/>
        <v>1.7959512555963141E-3</v>
      </c>
      <c r="AH140" s="22">
        <f t="shared" si="29"/>
        <v>1.8283647948576127E-3</v>
      </c>
      <c r="AI140" s="22">
        <f t="shared" si="29"/>
        <v>1.8620460648760904E-3</v>
      </c>
      <c r="AJ140" s="22">
        <f t="shared" si="29"/>
        <v>1.8966076980279822E-3</v>
      </c>
      <c r="AK140" s="22">
        <f t="shared" si="29"/>
        <v>1.9301361930528979E-3</v>
      </c>
      <c r="AL140" s="22">
        <f t="shared" si="29"/>
        <v>1.9639188039178583E-3</v>
      </c>
      <c r="AM140" s="22">
        <f t="shared" si="29"/>
        <v>1.9991344665452565E-3</v>
      </c>
      <c r="AN140" s="22">
        <f t="shared" si="29"/>
        <v>2.0355161594042262E-3</v>
      </c>
      <c r="AO140" s="22">
        <f t="shared" si="29"/>
        <v>2.0702644022223028E-3</v>
      </c>
      <c r="AP140" s="22">
        <f t="shared" si="29"/>
        <v>2.1057466670458603E-3</v>
      </c>
      <c r="AQ140" s="22">
        <f t="shared" si="29"/>
        <v>2.1420269011426783E-3</v>
      </c>
      <c r="AR140" s="22">
        <f t="shared" si="29"/>
        <v>2.1808250719385831E-3</v>
      </c>
      <c r="AS140" s="22">
        <f t="shared" si="29"/>
        <v>2.2200502478600822E-3</v>
      </c>
      <c r="AT140" s="22">
        <f t="shared" si="29"/>
        <v>2.2435269873202655E-3</v>
      </c>
      <c r="AU140" s="22">
        <f t="shared" si="29"/>
        <v>2.2660916046257488E-3</v>
      </c>
      <c r="AV140" s="22">
        <f t="shared" si="29"/>
        <v>2.2910566520075136E-3</v>
      </c>
      <c r="AW140" s="22">
        <f t="shared" si="29"/>
        <v>2.3153022003678742E-3</v>
      </c>
      <c r="AY140" s="85"/>
    </row>
    <row r="141" spans="1:51" x14ac:dyDescent="0.25">
      <c r="A141" s="102" t="str">
        <f t="shared" si="0"/>
        <v>FS MM Leaching</v>
      </c>
      <c r="B141" s="102" t="s">
        <v>1005</v>
      </c>
      <c r="C141" s="102" t="s">
        <v>1334</v>
      </c>
      <c r="D141" t="s">
        <v>369</v>
      </c>
      <c r="E141" t="s">
        <v>64</v>
      </c>
      <c r="F141" t="s">
        <v>63</v>
      </c>
      <c r="G141" t="s">
        <v>1159</v>
      </c>
      <c r="H141" t="s">
        <v>1310</v>
      </c>
      <c r="I141" t="s">
        <v>139</v>
      </c>
      <c r="J141" t="s">
        <v>287</v>
      </c>
      <c r="K141" s="22">
        <f t="shared" si="26"/>
        <v>3.0452527896293373E-2</v>
      </c>
      <c r="L141" s="22">
        <f t="shared" si="29"/>
        <v>3.0297487464546878E-2</v>
      </c>
      <c r="M141" s="22">
        <f t="shared" si="29"/>
        <v>3.0014510280911927E-2</v>
      </c>
      <c r="N141" s="22">
        <f t="shared" si="29"/>
        <v>2.9239921775422131E-2</v>
      </c>
      <c r="O141" s="22">
        <f t="shared" si="29"/>
        <v>2.8496244024993216E-2</v>
      </c>
      <c r="P141" s="22">
        <f t="shared" si="29"/>
        <v>2.8252813512235145E-2</v>
      </c>
      <c r="Q141" s="22">
        <f t="shared" si="29"/>
        <v>2.7859647334891578E-2</v>
      </c>
      <c r="R141" s="22">
        <f t="shared" si="29"/>
        <v>2.6976279512961457E-2</v>
      </c>
      <c r="S141" s="22">
        <f t="shared" si="29"/>
        <v>2.4012489752417959E-2</v>
      </c>
      <c r="T141" s="22">
        <f t="shared" si="29"/>
        <v>2.4599231081869424E-2</v>
      </c>
      <c r="U141" s="22">
        <f t="shared" si="29"/>
        <v>2.4916145495478388E-2</v>
      </c>
      <c r="V141" s="22">
        <f t="shared" si="29"/>
        <v>2.5168037651579767E-2</v>
      </c>
      <c r="W141" s="22">
        <f t="shared" si="29"/>
        <v>2.5506564506487542E-2</v>
      </c>
      <c r="X141" s="22">
        <f t="shared" si="29"/>
        <v>2.6156489707851342E-2</v>
      </c>
      <c r="Y141" s="22">
        <f t="shared" si="29"/>
        <v>2.6867817810745018E-2</v>
      </c>
      <c r="Z141" s="22">
        <f t="shared" si="29"/>
        <v>2.7642884414901984E-2</v>
      </c>
      <c r="AA141" s="22">
        <f t="shared" si="29"/>
        <v>2.8274857178530011E-2</v>
      </c>
      <c r="AB141" s="22">
        <f t="shared" si="29"/>
        <v>2.903345804669211E-2</v>
      </c>
      <c r="AC141" s="22">
        <f t="shared" si="29"/>
        <v>2.9947210077229128E-2</v>
      </c>
      <c r="AD141" s="22">
        <f t="shared" si="29"/>
        <v>3.0549124720733112E-2</v>
      </c>
      <c r="AE141" s="22">
        <f t="shared" si="29"/>
        <v>3.1163959723064422E-2</v>
      </c>
      <c r="AF141" s="22">
        <f t="shared" si="29"/>
        <v>3.1763059028554627E-2</v>
      </c>
      <c r="AG141" s="22">
        <f t="shared" si="29"/>
        <v>3.2456169201335913E-2</v>
      </c>
      <c r="AH141" s="22">
        <f t="shared" si="29"/>
        <v>3.2950083477417874E-2</v>
      </c>
      <c r="AI141" s="22">
        <f t="shared" si="29"/>
        <v>3.3470414487168046E-2</v>
      </c>
      <c r="AJ141" s="22">
        <f t="shared" si="29"/>
        <v>3.3968324488623199E-2</v>
      </c>
      <c r="AK141" s="22">
        <f t="shared" si="29"/>
        <v>3.4370588247873347E-2</v>
      </c>
      <c r="AL141" s="22">
        <f t="shared" si="29"/>
        <v>3.4728582709762659E-2</v>
      </c>
      <c r="AM141" s="22">
        <f t="shared" si="29"/>
        <v>3.5084969822241303E-2</v>
      </c>
      <c r="AN141" s="22">
        <f t="shared" si="29"/>
        <v>3.563350480133385E-2</v>
      </c>
      <c r="AO141" s="22">
        <f t="shared" si="29"/>
        <v>3.6080223845932187E-2</v>
      </c>
      <c r="AP141" s="22">
        <f t="shared" si="29"/>
        <v>3.6509179844635559E-2</v>
      </c>
      <c r="AQ141" s="22">
        <f t="shared" si="29"/>
        <v>3.6921780538289761E-2</v>
      </c>
      <c r="AR141" s="22">
        <f t="shared" si="29"/>
        <v>3.7372669069064057E-2</v>
      </c>
      <c r="AS141" s="22">
        <f t="shared" si="29"/>
        <v>3.781430947824465E-2</v>
      </c>
      <c r="AT141" s="22">
        <f t="shared" si="29"/>
        <v>3.7723318556611311E-2</v>
      </c>
      <c r="AU141" s="22">
        <f t="shared" si="29"/>
        <v>3.7580542556637592E-2</v>
      </c>
      <c r="AV141" s="22">
        <f t="shared" si="29"/>
        <v>3.7486169646009135E-2</v>
      </c>
      <c r="AW141" s="22">
        <f t="shared" si="29"/>
        <v>3.7345735978641013E-2</v>
      </c>
      <c r="AY141" s="85"/>
    </row>
    <row r="142" spans="1:51" x14ac:dyDescent="0.25">
      <c r="A142" s="102" t="str">
        <f t="shared" si="0"/>
        <v>FS MM Leaching</v>
      </c>
      <c r="B142" s="102" t="s">
        <v>1005</v>
      </c>
      <c r="C142" s="102" t="s">
        <v>1334</v>
      </c>
      <c r="D142" t="s">
        <v>369</v>
      </c>
      <c r="E142" t="s">
        <v>64</v>
      </c>
      <c r="F142" t="s">
        <v>63</v>
      </c>
      <c r="G142" t="s">
        <v>1161</v>
      </c>
      <c r="H142" t="s">
        <v>1311</v>
      </c>
      <c r="I142" t="s">
        <v>139</v>
      </c>
      <c r="J142" t="s">
        <v>287</v>
      </c>
      <c r="K142" s="22">
        <f t="shared" si="26"/>
        <v>4.0424767632491129E-2</v>
      </c>
      <c r="L142" s="22">
        <f t="shared" si="29"/>
        <v>4.0218956362952633E-2</v>
      </c>
      <c r="M142" s="22">
        <f t="shared" ref="L142:AW148" si="30">M1551</f>
        <v>3.9843313101654371E-2</v>
      </c>
      <c r="N142" s="22">
        <f t="shared" si="30"/>
        <v>3.8815071359232893E-2</v>
      </c>
      <c r="O142" s="22">
        <f t="shared" si="30"/>
        <v>3.7827862666512127E-2</v>
      </c>
      <c r="P142" s="22">
        <f t="shared" si="30"/>
        <v>3.7504716360024323E-2</v>
      </c>
      <c r="Q142" s="22">
        <f t="shared" si="30"/>
        <v>3.6982800694625562E-2</v>
      </c>
      <c r="R142" s="22">
        <f t="shared" si="30"/>
        <v>3.5810157850092082E-2</v>
      </c>
      <c r="S142" s="22">
        <f t="shared" si="30"/>
        <v>3.1875820681448994E-2</v>
      </c>
      <c r="T142" s="22">
        <f t="shared" si="30"/>
        <v>3.2654701238893337E-2</v>
      </c>
      <c r="U142" s="22">
        <f t="shared" si="30"/>
        <v>3.307539509961839E-2</v>
      </c>
      <c r="V142" s="22">
        <f t="shared" si="30"/>
        <v>3.3409773970020318E-2</v>
      </c>
      <c r="W142" s="22">
        <f t="shared" si="30"/>
        <v>3.3859157663013208E-2</v>
      </c>
      <c r="X142" s="22">
        <f t="shared" si="30"/>
        <v>3.4721912812047291E-2</v>
      </c>
      <c r="Y142" s="22">
        <f t="shared" si="30"/>
        <v>3.5666178370816821E-2</v>
      </c>
      <c r="Z142" s="22">
        <f t="shared" si="30"/>
        <v>3.6695054774097693E-2</v>
      </c>
      <c r="AA142" s="22">
        <f t="shared" si="30"/>
        <v>3.7533978629835658E-2</v>
      </c>
      <c r="AB142" s="22">
        <f t="shared" si="30"/>
        <v>3.8540997289360182E-2</v>
      </c>
      <c r="AC142" s="22">
        <f t="shared" si="30"/>
        <v>3.9753974209830296E-2</v>
      </c>
      <c r="AD142" s="22">
        <f t="shared" si="30"/>
        <v>4.0552996861779135E-2</v>
      </c>
      <c r="AE142" s="22">
        <f t="shared" si="30"/>
        <v>4.1369170881427282E-2</v>
      </c>
      <c r="AF142" s="22">
        <f t="shared" si="30"/>
        <v>4.2164456261206094E-2</v>
      </c>
      <c r="AG142" s="22">
        <f t="shared" si="30"/>
        <v>4.3084538093946481E-2</v>
      </c>
      <c r="AH142" s="22">
        <f t="shared" si="30"/>
        <v>4.3740193673968565E-2</v>
      </c>
      <c r="AI142" s="22">
        <f t="shared" si="30"/>
        <v>4.4430916632429117E-2</v>
      </c>
      <c r="AJ142" s="22">
        <f t="shared" si="30"/>
        <v>4.5091876411507692E-2</v>
      </c>
      <c r="AK142" s="22">
        <f t="shared" si="30"/>
        <v>4.5625868829149929E-2</v>
      </c>
      <c r="AL142" s="22">
        <f t="shared" si="30"/>
        <v>4.610109515469106E-2</v>
      </c>
      <c r="AM142" s="22">
        <f t="shared" si="30"/>
        <v>4.6574187774726626E-2</v>
      </c>
      <c r="AN142" s="22">
        <f t="shared" si="30"/>
        <v>4.730235061045656E-2</v>
      </c>
      <c r="AO142" s="22">
        <f t="shared" si="30"/>
        <v>4.7895356013370721E-2</v>
      </c>
      <c r="AP142" s="22">
        <f t="shared" si="30"/>
        <v>4.8464781534667351E-2</v>
      </c>
      <c r="AQ142" s="22">
        <f t="shared" si="30"/>
        <v>4.9012495905795345E-2</v>
      </c>
      <c r="AR142" s="22">
        <f t="shared" si="30"/>
        <v>4.9611036169735952E-2</v>
      </c>
      <c r="AS142" s="22">
        <f t="shared" si="30"/>
        <v>5.019729984475968E-2</v>
      </c>
      <c r="AT142" s="22">
        <f t="shared" si="30"/>
        <v>5.0076512274144176E-2</v>
      </c>
      <c r="AU142" s="22">
        <f t="shared" si="30"/>
        <v>4.9886981649885677E-2</v>
      </c>
      <c r="AV142" s="22">
        <f t="shared" si="30"/>
        <v>4.9761704595844405E-2</v>
      </c>
      <c r="AW142" s="22">
        <f t="shared" si="30"/>
        <v>4.9575283344036727E-2</v>
      </c>
      <c r="AY142" s="85"/>
    </row>
    <row r="143" spans="1:51" x14ac:dyDescent="0.25">
      <c r="A143" s="102" t="str">
        <f t="shared" si="0"/>
        <v>FS MM Leaching</v>
      </c>
      <c r="B143" s="102" t="s">
        <v>1005</v>
      </c>
      <c r="C143" s="102" t="s">
        <v>1334</v>
      </c>
      <c r="D143" t="s">
        <v>369</v>
      </c>
      <c r="E143" t="s">
        <v>64</v>
      </c>
      <c r="F143" t="s">
        <v>63</v>
      </c>
      <c r="G143" t="s">
        <v>1163</v>
      </c>
      <c r="H143" t="s">
        <v>1312</v>
      </c>
      <c r="I143" t="s">
        <v>139</v>
      </c>
      <c r="J143" t="s">
        <v>287</v>
      </c>
      <c r="K143" s="22">
        <f t="shared" si="26"/>
        <v>4.2088279910489731E-2</v>
      </c>
      <c r="L143" s="22">
        <f t="shared" si="30"/>
        <v>4.3658426789379527E-2</v>
      </c>
      <c r="M143" s="22">
        <f t="shared" si="30"/>
        <v>4.5069001422451092E-2</v>
      </c>
      <c r="N143" s="22">
        <f t="shared" si="30"/>
        <v>4.5730945940485053E-2</v>
      </c>
      <c r="O143" s="22">
        <f t="shared" si="30"/>
        <v>4.6403018793330496E-2</v>
      </c>
      <c r="P143" s="22">
        <f t="shared" si="30"/>
        <v>4.788652540684897E-2</v>
      </c>
      <c r="Q143" s="22">
        <f t="shared" si="30"/>
        <v>4.9137870108527694E-2</v>
      </c>
      <c r="R143" s="22">
        <f t="shared" si="30"/>
        <v>4.9503165411805869E-2</v>
      </c>
      <c r="S143" s="22">
        <f t="shared" si="30"/>
        <v>4.5839757980885354E-2</v>
      </c>
      <c r="T143" s="22">
        <f t="shared" si="30"/>
        <v>4.8085500350999781E-2</v>
      </c>
      <c r="U143" s="22">
        <f t="shared" si="30"/>
        <v>4.9856457493952649E-2</v>
      </c>
      <c r="V143" s="22">
        <f t="shared" si="30"/>
        <v>5.1535970996810648E-2</v>
      </c>
      <c r="W143" s="22">
        <f t="shared" si="30"/>
        <v>5.3433929282004737E-2</v>
      </c>
      <c r="X143" s="22">
        <f t="shared" si="30"/>
        <v>5.6045654957977475E-2</v>
      </c>
      <c r="Y143" s="22">
        <f t="shared" si="30"/>
        <v>5.8870054591226323E-2</v>
      </c>
      <c r="Z143" s="22">
        <f t="shared" si="30"/>
        <v>6.1923467619543808E-2</v>
      </c>
      <c r="AA143" s="22">
        <f t="shared" si="30"/>
        <v>6.4744057541003291E-2</v>
      </c>
      <c r="AB143" s="22">
        <f t="shared" si="30"/>
        <v>6.7943881457369987E-2</v>
      </c>
      <c r="AC143" s="22">
        <f t="shared" si="30"/>
        <v>7.1612827226360365E-2</v>
      </c>
      <c r="AD143" s="22">
        <f t="shared" si="30"/>
        <v>7.5466807799469487E-2</v>
      </c>
      <c r="AE143" s="22">
        <f t="shared" si="30"/>
        <v>7.9535262123601499E-2</v>
      </c>
      <c r="AF143" s="22">
        <f t="shared" si="30"/>
        <v>8.3755881572647323E-2</v>
      </c>
      <c r="AG143" s="22">
        <f t="shared" si="30"/>
        <v>8.8434352848101333E-2</v>
      </c>
      <c r="AH143" s="22">
        <f t="shared" si="30"/>
        <v>9.2782184706594648E-2</v>
      </c>
      <c r="AI143" s="22">
        <f t="shared" si="30"/>
        <v>9.7412750169741713E-2</v>
      </c>
      <c r="AJ143" s="22">
        <f t="shared" si="30"/>
        <v>0.10219897557201296</v>
      </c>
      <c r="AK143" s="22">
        <f t="shared" si="30"/>
        <v>0.10691951602452639</v>
      </c>
      <c r="AL143" s="22">
        <f t="shared" si="30"/>
        <v>0.11172324406810413</v>
      </c>
      <c r="AM143" s="22">
        <f t="shared" si="30"/>
        <v>0.11675138053848984</v>
      </c>
      <c r="AN143" s="22">
        <f t="shared" si="30"/>
        <v>0.12191034405107851</v>
      </c>
      <c r="AO143" s="22">
        <f t="shared" si="30"/>
        <v>0.12692107733600846</v>
      </c>
      <c r="AP143" s="22">
        <f t="shared" si="30"/>
        <v>0.13206747907789079</v>
      </c>
      <c r="AQ143" s="22">
        <f t="shared" si="30"/>
        <v>0.13735924273618794</v>
      </c>
      <c r="AR143" s="22">
        <f t="shared" si="30"/>
        <v>0.14301065000753557</v>
      </c>
      <c r="AS143" s="22">
        <f t="shared" si="30"/>
        <v>0.14885811067783355</v>
      </c>
      <c r="AT143" s="22">
        <f t="shared" si="30"/>
        <v>0.15279068704125651</v>
      </c>
      <c r="AU143" s="22">
        <f t="shared" si="30"/>
        <v>0.15663721521446686</v>
      </c>
      <c r="AV143" s="22">
        <f t="shared" si="30"/>
        <v>0.16081550018928234</v>
      </c>
      <c r="AW143" s="22">
        <f t="shared" si="30"/>
        <v>0.16493343954400999</v>
      </c>
      <c r="AY143" s="85"/>
    </row>
    <row r="144" spans="1:51" x14ac:dyDescent="0.25">
      <c r="A144" s="102" t="str">
        <f t="shared" si="0"/>
        <v>FS MM Leaching</v>
      </c>
      <c r="B144" s="102" t="s">
        <v>1005</v>
      </c>
      <c r="C144" s="102" t="s">
        <v>1334</v>
      </c>
      <c r="D144" t="s">
        <v>369</v>
      </c>
      <c r="E144" t="s">
        <v>64</v>
      </c>
      <c r="F144" t="s">
        <v>63</v>
      </c>
      <c r="G144" t="s">
        <v>1165</v>
      </c>
      <c r="H144" t="s">
        <v>1313</v>
      </c>
      <c r="I144" t="s">
        <v>139</v>
      </c>
      <c r="J144" t="s">
        <v>287</v>
      </c>
      <c r="K144" s="22">
        <f t="shared" si="26"/>
        <v>4.3939271631598543E-3</v>
      </c>
      <c r="L144" s="22">
        <f t="shared" si="30"/>
        <v>4.3962984818877171E-3</v>
      </c>
      <c r="M144" s="22">
        <f t="shared" si="30"/>
        <v>4.4017499414647923E-3</v>
      </c>
      <c r="N144" s="22">
        <f t="shared" si="30"/>
        <v>4.4098431410874153E-3</v>
      </c>
      <c r="O144" s="22">
        <f t="shared" si="30"/>
        <v>4.4207667549247352E-3</v>
      </c>
      <c r="P144" s="22">
        <f t="shared" si="30"/>
        <v>4.4347403177031263E-3</v>
      </c>
      <c r="Q144" s="22">
        <f t="shared" si="30"/>
        <v>4.4501377302209226E-3</v>
      </c>
      <c r="R144" s="22">
        <f t="shared" si="30"/>
        <v>4.4667198464041179E-3</v>
      </c>
      <c r="S144" s="22">
        <f t="shared" si="30"/>
        <v>4.4831484324149608E-3</v>
      </c>
      <c r="T144" s="22">
        <f t="shared" si="30"/>
        <v>4.4898717427697809E-3</v>
      </c>
      <c r="U144" s="22">
        <f t="shared" si="30"/>
        <v>4.4975062704204526E-3</v>
      </c>
      <c r="V144" s="22">
        <f t="shared" si="30"/>
        <v>4.5061403809784359E-3</v>
      </c>
      <c r="W144" s="22">
        <f t="shared" si="30"/>
        <v>4.5158367053022919E-3</v>
      </c>
      <c r="X144" s="22">
        <f t="shared" si="30"/>
        <v>4.526732327246351E-3</v>
      </c>
      <c r="Y144" s="22">
        <f t="shared" si="30"/>
        <v>4.5335830197240166E-3</v>
      </c>
      <c r="Z144" s="22">
        <f t="shared" si="30"/>
        <v>4.5412972482123245E-3</v>
      </c>
      <c r="AA144" s="22">
        <f t="shared" si="30"/>
        <v>4.5496603151243516E-3</v>
      </c>
      <c r="AB144" s="22">
        <f t="shared" si="30"/>
        <v>4.558868291538884E-3</v>
      </c>
      <c r="AC144" s="22">
        <f t="shared" si="30"/>
        <v>4.5689201230950608E-3</v>
      </c>
      <c r="AD144" s="22">
        <f t="shared" si="30"/>
        <v>4.5755732338553573E-3</v>
      </c>
      <c r="AE144" s="22">
        <f t="shared" si="30"/>
        <v>4.5828736540396882E-3</v>
      </c>
      <c r="AF144" s="22">
        <f t="shared" si="30"/>
        <v>4.5907723416262498E-3</v>
      </c>
      <c r="AG144" s="22">
        <f t="shared" si="30"/>
        <v>4.5993548004809003E-3</v>
      </c>
      <c r="AH144" s="22">
        <f t="shared" si="30"/>
        <v>4.608317319688404E-3</v>
      </c>
      <c r="AI144" s="22">
        <f t="shared" si="30"/>
        <v>4.614051297103656E-3</v>
      </c>
      <c r="AJ144" s="22">
        <f t="shared" si="30"/>
        <v>4.6202716852182099E-3</v>
      </c>
      <c r="AK144" s="22">
        <f t="shared" si="30"/>
        <v>4.6268842765144489E-3</v>
      </c>
      <c r="AL144" s="22">
        <f t="shared" si="30"/>
        <v>4.6339252685925585E-3</v>
      </c>
      <c r="AM144" s="22">
        <f t="shared" si="30"/>
        <v>4.6414276467124371E-3</v>
      </c>
      <c r="AN144" s="22">
        <f t="shared" si="30"/>
        <v>4.6458494434601398E-3</v>
      </c>
      <c r="AO144" s="22">
        <f t="shared" si="30"/>
        <v>4.650560968895651E-3</v>
      </c>
      <c r="AP144" s="22">
        <f t="shared" si="30"/>
        <v>4.6556452517360746E-3</v>
      </c>
      <c r="AQ144" s="22">
        <f t="shared" si="30"/>
        <v>4.6610933229495489E-3</v>
      </c>
      <c r="AR144" s="22">
        <f t="shared" si="30"/>
        <v>4.6669636754851076E-3</v>
      </c>
      <c r="AS144" s="22">
        <f t="shared" si="30"/>
        <v>4.6696094397021678E-3</v>
      </c>
      <c r="AT144" s="22">
        <f t="shared" si="30"/>
        <v>4.671905929653092E-3</v>
      </c>
      <c r="AU144" s="22">
        <f t="shared" si="30"/>
        <v>4.6744411838373096E-3</v>
      </c>
      <c r="AV144" s="22">
        <f t="shared" si="30"/>
        <v>4.6773396676684084E-3</v>
      </c>
      <c r="AW144" s="22">
        <f t="shared" si="30"/>
        <v>4.6804674678318113E-3</v>
      </c>
      <c r="AY144" s="85"/>
    </row>
    <row r="145" spans="1:51" x14ac:dyDescent="0.25">
      <c r="A145" s="102" t="str">
        <f t="shared" si="0"/>
        <v>FS MM Leaching</v>
      </c>
      <c r="B145" s="102" t="s">
        <v>1005</v>
      </c>
      <c r="C145" s="102" t="s">
        <v>1334</v>
      </c>
      <c r="D145" t="s">
        <v>369</v>
      </c>
      <c r="E145" t="s">
        <v>64</v>
      </c>
      <c r="F145" t="s">
        <v>63</v>
      </c>
      <c r="G145" t="s">
        <v>1167</v>
      </c>
      <c r="H145" t="s">
        <v>1314</v>
      </c>
      <c r="I145" t="s">
        <v>139</v>
      </c>
      <c r="J145" t="s">
        <v>287</v>
      </c>
      <c r="K145" s="22">
        <f t="shared" si="26"/>
        <v>3.6549565945200539E-3</v>
      </c>
      <c r="L145" s="22">
        <f t="shared" si="30"/>
        <v>3.6569291049191287E-3</v>
      </c>
      <c r="M145" s="22">
        <f t="shared" si="30"/>
        <v>3.6614637381506597E-3</v>
      </c>
      <c r="N145" s="22">
        <f t="shared" si="30"/>
        <v>3.6681958236479987E-3</v>
      </c>
      <c r="O145" s="22">
        <f t="shared" si="30"/>
        <v>3.677282304362893E-3</v>
      </c>
      <c r="P145" s="22">
        <f t="shared" si="30"/>
        <v>3.6889057936765148E-3</v>
      </c>
      <c r="Q145" s="22">
        <f t="shared" si="30"/>
        <v>3.7017136697133114E-3</v>
      </c>
      <c r="R145" s="22">
        <f t="shared" si="30"/>
        <v>3.7155070059804707E-3</v>
      </c>
      <c r="S145" s="22">
        <f t="shared" si="30"/>
        <v>3.7291726327761108E-3</v>
      </c>
      <c r="T145" s="22">
        <f t="shared" si="30"/>
        <v>3.734765216951012E-3</v>
      </c>
      <c r="U145" s="22">
        <f t="shared" si="30"/>
        <v>3.7411157699180305E-3</v>
      </c>
      <c r="V145" s="22">
        <f t="shared" si="30"/>
        <v>3.7482977959621354E-3</v>
      </c>
      <c r="W145" s="22">
        <f t="shared" si="30"/>
        <v>3.7563633926855455E-3</v>
      </c>
      <c r="X145" s="22">
        <f t="shared" si="30"/>
        <v>3.7654265891831403E-3</v>
      </c>
      <c r="Y145" s="22">
        <f t="shared" si="30"/>
        <v>3.7711251323584139E-3</v>
      </c>
      <c r="Z145" s="22">
        <f t="shared" si="30"/>
        <v>3.7775419820780388E-3</v>
      </c>
      <c r="AA145" s="22">
        <f t="shared" si="30"/>
        <v>3.7844985485902928E-3</v>
      </c>
      <c r="AB145" s="22">
        <f t="shared" si="30"/>
        <v>3.7921579277444711E-3</v>
      </c>
      <c r="AC145" s="22">
        <f t="shared" si="30"/>
        <v>3.8005192425020961E-3</v>
      </c>
      <c r="AD145" s="22">
        <f t="shared" si="30"/>
        <v>3.8060534332486559E-3</v>
      </c>
      <c r="AE145" s="22">
        <f t="shared" si="30"/>
        <v>3.812126068935291E-3</v>
      </c>
      <c r="AF145" s="22">
        <f t="shared" si="30"/>
        <v>3.8186963554262946E-3</v>
      </c>
      <c r="AG145" s="22">
        <f t="shared" si="30"/>
        <v>3.8258354165493381E-3</v>
      </c>
      <c r="AH145" s="22">
        <f t="shared" si="30"/>
        <v>3.8332906194838865E-3</v>
      </c>
      <c r="AI145" s="22">
        <f t="shared" si="30"/>
        <v>3.8380602567101062E-3</v>
      </c>
      <c r="AJ145" s="22">
        <f t="shared" si="30"/>
        <v>3.8432345000954712E-3</v>
      </c>
      <c r="AK145" s="22">
        <f t="shared" si="30"/>
        <v>3.8487349859405015E-3</v>
      </c>
      <c r="AL145" s="22">
        <f t="shared" si="30"/>
        <v>3.854591824133819E-3</v>
      </c>
      <c r="AM145" s="22">
        <f t="shared" si="30"/>
        <v>3.860832452475075E-3</v>
      </c>
      <c r="AN145" s="22">
        <f t="shared" si="30"/>
        <v>3.8645105915480556E-3</v>
      </c>
      <c r="AO145" s="22">
        <f t="shared" si="30"/>
        <v>3.868429732744831E-3</v>
      </c>
      <c r="AP145" s="22">
        <f t="shared" si="30"/>
        <v>3.8726589410147858E-3</v>
      </c>
      <c r="AQ145" s="22">
        <f t="shared" si="30"/>
        <v>3.8771907557376274E-3</v>
      </c>
      <c r="AR145" s="22">
        <f t="shared" si="30"/>
        <v>3.8820738325195756E-3</v>
      </c>
      <c r="AS145" s="22">
        <f t="shared" si="30"/>
        <v>3.8842746321718241E-3</v>
      </c>
      <c r="AT145" s="22">
        <f t="shared" si="30"/>
        <v>3.8861848984959361E-3</v>
      </c>
      <c r="AU145" s="22">
        <f t="shared" si="30"/>
        <v>3.8882937736901091E-3</v>
      </c>
      <c r="AV145" s="22">
        <f t="shared" si="30"/>
        <v>3.8907047905775548E-3</v>
      </c>
      <c r="AW145" s="22">
        <f t="shared" si="30"/>
        <v>3.893306557381843E-3</v>
      </c>
      <c r="AY145" s="85"/>
    </row>
    <row r="146" spans="1:51" x14ac:dyDescent="0.25">
      <c r="A146" s="102" t="str">
        <f t="shared" si="0"/>
        <v>FS MM Leaching</v>
      </c>
      <c r="B146" s="102" t="s">
        <v>1005</v>
      </c>
      <c r="C146" s="102" t="s">
        <v>1334</v>
      </c>
      <c r="D146" t="s">
        <v>369</v>
      </c>
      <c r="E146" t="s">
        <v>64</v>
      </c>
      <c r="F146" t="s">
        <v>63</v>
      </c>
      <c r="G146" t="s">
        <v>1169</v>
      </c>
      <c r="H146" t="s">
        <v>1315</v>
      </c>
      <c r="I146" t="s">
        <v>139</v>
      </c>
      <c r="J146" t="s">
        <v>287</v>
      </c>
      <c r="K146" s="22">
        <f t="shared" si="26"/>
        <v>5.4310526355704706E-4</v>
      </c>
      <c r="L146" s="22">
        <f t="shared" si="30"/>
        <v>5.4451688444022309E-4</v>
      </c>
      <c r="M146" s="22">
        <f t="shared" si="30"/>
        <v>5.4642048272795488E-4</v>
      </c>
      <c r="N146" s="22">
        <f t="shared" si="30"/>
        <v>5.4873901711368408E-4</v>
      </c>
      <c r="O146" s="22">
        <f t="shared" si="30"/>
        <v>5.5151606201275956E-4</v>
      </c>
      <c r="P146" s="22">
        <f t="shared" si="30"/>
        <v>5.5479917019086967E-4</v>
      </c>
      <c r="Q146" s="22">
        <f t="shared" si="30"/>
        <v>5.5827861691807733E-4</v>
      </c>
      <c r="R146" s="22">
        <f t="shared" si="30"/>
        <v>5.6191368988015911E-4</v>
      </c>
      <c r="S146" s="22">
        <f t="shared" si="30"/>
        <v>5.6545265172179603E-4</v>
      </c>
      <c r="T146" s="22">
        <f t="shared" si="30"/>
        <v>5.6707582821690196E-4</v>
      </c>
      <c r="U146" s="22">
        <f t="shared" si="30"/>
        <v>5.688262569994144E-4</v>
      </c>
      <c r="V146" s="22">
        <f t="shared" si="30"/>
        <v>5.7072343735121143E-4</v>
      </c>
      <c r="W146" s="22">
        <f t="shared" si="30"/>
        <v>5.7278141367930822E-4</v>
      </c>
      <c r="X146" s="22">
        <f t="shared" si="30"/>
        <v>5.7502787156601661E-4</v>
      </c>
      <c r="Y146" s="22">
        <f t="shared" si="30"/>
        <v>5.7647376885579151E-4</v>
      </c>
      <c r="Z146" s="22">
        <f t="shared" si="30"/>
        <v>5.7805165552479612E-4</v>
      </c>
      <c r="AA146" s="22">
        <f t="shared" si="30"/>
        <v>5.7972228180818623E-4</v>
      </c>
      <c r="AB146" s="22">
        <f t="shared" si="30"/>
        <v>5.8152362966634491E-4</v>
      </c>
      <c r="AC146" s="22">
        <f t="shared" si="30"/>
        <v>5.8345630636338756E-4</v>
      </c>
      <c r="AD146" s="22">
        <f t="shared" si="30"/>
        <v>5.8472841865727081E-4</v>
      </c>
      <c r="AE146" s="22">
        <f t="shared" si="30"/>
        <v>5.8609967948546591E-4</v>
      </c>
      <c r="AF146" s="22">
        <f t="shared" si="30"/>
        <v>5.8756155218491358E-4</v>
      </c>
      <c r="AG146" s="22">
        <f t="shared" si="30"/>
        <v>5.8913046785545045E-4</v>
      </c>
      <c r="AH146" s="22">
        <f t="shared" si="30"/>
        <v>5.907505198986619E-4</v>
      </c>
      <c r="AI146" s="22">
        <f t="shared" si="30"/>
        <v>5.9175481340963034E-4</v>
      </c>
      <c r="AJ146" s="22">
        <f t="shared" si="30"/>
        <v>5.9283358105937484E-4</v>
      </c>
      <c r="AK146" s="22">
        <f t="shared" si="30"/>
        <v>5.9396979223100309E-4</v>
      </c>
      <c r="AL146" s="22">
        <f t="shared" si="30"/>
        <v>5.951704835417687E-4</v>
      </c>
      <c r="AM146" s="22">
        <f t="shared" si="30"/>
        <v>5.9644200781221212E-4</v>
      </c>
      <c r="AN146" s="22">
        <f t="shared" si="30"/>
        <v>5.9713531651955909E-4</v>
      </c>
      <c r="AO146" s="22">
        <f t="shared" si="30"/>
        <v>5.9787071978947392E-4</v>
      </c>
      <c r="AP146" s="22">
        <f t="shared" si="30"/>
        <v>5.9866365286918302E-4</v>
      </c>
      <c r="AQ146" s="22">
        <f t="shared" si="30"/>
        <v>5.995126405769686E-4</v>
      </c>
      <c r="AR146" s="22">
        <f t="shared" si="30"/>
        <v>6.0042847554345289E-4</v>
      </c>
      <c r="AS146" s="22">
        <f t="shared" si="30"/>
        <v>6.0074837701766222E-4</v>
      </c>
      <c r="AT146" s="22">
        <f t="shared" si="30"/>
        <v>6.009974007852993E-4</v>
      </c>
      <c r="AU146" s="22">
        <f t="shared" si="30"/>
        <v>6.0128274641363551E-4</v>
      </c>
      <c r="AV146" s="22">
        <f t="shared" si="30"/>
        <v>6.0162705109906029E-4</v>
      </c>
      <c r="AW146" s="22">
        <f t="shared" si="30"/>
        <v>6.0200613236202735E-4</v>
      </c>
      <c r="AY146" s="85"/>
    </row>
    <row r="147" spans="1:51" x14ac:dyDescent="0.25">
      <c r="A147" s="102" t="str">
        <f t="shared" si="0"/>
        <v>FS MM Leaching</v>
      </c>
      <c r="B147" s="102" t="s">
        <v>1005</v>
      </c>
      <c r="C147" s="102" t="s">
        <v>1334</v>
      </c>
      <c r="D147" t="s">
        <v>369</v>
      </c>
      <c r="E147" t="s">
        <v>64</v>
      </c>
      <c r="F147" t="s">
        <v>63</v>
      </c>
      <c r="G147" t="s">
        <v>1171</v>
      </c>
      <c r="H147" t="s">
        <v>1316</v>
      </c>
      <c r="I147" t="s">
        <v>139</v>
      </c>
      <c r="J147" t="s">
        <v>287</v>
      </c>
      <c r="K147" s="22">
        <f t="shared" si="26"/>
        <v>6.697719658610918E-3</v>
      </c>
      <c r="L147" s="22">
        <f t="shared" si="30"/>
        <v>6.7151281456468035E-3</v>
      </c>
      <c r="M147" s="22">
        <f t="shared" si="30"/>
        <v>6.7386038298821848E-3</v>
      </c>
      <c r="N147" s="22">
        <f t="shared" si="30"/>
        <v>6.7671966172780547E-3</v>
      </c>
      <c r="O147" s="22">
        <f t="shared" si="30"/>
        <v>6.801443879202132E-3</v>
      </c>
      <c r="P147" s="22">
        <f t="shared" si="30"/>
        <v>6.8419320491046936E-3</v>
      </c>
      <c r="Q147" s="22">
        <f t="shared" si="30"/>
        <v>6.8848415186120908E-3</v>
      </c>
      <c r="R147" s="22">
        <f t="shared" si="30"/>
        <v>6.9296702125547019E-3</v>
      </c>
      <c r="S147" s="22">
        <f t="shared" si="30"/>
        <v>6.9733136384028775E-3</v>
      </c>
      <c r="T147" s="22">
        <f t="shared" si="30"/>
        <v>6.9933310859405127E-3</v>
      </c>
      <c r="U147" s="22">
        <f t="shared" si="30"/>
        <v>7.0149178427891682E-3</v>
      </c>
      <c r="V147" s="22">
        <f t="shared" si="30"/>
        <v>7.0383143793186411E-3</v>
      </c>
      <c r="W147" s="22">
        <f t="shared" si="30"/>
        <v>7.0636938949200419E-3</v>
      </c>
      <c r="X147" s="22">
        <f t="shared" si="30"/>
        <v>7.0913978156139906E-3</v>
      </c>
      <c r="Y147" s="22">
        <f t="shared" si="30"/>
        <v>7.1092290084818878E-3</v>
      </c>
      <c r="Z147" s="22">
        <f t="shared" si="30"/>
        <v>7.1286879297466866E-3</v>
      </c>
      <c r="AA147" s="22">
        <f t="shared" si="30"/>
        <v>7.1492905407896492E-3</v>
      </c>
      <c r="AB147" s="22">
        <f t="shared" si="30"/>
        <v>7.1715052453251351E-3</v>
      </c>
      <c r="AC147" s="22">
        <f t="shared" si="30"/>
        <v>7.1953395322969481E-3</v>
      </c>
      <c r="AD147" s="22">
        <f t="shared" si="30"/>
        <v>7.2110275620223471E-3</v>
      </c>
      <c r="AE147" s="22">
        <f t="shared" si="30"/>
        <v>7.2279383180439954E-3</v>
      </c>
      <c r="AF147" s="22">
        <f t="shared" si="30"/>
        <v>7.2459665239452764E-3</v>
      </c>
      <c r="AG147" s="22">
        <f t="shared" si="30"/>
        <v>7.2653148124528005E-3</v>
      </c>
      <c r="AH147" s="22">
        <f t="shared" si="30"/>
        <v>7.2852937284123434E-3</v>
      </c>
      <c r="AI147" s="22">
        <f t="shared" si="30"/>
        <v>7.2976789451332669E-3</v>
      </c>
      <c r="AJ147" s="22">
        <f t="shared" si="30"/>
        <v>7.3109825968921283E-3</v>
      </c>
      <c r="AK147" s="22">
        <f t="shared" si="30"/>
        <v>7.3249946575573233E-3</v>
      </c>
      <c r="AL147" s="22">
        <f t="shared" si="30"/>
        <v>7.3398019045785847E-3</v>
      </c>
      <c r="AM147" s="22">
        <f t="shared" si="30"/>
        <v>7.3554826826413384E-3</v>
      </c>
      <c r="AN147" s="22">
        <f t="shared" si="30"/>
        <v>7.3640327514222425E-3</v>
      </c>
      <c r="AO147" s="22">
        <f t="shared" si="30"/>
        <v>7.3731019416297819E-3</v>
      </c>
      <c r="AP147" s="22">
        <f t="shared" si="30"/>
        <v>7.3828806048692958E-3</v>
      </c>
      <c r="AQ147" s="22">
        <f t="shared" si="30"/>
        <v>7.3933505488044948E-3</v>
      </c>
      <c r="AR147" s="22">
        <f t="shared" si="30"/>
        <v>7.4046448710485676E-3</v>
      </c>
      <c r="AS147" s="22">
        <f t="shared" si="30"/>
        <v>7.4085899817598836E-3</v>
      </c>
      <c r="AT147" s="22">
        <f t="shared" si="30"/>
        <v>7.411661009599016E-3</v>
      </c>
      <c r="AU147" s="22">
        <f t="shared" si="30"/>
        <v>7.4151799683582981E-3</v>
      </c>
      <c r="AV147" s="22">
        <f t="shared" si="30"/>
        <v>7.4194260260102111E-3</v>
      </c>
      <c r="AW147" s="22">
        <f t="shared" si="30"/>
        <v>7.4241009577362587E-3</v>
      </c>
      <c r="AY147" s="85"/>
    </row>
    <row r="148" spans="1:51" x14ac:dyDescent="0.25">
      <c r="A148" s="102" t="str">
        <f t="shared" si="0"/>
        <v>FS MM Leaching</v>
      </c>
      <c r="B148" s="102" t="s">
        <v>1005</v>
      </c>
      <c r="C148" s="102" t="s">
        <v>1334</v>
      </c>
      <c r="D148" t="s">
        <v>369</v>
      </c>
      <c r="E148" t="s">
        <v>64</v>
      </c>
      <c r="F148" t="s">
        <v>63</v>
      </c>
      <c r="G148" t="s">
        <v>1173</v>
      </c>
      <c r="H148" t="s">
        <v>1317</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85"/>
    </row>
    <row r="149" spans="1:51" x14ac:dyDescent="0.25">
      <c r="A149" s="102" t="str">
        <f t="shared" si="0"/>
        <v>FS MM Leaching</v>
      </c>
      <c r="B149" s="102" t="s">
        <v>1005</v>
      </c>
      <c r="C149" s="102" t="s">
        <v>1334</v>
      </c>
      <c r="D149" t="s">
        <v>369</v>
      </c>
      <c r="E149" t="s">
        <v>64</v>
      </c>
      <c r="F149" t="s">
        <v>63</v>
      </c>
      <c r="G149" t="s">
        <v>1175</v>
      </c>
      <c r="H149" t="s">
        <v>1318</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85"/>
    </row>
    <row r="150" spans="1:51" x14ac:dyDescent="0.25">
      <c r="A150" s="102" t="str">
        <f t="shared" si="0"/>
        <v>FS MM Leaching</v>
      </c>
      <c r="B150" s="102" t="s">
        <v>1005</v>
      </c>
      <c r="C150" s="102" t="s">
        <v>1334</v>
      </c>
      <c r="D150" t="s">
        <v>369</v>
      </c>
      <c r="E150" t="s">
        <v>64</v>
      </c>
      <c r="F150" t="s">
        <v>63</v>
      </c>
      <c r="G150" t="s">
        <v>1177</v>
      </c>
      <c r="H150" t="s">
        <v>1319</v>
      </c>
      <c r="I150" t="s">
        <v>139</v>
      </c>
      <c r="J150" t="s">
        <v>287</v>
      </c>
      <c r="K150" s="22">
        <f t="shared" si="26"/>
        <v>2.6982078121909357E-2</v>
      </c>
      <c r="L150" s="22">
        <f t="shared" si="31"/>
        <v>2.6934390428910333E-2</v>
      </c>
      <c r="M150" s="22">
        <f t="shared" si="31"/>
        <v>2.6783274405865188E-2</v>
      </c>
      <c r="N150" s="22">
        <f t="shared" si="31"/>
        <v>2.6192267209513419E-2</v>
      </c>
      <c r="O150" s="22">
        <f t="shared" si="31"/>
        <v>2.5633374369749509E-2</v>
      </c>
      <c r="P150" s="22">
        <f t="shared" si="31"/>
        <v>2.5543167875320214E-2</v>
      </c>
      <c r="Q150" s="22">
        <f t="shared" si="31"/>
        <v>2.5324190264718272E-2</v>
      </c>
      <c r="R150" s="22">
        <f t="shared" si="31"/>
        <v>2.4649754195953832E-2</v>
      </c>
      <c r="S150" s="22">
        <f t="shared" si="31"/>
        <v>2.1986440242697105E-2</v>
      </c>
      <c r="T150" s="22">
        <f t="shared" si="31"/>
        <v>2.2459382037487714E-2</v>
      </c>
      <c r="U150" s="22">
        <f t="shared" si="31"/>
        <v>2.2677163181325274E-2</v>
      </c>
      <c r="V150" s="22">
        <f t="shared" si="31"/>
        <v>2.2835775026532532E-2</v>
      </c>
      <c r="W150" s="22">
        <f t="shared" si="31"/>
        <v>2.3079286947691565E-2</v>
      </c>
      <c r="X150" s="22">
        <f t="shared" si="31"/>
        <v>2.3620053405793831E-2</v>
      </c>
      <c r="Y150" s="22">
        <f t="shared" si="31"/>
        <v>2.4228655926871678E-2</v>
      </c>
      <c r="Z150" s="22">
        <f t="shared" si="31"/>
        <v>2.4898369682135196E-2</v>
      </c>
      <c r="AA150" s="22">
        <f t="shared" si="31"/>
        <v>2.5433899737352311E-2</v>
      </c>
      <c r="AB150" s="22">
        <f t="shared" si="31"/>
        <v>2.6089827744283384E-2</v>
      </c>
      <c r="AC150" s="22">
        <f t="shared" si="31"/>
        <v>2.6892532780101251E-2</v>
      </c>
      <c r="AD150" s="22">
        <f t="shared" si="31"/>
        <v>2.765233127370078E-2</v>
      </c>
      <c r="AE150" s="22">
        <f t="shared" si="31"/>
        <v>2.844311383554287E-2</v>
      </c>
      <c r="AF150" s="22">
        <f t="shared" si="31"/>
        <v>2.9238533170233168E-2</v>
      </c>
      <c r="AG150" s="22">
        <f t="shared" si="31"/>
        <v>3.0145690863199903E-2</v>
      </c>
      <c r="AH150" s="22">
        <f t="shared" si="31"/>
        <v>3.0881151333925026E-2</v>
      </c>
      <c r="AI150" s="22">
        <f t="shared" si="31"/>
        <v>3.1669222082767075E-2</v>
      </c>
      <c r="AJ150" s="22">
        <f t="shared" si="31"/>
        <v>3.2457441724053543E-2</v>
      </c>
      <c r="AK150" s="22">
        <f t="shared" si="31"/>
        <v>3.3172825686084956E-2</v>
      </c>
      <c r="AL150" s="22">
        <f t="shared" si="31"/>
        <v>3.3866021539857898E-2</v>
      </c>
      <c r="AM150" s="22">
        <f t="shared" si="31"/>
        <v>3.4580695535334494E-2</v>
      </c>
      <c r="AN150" s="22">
        <f t="shared" si="31"/>
        <v>3.533625219682867E-2</v>
      </c>
      <c r="AO150" s="22">
        <f t="shared" si="31"/>
        <v>3.6000537608691721E-2</v>
      </c>
      <c r="AP150" s="22">
        <f t="shared" si="31"/>
        <v>3.6659982916673862E-2</v>
      </c>
      <c r="AQ150" s="22">
        <f t="shared" si="31"/>
        <v>3.7316341493198645E-2</v>
      </c>
      <c r="AR150" s="22">
        <f t="shared" si="31"/>
        <v>3.8027563583719087E-2</v>
      </c>
      <c r="AS150" s="22">
        <f t="shared" si="31"/>
        <v>3.8749103478920827E-2</v>
      </c>
      <c r="AT150" s="22">
        <f t="shared" si="31"/>
        <v>3.891780999751282E-2</v>
      </c>
      <c r="AU150" s="22">
        <f t="shared" si="31"/>
        <v>3.9040104024398906E-2</v>
      </c>
      <c r="AV150" s="22">
        <f t="shared" si="31"/>
        <v>3.9223694745257554E-2</v>
      </c>
      <c r="AW150" s="22">
        <f t="shared" si="31"/>
        <v>3.9367042653132414E-2</v>
      </c>
      <c r="AY150" s="85"/>
    </row>
    <row r="151" spans="1:51" x14ac:dyDescent="0.25">
      <c r="A151" s="102" t="str">
        <f t="shared" si="0"/>
        <v>FS MM Leaching</v>
      </c>
      <c r="B151" s="102" t="s">
        <v>1005</v>
      </c>
      <c r="C151" s="102" t="s">
        <v>1334</v>
      </c>
      <c r="D151" t="s">
        <v>369</v>
      </c>
      <c r="E151" t="s">
        <v>64</v>
      </c>
      <c r="F151" t="s">
        <v>63</v>
      </c>
      <c r="G151" t="s">
        <v>1179</v>
      </c>
      <c r="H151" t="s">
        <v>1320</v>
      </c>
      <c r="I151" t="s">
        <v>139</v>
      </c>
      <c r="J151" t="s">
        <v>287</v>
      </c>
      <c r="K151" s="22">
        <f t="shared" si="26"/>
        <v>4.0326044819915296E-3</v>
      </c>
      <c r="L151" s="22">
        <f t="shared" si="31"/>
        <v>4.0254773213757008E-3</v>
      </c>
      <c r="M151" s="22">
        <f t="shared" si="31"/>
        <v>4.0028922873735296E-3</v>
      </c>
      <c r="N151" s="22">
        <f t="shared" si="31"/>
        <v>3.9145633507316107E-3</v>
      </c>
      <c r="O151" s="22">
        <f t="shared" si="31"/>
        <v>3.8310340628686856E-3</v>
      </c>
      <c r="P151" s="22">
        <f t="shared" si="31"/>
        <v>3.8175522579425875E-3</v>
      </c>
      <c r="Q151" s="22">
        <f t="shared" si="31"/>
        <v>3.7848249754115887E-3</v>
      </c>
      <c r="R151" s="22">
        <f t="shared" si="31"/>
        <v>3.6840271828387553E-3</v>
      </c>
      <c r="S151" s="22">
        <f t="shared" si="31"/>
        <v>3.2859817937353586E-3</v>
      </c>
      <c r="T151" s="22">
        <f t="shared" si="31"/>
        <v>3.3566652745546173E-3</v>
      </c>
      <c r="U151" s="22">
        <f t="shared" si="31"/>
        <v>3.3892137392341954E-3</v>
      </c>
      <c r="V151" s="22">
        <f t="shared" si="31"/>
        <v>3.4129190607809592E-3</v>
      </c>
      <c r="W151" s="22">
        <f t="shared" si="31"/>
        <v>3.4493131168743213E-3</v>
      </c>
      <c r="X151" s="22">
        <f t="shared" si="31"/>
        <v>3.5301333277120909E-3</v>
      </c>
      <c r="Y151" s="22">
        <f t="shared" si="31"/>
        <v>3.6210919723042977E-3</v>
      </c>
      <c r="Z151" s="22">
        <f t="shared" si="31"/>
        <v>3.7211839918635339E-3</v>
      </c>
      <c r="AA151" s="22">
        <f t="shared" si="31"/>
        <v>3.801221596496966E-3</v>
      </c>
      <c r="AB151" s="22">
        <f t="shared" si="31"/>
        <v>3.8992532680629222E-3</v>
      </c>
      <c r="AC151" s="22">
        <f t="shared" si="31"/>
        <v>4.0192214895813328E-3</v>
      </c>
      <c r="AD151" s="22">
        <f t="shared" si="31"/>
        <v>4.1327771170187903E-3</v>
      </c>
      <c r="AE151" s="22">
        <f t="shared" si="31"/>
        <v>4.250963466074527E-3</v>
      </c>
      <c r="AF151" s="22">
        <f t="shared" si="31"/>
        <v>4.3698428036719628E-3</v>
      </c>
      <c r="AG151" s="22">
        <f t="shared" si="31"/>
        <v>4.5054219893077892E-3</v>
      </c>
      <c r="AH151" s="22">
        <f t="shared" si="31"/>
        <v>4.6153401793439189E-3</v>
      </c>
      <c r="AI151" s="22">
        <f t="shared" si="31"/>
        <v>4.7331212345891162E-3</v>
      </c>
      <c r="AJ151" s="22">
        <f t="shared" si="31"/>
        <v>4.8509245425435391E-3</v>
      </c>
      <c r="AK151" s="22">
        <f t="shared" si="31"/>
        <v>4.9578421994637533E-3</v>
      </c>
      <c r="AL151" s="22">
        <f t="shared" si="31"/>
        <v>5.061443734311913E-3</v>
      </c>
      <c r="AM151" s="22">
        <f t="shared" si="31"/>
        <v>5.1682552832333995E-3</v>
      </c>
      <c r="AN151" s="22">
        <f t="shared" si="31"/>
        <v>5.2811769479685538E-3</v>
      </c>
      <c r="AO151" s="22">
        <f t="shared" si="31"/>
        <v>5.3804576748679887E-3</v>
      </c>
      <c r="AP151" s="22">
        <f t="shared" si="31"/>
        <v>5.4790150244013337E-3</v>
      </c>
      <c r="AQ151" s="22">
        <f t="shared" si="31"/>
        <v>5.5771110467139461E-3</v>
      </c>
      <c r="AR151" s="22">
        <f t="shared" si="31"/>
        <v>5.6834066914365532E-3</v>
      </c>
      <c r="AS151" s="22">
        <f t="shared" si="31"/>
        <v>5.7912443828915926E-3</v>
      </c>
      <c r="AT151" s="22">
        <f t="shared" si="31"/>
        <v>5.8164584030994289E-3</v>
      </c>
      <c r="AU151" s="22">
        <f t="shared" si="31"/>
        <v>5.8347358478060014E-3</v>
      </c>
      <c r="AV151" s="22">
        <f t="shared" si="31"/>
        <v>5.8621743853582847E-3</v>
      </c>
      <c r="AW151" s="22">
        <f t="shared" si="31"/>
        <v>5.8835984362845513E-3</v>
      </c>
      <c r="AY151" s="85"/>
    </row>
    <row r="152" spans="1:51" x14ac:dyDescent="0.25">
      <c r="A152" s="102" t="str">
        <f t="shared" si="0"/>
        <v>FS MM Leaching</v>
      </c>
      <c r="B152" s="102" t="s">
        <v>1005</v>
      </c>
      <c r="C152" s="102" t="s">
        <v>1334</v>
      </c>
      <c r="D152" t="s">
        <v>369</v>
      </c>
      <c r="E152" t="s">
        <v>64</v>
      </c>
      <c r="F152" t="s">
        <v>63</v>
      </c>
      <c r="G152" t="s">
        <v>1181</v>
      </c>
      <c r="H152" t="s">
        <v>1321</v>
      </c>
      <c r="I152" t="s">
        <v>139</v>
      </c>
      <c r="J152" t="s">
        <v>287</v>
      </c>
      <c r="K152" s="22">
        <f t="shared" si="26"/>
        <v>1.677506639935911E-2</v>
      </c>
      <c r="L152" s="22">
        <f t="shared" si="31"/>
        <v>1.7152115979727815E-2</v>
      </c>
      <c r="M152" s="22">
        <f t="shared" si="31"/>
        <v>1.7493153195060028E-2</v>
      </c>
      <c r="N152" s="22">
        <f t="shared" si="31"/>
        <v>1.7669215882921287E-2</v>
      </c>
      <c r="O152" s="22">
        <f t="shared" si="31"/>
        <v>1.7850132335738296E-2</v>
      </c>
      <c r="P152" s="22">
        <f t="shared" si="31"/>
        <v>1.8210336489694584E-2</v>
      </c>
      <c r="Q152" s="22">
        <f t="shared" si="31"/>
        <v>1.8518344131387941E-2</v>
      </c>
      <c r="R152" s="22">
        <f t="shared" si="31"/>
        <v>1.8635256187528534E-2</v>
      </c>
      <c r="S152" s="22">
        <f t="shared" si="31"/>
        <v>1.7895165383905148E-2</v>
      </c>
      <c r="T152" s="22">
        <f t="shared" si="31"/>
        <v>1.8427726629999096E-2</v>
      </c>
      <c r="U152" s="22">
        <f t="shared" si="31"/>
        <v>1.8858145961209626E-2</v>
      </c>
      <c r="V152" s="22">
        <f t="shared" si="31"/>
        <v>1.926831042987312E-2</v>
      </c>
      <c r="W152" s="22">
        <f t="shared" si="31"/>
        <v>1.9723750272057364E-2</v>
      </c>
      <c r="X152" s="22">
        <f t="shared" si="31"/>
        <v>2.0328305344007466E-2</v>
      </c>
      <c r="Y152" s="22">
        <f t="shared" si="31"/>
        <v>2.0963275174069075E-2</v>
      </c>
      <c r="Z152" s="22">
        <f t="shared" si="31"/>
        <v>2.1643917656498337E-2</v>
      </c>
      <c r="AA152" s="22">
        <f t="shared" si="31"/>
        <v>2.2273513405564039E-2</v>
      </c>
      <c r="AB152" s="22">
        <f t="shared" si="31"/>
        <v>2.2979861002091512E-2</v>
      </c>
      <c r="AC152" s="22">
        <f t="shared" si="31"/>
        <v>2.3781031334877679E-2</v>
      </c>
      <c r="AD152" s="22">
        <f t="shared" si="31"/>
        <v>2.4566308074155798E-2</v>
      </c>
      <c r="AE152" s="22">
        <f t="shared" si="31"/>
        <v>2.5388751226160661E-2</v>
      </c>
      <c r="AF152" s="22">
        <f t="shared" si="31"/>
        <v>2.6235064752699551E-2</v>
      </c>
      <c r="AG152" s="22">
        <f t="shared" si="31"/>
        <v>2.7167046167926586E-2</v>
      </c>
      <c r="AH152" s="22">
        <f t="shared" si="31"/>
        <v>2.8023900018498905E-2</v>
      </c>
      <c r="AI152" s="22">
        <f t="shared" si="31"/>
        <v>2.8920322479741228E-2</v>
      </c>
      <c r="AJ152" s="22">
        <f t="shared" si="31"/>
        <v>2.9839880128135453E-2</v>
      </c>
      <c r="AK152" s="22">
        <f t="shared" si="31"/>
        <v>3.0738135733783801E-2</v>
      </c>
      <c r="AL152" s="22">
        <f t="shared" si="31"/>
        <v>3.1644929602760906E-2</v>
      </c>
      <c r="AM152" s="22">
        <f t="shared" si="31"/>
        <v>3.2587998047109448E-2</v>
      </c>
      <c r="AN152" s="22">
        <f t="shared" si="31"/>
        <v>3.3568837979348017E-2</v>
      </c>
      <c r="AO152" s="22">
        <f t="shared" si="31"/>
        <v>3.451409673179362E-2</v>
      </c>
      <c r="AP152" s="22">
        <f t="shared" si="31"/>
        <v>3.5479549458814943E-2</v>
      </c>
      <c r="AQ152" s="22">
        <f t="shared" si="31"/>
        <v>3.6466862450927735E-2</v>
      </c>
      <c r="AR152" s="22">
        <f t="shared" si="31"/>
        <v>3.7517290662975496E-2</v>
      </c>
      <c r="AS152" s="22">
        <f t="shared" si="31"/>
        <v>3.8588925617873325E-2</v>
      </c>
      <c r="AT152" s="22">
        <f t="shared" si="31"/>
        <v>3.9285237958327314E-2</v>
      </c>
      <c r="AU152" s="22">
        <f t="shared" si="31"/>
        <v>3.9960567637255945E-2</v>
      </c>
      <c r="AV152" s="22">
        <f t="shared" si="31"/>
        <v>4.0694873101077993E-2</v>
      </c>
      <c r="AW152" s="22">
        <f t="shared" si="31"/>
        <v>4.1412967601087917E-2</v>
      </c>
      <c r="AY152" s="85"/>
    </row>
    <row r="153" spans="1:51" x14ac:dyDescent="0.25">
      <c r="A153" s="102" t="str">
        <f t="shared" si="0"/>
        <v>FS MM Leaching</v>
      </c>
      <c r="B153" s="102" t="s">
        <v>1005</v>
      </c>
      <c r="C153" s="102" t="s">
        <v>1334</v>
      </c>
      <c r="D153" t="s">
        <v>369</v>
      </c>
      <c r="E153" t="s">
        <v>64</v>
      </c>
      <c r="F153" t="s">
        <v>63</v>
      </c>
      <c r="G153" t="s">
        <v>1183</v>
      </c>
      <c r="H153" t="s">
        <v>1322</v>
      </c>
      <c r="I153" t="s">
        <v>139</v>
      </c>
      <c r="J153" t="s">
        <v>287</v>
      </c>
      <c r="K153" s="22">
        <f t="shared" si="26"/>
        <v>7.810393177711944E-2</v>
      </c>
      <c r="L153" s="22">
        <f t="shared" si="31"/>
        <v>7.9553535638078737E-2</v>
      </c>
      <c r="M153" s="22">
        <f t="shared" si="31"/>
        <v>8.0502978601734096E-2</v>
      </c>
      <c r="N153" s="22">
        <f t="shared" si="31"/>
        <v>7.9458702064627351E-2</v>
      </c>
      <c r="O153" s="22">
        <f t="shared" si="31"/>
        <v>7.8445966497934463E-2</v>
      </c>
      <c r="P153" s="22">
        <f t="shared" si="31"/>
        <v>7.944949741705111E-2</v>
      </c>
      <c r="Q153" s="22">
        <f t="shared" si="31"/>
        <v>7.9836186366330816E-2</v>
      </c>
      <c r="R153" s="22">
        <f t="shared" si="31"/>
        <v>7.8063361522169639E-2</v>
      </c>
      <c r="S153" s="22">
        <f t="shared" si="31"/>
        <v>6.6817107477113183E-2</v>
      </c>
      <c r="T153" s="22">
        <f t="shared" si="31"/>
        <v>7.0388458640801108E-2</v>
      </c>
      <c r="U153" s="22">
        <f t="shared" si="31"/>
        <v>7.2779385804600763E-2</v>
      </c>
      <c r="V153" s="22">
        <f t="shared" si="31"/>
        <v>7.4904615040438174E-2</v>
      </c>
      <c r="W153" s="22">
        <f t="shared" si="31"/>
        <v>7.7471024819350642E-2</v>
      </c>
      <c r="X153" s="22">
        <f t="shared" si="31"/>
        <v>8.1566948143152435E-2</v>
      </c>
      <c r="Y153" s="22">
        <f t="shared" si="31"/>
        <v>8.614778534531875E-2</v>
      </c>
      <c r="Z153" s="22">
        <f t="shared" si="31"/>
        <v>9.1129302987806735E-2</v>
      </c>
      <c r="AA153" s="22">
        <f t="shared" si="31"/>
        <v>9.5503511014719752E-2</v>
      </c>
      <c r="AB153" s="22">
        <f t="shared" si="31"/>
        <v>0.10059627235669374</v>
      </c>
      <c r="AC153" s="22">
        <f t="shared" si="31"/>
        <v>0.10657634914102967</v>
      </c>
      <c r="AD153" s="22">
        <f t="shared" si="31"/>
        <v>0.11249681497363943</v>
      </c>
      <c r="AE153" s="22">
        <f t="shared" si="31"/>
        <v>0.11870703167717016</v>
      </c>
      <c r="AF153" s="22">
        <f t="shared" si="31"/>
        <v>0.12506960329583536</v>
      </c>
      <c r="AG153" s="22">
        <f t="shared" si="31"/>
        <v>0.13219418170903169</v>
      </c>
      <c r="AH153" s="22">
        <f t="shared" si="31"/>
        <v>0.13848583371944298</v>
      </c>
      <c r="AI153" s="22">
        <f t="shared" si="31"/>
        <v>0.1452598628167924</v>
      </c>
      <c r="AJ153" s="22">
        <f t="shared" si="31"/>
        <v>0.15217488392211642</v>
      </c>
      <c r="AK153" s="22">
        <f t="shared" si="31"/>
        <v>0.15880077299081433</v>
      </c>
      <c r="AL153" s="22">
        <f t="shared" si="31"/>
        <v>0.16542985943823083</v>
      </c>
      <c r="AM153" s="22">
        <f t="shared" si="31"/>
        <v>0.17232713819913364</v>
      </c>
      <c r="AN153" s="22">
        <f t="shared" si="31"/>
        <v>0.17966613842795656</v>
      </c>
      <c r="AO153" s="22">
        <f t="shared" si="31"/>
        <v>0.1865893340136465</v>
      </c>
      <c r="AP153" s="22">
        <f t="shared" si="31"/>
        <v>0.19362673819120535</v>
      </c>
      <c r="AQ153" s="22">
        <f t="shared" si="31"/>
        <v>0.20079266757552186</v>
      </c>
      <c r="AR153" s="22">
        <f t="shared" si="31"/>
        <v>0.20846738589837877</v>
      </c>
      <c r="AS153" s="22">
        <f t="shared" si="31"/>
        <v>0.21642073302224971</v>
      </c>
      <c r="AT153" s="22">
        <f t="shared" si="31"/>
        <v>0.22086003131192922</v>
      </c>
      <c r="AU153" s="22">
        <f t="shared" si="31"/>
        <v>0.22506764920237721</v>
      </c>
      <c r="AV153" s="22">
        <f t="shared" si="31"/>
        <v>0.22977140260428236</v>
      </c>
      <c r="AW153" s="22">
        <f t="shared" si="31"/>
        <v>0.23428658450939308</v>
      </c>
      <c r="AY153" s="85"/>
    </row>
    <row r="154" spans="1:51" x14ac:dyDescent="0.25">
      <c r="A154" s="102"/>
      <c r="B154" s="102"/>
      <c r="C154" s="102"/>
    </row>
    <row r="155" spans="1:51" x14ac:dyDescent="0.25">
      <c r="A155" s="102"/>
      <c r="B155" s="102"/>
      <c r="C155" s="102"/>
    </row>
    <row r="156" spans="1:51" x14ac:dyDescent="0.25">
      <c r="A156" s="102"/>
      <c r="B156" s="102"/>
      <c r="C156" s="102"/>
    </row>
    <row r="157" spans="1:51" x14ac:dyDescent="0.25">
      <c r="A157" s="102" t="str">
        <f t="shared" si="0"/>
        <v>FA Cattle</v>
      </c>
      <c r="B157" s="102" t="s">
        <v>963</v>
      </c>
      <c r="C157" s="102" t="s">
        <v>1109</v>
      </c>
      <c r="D157" t="str">
        <f>D8</f>
        <v>3A Livestock</v>
      </c>
      <c r="E157" t="str">
        <f>E8</f>
        <v>3A1 Enteric fermentation (CH4)</v>
      </c>
      <c r="F157" t="s">
        <v>6</v>
      </c>
      <c r="G157" t="s">
        <v>136</v>
      </c>
      <c r="H157" t="s">
        <v>1021</v>
      </c>
      <c r="I157" t="s">
        <v>121</v>
      </c>
      <c r="J157" t="s">
        <v>286</v>
      </c>
      <c r="K157" s="100">
        <f>IF('Net zero activities &amp; levers'!$C$6="Off",('Activity data'!AD5*EF!$H4)*kgtoGg,IF('Net zero activities &amp; levers'!$C$6="On",(('Net zero supporting data'!B40*EF!$H4)+('Net zero supporting data'!B38*'Net zero supporting data'!B42))*kgtoGg,"ERROR"))</f>
        <v>72.319515891788683</v>
      </c>
      <c r="L157" s="100">
        <f>IF('Net zero activities &amp; levers'!$C$6="Off",('Activity data'!AE5*EF!$H4)*kgtoGg,IF('Net zero activities &amp; levers'!$C$6="On",(('Net zero supporting data'!C40*EF!$H4)+('Net zero supporting data'!C38*'Net zero supporting data'!C42))*kgtoGg,"ERROR"))</f>
        <v>72.807821323468076</v>
      </c>
      <c r="M157" s="100">
        <f>IF('Net zero activities &amp; levers'!$C$6="Off",('Activity data'!AF5*EF!$H4)*kgtoGg,IF('Net zero activities &amp; levers'!$C$6="On",(('Net zero supporting data'!D40*EF!$H4)+('Net zero supporting data'!D38*'Net zero supporting data'!D42))*kgtoGg,"ERROR"))</f>
        <v>73.234964885165326</v>
      </c>
      <c r="N157" s="100">
        <f>IF('Net zero activities &amp; levers'!$C$6="Off",('Activity data'!AG5*EF!$H4)*kgtoGg,IF('Net zero activities &amp; levers'!$C$6="On",(('Net zero supporting data'!E40*EF!$H4)+('Net zero supporting data'!E38*'Net zero supporting data'!E42))*kgtoGg,"ERROR"))</f>
        <v>73.290216800217806</v>
      </c>
      <c r="O157" s="100">
        <f>IF('Net zero activities &amp; levers'!$C$6="Off",('Activity data'!AH5*EF!$H4)*kgtoGg,IF('Net zero activities &amp; levers'!$C$6="On",(('Net zero supporting data'!F40*EF!$H4)+('Net zero supporting data'!F38*'Net zero supporting data'!F42))*kgtoGg,"ERROR"))</f>
        <v>73.385382806563399</v>
      </c>
      <c r="P157" s="100">
        <f>IF('Net zero activities &amp; levers'!$C$6="Off",('Activity data'!AI5*EF!$H4)*kgtoGg,IF('Net zero activities &amp; levers'!$C$6="On",(('Net zero supporting data'!G40*EF!$H4)+('Net zero supporting data'!G38*'Net zero supporting data'!G42))*kgtoGg,"ERROR"))</f>
        <v>73.931427797367633</v>
      </c>
      <c r="Q157" s="100">
        <f>IF('Net zero activities &amp; levers'!$C$6="Off",('Activity data'!AJ5*EF!$H4)*kgtoGg,IF('Net zero activities &amp; levers'!$C$6="On",(('Net zero supporting data'!H40*EF!$H4)+('Net zero supporting data'!H38*'Net zero supporting data'!H42))*kgtoGg,"ERROR"))</f>
        <v>74.368063847632101</v>
      </c>
      <c r="R157" s="100">
        <f>IF('Net zero activities &amp; levers'!$C$6="Off",('Activity data'!AK5*EF!$H4)*kgtoGg,IF('Net zero activities &amp; levers'!$C$6="On",(('Net zero supporting data'!I40*EF!$H4)+('Net zero supporting data'!I38*'Net zero supporting data'!I42))*kgtoGg,"ERROR"))</f>
        <v>74.371892298776103</v>
      </c>
      <c r="S157" s="100">
        <f>IF('Net zero activities &amp; levers'!$C$6="Off",('Activity data'!AL5*EF!$H4)*kgtoGg,IF('Net zero activities &amp; levers'!$C$6="On",(('Net zero supporting data'!J40*EF!$H4)+('Net zero supporting data'!J38*'Net zero supporting data'!J42))*kgtoGg,"ERROR"))</f>
        <v>72.401501789227453</v>
      </c>
      <c r="T157" s="100">
        <f>IF('Net zero activities &amp; levers'!$C$6="Off",('Activity data'!AM5*EF!$H4)*kgtoGg,IF('Net zero activities &amp; levers'!$C$6="On",(('Net zero supporting data'!K40*EF!$H4)+('Net zero supporting data'!K38*'Net zero supporting data'!K42))*kgtoGg,"ERROR"))</f>
        <v>72.664711017512275</v>
      </c>
      <c r="U157" s="100">
        <f>IF('Net zero activities &amp; levers'!$C$6="Off",('Activity data'!AN5*EF!$H4)*kgtoGg,IF('Net zero activities &amp; levers'!$C$6="On",(('Net zero supporting data'!L40*EF!$H4)+('Net zero supporting data'!L38*'Net zero supporting data'!L42))*kgtoGg,"ERROR"))</f>
        <v>72.480635291490586</v>
      </c>
      <c r="V157" s="100">
        <f>IF('Net zero activities &amp; levers'!$C$6="Off",('Activity data'!AO5*EF!$H4)*kgtoGg,IF('Net zero activities &amp; levers'!$C$6="On",(('Net zero supporting data'!M40*EF!$H4)+('Net zero supporting data'!M38*'Net zero supporting data'!M42))*kgtoGg,"ERROR"))</f>
        <v>72.040467293258516</v>
      </c>
      <c r="W157" s="100">
        <f>IF('Net zero activities &amp; levers'!$C$6="Off",('Activity data'!AP5*EF!$H4)*kgtoGg,IF('Net zero activities &amp; levers'!$C$6="On",(('Net zero supporting data'!N40*EF!$H4)+('Net zero supporting data'!N38*'Net zero supporting data'!N42))*kgtoGg,"ERROR"))</f>
        <v>71.486817216820228</v>
      </c>
      <c r="X157" s="100">
        <f>IF('Net zero activities &amp; levers'!$C$6="Off",('Activity data'!AQ5*EF!$H4)*kgtoGg,IF('Net zero activities &amp; levers'!$C$6="On",(('Net zero supporting data'!O40*EF!$H4)+('Net zero supporting data'!O38*'Net zero supporting data'!O42))*kgtoGg,"ERROR"))</f>
        <v>71.028644798366997</v>
      </c>
      <c r="Y157" s="100">
        <f>IF('Net zero activities &amp; levers'!$C$6="Off",('Activity data'!AR5*EF!$H4)*kgtoGg,IF('Net zero activities &amp; levers'!$C$6="On",(('Net zero supporting data'!P40*EF!$H4)+('Net zero supporting data'!P38*'Net zero supporting data'!P42))*kgtoGg,"ERROR"))</f>
        <v>70.375761343258773</v>
      </c>
      <c r="Z157" s="100">
        <f>IF('Net zero activities &amp; levers'!$C$6="Off",('Activity data'!AS5*EF!$H4)*kgtoGg,IF('Net zero activities &amp; levers'!$C$6="On",(('Net zero supporting data'!Q40*EF!$H4)+('Net zero supporting data'!Q38*'Net zero supporting data'!Q42))*kgtoGg,"ERROR"))</f>
        <v>69.569988624161994</v>
      </c>
      <c r="AA157" s="100">
        <f>IF('Net zero activities &amp; levers'!$C$6="Off",('Activity data'!AT5*EF!$H4)*kgtoGg,IF('Net zero activities &amp; levers'!$C$6="On",(('Net zero supporting data'!R40*EF!$H4)+('Net zero supporting data'!R38*'Net zero supporting data'!R42))*kgtoGg,"ERROR"))</f>
        <v>68.41499518401244</v>
      </c>
      <c r="AB157" s="100">
        <f>IF('Net zero activities &amp; levers'!$C$6="Off",('Activity data'!AU5*EF!$H4)*kgtoGg,IF('Net zero activities &amp; levers'!$C$6="On",(('Net zero supporting data'!S40*EF!$H4)+('Net zero supporting data'!S38*'Net zero supporting data'!S42))*kgtoGg,"ERROR"))</f>
        <v>67.152060315561968</v>
      </c>
      <c r="AC157" s="100">
        <f>IF('Net zero activities &amp; levers'!$C$6="Off",('Activity data'!AV5*EF!$H4)*kgtoGg,IF('Net zero activities &amp; levers'!$C$6="On",(('Net zero supporting data'!T40*EF!$H4)+('Net zero supporting data'!T38*'Net zero supporting data'!T42))*kgtoGg,"ERROR"))</f>
        <v>65.79251682830774</v>
      </c>
      <c r="AD157" s="100">
        <f>IF('Net zero activities &amp; levers'!$C$6="Off",('Activity data'!AW5*EF!$H4)*kgtoGg,IF('Net zero activities &amp; levers'!$C$6="On",(('Net zero supporting data'!U40*EF!$H4)+('Net zero supporting data'!U38*'Net zero supporting data'!U42))*kgtoGg,"ERROR"))</f>
        <v>66.388277964100041</v>
      </c>
      <c r="AE157" s="100">
        <f>IF('Net zero activities &amp; levers'!$C$6="Off",('Activity data'!AX5*EF!$H4)*kgtoGg,IF('Net zero activities &amp; levers'!$C$6="On",(('Net zero supporting data'!V40*EF!$H4)+('Net zero supporting data'!V38*'Net zero supporting data'!V42))*kgtoGg,"ERROR"))</f>
        <v>67.025471132220616</v>
      </c>
      <c r="AF157" s="100">
        <f>IF('Net zero activities &amp; levers'!$C$6="Off",('Activity data'!AY5*EF!$H4)*kgtoGg,IF('Net zero activities &amp; levers'!$C$6="On",(('Net zero supporting data'!W40*EF!$H4)+('Net zero supporting data'!W38*'Net zero supporting data'!W42))*kgtoGg,"ERROR"))</f>
        <v>67.679531796040834</v>
      </c>
      <c r="AG157" s="100">
        <f>IF('Net zero activities &amp; levers'!$C$6="Off",('Activity data'!AZ5*EF!$H4)*kgtoGg,IF('Net zero activities &amp; levers'!$C$6="On",(('Net zero supporting data'!X40*EF!$H4)+('Net zero supporting data'!X38*'Net zero supporting data'!X42))*kgtoGg,"ERROR"))</f>
        <v>68.451714550409065</v>
      </c>
      <c r="AH157" s="100">
        <f>IF('Net zero activities &amp; levers'!$C$6="Off",('Activity data'!BA5*EF!$H4)*kgtoGg,IF('Net zero activities &amp; levers'!$C$6="On",(('Net zero supporting data'!Y40*EF!$H4)+('Net zero supporting data'!Y38*'Net zero supporting data'!Y42))*kgtoGg,"ERROR"))</f>
        <v>69.073458662170665</v>
      </c>
      <c r="AI157" s="100">
        <f>IF('Net zero activities &amp; levers'!$C$6="Off",('Activity data'!BB5*EF!$H4)*kgtoGg,IF('Net zero activities &amp; levers'!$C$6="On",(('Net zero supporting data'!Z40*EF!$H4)+('Net zero supporting data'!Z38*'Net zero supporting data'!Z42))*kgtoGg,"ERROR"))</f>
        <v>69.72258360844701</v>
      </c>
      <c r="AJ157" s="100">
        <f>IF('Net zero activities &amp; levers'!$C$6="Off",('Activity data'!BC5*EF!$H4)*kgtoGg,IF('Net zero activities &amp; levers'!$C$6="On",(('Net zero supporting data'!AA40*EF!$H4)+('Net zero supporting data'!AA38*'Net zero supporting data'!AA42))*kgtoGg,"ERROR"))</f>
        <v>70.383531706552191</v>
      </c>
      <c r="AK157" s="100">
        <f>IF('Net zero activities &amp; levers'!$C$6="Off",('Activity data'!BD5*EF!$H4)*kgtoGg,IF('Net zero activities &amp; levers'!$C$6="On",(('Net zero supporting data'!AB40*EF!$H4)+('Net zero supporting data'!AB38*'Net zero supporting data'!AB42))*kgtoGg,"ERROR"))</f>
        <v>70.985140971094026</v>
      </c>
      <c r="AL157" s="100">
        <f>IF('Net zero activities &amp; levers'!$C$6="Off",('Activity data'!BE5*EF!$H4)*kgtoGg,IF('Net zero activities &amp; levers'!$C$6="On",(('Net zero supporting data'!AC40*EF!$H4)+('Net zero supporting data'!AC38*'Net zero supporting data'!AC42))*kgtoGg,"ERROR"))</f>
        <v>71.575447915490599</v>
      </c>
      <c r="AM157" s="100">
        <f>IF('Net zero activities &amp; levers'!$C$6="Off",('Activity data'!BF5*EF!$H4)*kgtoGg,IF('Net zero activities &amp; levers'!$C$6="On",(('Net zero supporting data'!AD40*EF!$H4)+('Net zero supporting data'!AD38*'Net zero supporting data'!AD42))*kgtoGg,"ERROR"))</f>
        <v>72.196866559443663</v>
      </c>
      <c r="AN157" s="100">
        <f>IF('Net zero activities &amp; levers'!$C$6="Off",('Activity data'!BG5*EF!$H4)*kgtoGg,IF('Net zero activities &amp; levers'!$C$6="On",(('Net zero supporting data'!AE40*EF!$H4)+('Net zero supporting data'!AE38*'Net zero supporting data'!AE42))*kgtoGg,"ERROR"))</f>
        <v>73.388916245738159</v>
      </c>
      <c r="AO157" s="100">
        <f>IF('Net zero activities &amp; levers'!$C$6="Off",('Activity data'!BH5*EF!$H4)*kgtoGg,IF('Net zero activities &amp; levers'!$C$6="On",(('Net zero supporting data'!AF40*EF!$H4)+('Net zero supporting data'!AF38*'Net zero supporting data'!AF42))*kgtoGg,"ERROR"))</f>
        <v>74.517815525403932</v>
      </c>
      <c r="AP157" s="100">
        <f>IF('Net zero activities &amp; levers'!$C$6="Off",('Activity data'!BI5*EF!$H4)*kgtoGg,IF('Net zero activities &amp; levers'!$C$6="On",(('Net zero supporting data'!AG40*EF!$H4)+('Net zero supporting data'!AG38*'Net zero supporting data'!AG42))*kgtoGg,"ERROR"))</f>
        <v>75.66893162098269</v>
      </c>
      <c r="AQ157" s="100">
        <f>IF('Net zero activities &amp; levers'!$C$6="Off",('Activity data'!BJ5*EF!$H4)*kgtoGg,IF('Net zero activities &amp; levers'!$C$6="On",(('Net zero supporting data'!AH40*EF!$H4)+('Net zero supporting data'!AH38*'Net zero supporting data'!AH42))*kgtoGg,"ERROR"))</f>
        <v>76.844426806870842</v>
      </c>
      <c r="AR157" s="100">
        <f>IF('Net zero activities &amp; levers'!$C$6="Off",('Activity data'!BK5*EF!$H4)*kgtoGg,IF('Net zero activities &amp; levers'!$C$6="On",(('Net zero supporting data'!AI40*EF!$H4)+('Net zero supporting data'!AI38*'Net zero supporting data'!AI42))*kgtoGg,"ERROR"))</f>
        <v>78.105758034975736</v>
      </c>
      <c r="AS157" s="100">
        <f>IF('Net zero activities &amp; levers'!$C$6="Off",('Activity data'!BL5*EF!$H4)*kgtoGg,IF('Net zero activities &amp; levers'!$C$6="On",(('Net zero supporting data'!AJ40*EF!$H4)+('Net zero supporting data'!AJ38*'Net zero supporting data'!AJ42))*kgtoGg,"ERROR"))</f>
        <v>79.377712068044104</v>
      </c>
      <c r="AT157" s="100">
        <f>IF('Net zero activities &amp; levers'!$C$6="Off",('Activity data'!BM5*EF!$H4)*kgtoGg,IF('Net zero activities &amp; levers'!$C$6="On",(('Net zero supporting data'!AK40*EF!$H4)+('Net zero supporting data'!AK38*'Net zero supporting data'!AK42))*kgtoGg,"ERROR"))</f>
        <v>80.082828880774159</v>
      </c>
      <c r="AU157" s="100">
        <f>IF('Net zero activities &amp; levers'!$C$6="Off",('Activity data'!BN5*EF!$H4)*kgtoGg,IF('Net zero activities &amp; levers'!$C$6="On",(('Net zero supporting data'!AL40*EF!$H4)+('Net zero supporting data'!AL38*'Net zero supporting data'!AL42))*kgtoGg,"ERROR"))</f>
        <v>80.752631515737434</v>
      </c>
      <c r="AV157" s="100">
        <f>IF('Net zero activities &amp; levers'!$C$6="Off",('Activity data'!BO5*EF!$H4)*kgtoGg,IF('Net zero activities &amp; levers'!$C$6="On",(('Net zero supporting data'!AM40*EF!$H4)+('Net zero supporting data'!AM38*'Net zero supporting data'!AM42))*kgtoGg,"ERROR"))</f>
        <v>81.50512895091876</v>
      </c>
      <c r="AW157" s="100">
        <f>IF('Net zero activities &amp; levers'!$C$6="Off",('Activity data'!BP5*EF!$H4)*kgtoGg,IF('Net zero activities &amp; levers'!$C$6="On",(('Net zero supporting data'!AN40*EF!$H4)+('Net zero supporting data'!AN38*'Net zero supporting data'!AN42))*kgtoGg,"ERROR"))</f>
        <v>82.229084334497756</v>
      </c>
      <c r="AY157" s="85"/>
    </row>
    <row r="158" spans="1:51" x14ac:dyDescent="0.25">
      <c r="A158" s="102" t="str">
        <f t="shared" si="0"/>
        <v>FA Cattle</v>
      </c>
      <c r="B158" s="102" t="s">
        <v>963</v>
      </c>
      <c r="C158" s="102" t="s">
        <v>1109</v>
      </c>
      <c r="D158" t="str">
        <f>D9</f>
        <v>3A Livestock</v>
      </c>
      <c r="E158" t="str">
        <f>E9</f>
        <v>3A1 Enteric fermentation (CH4)</v>
      </c>
      <c r="F158" t="s">
        <v>6</v>
      </c>
      <c r="G158" t="s">
        <v>137</v>
      </c>
      <c r="H158" t="s">
        <v>1021</v>
      </c>
      <c r="I158" t="str">
        <f t="shared" ref="I158:J158" si="32">I157</f>
        <v>CH4</v>
      </c>
      <c r="J158" t="str">
        <f t="shared" si="32"/>
        <v>Gg CH4</v>
      </c>
      <c r="K158" s="28">
        <f t="shared" ref="K158:Z161" si="33">K1380</f>
        <v>57.842346035228502</v>
      </c>
      <c r="L158" s="28">
        <f t="shared" si="33"/>
        <v>58.232900803215919</v>
      </c>
      <c r="M158" s="28">
        <f t="shared" si="33"/>
        <v>58.574537295077718</v>
      </c>
      <c r="N158" s="28">
        <f t="shared" si="33"/>
        <v>58.618728691413338</v>
      </c>
      <c r="O158" s="28">
        <f t="shared" si="33"/>
        <v>58.6948440387294</v>
      </c>
      <c r="P158" s="28">
        <f t="shared" si="33"/>
        <v>59.13157986196363</v>
      </c>
      <c r="Q158" s="28">
        <f t="shared" si="33"/>
        <v>59.480808603326388</v>
      </c>
      <c r="R158" s="28">
        <f t="shared" si="33"/>
        <v>59.483870661930055</v>
      </c>
      <c r="S158" s="28">
        <f t="shared" si="33"/>
        <v>57.907919713248667</v>
      </c>
      <c r="T158" s="28">
        <f t="shared" si="33"/>
        <v>58.669252891678312</v>
      </c>
      <c r="U158" s="28">
        <f t="shared" si="33"/>
        <v>59.245569026964958</v>
      </c>
      <c r="V158" s="28">
        <f t="shared" si="33"/>
        <v>59.78930966267238</v>
      </c>
      <c r="W158" s="28">
        <f t="shared" si="33"/>
        <v>60.419792957585386</v>
      </c>
      <c r="X158" s="28">
        <f t="shared" si="33"/>
        <v>61.323180044728431</v>
      </c>
      <c r="Y158" s="28">
        <f t="shared" si="33"/>
        <v>62.263711118141018</v>
      </c>
      <c r="Z158" s="28">
        <f t="shared" si="33"/>
        <v>63.285340174171438</v>
      </c>
      <c r="AA158" s="28">
        <f t="shared" ref="L158:AW161" si="34">AA1380</f>
        <v>64.214407388488411</v>
      </c>
      <c r="AB158" s="28">
        <f t="shared" si="34"/>
        <v>65.278891743242767</v>
      </c>
      <c r="AC158" s="28">
        <f t="shared" si="34"/>
        <v>66.508814699001078</v>
      </c>
      <c r="AD158" s="28">
        <f t="shared" si="34"/>
        <v>67.692926258769063</v>
      </c>
      <c r="AE158" s="28">
        <f t="shared" si="34"/>
        <v>68.938770253248308</v>
      </c>
      <c r="AF158" s="28">
        <f t="shared" si="34"/>
        <v>70.222401517060504</v>
      </c>
      <c r="AG158" s="28">
        <f t="shared" si="34"/>
        <v>71.650719568316063</v>
      </c>
      <c r="AH158" s="28">
        <f t="shared" si="34"/>
        <v>72.943880173088047</v>
      </c>
      <c r="AI158" s="28">
        <f t="shared" si="34"/>
        <v>74.287617774695377</v>
      </c>
      <c r="AJ158" s="28">
        <f t="shared" si="34"/>
        <v>75.66647807342153</v>
      </c>
      <c r="AK158" s="28">
        <f t="shared" si="34"/>
        <v>77.004120610818973</v>
      </c>
      <c r="AL158" s="28">
        <f t="shared" si="34"/>
        <v>78.351901275705174</v>
      </c>
      <c r="AM158" s="28">
        <f t="shared" si="34"/>
        <v>79.75685453346513</v>
      </c>
      <c r="AN158" s="28">
        <f t="shared" si="34"/>
        <v>81.20832737513372</v>
      </c>
      <c r="AO158" s="28">
        <f t="shared" si="34"/>
        <v>82.594632595774641</v>
      </c>
      <c r="AP158" s="28">
        <f t="shared" si="34"/>
        <v>84.010222132851055</v>
      </c>
      <c r="AQ158" s="28">
        <f t="shared" si="34"/>
        <v>85.457647206913492</v>
      </c>
      <c r="AR158" s="28">
        <f t="shared" si="34"/>
        <v>87.005527110000244</v>
      </c>
      <c r="AS158" s="28">
        <f t="shared" si="34"/>
        <v>88.570442678399701</v>
      </c>
      <c r="AT158" s="28">
        <f t="shared" si="34"/>
        <v>89.50706346373471</v>
      </c>
      <c r="AU158" s="28">
        <f t="shared" si="34"/>
        <v>90.407294503794148</v>
      </c>
      <c r="AV158" s="28">
        <f t="shared" si="34"/>
        <v>91.403292364753156</v>
      </c>
      <c r="AW158" s="28">
        <f t="shared" si="34"/>
        <v>92.370585313787814</v>
      </c>
      <c r="AY158" s="85"/>
    </row>
    <row r="159" spans="1:51" x14ac:dyDescent="0.25">
      <c r="A159" s="102" t="str">
        <f t="shared" si="0"/>
        <v>FA Cattle</v>
      </c>
      <c r="B159" s="102" t="s">
        <v>963</v>
      </c>
      <c r="C159" s="102" t="s">
        <v>1109</v>
      </c>
      <c r="D159" t="str">
        <f t="shared" ref="D159:E159" si="35">D157</f>
        <v>3A Livestock</v>
      </c>
      <c r="E159" t="str">
        <f t="shared" si="35"/>
        <v>3A1 Enteric fermentation (CH4)</v>
      </c>
      <c r="F159" t="s">
        <v>67</v>
      </c>
      <c r="G159" t="s">
        <v>307</v>
      </c>
      <c r="H159" t="s">
        <v>1021</v>
      </c>
      <c r="I159" t="str">
        <f t="shared" ref="I159:J160" si="36">I158</f>
        <v>CH4</v>
      </c>
      <c r="J159" t="str">
        <f t="shared" si="36"/>
        <v>Gg CH4</v>
      </c>
      <c r="K159" s="28">
        <f t="shared" si="33"/>
        <v>26.152753652516633</v>
      </c>
      <c r="L159" s="28">
        <f t="shared" si="34"/>
        <v>26.329338513524345</v>
      </c>
      <c r="M159" s="28">
        <f t="shared" si="34"/>
        <v>26.483805536783215</v>
      </c>
      <c r="N159" s="28">
        <f t="shared" si="34"/>
        <v>26.503786170024174</v>
      </c>
      <c r="O159" s="28">
        <f t="shared" si="34"/>
        <v>26.538200851723289</v>
      </c>
      <c r="P159" s="28">
        <f t="shared" si="34"/>
        <v>26.735665947439109</v>
      </c>
      <c r="Q159" s="28">
        <f t="shared" si="34"/>
        <v>26.893565719271944</v>
      </c>
      <c r="R159" s="28">
        <f t="shared" si="34"/>
        <v>26.894950193966014</v>
      </c>
      <c r="S159" s="28">
        <f t="shared" si="34"/>
        <v>26.182402039293791</v>
      </c>
      <c r="T159" s="28">
        <f t="shared" si="34"/>
        <v>26.526630107962227</v>
      </c>
      <c r="U159" s="28">
        <f t="shared" si="34"/>
        <v>26.787204841617442</v>
      </c>
      <c r="V159" s="28">
        <f t="shared" si="34"/>
        <v>27.033050936584925</v>
      </c>
      <c r="W159" s="28">
        <f t="shared" si="34"/>
        <v>27.318116730490384</v>
      </c>
      <c r="X159" s="28">
        <f t="shared" si="34"/>
        <v>27.72657284547105</v>
      </c>
      <c r="Y159" s="28">
        <f t="shared" si="34"/>
        <v>28.151823188023119</v>
      </c>
      <c r="Z159" s="28">
        <f t="shared" si="34"/>
        <v>28.61374105370485</v>
      </c>
      <c r="AA159" s="28">
        <f t="shared" si="34"/>
        <v>29.033808143789049</v>
      </c>
      <c r="AB159" s="28">
        <f t="shared" si="34"/>
        <v>29.515102541493693</v>
      </c>
      <c r="AC159" s="28">
        <f t="shared" si="34"/>
        <v>30.071198106046545</v>
      </c>
      <c r="AD159" s="28">
        <f t="shared" si="34"/>
        <v>30.606580573086323</v>
      </c>
      <c r="AE159" s="28">
        <f t="shared" si="34"/>
        <v>31.169874652777334</v>
      </c>
      <c r="AF159" s="28">
        <f t="shared" si="34"/>
        <v>31.750253813102248</v>
      </c>
      <c r="AG159" s="28">
        <f t="shared" si="34"/>
        <v>32.396051445673713</v>
      </c>
      <c r="AH159" s="28">
        <f t="shared" si="34"/>
        <v>32.980739188268778</v>
      </c>
      <c r="AI159" s="28">
        <f t="shared" si="34"/>
        <v>33.588294740165949</v>
      </c>
      <c r="AJ159" s="28">
        <f t="shared" si="34"/>
        <v>34.211730616917187</v>
      </c>
      <c r="AK159" s="28">
        <f t="shared" si="34"/>
        <v>34.816530355405931</v>
      </c>
      <c r="AL159" s="28">
        <f t="shared" si="34"/>
        <v>35.42591393201478</v>
      </c>
      <c r="AM159" s="28">
        <f t="shared" si="34"/>
        <v>36.061147441062253</v>
      </c>
      <c r="AN159" s="28">
        <f t="shared" si="34"/>
        <v>36.717414246671382</v>
      </c>
      <c r="AO159" s="28">
        <f t="shared" si="34"/>
        <v>37.344216259517445</v>
      </c>
      <c r="AP159" s="28">
        <f t="shared" si="34"/>
        <v>37.984258840323065</v>
      </c>
      <c r="AQ159" s="28">
        <f t="shared" si="34"/>
        <v>38.638695494212854</v>
      </c>
      <c r="AR159" s="28">
        <f t="shared" si="34"/>
        <v>39.338551647427231</v>
      </c>
      <c r="AS159" s="28">
        <f t="shared" si="34"/>
        <v>40.046110281415082</v>
      </c>
      <c r="AT159" s="28">
        <f t="shared" si="34"/>
        <v>40.469592632040602</v>
      </c>
      <c r="AU159" s="28">
        <f t="shared" si="34"/>
        <v>40.876621776513481</v>
      </c>
      <c r="AV159" s="28">
        <f t="shared" si="34"/>
        <v>41.326950791180863</v>
      </c>
      <c r="AW159" s="28">
        <f t="shared" si="34"/>
        <v>41.764301208996081</v>
      </c>
      <c r="AY159" s="85"/>
    </row>
    <row r="160" spans="1:51" x14ac:dyDescent="0.25">
      <c r="A160" s="102" t="str">
        <f t="shared" si="0"/>
        <v>FA Cattle</v>
      </c>
      <c r="B160" s="102" t="s">
        <v>963</v>
      </c>
      <c r="C160" s="102" t="s">
        <v>1109</v>
      </c>
      <c r="D160" t="str">
        <f t="shared" ref="D160:E160" si="37">D158</f>
        <v>3A Livestock</v>
      </c>
      <c r="E160" t="str">
        <f t="shared" si="37"/>
        <v>3A1 Enteric fermentation (CH4)</v>
      </c>
      <c r="F160" t="s">
        <v>67</v>
      </c>
      <c r="G160" t="s">
        <v>122</v>
      </c>
      <c r="H160" t="s">
        <v>1021</v>
      </c>
      <c r="I160" t="str">
        <f t="shared" si="36"/>
        <v>CH4</v>
      </c>
      <c r="J160" t="str">
        <f t="shared" si="36"/>
        <v>Gg CH4</v>
      </c>
      <c r="K160" s="28">
        <f t="shared" si="33"/>
        <v>465.52056336079949</v>
      </c>
      <c r="L160" s="28">
        <f t="shared" si="34"/>
        <v>463.15049709319385</v>
      </c>
      <c r="M160" s="28">
        <f t="shared" si="34"/>
        <v>458.82469207652616</v>
      </c>
      <c r="N160" s="28">
        <f t="shared" si="34"/>
        <v>446.98374150991339</v>
      </c>
      <c r="O160" s="28">
        <f t="shared" si="34"/>
        <v>435.61531631652565</v>
      </c>
      <c r="P160" s="28">
        <f t="shared" si="34"/>
        <v>431.8940518676672</v>
      </c>
      <c r="Q160" s="28">
        <f t="shared" si="34"/>
        <v>425.88381386723944</v>
      </c>
      <c r="R160" s="28">
        <f t="shared" si="34"/>
        <v>412.37997971855566</v>
      </c>
      <c r="S160" s="28">
        <f t="shared" si="34"/>
        <v>367.07322936568551</v>
      </c>
      <c r="T160" s="28">
        <f t="shared" si="34"/>
        <v>376.04260475427378</v>
      </c>
      <c r="U160" s="28">
        <f t="shared" si="34"/>
        <v>380.88720014756319</v>
      </c>
      <c r="V160" s="28">
        <f t="shared" si="34"/>
        <v>384.73781572909445</v>
      </c>
      <c r="W160" s="28">
        <f t="shared" si="34"/>
        <v>389.91279538090225</v>
      </c>
      <c r="X160" s="28">
        <f t="shared" si="34"/>
        <v>399.84804761715691</v>
      </c>
      <c r="Y160" s="28">
        <f t="shared" si="34"/>
        <v>410.72195142971174</v>
      </c>
      <c r="Z160" s="28">
        <f t="shared" si="34"/>
        <v>422.57021057713075</v>
      </c>
      <c r="AA160" s="28">
        <f t="shared" si="34"/>
        <v>432.23102816031104</v>
      </c>
      <c r="AB160" s="28">
        <f t="shared" si="34"/>
        <v>443.82757951116929</v>
      </c>
      <c r="AC160" s="28">
        <f t="shared" si="34"/>
        <v>457.79588984245851</v>
      </c>
      <c r="AD160" s="28">
        <f t="shared" si="34"/>
        <v>466.99721608024504</v>
      </c>
      <c r="AE160" s="28">
        <f t="shared" si="34"/>
        <v>476.39605277563965</v>
      </c>
      <c r="AF160" s="28">
        <f t="shared" si="34"/>
        <v>485.55434160967809</v>
      </c>
      <c r="AG160" s="28">
        <f t="shared" si="34"/>
        <v>496.149752250235</v>
      </c>
      <c r="AH160" s="28">
        <f t="shared" si="34"/>
        <v>503.70010251464106</v>
      </c>
      <c r="AI160" s="28">
        <f t="shared" si="34"/>
        <v>511.6542791142947</v>
      </c>
      <c r="AJ160" s="28">
        <f t="shared" si="34"/>
        <v>519.26571108374344</v>
      </c>
      <c r="AK160" s="28">
        <f t="shared" si="34"/>
        <v>525.41502165866484</v>
      </c>
      <c r="AL160" s="28">
        <f t="shared" si="34"/>
        <v>530.88759799604804</v>
      </c>
      <c r="AM160" s="28">
        <f t="shared" si="34"/>
        <v>536.33560316463638</v>
      </c>
      <c r="AN160" s="28">
        <f t="shared" si="34"/>
        <v>544.72092714693053</v>
      </c>
      <c r="AO160" s="28">
        <f t="shared" si="34"/>
        <v>551.54981511359176</v>
      </c>
      <c r="AP160" s="28">
        <f t="shared" si="34"/>
        <v>558.10716361528034</v>
      </c>
      <c r="AQ160" s="28">
        <f t="shared" si="34"/>
        <v>564.41449245205456</v>
      </c>
      <c r="AR160" s="28">
        <f t="shared" si="34"/>
        <v>571.30711836389287</v>
      </c>
      <c r="AS160" s="28">
        <f t="shared" si="34"/>
        <v>578.05837043678457</v>
      </c>
      <c r="AT160" s="28">
        <f t="shared" si="34"/>
        <v>576.66741382248574</v>
      </c>
      <c r="AU160" s="28">
        <f t="shared" si="34"/>
        <v>574.48483101134718</v>
      </c>
      <c r="AV160" s="28">
        <f t="shared" si="34"/>
        <v>573.04217473429298</v>
      </c>
      <c r="AW160" s="28">
        <f t="shared" si="34"/>
        <v>570.89539860553714</v>
      </c>
      <c r="AY160" s="85"/>
    </row>
    <row r="161" spans="1:51" x14ac:dyDescent="0.25">
      <c r="A161" s="102" t="str">
        <f t="shared" si="0"/>
        <v>FA Cattle</v>
      </c>
      <c r="B161" s="102" t="s">
        <v>963</v>
      </c>
      <c r="C161" s="102" t="s">
        <v>1109</v>
      </c>
      <c r="D161" t="str">
        <f t="shared" ref="D161:E161" si="38">D159</f>
        <v>3A Livestock</v>
      </c>
      <c r="E161" t="str">
        <f t="shared" si="38"/>
        <v>3A1 Enteric fermentation (CH4)</v>
      </c>
      <c r="F161" t="s">
        <v>67</v>
      </c>
      <c r="G161" t="s">
        <v>123</v>
      </c>
      <c r="H161" t="s">
        <v>1021</v>
      </c>
      <c r="I161" t="str">
        <f t="shared" ref="I161:J161" si="39">I160</f>
        <v>CH4</v>
      </c>
      <c r="J161" t="str">
        <f t="shared" si="39"/>
        <v>Gg CH4</v>
      </c>
      <c r="K161" s="28">
        <f t="shared" si="33"/>
        <v>327.80986528142375</v>
      </c>
      <c r="L161" s="28">
        <f t="shared" si="34"/>
        <v>326.14091407917653</v>
      </c>
      <c r="M161" s="28">
        <f t="shared" si="34"/>
        <v>323.0947724662044</v>
      </c>
      <c r="N161" s="28">
        <f t="shared" si="34"/>
        <v>314.75662219842133</v>
      </c>
      <c r="O161" s="28">
        <f t="shared" si="34"/>
        <v>306.75121443683565</v>
      </c>
      <c r="P161" s="28">
        <f t="shared" si="34"/>
        <v>304.13077767492297</v>
      </c>
      <c r="Q161" s="28">
        <f t="shared" si="34"/>
        <v>299.89849350898703</v>
      </c>
      <c r="R161" s="28">
        <f t="shared" si="34"/>
        <v>290.38937532717256</v>
      </c>
      <c r="S161" s="28">
        <f t="shared" si="34"/>
        <v>258.48530728280883</v>
      </c>
      <c r="T161" s="28">
        <f t="shared" si="34"/>
        <v>264.80135424014338</v>
      </c>
      <c r="U161" s="28">
        <f t="shared" si="34"/>
        <v>268.21281720915158</v>
      </c>
      <c r="V161" s="28">
        <f t="shared" si="34"/>
        <v>270.92434033912764</v>
      </c>
      <c r="W161" s="28">
        <f t="shared" si="34"/>
        <v>274.56845300784875</v>
      </c>
      <c r="X161" s="28">
        <f t="shared" si="34"/>
        <v>281.56465028341216</v>
      </c>
      <c r="Y161" s="28">
        <f t="shared" si="34"/>
        <v>289.22182640930129</v>
      </c>
      <c r="Z161" s="28">
        <f t="shared" si="34"/>
        <v>297.56512322715759</v>
      </c>
      <c r="AA161" s="28">
        <f t="shared" si="34"/>
        <v>304.36806934749092</v>
      </c>
      <c r="AB161" s="28">
        <f t="shared" si="34"/>
        <v>312.53411878816331</v>
      </c>
      <c r="AC161" s="28">
        <f t="shared" si="34"/>
        <v>322.37031140412756</v>
      </c>
      <c r="AD161" s="28">
        <f t="shared" si="34"/>
        <v>328.8496933086418</v>
      </c>
      <c r="AE161" s="28">
        <f t="shared" si="34"/>
        <v>335.46815795535053</v>
      </c>
      <c r="AF161" s="28">
        <f t="shared" si="34"/>
        <v>341.91723381833816</v>
      </c>
      <c r="AG161" s="28">
        <f t="shared" si="34"/>
        <v>349.37830086467267</v>
      </c>
      <c r="AH161" s="28">
        <f t="shared" si="34"/>
        <v>354.6950999446828</v>
      </c>
      <c r="AI161" s="28">
        <f t="shared" si="34"/>
        <v>360.29626510209863</v>
      </c>
      <c r="AJ161" s="28">
        <f t="shared" si="34"/>
        <v>365.65607664402177</v>
      </c>
      <c r="AK161" s="28">
        <f t="shared" si="34"/>
        <v>369.98629281446455</v>
      </c>
      <c r="AL161" s="28">
        <f t="shared" si="34"/>
        <v>373.83996685831022</v>
      </c>
      <c r="AM161" s="28">
        <f t="shared" si="34"/>
        <v>377.67633839789198</v>
      </c>
      <c r="AN161" s="28">
        <f t="shared" si="34"/>
        <v>383.58110854409597</v>
      </c>
      <c r="AO161" s="28">
        <f t="shared" si="34"/>
        <v>388.38986893098826</v>
      </c>
      <c r="AP161" s="28">
        <f t="shared" si="34"/>
        <v>393.00741689368874</v>
      </c>
      <c r="AQ161" s="28">
        <f t="shared" si="34"/>
        <v>397.44890622627946</v>
      </c>
      <c r="AR161" s="28">
        <f t="shared" si="34"/>
        <v>402.30254954395133</v>
      </c>
      <c r="AS161" s="28">
        <f t="shared" si="34"/>
        <v>407.05664035471597</v>
      </c>
      <c r="AT161" s="28">
        <f t="shared" si="34"/>
        <v>406.07715773626023</v>
      </c>
      <c r="AU161" s="28">
        <f t="shared" si="34"/>
        <v>404.54022847126805</v>
      </c>
      <c r="AV161" s="28">
        <f t="shared" si="34"/>
        <v>403.52434002927453</v>
      </c>
      <c r="AW161" s="28">
        <f t="shared" si="34"/>
        <v>402.01262508272896</v>
      </c>
      <c r="AY161" s="85"/>
    </row>
    <row r="162" spans="1:51" x14ac:dyDescent="0.25">
      <c r="A162" s="102" t="str">
        <f t="shared" si="0"/>
        <v>FA Cattle</v>
      </c>
      <c r="B162" s="102" t="s">
        <v>963</v>
      </c>
      <c r="C162" s="102" t="s">
        <v>1109</v>
      </c>
      <c r="D162" t="str">
        <f t="shared" ref="D162:E162" si="40">D160</f>
        <v>3A Livestock</v>
      </c>
      <c r="E162" t="str">
        <f t="shared" si="40"/>
        <v>3A1 Enteric fermentation (CH4)</v>
      </c>
      <c r="F162" t="s">
        <v>67</v>
      </c>
      <c r="G162" t="s">
        <v>135</v>
      </c>
      <c r="H162" t="s">
        <v>1021</v>
      </c>
      <c r="I162" t="str">
        <f>I159</f>
        <v>CH4</v>
      </c>
      <c r="J162" t="str">
        <f>J159</f>
        <v>Gg CH4</v>
      </c>
      <c r="K162" s="100">
        <f>IF('Net zero activities &amp; levers'!$C$6="Off",('Activity data'!AD10*EF!$H9)*kgtoGg,IF('Net zero activities &amp; levers'!$C$6="On",(('Net zero supporting data'!B41*EF!$H9)+('Net zero supporting data'!B39*'Net zero supporting data'!B43))*kgtoGg,"ERROR"))</f>
        <v>31.983141266454435</v>
      </c>
      <c r="L162" s="100">
        <f>IF('Net zero activities &amp; levers'!$C$6="Off",('Activity data'!AE10*EF!$H9)*kgtoGg,IF('Net zero activities &amp; levers'!$C$6="On",(('Net zero supporting data'!C41*EF!$H9)+('Net zero supporting data'!C39*'Net zero supporting data'!C43))*kgtoGg,"ERROR"))</f>
        <v>33.176305480896438</v>
      </c>
      <c r="M162" s="100">
        <f>IF('Net zero activities &amp; levers'!$C$6="Off",('Activity data'!AF10*EF!$H9)*kgtoGg,IF('Net zero activities &amp; levers'!$C$6="On",(('Net zero supporting data'!D41*EF!$H9)+('Net zero supporting data'!D39*'Net zero supporting data'!D43))*kgtoGg,"ERROR"))</f>
        <v>34.248209769984797</v>
      </c>
      <c r="N162" s="100">
        <f>IF('Net zero activities &amp; levers'!$C$6="Off",('Activity data'!AG10*EF!$H9)*kgtoGg,IF('Net zero activities &amp; levers'!$C$6="On",(('Net zero supporting data'!E41*EF!$H9)+('Net zero supporting data'!E39*'Net zero supporting data'!E43))*kgtoGg,"ERROR"))</f>
        <v>34.751225456913808</v>
      </c>
      <c r="O162" s="100">
        <f>IF('Net zero activities &amp; levers'!$C$6="Off",('Activity data'!AH10*EF!$H9)*kgtoGg,IF('Net zero activities &amp; levers'!$C$6="On",(('Net zero supporting data'!F41*EF!$H9)+('Net zero supporting data'!F39*'Net zero supporting data'!F43))*kgtoGg,"ERROR"))</f>
        <v>35.261937727399058</v>
      </c>
      <c r="P162" s="100">
        <f>IF('Net zero activities &amp; levers'!$C$6="Off",('Activity data'!AI10*EF!$H9)*kgtoGg,IF('Net zero activities &amp; levers'!$C$6="On",(('Net zero supporting data'!G41*EF!$H9)+('Net zero supporting data'!G39*'Net zero supporting data'!G43))*kgtoGg,"ERROR"))</f>
        <v>36.389263474395328</v>
      </c>
      <c r="Q162" s="100">
        <f>IF('Net zero activities &amp; levers'!$C$6="Off",('Activity data'!AJ10*EF!$H9)*kgtoGg,IF('Net zero activities &amp; levers'!$C$6="On",(('Net zero supporting data'!H41*EF!$H9)+('Net zero supporting data'!H39*'Net zero supporting data'!H43))*kgtoGg,"ERROR"))</f>
        <v>37.34016796495505</v>
      </c>
      <c r="R162" s="100">
        <f>IF('Net zero activities &amp; levers'!$C$6="Off",('Activity data'!AK10*EF!$H9)*kgtoGg,IF('Net zero activities &amp; levers'!$C$6="On",(('Net zero supporting data'!I41*EF!$H9)+('Net zero supporting data'!I39*'Net zero supporting data'!I43))*kgtoGg,"ERROR"))</f>
        <v>37.617758099633058</v>
      </c>
      <c r="S162" s="100">
        <f>IF('Net zero activities &amp; levers'!$C$6="Off",('Activity data'!AL10*EF!$H9)*kgtoGg,IF('Net zero activities &amp; levers'!$C$6="On",(('Net zero supporting data'!J41*EF!$H9)+('Net zero supporting data'!J39*'Net zero supporting data'!J43))*kgtoGg,"ERROR"))</f>
        <v>34.833912391780601</v>
      </c>
      <c r="T162" s="100">
        <f>IF('Net zero activities &amp; levers'!$C$6="Off",('Activity data'!AM10*EF!$H9)*kgtoGg,IF('Net zero activities &amp; levers'!$C$6="On",(('Net zero supporting data'!K41*EF!$H9)+('Net zero supporting data'!K39*'Net zero supporting data'!K43))*kgtoGg,"ERROR"))</f>
        <v>35.949654337640382</v>
      </c>
      <c r="U162" s="100">
        <f>IF('Net zero activities &amp; levers'!$C$6="Off",('Activity data'!AN10*EF!$H9)*kgtoGg,IF('Net zero activities &amp; levers'!$C$6="On",(('Net zero supporting data'!L41*EF!$H9)+('Net zero supporting data'!L39*'Net zero supporting data'!L43))*kgtoGg,"ERROR"))</f>
        <v>36.562246976839326</v>
      </c>
      <c r="V162" s="100">
        <f>IF('Net zero activities &amp; levers'!$C$6="Off",('Activity data'!AO10*EF!$H9)*kgtoGg,IF('Net zero activities &amp; levers'!$C$6="On",(('Net zero supporting data'!M41*EF!$H9)+('Net zero supporting data'!M39*'Net zero supporting data'!M43))*kgtoGg,"ERROR"))</f>
        <v>36.960289773672265</v>
      </c>
      <c r="W162" s="100">
        <f>IF('Net zero activities &amp; levers'!$C$6="Off",('Activity data'!AP10*EF!$H9)*kgtoGg,IF('Net zero activities &amp; levers'!$C$6="On",(('Net zero supporting data'!N41*EF!$H9)+('Net zero supporting data'!N39*'Net zero supporting data'!N43))*kgtoGg,"ERROR"))</f>
        <v>37.361146473913969</v>
      </c>
      <c r="X162" s="100">
        <f>IF('Net zero activities &amp; levers'!$C$6="Off",('Activity data'!AQ10*EF!$H9)*kgtoGg,IF('Net zero activities &amp; levers'!$C$6="On",(('Net zero supporting data'!O41*EF!$H9)+('Net zero supporting data'!O39*'Net zero supporting data'!O43))*kgtoGg,"ERROR"))</f>
        <v>38.087940544595646</v>
      </c>
      <c r="Y162" s="100">
        <f>IF('Net zero activities &amp; levers'!$C$6="Off",('Activity data'!AR10*EF!$H9)*kgtoGg,IF('Net zero activities &amp; levers'!$C$6="On",(('Net zero supporting data'!P41*EF!$H9)+('Net zero supporting data'!P39*'Net zero supporting data'!P43))*kgtoGg,"ERROR"))</f>
        <v>38.758516294370544</v>
      </c>
      <c r="Z162" s="100">
        <f>IF('Net zero activities &amp; levers'!$C$6="Off",('Activity data'!AS10*EF!$H9)*kgtoGg,IF('Net zero activities &amp; levers'!$C$6="On",(('Net zero supporting data'!Q41*EF!$H9)+('Net zero supporting data'!Q39*'Net zero supporting data'!Q43))*kgtoGg,"ERROR"))</f>
        <v>39.361459150727107</v>
      </c>
      <c r="AA162" s="100">
        <f>IF('Net zero activities &amp; levers'!$C$6="Off",('Activity data'!AT10*EF!$H9)*kgtoGg,IF('Net zero activities &amp; levers'!$C$6="On",(('Net zero supporting data'!R41*EF!$H9)+('Net zero supporting data'!R39*'Net zero supporting data'!R43))*kgtoGg,"ERROR"))</f>
        <v>39.586317298561781</v>
      </c>
      <c r="AB162" s="100">
        <f>IF('Net zero activities &amp; levers'!$C$6="Off",('Activity data'!AU10*EF!$H9)*kgtoGg,IF('Net zero activities &amp; levers'!$C$6="On",(('Net zero supporting data'!S41*EF!$H9)+('Net zero supporting data'!S39*'Net zero supporting data'!S43))*kgtoGg,"ERROR"))</f>
        <v>39.80676652866174</v>
      </c>
      <c r="AC162" s="100">
        <f>IF('Net zero activities &amp; levers'!$C$6="Off",('Activity data'!AV10*EF!$H9)*kgtoGg,IF('Net zero activities &amp; levers'!$C$6="On",(('Net zero supporting data'!T41*EF!$H9)+('Net zero supporting data'!T39*'Net zero supporting data'!T43))*kgtoGg,"ERROR"))</f>
        <v>40.037884334023722</v>
      </c>
      <c r="AD162" s="100">
        <f>IF('Net zero activities &amp; levers'!$C$6="Off",('Activity data'!AW10*EF!$H9)*kgtoGg,IF('Net zero activities &amp; levers'!$C$6="On",(('Net zero supporting data'!U41*EF!$H9)+('Net zero supporting data'!U39*'Net zero supporting data'!U43))*kgtoGg,"ERROR"))</f>
        <v>41.329299808641629</v>
      </c>
      <c r="AE162" s="100">
        <f>IF('Net zero activities &amp; levers'!$C$6="Off",('Activity data'!AX10*EF!$H9)*kgtoGg,IF('Net zero activities &amp; levers'!$C$6="On",(('Net zero supporting data'!V41*EF!$H9)+('Net zero supporting data'!V39*'Net zero supporting data'!V43))*kgtoGg,"ERROR"))</f>
        <v>42.660298291109775</v>
      </c>
      <c r="AF162" s="100">
        <f>IF('Net zero activities &amp; levers'!$C$6="Off",('Activity data'!AY10*EF!$H9)*kgtoGg,IF('Net zero activities &amp; levers'!$C$6="On",(('Net zero supporting data'!W41*EF!$H9)+('Net zero supporting data'!W39*'Net zero supporting data'!W43))*kgtoGg,"ERROR"))</f>
        <v>43.991819666385595</v>
      </c>
      <c r="AG162" s="100">
        <f>IF('Net zero activities &amp; levers'!$C$6="Off",('Activity data'!AZ10*EF!$H9)*kgtoGg,IF('Net zero activities &amp; levers'!$C$6="On",(('Net zero supporting data'!X41*EF!$H9)+('Net zero supporting data'!X39*'Net zero supporting data'!X43))*kgtoGg,"ERROR"))</f>
        <v>45.48035142363802</v>
      </c>
      <c r="AH162" s="100">
        <f>IF('Net zero activities &amp; levers'!$C$6="Off",('Activity data'!BA10*EF!$H9)*kgtoGg,IF('Net zero activities &amp; levers'!$C$6="On",(('Net zero supporting data'!Y41*EF!$H9)+('Net zero supporting data'!Y39*'Net zero supporting data'!Y43))*kgtoGg,"ERROR"))</f>
        <v>46.708246513618008</v>
      </c>
      <c r="AI162" s="100">
        <f>IF('Net zero activities &amp; levers'!$C$6="Off",('Activity data'!BB10*EF!$H9)*kgtoGg,IF('Net zero activities &amp; levers'!$C$6="On",(('Net zero supporting data'!Z41*EF!$H9)+('Net zero supporting data'!Z39*'Net zero supporting data'!Z43))*kgtoGg,"ERROR"))</f>
        <v>47.995702685361131</v>
      </c>
      <c r="AJ162" s="100">
        <f>IF('Net zero activities &amp; levers'!$C$6="Off",('Activity data'!BC10*EF!$H9)*kgtoGg,IF('Net zero activities &amp; levers'!$C$6="On",(('Net zero supporting data'!AA41*EF!$H9)+('Net zero supporting data'!AA39*'Net zero supporting data'!AA43))*kgtoGg,"ERROR"))</f>
        <v>49.272821500579632</v>
      </c>
      <c r="AK162" s="100">
        <f>IF('Net zero activities &amp; levers'!$C$6="Off",('Activity data'!BD10*EF!$H9)*kgtoGg,IF('Net zero activities &amp; levers'!$C$6="On",(('Net zero supporting data'!AB41*EF!$H9)+('Net zero supporting data'!AB39*'Net zero supporting data'!AB43))*kgtoGg,"ERROR"))</f>
        <v>50.42991473354062</v>
      </c>
      <c r="AL162" s="100">
        <f>IF('Net zero activities &amp; levers'!$C$6="Off",('Activity data'!BE10*EF!$H9)*kgtoGg,IF('Net zero activities &amp; levers'!$C$6="On",(('Net zero supporting data'!AC41*EF!$H9)+('Net zero supporting data'!AC39*'Net zero supporting data'!AC43))*kgtoGg,"ERROR"))</f>
        <v>51.540746220328195</v>
      </c>
      <c r="AM162" s="100">
        <f>IF('Net zero activities &amp; levers'!$C$6="Off",('Activity data'!BF10*EF!$H9)*kgtoGg,IF('Net zero activities &amp; levers'!$C$6="On",(('Net zero supporting data'!AD41*EF!$H9)+('Net zero supporting data'!AD39*'Net zero supporting data'!AD43))*kgtoGg,"ERROR"))</f>
        <v>52.669390877352946</v>
      </c>
      <c r="AN162" s="100">
        <f>IF('Net zero activities &amp; levers'!$C$6="Off",('Activity data'!BG10*EF!$H9)*kgtoGg,IF('Net zero activities &amp; levers'!$C$6="On",(('Net zero supporting data'!AE41*EF!$H9)+('Net zero supporting data'!AE39*'Net zero supporting data'!AE43))*kgtoGg,"ERROR"))</f>
        <v>54.576351737659522</v>
      </c>
      <c r="AO162" s="100">
        <f>IF('Net zero activities &amp; levers'!$C$6="Off",('Activity data'!BH10*EF!$H9)*kgtoGg,IF('Net zero activities &amp; levers'!$C$6="On",(('Net zero supporting data'!AF41*EF!$H9)+('Net zero supporting data'!AF39*'Net zero supporting data'!AF43))*kgtoGg,"ERROR"))</f>
        <v>56.379692412841614</v>
      </c>
      <c r="AP162" s="100">
        <f>IF('Net zero activities &amp; levers'!$C$6="Off",('Activity data'!BI10*EF!$H9)*kgtoGg,IF('Net zero activities &amp; levers'!$C$6="On",(('Net zero supporting data'!AG41*EF!$H9)+('Net zero supporting data'!AG39*'Net zero supporting data'!AG43))*kgtoGg,"ERROR"))</f>
        <v>58.208701250199987</v>
      </c>
      <c r="AQ162" s="100">
        <f>IF('Net zero activities &amp; levers'!$C$6="Off",('Activity data'!BJ10*EF!$H9)*kgtoGg,IF('Net zero activities &amp; levers'!$C$6="On",(('Net zero supporting data'!AH41*EF!$H9)+('Net zero supporting data'!AH39*'Net zero supporting data'!AH43))*kgtoGg,"ERROR"))</f>
        <v>60.066357776864649</v>
      </c>
      <c r="AR162" s="100">
        <f>IF('Net zero activities &amp; levers'!$C$6="Off",('Activity data'!BK10*EF!$H9)*kgtoGg,IF('Net zero activities &amp; levers'!$C$6="On",(('Net zero supporting data'!AI41*EF!$H9)+('Net zero supporting data'!AI39*'Net zero supporting data'!AI43))*kgtoGg,"ERROR"))</f>
        <v>62.045948701327085</v>
      </c>
      <c r="AS162" s="100">
        <f>IF('Net zero activities &amp; levers'!$C$6="Off",('Activity data'!BL10*EF!$H9)*kgtoGg,IF('Net zero activities &amp; levers'!$C$6="On",(('Net zero supporting data'!AJ41*EF!$H9)+('Net zero supporting data'!AJ39*'Net zero supporting data'!AJ43))*kgtoGg,"ERROR"))</f>
        <v>64.072004567404321</v>
      </c>
      <c r="AT162" s="100">
        <f>IF('Net zero activities &amp; levers'!$C$6="Off",('Activity data'!BM10*EF!$H9)*kgtoGg,IF('Net zero activities &amp; levers'!$C$6="On",(('Net zero supporting data'!AK41*EF!$H9)+('Net zero supporting data'!AK39*'Net zero supporting data'!AK43))*kgtoGg,"ERROR"))</f>
        <v>65.224545559036486</v>
      </c>
      <c r="AU162" s="100">
        <f>IF('Net zero activities &amp; levers'!$C$6="Off",('Activity data'!BN10*EF!$H9)*kgtoGg,IF('Net zero activities &amp; levers'!$C$6="On",(('Net zero supporting data'!AL41*EF!$H9)+('Net zero supporting data'!AL39*'Net zero supporting data'!AL43))*kgtoGg,"ERROR"))</f>
        <v>66.313049626785627</v>
      </c>
      <c r="AV162" s="100">
        <f>IF('Net zero activities &amp; levers'!$C$6="Off",('Activity data'!BO10*EF!$H9)*kgtoGg,IF('Net zero activities &amp; levers'!$C$6="On",(('Net zero supporting data'!AM41*EF!$H9)+('Net zero supporting data'!AM39*'Net zero supporting data'!AM43))*kgtoGg,"ERROR"))</f>
        <v>67.517249315927572</v>
      </c>
      <c r="AW162" s="100">
        <f>IF('Net zero activities &amp; levers'!$C$6="Off",('Activity data'!BP10*EF!$H9)*kgtoGg,IF('Net zero activities &amp; levers'!$C$6="On",(('Net zero supporting data'!AN41*EF!$H9)+('Net zero supporting data'!AN39*'Net zero supporting data'!AN43))*kgtoGg,"ERROR"))</f>
        <v>68.667374328455622</v>
      </c>
      <c r="AY162" s="85"/>
    </row>
    <row r="163" spans="1:51" x14ac:dyDescent="0.25">
      <c r="A163" s="102" t="str">
        <f t="shared" si="0"/>
        <v>FA Sheep</v>
      </c>
      <c r="B163" s="102" t="s">
        <v>963</v>
      </c>
      <c r="C163" s="102" t="s">
        <v>152</v>
      </c>
      <c r="D163" t="str">
        <f t="shared" ref="D163:E163" si="41">D162</f>
        <v>3A Livestock</v>
      </c>
      <c r="E163" t="str">
        <f t="shared" si="41"/>
        <v>3A1 Enteric fermentation (CH4)</v>
      </c>
      <c r="F163" t="s">
        <v>18</v>
      </c>
      <c r="G163" t="s">
        <v>122</v>
      </c>
      <c r="H163" t="s">
        <v>1021</v>
      </c>
      <c r="I163" t="s">
        <v>121</v>
      </c>
      <c r="J163" t="s">
        <v>286</v>
      </c>
      <c r="K163" s="28">
        <f t="shared" ref="K163:Z164" si="42">K1385</f>
        <v>132.57119038642557</v>
      </c>
      <c r="L163" s="28">
        <f t="shared" si="42"/>
        <v>132.64273653065254</v>
      </c>
      <c r="M163" s="28">
        <f t="shared" si="42"/>
        <v>132.80721501621684</v>
      </c>
      <c r="N163" s="28">
        <f t="shared" si="42"/>
        <v>133.051398651531</v>
      </c>
      <c r="O163" s="28">
        <f t="shared" si="42"/>
        <v>133.38098001143086</v>
      </c>
      <c r="P163" s="28">
        <f t="shared" si="42"/>
        <v>133.80258277876908</v>
      </c>
      <c r="Q163" s="28">
        <f t="shared" si="42"/>
        <v>134.26714516921325</v>
      </c>
      <c r="R163" s="28">
        <f t="shared" si="42"/>
        <v>134.76745179695249</v>
      </c>
      <c r="S163" s="28">
        <f t="shared" si="42"/>
        <v>135.2631261954914</v>
      </c>
      <c r="T163" s="28">
        <f t="shared" si="42"/>
        <v>135.46597827382104</v>
      </c>
      <c r="U163" s="28">
        <f t="shared" si="42"/>
        <v>135.69632310683818</v>
      </c>
      <c r="V163" s="28">
        <f t="shared" si="42"/>
        <v>135.95682681390846</v>
      </c>
      <c r="W163" s="28">
        <f t="shared" si="42"/>
        <v>136.24937905937216</v>
      </c>
      <c r="X163" s="28">
        <f t="shared" si="42"/>
        <v>136.57811586303043</v>
      </c>
      <c r="Y163" s="28">
        <f t="shared" si="42"/>
        <v>136.78481124577374</v>
      </c>
      <c r="Z163" s="28">
        <f t="shared" si="42"/>
        <v>137.01756076929394</v>
      </c>
      <c r="AA163" s="28">
        <f t="shared" ref="L163:AW164" si="43">AA1385</f>
        <v>137.26988669428977</v>
      </c>
      <c r="AB163" s="28">
        <f t="shared" si="43"/>
        <v>137.54770477114812</v>
      </c>
      <c r="AC163" s="28">
        <f t="shared" si="43"/>
        <v>137.85098318826414</v>
      </c>
      <c r="AD163" s="28">
        <f t="shared" si="43"/>
        <v>138.0517172424515</v>
      </c>
      <c r="AE163" s="28">
        <f t="shared" si="43"/>
        <v>138.27198156596427</v>
      </c>
      <c r="AF163" s="28">
        <f t="shared" si="43"/>
        <v>138.51029648948435</v>
      </c>
      <c r="AG163" s="28">
        <f t="shared" si="43"/>
        <v>138.76924178933888</v>
      </c>
      <c r="AH163" s="28">
        <f t="shared" si="43"/>
        <v>139.03965406429921</v>
      </c>
      <c r="AI163" s="28">
        <f t="shared" si="43"/>
        <v>139.21265652505053</v>
      </c>
      <c r="AJ163" s="28">
        <f t="shared" si="43"/>
        <v>139.40033470595577</v>
      </c>
      <c r="AK163" s="28">
        <f t="shared" si="43"/>
        <v>139.59984622882109</v>
      </c>
      <c r="AL163" s="28">
        <f t="shared" si="43"/>
        <v>139.81228322803275</v>
      </c>
      <c r="AM163" s="28">
        <f t="shared" si="43"/>
        <v>140.03864091698591</v>
      </c>
      <c r="AN163" s="28">
        <f t="shared" si="43"/>
        <v>140.17205297338157</v>
      </c>
      <c r="AO163" s="28">
        <f t="shared" si="43"/>
        <v>140.3142065668136</v>
      </c>
      <c r="AP163" s="28">
        <f t="shared" si="43"/>
        <v>140.46760679476171</v>
      </c>
      <c r="AQ163" s="28">
        <f t="shared" si="43"/>
        <v>140.63198304845474</v>
      </c>
      <c r="AR163" s="28">
        <f t="shared" si="43"/>
        <v>140.80910014546811</v>
      </c>
      <c r="AS163" s="28">
        <f t="shared" si="43"/>
        <v>140.88892671034117</v>
      </c>
      <c r="AT163" s="28">
        <f t="shared" si="43"/>
        <v>140.95821516124155</v>
      </c>
      <c r="AU163" s="28">
        <f t="shared" si="43"/>
        <v>141.03470747726172</v>
      </c>
      <c r="AV163" s="28">
        <f t="shared" si="43"/>
        <v>141.12215896144338</v>
      </c>
      <c r="AW163" s="28">
        <f t="shared" si="43"/>
        <v>141.21652925379365</v>
      </c>
      <c r="AY163" s="85"/>
    </row>
    <row r="164" spans="1:51" x14ac:dyDescent="0.25">
      <c r="A164" s="102" t="str">
        <f t="shared" si="0"/>
        <v>FA Sheep</v>
      </c>
      <c r="B164" s="102" t="s">
        <v>963</v>
      </c>
      <c r="C164" s="102" t="s">
        <v>152</v>
      </c>
      <c r="D164" t="str">
        <f t="shared" ref="D164:E164" si="44">D163</f>
        <v>3A Livestock</v>
      </c>
      <c r="E164" t="str">
        <f t="shared" si="44"/>
        <v>3A1 Enteric fermentation (CH4)</v>
      </c>
      <c r="F164" t="s">
        <v>18</v>
      </c>
      <c r="G164" t="s">
        <v>123</v>
      </c>
      <c r="H164" t="s">
        <v>1021</v>
      </c>
      <c r="I164" t="s">
        <v>121</v>
      </c>
      <c r="J164" t="s">
        <v>286</v>
      </c>
      <c r="K164" s="28">
        <f t="shared" si="42"/>
        <v>14.367245816070934</v>
      </c>
      <c r="L164" s="28">
        <f t="shared" si="43"/>
        <v>14.374999544752898</v>
      </c>
      <c r="M164" s="28">
        <f t="shared" si="43"/>
        <v>14.392824705910984</v>
      </c>
      <c r="N164" s="28">
        <f t="shared" si="43"/>
        <v>14.419287818315681</v>
      </c>
      <c r="O164" s="28">
        <f t="shared" si="43"/>
        <v>14.455005808025765</v>
      </c>
      <c r="P164" s="28">
        <f t="shared" si="43"/>
        <v>14.500696508829069</v>
      </c>
      <c r="Q164" s="28">
        <f t="shared" si="43"/>
        <v>14.551042907929491</v>
      </c>
      <c r="R164" s="28">
        <f t="shared" si="43"/>
        <v>14.605263046431578</v>
      </c>
      <c r="S164" s="28">
        <f t="shared" si="43"/>
        <v>14.658981172577873</v>
      </c>
      <c r="T164" s="28">
        <f t="shared" si="43"/>
        <v>14.680965026424001</v>
      </c>
      <c r="U164" s="28">
        <f t="shared" si="43"/>
        <v>14.705928375012579</v>
      </c>
      <c r="V164" s="28">
        <f t="shared" si="43"/>
        <v>14.734160155873615</v>
      </c>
      <c r="W164" s="28">
        <f t="shared" si="43"/>
        <v>14.765865159142944</v>
      </c>
      <c r="X164" s="28">
        <f t="shared" si="43"/>
        <v>14.801491621070163</v>
      </c>
      <c r="Y164" s="28">
        <f t="shared" si="43"/>
        <v>14.823891988482297</v>
      </c>
      <c r="Z164" s="28">
        <f t="shared" si="43"/>
        <v>14.84911594255739</v>
      </c>
      <c r="AA164" s="28">
        <f t="shared" si="43"/>
        <v>14.876461465967234</v>
      </c>
      <c r="AB164" s="28">
        <f t="shared" si="43"/>
        <v>14.906569671156744</v>
      </c>
      <c r="AC164" s="28">
        <f t="shared" si="43"/>
        <v>14.939437110580908</v>
      </c>
      <c r="AD164" s="28">
        <f t="shared" si="43"/>
        <v>14.961191426068007</v>
      </c>
      <c r="AE164" s="28">
        <f t="shared" si="43"/>
        <v>14.985062311372678</v>
      </c>
      <c r="AF164" s="28">
        <f t="shared" si="43"/>
        <v>15.01088940908426</v>
      </c>
      <c r="AG164" s="28">
        <f t="shared" si="43"/>
        <v>15.038952299408185</v>
      </c>
      <c r="AH164" s="28">
        <f t="shared" si="43"/>
        <v>15.068257909584224</v>
      </c>
      <c r="AI164" s="28">
        <f t="shared" si="43"/>
        <v>15.087006846462247</v>
      </c>
      <c r="AJ164" s="28">
        <f t="shared" si="43"/>
        <v>15.107346247138357</v>
      </c>
      <c r="AK164" s="28">
        <f t="shared" si="43"/>
        <v>15.128968072240701</v>
      </c>
      <c r="AL164" s="28">
        <f t="shared" si="43"/>
        <v>15.151990680540484</v>
      </c>
      <c r="AM164" s="28">
        <f t="shared" si="43"/>
        <v>15.176521927111235</v>
      </c>
      <c r="AN164" s="28">
        <f t="shared" si="43"/>
        <v>15.190980300785611</v>
      </c>
      <c r="AO164" s="28">
        <f t="shared" si="43"/>
        <v>15.206386028187788</v>
      </c>
      <c r="AP164" s="28">
        <f t="shared" si="43"/>
        <v>15.223010596291525</v>
      </c>
      <c r="AQ164" s="28">
        <f t="shared" si="43"/>
        <v>15.240824678191588</v>
      </c>
      <c r="AR164" s="28">
        <f t="shared" si="43"/>
        <v>15.260019533903467</v>
      </c>
      <c r="AS164" s="28">
        <f t="shared" si="43"/>
        <v>15.268670643370319</v>
      </c>
      <c r="AT164" s="28">
        <f t="shared" si="43"/>
        <v>15.276179697210745</v>
      </c>
      <c r="AU164" s="28">
        <f t="shared" si="43"/>
        <v>15.284469461405354</v>
      </c>
      <c r="AV164" s="28">
        <f t="shared" si="43"/>
        <v>15.293946912475652</v>
      </c>
      <c r="AW164" s="28">
        <f t="shared" si="43"/>
        <v>15.304174181190511</v>
      </c>
      <c r="AY164" s="85"/>
    </row>
    <row r="165" spans="1:51" x14ac:dyDescent="0.25">
      <c r="A165" s="102" t="str">
        <f t="shared" ref="A165:A306" si="45">B165&amp;" "&amp;C165</f>
        <v>FA Goats</v>
      </c>
      <c r="B165" s="102" t="s">
        <v>963</v>
      </c>
      <c r="C165" s="102" t="s">
        <v>153</v>
      </c>
      <c r="D165" t="s">
        <v>15</v>
      </c>
      <c r="E165" t="s">
        <v>16</v>
      </c>
      <c r="F165" t="s">
        <v>19</v>
      </c>
      <c r="G165" t="s">
        <v>122</v>
      </c>
      <c r="H165" t="s">
        <v>1021</v>
      </c>
      <c r="I165" t="s">
        <v>121</v>
      </c>
      <c r="J165" t="s">
        <v>286</v>
      </c>
      <c r="K165" s="28">
        <f>K1387</f>
        <v>15.11994504352057</v>
      </c>
      <c r="L165" s="28">
        <f t="shared" ref="L165:AW172" si="46">L1387</f>
        <v>15.159244294711982</v>
      </c>
      <c r="M165" s="28">
        <f t="shared" si="46"/>
        <v>15.212240101283504</v>
      </c>
      <c r="N165" s="28">
        <f t="shared" si="46"/>
        <v>15.276787648225215</v>
      </c>
      <c r="O165" s="28">
        <f t="shared" si="46"/>
        <v>15.354100038796439</v>
      </c>
      <c r="P165" s="28">
        <f t="shared" si="46"/>
        <v>15.445501132757192</v>
      </c>
      <c r="Q165" s="28">
        <f t="shared" si="46"/>
        <v>15.542368253787608</v>
      </c>
      <c r="R165" s="28">
        <f t="shared" si="46"/>
        <v>15.643567978967758</v>
      </c>
      <c r="S165" s="28">
        <f t="shared" si="46"/>
        <v>15.742091989223546</v>
      </c>
      <c r="T165" s="28">
        <f t="shared" si="46"/>
        <v>15.787280907558081</v>
      </c>
      <c r="U165" s="28">
        <f t="shared" si="46"/>
        <v>15.836012504856258</v>
      </c>
      <c r="V165" s="28">
        <f t="shared" si="46"/>
        <v>15.888829637337995</v>
      </c>
      <c r="W165" s="28">
        <f t="shared" si="46"/>
        <v>15.946123298566558</v>
      </c>
      <c r="X165" s="28">
        <f t="shared" si="46"/>
        <v>16.008664249775823</v>
      </c>
      <c r="Y165" s="28">
        <f t="shared" si="46"/>
        <v>16.048917749469023</v>
      </c>
      <c r="Z165" s="28">
        <f t="shared" si="46"/>
        <v>16.092845807842092</v>
      </c>
      <c r="AA165" s="28">
        <f t="shared" si="46"/>
        <v>16.139355719065712</v>
      </c>
      <c r="AB165" s="28">
        <f t="shared" si="46"/>
        <v>16.189504893539258</v>
      </c>
      <c r="AC165" s="28">
        <f t="shared" si="46"/>
        <v>16.243310237377745</v>
      </c>
      <c r="AD165" s="28">
        <f t="shared" si="46"/>
        <v>16.27872559654169</v>
      </c>
      <c r="AE165" s="28">
        <f t="shared" si="46"/>
        <v>16.316901231642056</v>
      </c>
      <c r="AF165" s="28">
        <f t="shared" si="46"/>
        <v>16.357599483637454</v>
      </c>
      <c r="AG165" s="28">
        <f t="shared" si="46"/>
        <v>16.401277791155717</v>
      </c>
      <c r="AH165" s="28">
        <f t="shared" si="46"/>
        <v>16.446379725356415</v>
      </c>
      <c r="AI165" s="28">
        <f t="shared" si="46"/>
        <v>16.474339061625695</v>
      </c>
      <c r="AJ165" s="28">
        <f t="shared" si="46"/>
        <v>16.504371743452488</v>
      </c>
      <c r="AK165" s="28">
        <f t="shared" si="46"/>
        <v>16.53600364177057</v>
      </c>
      <c r="AL165" s="28">
        <f t="shared" si="46"/>
        <v>16.569430654637483</v>
      </c>
      <c r="AM165" s="28">
        <f t="shared" si="46"/>
        <v>16.604829643343088</v>
      </c>
      <c r="AN165" s="28">
        <f t="shared" si="46"/>
        <v>16.624131223085882</v>
      </c>
      <c r="AO165" s="28">
        <f t="shared" si="46"/>
        <v>16.644604707274034</v>
      </c>
      <c r="AP165" s="28">
        <f t="shared" si="46"/>
        <v>16.66667981019215</v>
      </c>
      <c r="AQ165" s="28">
        <f t="shared" si="46"/>
        <v>16.690315463067741</v>
      </c>
      <c r="AR165" s="28">
        <f t="shared" si="46"/>
        <v>16.715812130640956</v>
      </c>
      <c r="AS165" s="28">
        <f t="shared" si="46"/>
        <v>16.724718125544612</v>
      </c>
      <c r="AT165" s="28">
        <f t="shared" si="46"/>
        <v>16.731650898864725</v>
      </c>
      <c r="AU165" s="28">
        <f t="shared" si="46"/>
        <v>16.739594865731469</v>
      </c>
      <c r="AV165" s="28">
        <f t="shared" si="46"/>
        <v>16.749180241295228</v>
      </c>
      <c r="AW165" s="28">
        <f t="shared" si="46"/>
        <v>16.759733790022693</v>
      </c>
      <c r="AY165" s="85"/>
    </row>
    <row r="166" spans="1:51" x14ac:dyDescent="0.25">
      <c r="A166" s="102" t="str">
        <f t="shared" si="45"/>
        <v>FA Goats</v>
      </c>
      <c r="B166" s="102" t="s">
        <v>963</v>
      </c>
      <c r="C166" s="102" t="s">
        <v>153</v>
      </c>
      <c r="D166" t="s">
        <v>15</v>
      </c>
      <c r="E166" t="s">
        <v>16</v>
      </c>
      <c r="F166" t="s">
        <v>19</v>
      </c>
      <c r="G166" t="s">
        <v>123</v>
      </c>
      <c r="H166" t="s">
        <v>1021</v>
      </c>
      <c r="I166" t="s">
        <v>121</v>
      </c>
      <c r="J166" t="s">
        <v>286</v>
      </c>
      <c r="K166" s="28">
        <f t="shared" ref="K166:Z206" si="47">K1388</f>
        <v>22.375967695369447</v>
      </c>
      <c r="L166" s="28">
        <f t="shared" si="47"/>
        <v>22.434126555906317</v>
      </c>
      <c r="M166" s="28">
        <f t="shared" si="47"/>
        <v>22.512554913444735</v>
      </c>
      <c r="N166" s="28">
        <f t="shared" si="47"/>
        <v>22.60807866178018</v>
      </c>
      <c r="O166" s="28">
        <f t="shared" si="47"/>
        <v>22.722493069299134</v>
      </c>
      <c r="P166" s="28">
        <f t="shared" si="47"/>
        <v>22.85775731264793</v>
      </c>
      <c r="Q166" s="28">
        <f t="shared" si="47"/>
        <v>23.001110715367403</v>
      </c>
      <c r="R166" s="28">
        <f t="shared" si="47"/>
        <v>23.150875927799948</v>
      </c>
      <c r="S166" s="28">
        <f t="shared" si="47"/>
        <v>23.296681356613096</v>
      </c>
      <c r="T166" s="28">
        <f t="shared" si="47"/>
        <v>23.363556320373338</v>
      </c>
      <c r="U166" s="28">
        <f t="shared" si="47"/>
        <v>23.435674085599938</v>
      </c>
      <c r="V166" s="28">
        <f t="shared" si="47"/>
        <v>23.513838023813449</v>
      </c>
      <c r="W166" s="28">
        <f t="shared" si="47"/>
        <v>23.598626765380281</v>
      </c>
      <c r="X166" s="28">
        <f t="shared" si="47"/>
        <v>23.691180957863665</v>
      </c>
      <c r="Y166" s="28">
        <f t="shared" si="47"/>
        <v>23.750752008298576</v>
      </c>
      <c r="Z166" s="28">
        <f t="shared" si="47"/>
        <v>23.815761028651949</v>
      </c>
      <c r="AA166" s="28">
        <f t="shared" si="46"/>
        <v>23.884590926383627</v>
      </c>
      <c r="AB166" s="28">
        <f t="shared" si="46"/>
        <v>23.958806560417987</v>
      </c>
      <c r="AC166" s="28">
        <f t="shared" si="46"/>
        <v>24.038432950071041</v>
      </c>
      <c r="AD166" s="28">
        <f t="shared" si="46"/>
        <v>24.090844048807938</v>
      </c>
      <c r="AE166" s="28">
        <f t="shared" si="46"/>
        <v>24.147340072788001</v>
      </c>
      <c r="AF166" s="28">
        <f t="shared" si="46"/>
        <v>24.207569311008498</v>
      </c>
      <c r="AG166" s="28">
        <f t="shared" si="46"/>
        <v>24.272208725715629</v>
      </c>
      <c r="AH166" s="28">
        <f t="shared" si="46"/>
        <v>24.338954961880422</v>
      </c>
      <c r="AI166" s="28">
        <f t="shared" si="46"/>
        <v>24.380331911554812</v>
      </c>
      <c r="AJ166" s="28">
        <f t="shared" si="46"/>
        <v>24.424777199975328</v>
      </c>
      <c r="AK166" s="28">
        <f t="shared" si="46"/>
        <v>24.471589164759028</v>
      </c>
      <c r="AL166" s="28">
        <f t="shared" si="46"/>
        <v>24.521057714936269</v>
      </c>
      <c r="AM166" s="28">
        <f t="shared" si="46"/>
        <v>24.573444587074068</v>
      </c>
      <c r="AN166" s="28">
        <f t="shared" si="46"/>
        <v>24.602008945181939</v>
      </c>
      <c r="AO166" s="28">
        <f t="shared" si="46"/>
        <v>24.632307601657676</v>
      </c>
      <c r="AP166" s="28">
        <f t="shared" si="46"/>
        <v>24.664976489563418</v>
      </c>
      <c r="AQ166" s="28">
        <f t="shared" si="46"/>
        <v>24.699954831328611</v>
      </c>
      <c r="AR166" s="28">
        <f t="shared" si="46"/>
        <v>24.737687283947693</v>
      </c>
      <c r="AS166" s="28">
        <f t="shared" si="46"/>
        <v>24.75086724284872</v>
      </c>
      <c r="AT166" s="28">
        <f t="shared" si="46"/>
        <v>24.76112703621461</v>
      </c>
      <c r="AU166" s="28">
        <f t="shared" si="46"/>
        <v>24.772883292303622</v>
      </c>
      <c r="AV166" s="28">
        <f t="shared" si="46"/>
        <v>24.787068664892292</v>
      </c>
      <c r="AW166" s="28">
        <f t="shared" si="46"/>
        <v>24.802686834450295</v>
      </c>
      <c r="AY166" s="85"/>
    </row>
    <row r="167" spans="1:51" x14ac:dyDescent="0.25">
      <c r="A167" s="102" t="str">
        <f t="shared" si="45"/>
        <v>FA Horses</v>
      </c>
      <c r="B167" s="102" t="s">
        <v>963</v>
      </c>
      <c r="C167" s="102" t="s">
        <v>3</v>
      </c>
      <c r="D167" t="s">
        <v>15</v>
      </c>
      <c r="E167" t="s">
        <v>16</v>
      </c>
      <c r="F167" t="s">
        <v>20</v>
      </c>
      <c r="G167" t="s">
        <v>3</v>
      </c>
      <c r="H167" t="s">
        <v>1021</v>
      </c>
      <c r="I167" t="s">
        <v>121</v>
      </c>
      <c r="J167" t="s">
        <v>286</v>
      </c>
      <c r="K167" s="28">
        <f t="shared" si="47"/>
        <v>5.5625078668475236</v>
      </c>
      <c r="L167" s="28">
        <f t="shared" si="46"/>
        <v>5.5999708339814545</v>
      </c>
      <c r="M167" s="28">
        <f t="shared" si="46"/>
        <v>5.6226370840776179</v>
      </c>
      <c r="N167" s="28">
        <f t="shared" si="46"/>
        <v>5.5928142970106265</v>
      </c>
      <c r="O167" s="28">
        <f t="shared" si="46"/>
        <v>5.5623376589201499</v>
      </c>
      <c r="P167" s="28">
        <f t="shared" si="46"/>
        <v>5.5812216853376206</v>
      </c>
      <c r="Q167" s="28">
        <f t="shared" si="46"/>
        <v>5.5836612172513842</v>
      </c>
      <c r="R167" s="28">
        <f t="shared" si="46"/>
        <v>5.5315877353552168</v>
      </c>
      <c r="S167" s="28">
        <f t="shared" si="46"/>
        <v>5.2455147526194601</v>
      </c>
      <c r="T167" s="28">
        <f t="shared" si="46"/>
        <v>5.332808287437901</v>
      </c>
      <c r="U167" s="28">
        <f t="shared" si="46"/>
        <v>5.3901753132609427</v>
      </c>
      <c r="V167" s="28">
        <f t="shared" si="46"/>
        <v>5.440230309739654</v>
      </c>
      <c r="W167" s="28">
        <f t="shared" si="46"/>
        <v>5.5003068027462358</v>
      </c>
      <c r="X167" s="28">
        <f t="shared" si="46"/>
        <v>5.5968430891840955</v>
      </c>
      <c r="Y167" s="28">
        <f t="shared" si="46"/>
        <v>5.7072120457799942</v>
      </c>
      <c r="Z167" s="28">
        <f t="shared" si="46"/>
        <v>5.8264820494807026</v>
      </c>
      <c r="AA167" s="28">
        <f t="shared" si="46"/>
        <v>5.9301104930204529</v>
      </c>
      <c r="AB167" s="28">
        <f t="shared" si="46"/>
        <v>6.0502396904604057</v>
      </c>
      <c r="AC167" s="28">
        <f t="shared" si="46"/>
        <v>6.1907930019013007</v>
      </c>
      <c r="AD167" s="28">
        <f t="shared" si="46"/>
        <v>6.3320471664105931</v>
      </c>
      <c r="AE167" s="28">
        <f t="shared" si="46"/>
        <v>6.4794646415598249</v>
      </c>
      <c r="AF167" s="28">
        <f t="shared" si="46"/>
        <v>6.6296689370175557</v>
      </c>
      <c r="AG167" s="28">
        <f t="shared" si="46"/>
        <v>6.7972348352901832</v>
      </c>
      <c r="AH167" s="28">
        <f t="shared" si="46"/>
        <v>6.9438088425470355</v>
      </c>
      <c r="AI167" s="28">
        <f t="shared" si="46"/>
        <v>7.1048815884414847</v>
      </c>
      <c r="AJ167" s="28">
        <f t="shared" si="46"/>
        <v>7.268627225560472</v>
      </c>
      <c r="AK167" s="28">
        <f t="shared" si="46"/>
        <v>7.42471904610154</v>
      </c>
      <c r="AL167" s="28">
        <f t="shared" si="46"/>
        <v>7.5801220888649867</v>
      </c>
      <c r="AM167" s="28">
        <f t="shared" si="46"/>
        <v>7.7411228012577773</v>
      </c>
      <c r="AN167" s="28">
        <f t="shared" si="46"/>
        <v>7.9163247577118536</v>
      </c>
      <c r="AO167" s="28">
        <f t="shared" si="46"/>
        <v>8.0810947340099517</v>
      </c>
      <c r="AP167" s="28">
        <f t="shared" si="46"/>
        <v>8.2480372843312519</v>
      </c>
      <c r="AQ167" s="28">
        <f t="shared" si="46"/>
        <v>8.4174605770969908</v>
      </c>
      <c r="AR167" s="28">
        <f t="shared" si="46"/>
        <v>8.5983802423376101</v>
      </c>
      <c r="AS167" s="28">
        <f t="shared" si="46"/>
        <v>8.7907471853609671</v>
      </c>
      <c r="AT167" s="28">
        <f t="shared" si="46"/>
        <v>8.8991507547228217</v>
      </c>
      <c r="AU167" s="28">
        <f t="shared" si="46"/>
        <v>9.0016825973480952</v>
      </c>
      <c r="AV167" s="28">
        <f t="shared" si="46"/>
        <v>9.1156705075973274</v>
      </c>
      <c r="AW167" s="28">
        <f t="shared" si="46"/>
        <v>9.2247946500114306</v>
      </c>
      <c r="AY167" s="85"/>
    </row>
    <row r="168" spans="1:51" x14ac:dyDescent="0.25">
      <c r="A168" s="102" t="str">
        <f t="shared" si="45"/>
        <v>FA Mules&amp;Asses</v>
      </c>
      <c r="B168" s="102" t="s">
        <v>963</v>
      </c>
      <c r="C168" s="102" t="s">
        <v>1324</v>
      </c>
      <c r="D168" t="s">
        <v>15</v>
      </c>
      <c r="E168" t="s">
        <v>16</v>
      </c>
      <c r="F168" t="s">
        <v>140</v>
      </c>
      <c r="G168" t="s">
        <v>124</v>
      </c>
      <c r="H168" t="s">
        <v>1021</v>
      </c>
      <c r="I168" t="s">
        <v>121</v>
      </c>
      <c r="J168" t="s">
        <v>286</v>
      </c>
      <c r="K168" s="28">
        <f t="shared" si="47"/>
        <v>1.67</v>
      </c>
      <c r="L168" s="28">
        <f t="shared" si="46"/>
        <v>1.67</v>
      </c>
      <c r="M168" s="28">
        <f t="shared" si="46"/>
        <v>1.67</v>
      </c>
      <c r="N168" s="28">
        <f t="shared" si="46"/>
        <v>1.67</v>
      </c>
      <c r="O168" s="28">
        <f t="shared" si="46"/>
        <v>1.67</v>
      </c>
      <c r="P168" s="28">
        <f t="shared" si="46"/>
        <v>1.67</v>
      </c>
      <c r="Q168" s="28">
        <f t="shared" si="46"/>
        <v>1.67</v>
      </c>
      <c r="R168" s="28">
        <f t="shared" si="46"/>
        <v>1.67</v>
      </c>
      <c r="S168" s="28">
        <f t="shared" si="46"/>
        <v>1.67</v>
      </c>
      <c r="T168" s="28">
        <f t="shared" si="46"/>
        <v>1.67</v>
      </c>
      <c r="U168" s="28">
        <f t="shared" si="46"/>
        <v>1.67</v>
      </c>
      <c r="V168" s="28">
        <f t="shared" si="46"/>
        <v>1.67</v>
      </c>
      <c r="W168" s="28">
        <f t="shared" si="46"/>
        <v>1.67</v>
      </c>
      <c r="X168" s="28">
        <f t="shared" si="46"/>
        <v>1.67</v>
      </c>
      <c r="Y168" s="28">
        <f t="shared" si="46"/>
        <v>1.67</v>
      </c>
      <c r="Z168" s="28">
        <f t="shared" si="46"/>
        <v>1.67</v>
      </c>
      <c r="AA168" s="28">
        <f t="shared" si="46"/>
        <v>1.67</v>
      </c>
      <c r="AB168" s="28">
        <f t="shared" si="46"/>
        <v>1.67</v>
      </c>
      <c r="AC168" s="28">
        <f t="shared" si="46"/>
        <v>1.67</v>
      </c>
      <c r="AD168" s="28">
        <f t="shared" si="46"/>
        <v>1.67</v>
      </c>
      <c r="AE168" s="28">
        <f t="shared" si="46"/>
        <v>1.67</v>
      </c>
      <c r="AF168" s="28">
        <f t="shared" si="46"/>
        <v>1.67</v>
      </c>
      <c r="AG168" s="28">
        <f t="shared" si="46"/>
        <v>1.67</v>
      </c>
      <c r="AH168" s="28">
        <f t="shared" si="46"/>
        <v>1.67</v>
      </c>
      <c r="AI168" s="28">
        <f t="shared" si="46"/>
        <v>1.67</v>
      </c>
      <c r="AJ168" s="28">
        <f t="shared" si="46"/>
        <v>1.67</v>
      </c>
      <c r="AK168" s="28">
        <f t="shared" si="46"/>
        <v>1.67</v>
      </c>
      <c r="AL168" s="28">
        <f t="shared" si="46"/>
        <v>1.67</v>
      </c>
      <c r="AM168" s="28">
        <f t="shared" si="46"/>
        <v>1.67</v>
      </c>
      <c r="AN168" s="28">
        <f t="shared" si="46"/>
        <v>1.67</v>
      </c>
      <c r="AO168" s="28">
        <f t="shared" si="46"/>
        <v>1.67</v>
      </c>
      <c r="AP168" s="28">
        <f t="shared" si="46"/>
        <v>1.67</v>
      </c>
      <c r="AQ168" s="28">
        <f t="shared" si="46"/>
        <v>1.67</v>
      </c>
      <c r="AR168" s="28">
        <f t="shared" si="46"/>
        <v>1.67</v>
      </c>
      <c r="AS168" s="28">
        <f t="shared" si="46"/>
        <v>1.67</v>
      </c>
      <c r="AT168" s="28">
        <f t="shared" si="46"/>
        <v>1.67</v>
      </c>
      <c r="AU168" s="28">
        <f t="shared" si="46"/>
        <v>1.67</v>
      </c>
      <c r="AV168" s="28">
        <f t="shared" si="46"/>
        <v>1.67</v>
      </c>
      <c r="AW168" s="28">
        <f t="shared" si="46"/>
        <v>1.67</v>
      </c>
      <c r="AY168" s="85"/>
    </row>
    <row r="169" spans="1:51" x14ac:dyDescent="0.25">
      <c r="A169" s="102" t="str">
        <f t="shared" si="45"/>
        <v>FA Swine</v>
      </c>
      <c r="B169" s="102" t="s">
        <v>963</v>
      </c>
      <c r="C169" s="102" t="s">
        <v>155</v>
      </c>
      <c r="D169" t="s">
        <v>15</v>
      </c>
      <c r="E169" t="s">
        <v>16</v>
      </c>
      <c r="F169" t="s">
        <v>21</v>
      </c>
      <c r="G169" t="s">
        <v>122</v>
      </c>
      <c r="H169" t="s">
        <v>1021</v>
      </c>
      <c r="I169" t="s">
        <v>121</v>
      </c>
      <c r="J169" t="s">
        <v>286</v>
      </c>
      <c r="K169" s="28">
        <f t="shared" si="47"/>
        <v>1.8474255451679995</v>
      </c>
      <c r="L169" s="28">
        <f t="shared" si="46"/>
        <v>1.8441604348292597</v>
      </c>
      <c r="M169" s="28">
        <f t="shared" si="46"/>
        <v>1.8338137298795358</v>
      </c>
      <c r="N169" s="28">
        <f t="shared" si="46"/>
        <v>1.7933482851133742</v>
      </c>
      <c r="O169" s="28">
        <f t="shared" si="46"/>
        <v>1.7550816658957487</v>
      </c>
      <c r="P169" s="28">
        <f t="shared" si="46"/>
        <v>1.7489053520701128</v>
      </c>
      <c r="Q169" s="28">
        <f t="shared" si="46"/>
        <v>1.7339122581424293</v>
      </c>
      <c r="R169" s="28">
        <f t="shared" si="46"/>
        <v>1.6877345539497199</v>
      </c>
      <c r="S169" s="28">
        <f t="shared" si="46"/>
        <v>1.5053811336602128</v>
      </c>
      <c r="T169" s="28">
        <f t="shared" si="46"/>
        <v>1.5377628037868112</v>
      </c>
      <c r="U169" s="28">
        <f t="shared" si="46"/>
        <v>1.552673977291076</v>
      </c>
      <c r="V169" s="28">
        <f t="shared" si="46"/>
        <v>1.5635339108098432</v>
      </c>
      <c r="W169" s="28">
        <f t="shared" si="46"/>
        <v>1.5802068350253002</v>
      </c>
      <c r="X169" s="28">
        <f t="shared" si="46"/>
        <v>1.6172323659778973</v>
      </c>
      <c r="Y169" s="28">
        <f t="shared" si="46"/>
        <v>1.6589025382757046</v>
      </c>
      <c r="Z169" s="28">
        <f t="shared" si="46"/>
        <v>1.7047569121988</v>
      </c>
      <c r="AA169" s="28">
        <f t="shared" si="46"/>
        <v>1.7414239138931573</v>
      </c>
      <c r="AB169" s="28">
        <f t="shared" si="46"/>
        <v>1.7863343967077348</v>
      </c>
      <c r="AC169" s="28">
        <f t="shared" si="46"/>
        <v>1.8412944995472851</v>
      </c>
      <c r="AD169" s="28">
        <f t="shared" si="46"/>
        <v>1.8933168508248233</v>
      </c>
      <c r="AE169" s="28">
        <f t="shared" si="46"/>
        <v>1.9474606383722404</v>
      </c>
      <c r="AF169" s="28">
        <f t="shared" si="46"/>
        <v>2.0019218993391705</v>
      </c>
      <c r="AG169" s="28">
        <f t="shared" si="46"/>
        <v>2.0640337310487364</v>
      </c>
      <c r="AH169" s="28">
        <f t="shared" si="46"/>
        <v>2.1143896915844675</v>
      </c>
      <c r="AI169" s="28">
        <f t="shared" si="46"/>
        <v>2.1683478050489855</v>
      </c>
      <c r="AJ169" s="28">
        <f t="shared" si="46"/>
        <v>2.2223161129731017</v>
      </c>
      <c r="AK169" s="28">
        <f t="shared" si="46"/>
        <v>2.2712974627449407</v>
      </c>
      <c r="AL169" s="28">
        <f t="shared" si="46"/>
        <v>2.3187596234531931</v>
      </c>
      <c r="AM169" s="28">
        <f t="shared" si="46"/>
        <v>2.3676923627976345</v>
      </c>
      <c r="AN169" s="28">
        <f t="shared" si="46"/>
        <v>2.4194242817017155</v>
      </c>
      <c r="AO169" s="28">
        <f t="shared" si="46"/>
        <v>2.4649069844651375</v>
      </c>
      <c r="AP169" s="28">
        <f t="shared" si="46"/>
        <v>2.5100582920146528</v>
      </c>
      <c r="AQ169" s="28">
        <f t="shared" si="46"/>
        <v>2.5549982553333939</v>
      </c>
      <c r="AR169" s="28">
        <f t="shared" si="46"/>
        <v>2.6036946475230054</v>
      </c>
      <c r="AS169" s="28">
        <f t="shared" si="46"/>
        <v>2.653097485519059</v>
      </c>
      <c r="AT169" s="28">
        <f t="shared" si="46"/>
        <v>2.6646485873532106</v>
      </c>
      <c r="AU169" s="28">
        <f t="shared" si="46"/>
        <v>2.6730218901162521</v>
      </c>
      <c r="AV169" s="28">
        <f t="shared" si="46"/>
        <v>2.6855920926795118</v>
      </c>
      <c r="AW169" s="28">
        <f t="shared" si="46"/>
        <v>2.6954069255347832</v>
      </c>
      <c r="AY169" s="85"/>
    </row>
    <row r="170" spans="1:51" x14ac:dyDescent="0.25">
      <c r="A170" s="102" t="str">
        <f t="shared" si="45"/>
        <v>FA Swine</v>
      </c>
      <c r="B170" s="102" t="s">
        <v>963</v>
      </c>
      <c r="C170" s="102" t="s">
        <v>155</v>
      </c>
      <c r="D170" t="s">
        <v>15</v>
      </c>
      <c r="E170" t="s">
        <v>16</v>
      </c>
      <c r="F170" t="s">
        <v>21</v>
      </c>
      <c r="G170" t="s">
        <v>123</v>
      </c>
      <c r="H170" t="s">
        <v>1021</v>
      </c>
      <c r="I170" t="s">
        <v>121</v>
      </c>
      <c r="J170" t="s">
        <v>286</v>
      </c>
      <c r="K170" s="28">
        <f t="shared" si="47"/>
        <v>0.25598228499623599</v>
      </c>
      <c r="L170" s="28">
        <f t="shared" si="46"/>
        <v>0.25552986600297178</v>
      </c>
      <c r="M170" s="28">
        <f t="shared" si="46"/>
        <v>0.2540962097551519</v>
      </c>
      <c r="N170" s="28">
        <f t="shared" si="46"/>
        <v>0.24848925198533875</v>
      </c>
      <c r="O170" s="28">
        <f t="shared" si="46"/>
        <v>0.24318696705589768</v>
      </c>
      <c r="P170" s="28">
        <f t="shared" si="46"/>
        <v>0.24233116697774282</v>
      </c>
      <c r="Q170" s="28">
        <f t="shared" si="46"/>
        <v>0.24025369952428582</v>
      </c>
      <c r="R170" s="28">
        <f t="shared" si="46"/>
        <v>0.23385524180779091</v>
      </c>
      <c r="S170" s="28">
        <f t="shared" si="46"/>
        <v>0.20858805562825686</v>
      </c>
      <c r="T170" s="28">
        <f t="shared" si="46"/>
        <v>0.21307491245054205</v>
      </c>
      <c r="U170" s="28">
        <f t="shared" si="46"/>
        <v>0.21514102887703648</v>
      </c>
      <c r="V170" s="28">
        <f t="shared" si="46"/>
        <v>0.21664579890921035</v>
      </c>
      <c r="W170" s="28">
        <f t="shared" si="46"/>
        <v>0.21895602637651193</v>
      </c>
      <c r="X170" s="28">
        <f t="shared" si="46"/>
        <v>0.22408634409959116</v>
      </c>
      <c r="Y170" s="28">
        <f t="shared" si="46"/>
        <v>0.22986023087347443</v>
      </c>
      <c r="Z170" s="28">
        <f t="shared" si="46"/>
        <v>0.23621388742250649</v>
      </c>
      <c r="AA170" s="28">
        <f t="shared" si="46"/>
        <v>0.24129452674907209</v>
      </c>
      <c r="AB170" s="28">
        <f t="shared" si="46"/>
        <v>0.24751739621259586</v>
      </c>
      <c r="AC170" s="28">
        <f t="shared" si="46"/>
        <v>0.25513275735410096</v>
      </c>
      <c r="AD170" s="28">
        <f t="shared" si="46"/>
        <v>0.26234105886629538</v>
      </c>
      <c r="AE170" s="28">
        <f t="shared" si="46"/>
        <v>0.26984331003467904</v>
      </c>
      <c r="AF170" s="28">
        <f t="shared" si="46"/>
        <v>0.27738955083586025</v>
      </c>
      <c r="AG170" s="28">
        <f t="shared" si="46"/>
        <v>0.28599586714879749</v>
      </c>
      <c r="AH170" s="28">
        <f t="shared" si="46"/>
        <v>0.29297327085247121</v>
      </c>
      <c r="AI170" s="28">
        <f t="shared" si="46"/>
        <v>0.30044979471826921</v>
      </c>
      <c r="AJ170" s="28">
        <f t="shared" si="46"/>
        <v>0.30792773114495187</v>
      </c>
      <c r="AK170" s="28">
        <f t="shared" si="46"/>
        <v>0.31471466654789126</v>
      </c>
      <c r="AL170" s="28">
        <f t="shared" si="46"/>
        <v>0.32129110064599836</v>
      </c>
      <c r="AM170" s="28">
        <f t="shared" si="46"/>
        <v>0.32807130050914157</v>
      </c>
      <c r="AN170" s="28">
        <f t="shared" si="46"/>
        <v>0.33523935923981285</v>
      </c>
      <c r="AO170" s="28">
        <f t="shared" si="46"/>
        <v>0.3415415164291174</v>
      </c>
      <c r="AP170" s="28">
        <f t="shared" si="46"/>
        <v>0.34779775495917498</v>
      </c>
      <c r="AQ170" s="28">
        <f t="shared" si="46"/>
        <v>0.35402470928925173</v>
      </c>
      <c r="AR170" s="28">
        <f t="shared" si="46"/>
        <v>0.36077216050663552</v>
      </c>
      <c r="AS170" s="28">
        <f t="shared" si="46"/>
        <v>0.36761749800270155</v>
      </c>
      <c r="AT170" s="28">
        <f t="shared" si="46"/>
        <v>0.36921803743957582</v>
      </c>
      <c r="AU170" s="28">
        <f t="shared" si="46"/>
        <v>0.37037825587428075</v>
      </c>
      <c r="AV170" s="28">
        <f t="shared" si="46"/>
        <v>0.37212000356388308</v>
      </c>
      <c r="AW170" s="28">
        <f t="shared" si="46"/>
        <v>0.37347996275017875</v>
      </c>
      <c r="AY170" s="85"/>
    </row>
    <row r="171" spans="1:51" x14ac:dyDescent="0.25">
      <c r="A171" s="102" t="str">
        <f t="shared" si="45"/>
        <v>FA Cattle MMCH4</v>
      </c>
      <c r="B171" s="102" t="s">
        <v>963</v>
      </c>
      <c r="C171" s="102" t="s">
        <v>1230</v>
      </c>
      <c r="D171" t="s">
        <v>15</v>
      </c>
      <c r="E171" t="s">
        <v>22</v>
      </c>
      <c r="F171" t="s">
        <v>6</v>
      </c>
      <c r="G171" t="s">
        <v>136</v>
      </c>
      <c r="H171" t="s">
        <v>1228</v>
      </c>
      <c r="I171" t="s">
        <v>121</v>
      </c>
      <c r="J171" t="s">
        <v>286</v>
      </c>
      <c r="K171" s="28">
        <f t="shared" si="47"/>
        <v>7.3588045650103595</v>
      </c>
      <c r="L171" s="28">
        <f t="shared" si="46"/>
        <v>7.4084916265932694</v>
      </c>
      <c r="M171" s="28">
        <f t="shared" si="46"/>
        <v>7.4519552194142697</v>
      </c>
      <c r="N171" s="28">
        <f t="shared" si="46"/>
        <v>7.4575773262508553</v>
      </c>
      <c r="O171" s="28">
        <f t="shared" si="46"/>
        <v>7.4672608540413012</v>
      </c>
      <c r="P171" s="28">
        <f t="shared" si="46"/>
        <v>7.5228231503520746</v>
      </c>
      <c r="Q171" s="28">
        <f t="shared" si="46"/>
        <v>7.5672526424513036</v>
      </c>
      <c r="R171" s="28">
        <f t="shared" si="46"/>
        <v>7.5676422029096111</v>
      </c>
      <c r="S171" s="28">
        <f t="shared" si="46"/>
        <v>7.3671469631707884</v>
      </c>
      <c r="T171" s="28">
        <f t="shared" si="46"/>
        <v>7.4640051034943111</v>
      </c>
      <c r="U171" s="28">
        <f t="shared" si="46"/>
        <v>7.5373250515588941</v>
      </c>
      <c r="V171" s="28">
        <f t="shared" si="46"/>
        <v>7.6065006875157843</v>
      </c>
      <c r="W171" s="28">
        <f t="shared" si="46"/>
        <v>7.686711876493888</v>
      </c>
      <c r="X171" s="28">
        <f t="shared" si="46"/>
        <v>7.801642363870573</v>
      </c>
      <c r="Y171" s="28">
        <f t="shared" si="46"/>
        <v>7.9212983742327268</v>
      </c>
      <c r="Z171" s="28">
        <f t="shared" si="46"/>
        <v>8.051271811974777</v>
      </c>
      <c r="AA171" s="28">
        <f t="shared" si="46"/>
        <v>8.1694693701055154</v>
      </c>
      <c r="AB171" s="28">
        <f t="shared" si="46"/>
        <v>8.304894934006013</v>
      </c>
      <c r="AC171" s="28">
        <f t="shared" si="46"/>
        <v>8.4613678864677428</v>
      </c>
      <c r="AD171" s="28">
        <f t="shared" si="46"/>
        <v>8.6120126328996225</v>
      </c>
      <c r="AE171" s="28">
        <f t="shared" si="46"/>
        <v>8.7705110877908012</v>
      </c>
      <c r="AF171" s="28">
        <f t="shared" si="46"/>
        <v>8.9338169052653935</v>
      </c>
      <c r="AG171" s="28">
        <f t="shared" si="46"/>
        <v>9.1155300292362771</v>
      </c>
      <c r="AH171" s="28">
        <f t="shared" si="46"/>
        <v>9.2800481861570177</v>
      </c>
      <c r="AI171" s="28">
        <f t="shared" si="46"/>
        <v>9.4510008371933658</v>
      </c>
      <c r="AJ171" s="28">
        <f t="shared" si="46"/>
        <v>9.6264218592694402</v>
      </c>
      <c r="AK171" s="28">
        <f t="shared" si="46"/>
        <v>9.7965990855623915</v>
      </c>
      <c r="AL171" s="28">
        <f t="shared" si="46"/>
        <v>9.9680661021899084</v>
      </c>
      <c r="AM171" s="28">
        <f t="shared" si="46"/>
        <v>10.146806716212263</v>
      </c>
      <c r="AN171" s="28">
        <f t="shared" si="46"/>
        <v>10.331465633171717</v>
      </c>
      <c r="AO171" s="28">
        <f t="shared" si="46"/>
        <v>10.50783381125248</v>
      </c>
      <c r="AP171" s="28">
        <f t="shared" si="46"/>
        <v>10.68792759135736</v>
      </c>
      <c r="AQ171" s="28">
        <f t="shared" si="46"/>
        <v>10.872071544232886</v>
      </c>
      <c r="AR171" s="28">
        <f t="shared" si="46"/>
        <v>11.068995536388829</v>
      </c>
      <c r="AS171" s="28">
        <f t="shared" si="46"/>
        <v>11.268086835721329</v>
      </c>
      <c r="AT171" s="28">
        <f t="shared" si="46"/>
        <v>11.387245372385955</v>
      </c>
      <c r="AU171" s="28">
        <f t="shared" si="46"/>
        <v>11.501774341925307</v>
      </c>
      <c r="AV171" s="28">
        <f t="shared" si="46"/>
        <v>11.628486934141081</v>
      </c>
      <c r="AW171" s="28">
        <f t="shared" si="46"/>
        <v>11.75154763718939</v>
      </c>
      <c r="AY171" s="85"/>
    </row>
    <row r="172" spans="1:51" x14ac:dyDescent="0.25">
      <c r="A172" s="102" t="str">
        <f t="shared" si="45"/>
        <v>FA Cattle MMCH4</v>
      </c>
      <c r="B172" s="102" t="s">
        <v>963</v>
      </c>
      <c r="C172" s="102" t="s">
        <v>1230</v>
      </c>
      <c r="D172" t="s">
        <v>15</v>
      </c>
      <c r="E172" t="s">
        <v>22</v>
      </c>
      <c r="F172" t="s">
        <v>6</v>
      </c>
      <c r="G172" t="s">
        <v>137</v>
      </c>
      <c r="H172" t="s">
        <v>1228</v>
      </c>
      <c r="I172" t="s">
        <v>121</v>
      </c>
      <c r="J172" t="s">
        <v>286</v>
      </c>
      <c r="K172" s="28">
        <f t="shared" si="47"/>
        <v>2.0965784624729791</v>
      </c>
      <c r="L172" s="28">
        <f t="shared" si="46"/>
        <v>2.11073467796396</v>
      </c>
      <c r="M172" s="28">
        <f t="shared" si="46"/>
        <v>2.123117780654781</v>
      </c>
      <c r="N172" s="28">
        <f t="shared" si="46"/>
        <v>2.1247195609443885</v>
      </c>
      <c r="O172" s="28">
        <f t="shared" si="46"/>
        <v>2.1274784704420999</v>
      </c>
      <c r="P172" s="28">
        <f t="shared" ref="L172:AW178" si="48">P1394</f>
        <v>2.1433085842522419</v>
      </c>
      <c r="Q172" s="28">
        <f t="shared" si="48"/>
        <v>2.1559668788721003</v>
      </c>
      <c r="R172" s="28">
        <f t="shared" si="48"/>
        <v>2.1560778675604801</v>
      </c>
      <c r="S172" s="28">
        <f t="shared" si="48"/>
        <v>2.0989552741078059</v>
      </c>
      <c r="T172" s="28">
        <f t="shared" si="48"/>
        <v>2.1265508827591137</v>
      </c>
      <c r="U172" s="28">
        <f t="shared" si="48"/>
        <v>2.14744028437643</v>
      </c>
      <c r="V172" s="28">
        <f t="shared" si="48"/>
        <v>2.1671489404759119</v>
      </c>
      <c r="W172" s="28">
        <f t="shared" si="48"/>
        <v>2.1900017081741403</v>
      </c>
      <c r="X172" s="28">
        <f t="shared" si="48"/>
        <v>2.2227462636772444</v>
      </c>
      <c r="Y172" s="28">
        <f t="shared" si="48"/>
        <v>2.2568371560245644</v>
      </c>
      <c r="Z172" s="28">
        <f t="shared" si="48"/>
        <v>2.2938675606040304</v>
      </c>
      <c r="AA172" s="28">
        <f t="shared" si="48"/>
        <v>2.3275429290017851</v>
      </c>
      <c r="AB172" s="28">
        <f t="shared" si="48"/>
        <v>2.3661266851042466</v>
      </c>
      <c r="AC172" s="28">
        <f t="shared" si="48"/>
        <v>2.4107069996366737</v>
      </c>
      <c r="AD172" s="28">
        <f t="shared" si="48"/>
        <v>2.4536268146777656</v>
      </c>
      <c r="AE172" s="28">
        <f t="shared" si="48"/>
        <v>2.4987842100025621</v>
      </c>
      <c r="AF172" s="28">
        <f t="shared" si="48"/>
        <v>2.545311258885167</v>
      </c>
      <c r="AG172" s="28">
        <f t="shared" si="48"/>
        <v>2.5970826870703236</v>
      </c>
      <c r="AH172" s="28">
        <f t="shared" si="48"/>
        <v>2.6439551405291128</v>
      </c>
      <c r="AI172" s="28">
        <f t="shared" si="48"/>
        <v>2.6926608294897441</v>
      </c>
      <c r="AJ172" s="28">
        <f t="shared" si="48"/>
        <v>2.74263959078182</v>
      </c>
      <c r="AK172" s="28">
        <f t="shared" si="48"/>
        <v>2.7911243554330865</v>
      </c>
      <c r="AL172" s="28">
        <f t="shared" si="48"/>
        <v>2.83997659099796</v>
      </c>
      <c r="AM172" s="28">
        <f t="shared" si="48"/>
        <v>2.8909011288651962</v>
      </c>
      <c r="AN172" s="28">
        <f t="shared" si="48"/>
        <v>2.9435118355065453</v>
      </c>
      <c r="AO172" s="28">
        <f t="shared" si="48"/>
        <v>2.9937604486288318</v>
      </c>
      <c r="AP172" s="28">
        <f t="shared" si="48"/>
        <v>3.045070513634303</v>
      </c>
      <c r="AQ172" s="28">
        <f t="shared" si="48"/>
        <v>3.0975345031563459</v>
      </c>
      <c r="AR172" s="28">
        <f t="shared" si="48"/>
        <v>3.1536396214606754</v>
      </c>
      <c r="AS172" s="28">
        <f t="shared" si="48"/>
        <v>3.2103622217904881</v>
      </c>
      <c r="AT172" s="28">
        <f t="shared" si="48"/>
        <v>3.2443113801604118</v>
      </c>
      <c r="AU172" s="28">
        <f t="shared" si="48"/>
        <v>3.2769415402284139</v>
      </c>
      <c r="AV172" s="28">
        <f t="shared" si="48"/>
        <v>3.3130429055271864</v>
      </c>
      <c r="AW172" s="28">
        <f t="shared" si="48"/>
        <v>3.3481038202869873</v>
      </c>
      <c r="AY172" s="85"/>
    </row>
    <row r="173" spans="1:51" x14ac:dyDescent="0.25">
      <c r="A173" s="102" t="str">
        <f t="shared" si="45"/>
        <v>FA Cattle MMCH4</v>
      </c>
      <c r="B173" s="102" t="s">
        <v>963</v>
      </c>
      <c r="C173" s="102" t="s">
        <v>1230</v>
      </c>
      <c r="D173" t="s">
        <v>15</v>
      </c>
      <c r="E173" t="s">
        <v>22</v>
      </c>
      <c r="F173" t="s">
        <v>67</v>
      </c>
      <c r="G173" t="s">
        <v>307</v>
      </c>
      <c r="H173" t="s">
        <v>1228</v>
      </c>
      <c r="I173" t="s">
        <v>121</v>
      </c>
      <c r="J173" t="s">
        <v>286</v>
      </c>
      <c r="K173" s="28">
        <f t="shared" si="47"/>
        <v>0.43302356896670435</v>
      </c>
      <c r="L173" s="28">
        <f t="shared" si="48"/>
        <v>0.43594736841646864</v>
      </c>
      <c r="M173" s="28">
        <f t="shared" si="48"/>
        <v>0.43850495231711395</v>
      </c>
      <c r="N173" s="28">
        <f t="shared" si="48"/>
        <v>0.43883578115568184</v>
      </c>
      <c r="O173" s="28">
        <f t="shared" si="48"/>
        <v>0.43940560139305368</v>
      </c>
      <c r="P173" s="28">
        <f t="shared" si="48"/>
        <v>0.44267512481033205</v>
      </c>
      <c r="Q173" s="28">
        <f t="shared" si="48"/>
        <v>0.44528954636022133</v>
      </c>
      <c r="R173" s="28">
        <f t="shared" si="48"/>
        <v>0.44531246976557798</v>
      </c>
      <c r="S173" s="28">
        <f t="shared" si="48"/>
        <v>0.43351447139430072</v>
      </c>
      <c r="T173" s="28">
        <f t="shared" si="48"/>
        <v>0.43921401909064739</v>
      </c>
      <c r="U173" s="28">
        <f t="shared" si="48"/>
        <v>0.44352847877046275</v>
      </c>
      <c r="V173" s="28">
        <f t="shared" si="48"/>
        <v>0.44759906938106581</v>
      </c>
      <c r="W173" s="28">
        <f t="shared" si="48"/>
        <v>0.45231903918261634</v>
      </c>
      <c r="X173" s="28">
        <f t="shared" si="48"/>
        <v>0.45908204116035195</v>
      </c>
      <c r="Y173" s="28">
        <f t="shared" si="48"/>
        <v>0.46612311314393218</v>
      </c>
      <c r="Z173" s="28">
        <f t="shared" si="48"/>
        <v>0.47377130673090989</v>
      </c>
      <c r="AA173" s="28">
        <f t="shared" si="48"/>
        <v>0.48072655714050544</v>
      </c>
      <c r="AB173" s="28">
        <f t="shared" si="48"/>
        <v>0.48869557717513923</v>
      </c>
      <c r="AC173" s="28">
        <f t="shared" si="48"/>
        <v>0.4979031156717999</v>
      </c>
      <c r="AD173" s="28">
        <f t="shared" si="48"/>
        <v>0.50676769757090157</v>
      </c>
      <c r="AE173" s="28">
        <f t="shared" si="48"/>
        <v>0.51609442530315108</v>
      </c>
      <c r="AF173" s="28">
        <f t="shared" si="48"/>
        <v>0.52570403883360262</v>
      </c>
      <c r="AG173" s="28">
        <f t="shared" si="48"/>
        <v>0.53639681709328069</v>
      </c>
      <c r="AH173" s="28">
        <f t="shared" si="48"/>
        <v>0.54607776986764511</v>
      </c>
      <c r="AI173" s="28">
        <f t="shared" si="48"/>
        <v>0.55613735582649237</v>
      </c>
      <c r="AJ173" s="28">
        <f t="shared" si="48"/>
        <v>0.5664598798696433</v>
      </c>
      <c r="AK173" s="28">
        <f t="shared" si="48"/>
        <v>0.57647383651643525</v>
      </c>
      <c r="AL173" s="28">
        <f t="shared" si="48"/>
        <v>0.58656368994903785</v>
      </c>
      <c r="AM173" s="28">
        <f t="shared" si="48"/>
        <v>0.5970815529958805</v>
      </c>
      <c r="AN173" s="28">
        <f t="shared" si="48"/>
        <v>0.60794767432807506</v>
      </c>
      <c r="AO173" s="28">
        <f t="shared" si="48"/>
        <v>0.61832593308600126</v>
      </c>
      <c r="AP173" s="28">
        <f t="shared" si="48"/>
        <v>0.62892342221902187</v>
      </c>
      <c r="AQ173" s="28">
        <f t="shared" si="48"/>
        <v>0.63975924085958458</v>
      </c>
      <c r="AR173" s="28">
        <f t="shared" si="48"/>
        <v>0.65134709173199301</v>
      </c>
      <c r="AS173" s="28">
        <f t="shared" si="48"/>
        <v>0.66306247623847858</v>
      </c>
      <c r="AT173" s="28">
        <f t="shared" si="48"/>
        <v>0.67007427473965175</v>
      </c>
      <c r="AU173" s="28">
        <f t="shared" si="48"/>
        <v>0.67681364968865065</v>
      </c>
      <c r="AV173" s="28">
        <f t="shared" si="48"/>
        <v>0.68426996116282568</v>
      </c>
      <c r="AW173" s="28">
        <f t="shared" si="48"/>
        <v>0.6915113798420095</v>
      </c>
      <c r="AY173" s="85"/>
    </row>
    <row r="174" spans="1:51" x14ac:dyDescent="0.25">
      <c r="A174" s="102" t="str">
        <f t="shared" si="45"/>
        <v>FA Cattle MMCH4</v>
      </c>
      <c r="B174" s="102" t="s">
        <v>963</v>
      </c>
      <c r="C174" s="102" t="s">
        <v>1230</v>
      </c>
      <c r="D174" t="s">
        <v>15</v>
      </c>
      <c r="E174" t="s">
        <v>22</v>
      </c>
      <c r="F174" t="s">
        <v>67</v>
      </c>
      <c r="G174" t="s">
        <v>122</v>
      </c>
      <c r="H174" t="s">
        <v>1228</v>
      </c>
      <c r="I174" t="s">
        <v>121</v>
      </c>
      <c r="J174" t="s">
        <v>286</v>
      </c>
      <c r="K174" s="28">
        <f t="shared" si="47"/>
        <v>9.5339728940472587E-2</v>
      </c>
      <c r="L174" s="28">
        <f t="shared" si="48"/>
        <v>9.4854333679105063E-2</v>
      </c>
      <c r="M174" s="28">
        <f t="shared" si="48"/>
        <v>9.3968398426833952E-2</v>
      </c>
      <c r="N174" s="28">
        <f t="shared" si="48"/>
        <v>9.1543343324502313E-2</v>
      </c>
      <c r="O174" s="28">
        <f t="shared" si="48"/>
        <v>8.9215062552987667E-2</v>
      </c>
      <c r="P174" s="28">
        <f t="shared" si="48"/>
        <v>8.8452938660310093E-2</v>
      </c>
      <c r="Q174" s="28">
        <f t="shared" si="48"/>
        <v>8.7222027489186615E-2</v>
      </c>
      <c r="R174" s="28">
        <f t="shared" si="48"/>
        <v>8.4456409837201651E-2</v>
      </c>
      <c r="S174" s="28">
        <f t="shared" si="48"/>
        <v>7.5177478598092318E-2</v>
      </c>
      <c r="T174" s="28">
        <f t="shared" si="48"/>
        <v>7.7014428210242056E-2</v>
      </c>
      <c r="U174" s="28">
        <f t="shared" si="48"/>
        <v>7.8006612977093048E-2</v>
      </c>
      <c r="V174" s="28">
        <f t="shared" si="48"/>
        <v>7.8795228292272187E-2</v>
      </c>
      <c r="W174" s="28">
        <f t="shared" si="48"/>
        <v>7.9855076548413395E-2</v>
      </c>
      <c r="X174" s="28">
        <f t="shared" si="48"/>
        <v>8.1889840057722874E-2</v>
      </c>
      <c r="Y174" s="28">
        <f t="shared" si="48"/>
        <v>8.4116841663257197E-2</v>
      </c>
      <c r="Z174" s="28">
        <f t="shared" si="48"/>
        <v>8.6543393580483491E-2</v>
      </c>
      <c r="AA174" s="28">
        <f t="shared" si="48"/>
        <v>8.8521952214014571E-2</v>
      </c>
      <c r="AB174" s="28">
        <f t="shared" si="48"/>
        <v>9.0896953770236252E-2</v>
      </c>
      <c r="AC174" s="28">
        <f t="shared" si="48"/>
        <v>9.3757697259475761E-2</v>
      </c>
      <c r="AD174" s="28">
        <f t="shared" si="48"/>
        <v>9.5642150962380226E-2</v>
      </c>
      <c r="AE174" s="28">
        <f t="shared" si="48"/>
        <v>9.7567055281161469E-2</v>
      </c>
      <c r="AF174" s="28">
        <f t="shared" si="48"/>
        <v>9.9442694820459449E-2</v>
      </c>
      <c r="AG174" s="28">
        <f t="shared" si="48"/>
        <v>0.10161266035579665</v>
      </c>
      <c r="AH174" s="28">
        <f t="shared" si="48"/>
        <v>0.10315899021589392</v>
      </c>
      <c r="AI174" s="28">
        <f t="shared" si="48"/>
        <v>0.10478802467890617</v>
      </c>
      <c r="AJ174" s="28">
        <f t="shared" si="48"/>
        <v>0.10634686421883358</v>
      </c>
      <c r="AK174" s="28">
        <f t="shared" si="48"/>
        <v>0.10760625778708158</v>
      </c>
      <c r="AL174" s="28">
        <f t="shared" si="48"/>
        <v>0.10872705455886196</v>
      </c>
      <c r="AM174" s="28">
        <f t="shared" si="48"/>
        <v>0.10984281909628571</v>
      </c>
      <c r="AN174" s="28">
        <f t="shared" si="48"/>
        <v>0.11156015357830804</v>
      </c>
      <c r="AO174" s="28">
        <f t="shared" si="48"/>
        <v>0.11295872622782972</v>
      </c>
      <c r="AP174" s="28">
        <f t="shared" si="48"/>
        <v>0.11430168694304664</v>
      </c>
      <c r="AQ174" s="28">
        <f t="shared" si="48"/>
        <v>0.11559344303067282</v>
      </c>
      <c r="AR174" s="28">
        <f t="shared" si="48"/>
        <v>0.11700506936438095</v>
      </c>
      <c r="AS174" s="28">
        <f t="shared" si="48"/>
        <v>0.11838774199647999</v>
      </c>
      <c r="AT174" s="28">
        <f t="shared" si="48"/>
        <v>0.11810287074263501</v>
      </c>
      <c r="AU174" s="28">
        <f t="shared" si="48"/>
        <v>0.117655872543239</v>
      </c>
      <c r="AV174" s="28">
        <f t="shared" si="48"/>
        <v>0.11736041307434758</v>
      </c>
      <c r="AW174" s="28">
        <f t="shared" si="48"/>
        <v>0.11692074816946382</v>
      </c>
      <c r="AY174" s="85"/>
    </row>
    <row r="175" spans="1:51" x14ac:dyDescent="0.25">
      <c r="A175" s="102" t="str">
        <f t="shared" si="45"/>
        <v>FA Cattle MMCH4</v>
      </c>
      <c r="B175" s="102" t="s">
        <v>963</v>
      </c>
      <c r="C175" s="102" t="s">
        <v>1230</v>
      </c>
      <c r="D175" t="s">
        <v>15</v>
      </c>
      <c r="E175" t="s">
        <v>22</v>
      </c>
      <c r="F175" t="s">
        <v>67</v>
      </c>
      <c r="G175" t="s">
        <v>123</v>
      </c>
      <c r="H175" t="s">
        <v>1228</v>
      </c>
      <c r="I175" t="s">
        <v>121</v>
      </c>
      <c r="J175" t="s">
        <v>286</v>
      </c>
      <c r="K175" s="28">
        <f t="shared" si="47"/>
        <v>7.0033293869835936E-2</v>
      </c>
      <c r="L175" s="28">
        <f t="shared" si="48"/>
        <v>6.9676739164256679E-2</v>
      </c>
      <c r="M175" s="28">
        <f t="shared" si="48"/>
        <v>6.9025961523482296E-2</v>
      </c>
      <c r="N175" s="28">
        <f t="shared" si="48"/>
        <v>6.724459924650146E-2</v>
      </c>
      <c r="O175" s="28">
        <f t="shared" si="48"/>
        <v>6.5534324072709205E-2</v>
      </c>
      <c r="P175" s="28">
        <f t="shared" si="48"/>
        <v>6.4974494008849484E-2</v>
      </c>
      <c r="Q175" s="28">
        <f t="shared" si="48"/>
        <v>6.4070308893861602E-2</v>
      </c>
      <c r="R175" s="28">
        <f t="shared" si="48"/>
        <v>6.2038781052262654E-2</v>
      </c>
      <c r="S175" s="28">
        <f t="shared" si="48"/>
        <v>5.5222796514774769E-2</v>
      </c>
      <c r="T175" s="28">
        <f t="shared" si="48"/>
        <v>5.657215667597356E-2</v>
      </c>
      <c r="U175" s="28">
        <f t="shared" si="48"/>
        <v>5.7300981564844748E-2</v>
      </c>
      <c r="V175" s="28">
        <f t="shared" si="48"/>
        <v>5.7880271318780145E-2</v>
      </c>
      <c r="W175" s="28">
        <f t="shared" si="48"/>
        <v>5.865879948541796E-2</v>
      </c>
      <c r="X175" s="28">
        <f t="shared" si="48"/>
        <v>6.0153466948675183E-2</v>
      </c>
      <c r="Y175" s="28">
        <f t="shared" si="48"/>
        <v>6.1789345921924234E-2</v>
      </c>
      <c r="Z175" s="28">
        <f t="shared" si="48"/>
        <v>6.3571807707772474E-2</v>
      </c>
      <c r="AA175" s="28">
        <f t="shared" si="48"/>
        <v>6.5025188997615446E-2</v>
      </c>
      <c r="AB175" s="28">
        <f t="shared" si="48"/>
        <v>6.6769783656910539E-2</v>
      </c>
      <c r="AC175" s="28">
        <f t="shared" si="48"/>
        <v>6.8871187674885259E-2</v>
      </c>
      <c r="AD175" s="28">
        <f t="shared" si="48"/>
        <v>7.0255442711335062E-2</v>
      </c>
      <c r="AE175" s="28">
        <f t="shared" si="48"/>
        <v>7.1669411382388193E-2</v>
      </c>
      <c r="AF175" s="28">
        <f t="shared" si="48"/>
        <v>7.3047191836657727E-2</v>
      </c>
      <c r="AG175" s="28">
        <f t="shared" si="48"/>
        <v>7.4641174069589936E-2</v>
      </c>
      <c r="AH175" s="28">
        <f t="shared" si="48"/>
        <v>7.5777054931801216E-2</v>
      </c>
      <c r="AI175" s="28">
        <f t="shared" si="48"/>
        <v>7.6973687757802431E-2</v>
      </c>
      <c r="AJ175" s="28">
        <f t="shared" si="48"/>
        <v>7.8118757801622474E-2</v>
      </c>
      <c r="AK175" s="28">
        <f t="shared" si="48"/>
        <v>7.904386510833572E-2</v>
      </c>
      <c r="AL175" s="28">
        <f t="shared" si="48"/>
        <v>7.9867163963480023E-2</v>
      </c>
      <c r="AM175" s="28">
        <f t="shared" si="48"/>
        <v>8.0686766311916805E-2</v>
      </c>
      <c r="AN175" s="28">
        <f t="shared" si="48"/>
        <v>8.1948261302398337E-2</v>
      </c>
      <c r="AO175" s="28">
        <f t="shared" si="48"/>
        <v>8.2975604787121515E-2</v>
      </c>
      <c r="AP175" s="28">
        <f t="shared" si="48"/>
        <v>8.3962097652893697E-2</v>
      </c>
      <c r="AQ175" s="28">
        <f t="shared" si="48"/>
        <v>8.491097735601684E-2</v>
      </c>
      <c r="AR175" s="28">
        <f t="shared" si="48"/>
        <v>8.5947909629284627E-2</v>
      </c>
      <c r="AS175" s="28">
        <f t="shared" si="48"/>
        <v>8.6963573506722666E-2</v>
      </c>
      <c r="AT175" s="28">
        <f t="shared" si="48"/>
        <v>8.6754316857293221E-2</v>
      </c>
      <c r="AU175" s="28">
        <f t="shared" si="48"/>
        <v>8.6425967316073798E-2</v>
      </c>
      <c r="AV175" s="28">
        <f t="shared" si="48"/>
        <v>8.6208932927142212E-2</v>
      </c>
      <c r="AW175" s="28">
        <f t="shared" si="48"/>
        <v>8.5885970172473555E-2</v>
      </c>
      <c r="AY175" s="85"/>
    </row>
    <row r="176" spans="1:51" x14ac:dyDescent="0.25">
      <c r="A176" s="102" t="str">
        <f t="shared" si="45"/>
        <v>FA Cattle MMCH4</v>
      </c>
      <c r="B176" s="102" t="s">
        <v>963</v>
      </c>
      <c r="C176" s="102" t="s">
        <v>1230</v>
      </c>
      <c r="D176" t="s">
        <v>15</v>
      </c>
      <c r="E176" t="s">
        <v>22</v>
      </c>
      <c r="F176" t="s">
        <v>67</v>
      </c>
      <c r="G176" t="s">
        <v>135</v>
      </c>
      <c r="H176" t="s">
        <v>1228</v>
      </c>
      <c r="I176" t="s">
        <v>121</v>
      </c>
      <c r="J176" t="s">
        <v>286</v>
      </c>
      <c r="K176" s="28">
        <f t="shared" si="47"/>
        <v>0.47241651785764616</v>
      </c>
      <c r="L176" s="28">
        <f t="shared" si="48"/>
        <v>0.49004050540543137</v>
      </c>
      <c r="M176" s="28">
        <f t="shared" si="48"/>
        <v>0.50587338709485186</v>
      </c>
      <c r="N176" s="28">
        <f t="shared" si="48"/>
        <v>0.51330333017852303</v>
      </c>
      <c r="O176" s="28">
        <f t="shared" si="48"/>
        <v>0.52084695794290625</v>
      </c>
      <c r="P176" s="28">
        <f t="shared" si="48"/>
        <v>0.53749845878988001</v>
      </c>
      <c r="Q176" s="28">
        <f t="shared" si="48"/>
        <v>0.55154407690171303</v>
      </c>
      <c r="R176" s="28">
        <f t="shared" si="48"/>
        <v>0.55564430469746628</v>
      </c>
      <c r="S176" s="28">
        <f t="shared" si="48"/>
        <v>0.51452468218759118</v>
      </c>
      <c r="T176" s="28">
        <f t="shared" si="48"/>
        <v>0.53973183707135297</v>
      </c>
      <c r="U176" s="28">
        <f t="shared" si="48"/>
        <v>0.55960980330157661</v>
      </c>
      <c r="V176" s="28">
        <f t="shared" si="48"/>
        <v>0.57846136773715073</v>
      </c>
      <c r="W176" s="28">
        <f t="shared" si="48"/>
        <v>0.59976484808933772</v>
      </c>
      <c r="X176" s="28">
        <f t="shared" si="48"/>
        <v>0.6290799531985618</v>
      </c>
      <c r="Y176" s="28">
        <f t="shared" si="48"/>
        <v>0.66078220006195243</v>
      </c>
      <c r="Z176" s="28">
        <f t="shared" si="48"/>
        <v>0.6950549893868353</v>
      </c>
      <c r="AA176" s="28">
        <f t="shared" si="48"/>
        <v>0.72671447444619408</v>
      </c>
      <c r="AB176" s="28">
        <f t="shared" si="48"/>
        <v>0.76263064102611711</v>
      </c>
      <c r="AC176" s="28">
        <f t="shared" si="48"/>
        <v>0.80381242816688792</v>
      </c>
      <c r="AD176" s="28">
        <f t="shared" si="48"/>
        <v>0.84707112360683778</v>
      </c>
      <c r="AE176" s="28">
        <f t="shared" si="48"/>
        <v>0.89273716244132828</v>
      </c>
      <c r="AF176" s="28">
        <f t="shared" si="48"/>
        <v>0.94011116650043791</v>
      </c>
      <c r="AG176" s="28">
        <f t="shared" si="48"/>
        <v>0.99262429161620569</v>
      </c>
      <c r="AH176" s="28">
        <f t="shared" si="48"/>
        <v>1.0414261811490693</v>
      </c>
      <c r="AI176" s="28">
        <f t="shared" si="48"/>
        <v>1.0934015913217856</v>
      </c>
      <c r="AJ176" s="28">
        <f t="shared" si="48"/>
        <v>1.1471241939805665</v>
      </c>
      <c r="AK176" s="28">
        <f t="shared" si="48"/>
        <v>1.2001095211957744</v>
      </c>
      <c r="AL176" s="28">
        <f t="shared" si="48"/>
        <v>1.2540285808463096</v>
      </c>
      <c r="AM176" s="28">
        <f t="shared" si="48"/>
        <v>1.310466494861908</v>
      </c>
      <c r="AN176" s="28">
        <f t="shared" si="48"/>
        <v>1.3683728665063422</v>
      </c>
      <c r="AO176" s="28">
        <f t="shared" si="48"/>
        <v>1.4246154398643955</v>
      </c>
      <c r="AP176" s="28">
        <f t="shared" si="48"/>
        <v>1.482380812922339</v>
      </c>
      <c r="AQ176" s="28">
        <f t="shared" si="48"/>
        <v>1.541777789137452</v>
      </c>
      <c r="AR176" s="28">
        <f t="shared" si="48"/>
        <v>1.6052115562052296</v>
      </c>
      <c r="AS176" s="28">
        <f t="shared" si="48"/>
        <v>1.670845908904999</v>
      </c>
      <c r="AT176" s="28">
        <f t="shared" si="48"/>
        <v>1.7149867964815078</v>
      </c>
      <c r="AU176" s="28">
        <f t="shared" si="48"/>
        <v>1.7581618430572761</v>
      </c>
      <c r="AV176" s="28">
        <f t="shared" si="48"/>
        <v>1.8050606672101563</v>
      </c>
      <c r="AW176" s="28">
        <f t="shared" si="48"/>
        <v>1.8512821467965566</v>
      </c>
      <c r="AY176" s="85"/>
    </row>
    <row r="177" spans="1:51" x14ac:dyDescent="0.25">
      <c r="A177" s="102" t="str">
        <f t="shared" si="45"/>
        <v>FA Sheep MMCH4</v>
      </c>
      <c r="B177" s="102" t="s">
        <v>963</v>
      </c>
      <c r="C177" s="102" t="s">
        <v>1325</v>
      </c>
      <c r="D177" t="s">
        <v>15</v>
      </c>
      <c r="E177" t="s">
        <v>22</v>
      </c>
      <c r="F177" t="s">
        <v>18</v>
      </c>
      <c r="G177" t="s">
        <v>122</v>
      </c>
      <c r="H177" t="s">
        <v>1228</v>
      </c>
      <c r="I177" t="s">
        <v>121</v>
      </c>
      <c r="J177" t="s">
        <v>286</v>
      </c>
      <c r="K177" s="28">
        <f t="shared" si="47"/>
        <v>3.6049467288640238E-2</v>
      </c>
      <c r="L177" s="28">
        <f t="shared" si="48"/>
        <v>3.6068922498919492E-2</v>
      </c>
      <c r="M177" s="28">
        <f t="shared" si="48"/>
        <v>3.6113648368603188E-2</v>
      </c>
      <c r="N177" s="28">
        <f t="shared" si="48"/>
        <v>3.6180048088995075E-2</v>
      </c>
      <c r="O177" s="28">
        <f t="shared" si="48"/>
        <v>3.6269669615497352E-2</v>
      </c>
      <c r="P177" s="28">
        <f t="shared" si="48"/>
        <v>3.6384314095385159E-2</v>
      </c>
      <c r="Q177" s="28">
        <f t="shared" si="48"/>
        <v>3.6510640385803414E-2</v>
      </c>
      <c r="R177" s="28">
        <f t="shared" si="48"/>
        <v>3.6646686440443228E-2</v>
      </c>
      <c r="S177" s="28">
        <f t="shared" si="48"/>
        <v>3.6781472874538444E-2</v>
      </c>
      <c r="T177" s="28">
        <f t="shared" si="48"/>
        <v>3.6836633496849083E-2</v>
      </c>
      <c r="U177" s="28">
        <f t="shared" si="48"/>
        <v>3.6899270096088746E-2</v>
      </c>
      <c r="V177" s="28">
        <f t="shared" si="48"/>
        <v>3.6970107657697912E-2</v>
      </c>
      <c r="W177" s="28">
        <f t="shared" si="48"/>
        <v>3.7049660029312891E-2</v>
      </c>
      <c r="X177" s="28">
        <f t="shared" si="48"/>
        <v>3.7139051899563943E-2</v>
      </c>
      <c r="Y177" s="28">
        <f t="shared" si="48"/>
        <v>3.7195257613770766E-2</v>
      </c>
      <c r="Z177" s="28">
        <f t="shared" si="48"/>
        <v>3.7258548109316066E-2</v>
      </c>
      <c r="AA177" s="28">
        <f t="shared" si="48"/>
        <v>3.7327161924675951E-2</v>
      </c>
      <c r="AB177" s="28">
        <f t="shared" si="48"/>
        <v>3.740270770234231E-2</v>
      </c>
      <c r="AC177" s="28">
        <f t="shared" si="48"/>
        <v>3.7485176791933403E-2</v>
      </c>
      <c r="AD177" s="28">
        <f t="shared" si="48"/>
        <v>3.7539761469788754E-2</v>
      </c>
      <c r="AE177" s="28">
        <f t="shared" si="48"/>
        <v>3.7599656922957594E-2</v>
      </c>
      <c r="AF177" s="28">
        <f t="shared" si="48"/>
        <v>3.7664460791843352E-2</v>
      </c>
      <c r="AG177" s="28">
        <f t="shared" si="48"/>
        <v>3.7734874583025615E-2</v>
      </c>
      <c r="AH177" s="28">
        <f t="shared" si="48"/>
        <v>3.7808406535422022E-2</v>
      </c>
      <c r="AI177" s="28">
        <f t="shared" si="48"/>
        <v>3.7855450290038166E-2</v>
      </c>
      <c r="AJ177" s="28">
        <f t="shared" si="48"/>
        <v>3.790648474498734E-2</v>
      </c>
      <c r="AK177" s="28">
        <f t="shared" si="48"/>
        <v>3.7960736985585587E-2</v>
      </c>
      <c r="AL177" s="28">
        <f t="shared" si="48"/>
        <v>3.8018503990857662E-2</v>
      </c>
      <c r="AM177" s="28">
        <f t="shared" si="48"/>
        <v>3.8080056384553931E-2</v>
      </c>
      <c r="AN177" s="28">
        <f t="shared" si="48"/>
        <v>3.8116334504626079E-2</v>
      </c>
      <c r="AO177" s="28">
        <f t="shared" si="48"/>
        <v>3.8154989670212594E-2</v>
      </c>
      <c r="AP177" s="28">
        <f t="shared" si="48"/>
        <v>3.8196703080821404E-2</v>
      </c>
      <c r="AQ177" s="28">
        <f t="shared" si="48"/>
        <v>3.8241401151067764E-2</v>
      </c>
      <c r="AR177" s="28">
        <f t="shared" si="48"/>
        <v>3.828956377958781E-2</v>
      </c>
      <c r="AS177" s="28">
        <f t="shared" si="48"/>
        <v>3.8311270646145826E-2</v>
      </c>
      <c r="AT177" s="28">
        <f t="shared" si="48"/>
        <v>3.8330111932378036E-2</v>
      </c>
      <c r="AU177" s="28">
        <f t="shared" si="48"/>
        <v>3.8350912132151166E-2</v>
      </c>
      <c r="AV177" s="28">
        <f t="shared" si="48"/>
        <v>3.8374692407557622E-2</v>
      </c>
      <c r="AW177" s="28">
        <f t="shared" si="48"/>
        <v>3.8400354082293926E-2</v>
      </c>
      <c r="AY177" s="85"/>
    </row>
    <row r="178" spans="1:51" x14ac:dyDescent="0.25">
      <c r="A178" s="102" t="str">
        <f t="shared" si="45"/>
        <v>FA Sheep MMCH4</v>
      </c>
      <c r="B178" s="102" t="s">
        <v>963</v>
      </c>
      <c r="C178" s="102" t="s">
        <v>1325</v>
      </c>
      <c r="D178" t="s">
        <v>15</v>
      </c>
      <c r="E178" t="s">
        <v>22</v>
      </c>
      <c r="F178" t="s">
        <v>18</v>
      </c>
      <c r="G178" t="s">
        <v>123</v>
      </c>
      <c r="H178" t="s">
        <v>1228</v>
      </c>
      <c r="I178" t="s">
        <v>121</v>
      </c>
      <c r="J178" t="s">
        <v>286</v>
      </c>
      <c r="K178" s="28">
        <f t="shared" si="47"/>
        <v>4.1170209951421942E-3</v>
      </c>
      <c r="L178" s="28">
        <f t="shared" si="48"/>
        <v>4.1192428728898823E-3</v>
      </c>
      <c r="M178" s="28">
        <f t="shared" si="48"/>
        <v>4.12435078039485E-3</v>
      </c>
      <c r="N178" s="28">
        <f t="shared" si="48"/>
        <v>4.1319339449597016E-3</v>
      </c>
      <c r="O178" s="28">
        <f t="shared" si="48"/>
        <v>4.1421691504697385E-3</v>
      </c>
      <c r="P178" s="28">
        <f t="shared" si="48"/>
        <v>4.1552620965289999E-3</v>
      </c>
      <c r="Q178" s="28">
        <f t="shared" si="48"/>
        <v>4.1696891610325101E-3</v>
      </c>
      <c r="R178" s="28">
        <f t="shared" si="48"/>
        <v>4.1852262689396433E-3</v>
      </c>
      <c r="S178" s="28">
        <f t="shared" si="48"/>
        <v>4.2006195221765729E-3</v>
      </c>
      <c r="T178" s="28">
        <f t="shared" si="48"/>
        <v>4.2069191281690734E-3</v>
      </c>
      <c r="U178" s="28">
        <f t="shared" si="48"/>
        <v>4.2140725263613192E-3</v>
      </c>
      <c r="V178" s="28">
        <f t="shared" si="48"/>
        <v>4.2221625135462756E-3</v>
      </c>
      <c r="W178" s="28">
        <f t="shared" si="48"/>
        <v>4.2312477735732788E-3</v>
      </c>
      <c r="X178" s="28">
        <f t="shared" si="48"/>
        <v>4.2414567512447637E-3</v>
      </c>
      <c r="Y178" s="28">
        <f t="shared" si="48"/>
        <v>4.2478757117132681E-3</v>
      </c>
      <c r="Z178" s="28">
        <f t="shared" si="48"/>
        <v>4.2551037879804332E-3</v>
      </c>
      <c r="AA178" s="28">
        <f t="shared" si="48"/>
        <v>4.2629398127441735E-3</v>
      </c>
      <c r="AB178" s="28">
        <f t="shared" si="48"/>
        <v>4.2715675006447032E-3</v>
      </c>
      <c r="AC178" s="28">
        <f t="shared" si="48"/>
        <v>4.2809858637671951E-3</v>
      </c>
      <c r="AD178" s="28">
        <f t="shared" si="48"/>
        <v>4.2872196941576481E-3</v>
      </c>
      <c r="AE178" s="28">
        <f t="shared" si="48"/>
        <v>4.294060040402857E-3</v>
      </c>
      <c r="AF178" s="28">
        <f t="shared" si="48"/>
        <v>4.3014609511190394E-3</v>
      </c>
      <c r="AG178" s="28">
        <f t="shared" si="48"/>
        <v>4.3095025417013294E-3</v>
      </c>
      <c r="AH178" s="28">
        <f t="shared" si="48"/>
        <v>4.3179002411570773E-3</v>
      </c>
      <c r="AI178" s="28">
        <f t="shared" si="48"/>
        <v>4.3232728621695939E-3</v>
      </c>
      <c r="AJ178" s="28">
        <f t="shared" si="48"/>
        <v>4.3291012401819257E-3</v>
      </c>
      <c r="AK178" s="28">
        <f t="shared" si="48"/>
        <v>4.335297104653045E-3</v>
      </c>
      <c r="AL178" s="28">
        <f t="shared" si="48"/>
        <v>4.3418943720031399E-3</v>
      </c>
      <c r="AM178" s="28">
        <f t="shared" si="48"/>
        <v>4.3489239487544346E-3</v>
      </c>
      <c r="AN178" s="28">
        <f t="shared" si="48"/>
        <v>4.3530670829873327E-3</v>
      </c>
      <c r="AO178" s="28">
        <f t="shared" si="48"/>
        <v>4.3574816871482253E-3</v>
      </c>
      <c r="AP178" s="28">
        <f t="shared" si="48"/>
        <v>4.362245557467872E-3</v>
      </c>
      <c r="AQ178" s="28">
        <f t="shared" ref="L178:AW185" si="49">AQ1400</f>
        <v>4.3673502901445905E-3</v>
      </c>
      <c r="AR178" s="28">
        <f t="shared" si="49"/>
        <v>4.3728506918900767E-3</v>
      </c>
      <c r="AS178" s="28">
        <f t="shared" si="49"/>
        <v>4.3753297195173796E-3</v>
      </c>
      <c r="AT178" s="28">
        <f t="shared" si="49"/>
        <v>4.3774814842126074E-3</v>
      </c>
      <c r="AU178" s="28">
        <f t="shared" si="49"/>
        <v>4.3798569661714264E-3</v>
      </c>
      <c r="AV178" s="28">
        <f t="shared" si="49"/>
        <v>4.3825727869721814E-3</v>
      </c>
      <c r="AW178" s="28">
        <f t="shared" si="49"/>
        <v>4.385503472544146E-3</v>
      </c>
      <c r="AY178" s="85"/>
    </row>
    <row r="179" spans="1:51" x14ac:dyDescent="0.25">
      <c r="A179" s="102" t="str">
        <f t="shared" si="45"/>
        <v>FA Goats MMCH4</v>
      </c>
      <c r="B179" s="102" t="s">
        <v>963</v>
      </c>
      <c r="C179" s="102" t="s">
        <v>1326</v>
      </c>
      <c r="D179" t="s">
        <v>15</v>
      </c>
      <c r="E179" t="s">
        <v>22</v>
      </c>
      <c r="F179" t="s">
        <v>19</v>
      </c>
      <c r="G179" t="s">
        <v>122</v>
      </c>
      <c r="H179" t="s">
        <v>1228</v>
      </c>
      <c r="I179" t="s">
        <v>121</v>
      </c>
      <c r="J179" t="s">
        <v>286</v>
      </c>
      <c r="K179" s="28">
        <f t="shared" si="47"/>
        <v>1.5786050776084536E-2</v>
      </c>
      <c r="L179" s="28">
        <f t="shared" si="49"/>
        <v>1.5827081346829606E-2</v>
      </c>
      <c r="M179" s="28">
        <f t="shared" si="49"/>
        <v>1.5882411871580165E-2</v>
      </c>
      <c r="N179" s="28">
        <f t="shared" si="49"/>
        <v>1.5949803045989901E-2</v>
      </c>
      <c r="O179" s="28">
        <f t="shared" si="49"/>
        <v>1.6030521416305728E-2</v>
      </c>
      <c r="P179" s="28">
        <f t="shared" si="49"/>
        <v>1.6125949164627635E-2</v>
      </c>
      <c r="Q179" s="28">
        <f t="shared" si="49"/>
        <v>1.6227083744595871E-2</v>
      </c>
      <c r="R179" s="28">
        <f t="shared" si="49"/>
        <v>1.6332741800602117E-2</v>
      </c>
      <c r="S179" s="28">
        <f t="shared" si="49"/>
        <v>1.6435606263672888E-2</v>
      </c>
      <c r="T179" s="28">
        <f t="shared" si="49"/>
        <v>1.6482785969504622E-2</v>
      </c>
      <c r="U179" s="28">
        <f t="shared" si="49"/>
        <v>1.6533664426214255E-2</v>
      </c>
      <c r="V179" s="28">
        <f t="shared" si="49"/>
        <v>1.6588808405428729E-2</v>
      </c>
      <c r="W179" s="28">
        <f t="shared" si="49"/>
        <v>1.6648626125843623E-2</v>
      </c>
      <c r="X179" s="28">
        <f t="shared" si="49"/>
        <v>1.671392230440329E-2</v>
      </c>
      <c r="Y179" s="28">
        <f t="shared" si="49"/>
        <v>1.6755949162850392E-2</v>
      </c>
      <c r="Z179" s="28">
        <f t="shared" si="49"/>
        <v>1.6801812461822448E-2</v>
      </c>
      <c r="AA179" s="28">
        <f t="shared" si="49"/>
        <v>1.6850371356583897E-2</v>
      </c>
      <c r="AB179" s="28">
        <f t="shared" si="49"/>
        <v>1.6902729841508243E-2</v>
      </c>
      <c r="AC179" s="28">
        <f t="shared" si="49"/>
        <v>1.6958905567505546E-2</v>
      </c>
      <c r="AD179" s="28">
        <f t="shared" si="49"/>
        <v>1.6995881142245144E-2</v>
      </c>
      <c r="AE179" s="28">
        <f t="shared" si="49"/>
        <v>1.7035738596248386E-2</v>
      </c>
      <c r="AF179" s="28">
        <f t="shared" si="49"/>
        <v>1.7078229800458981E-2</v>
      </c>
      <c r="AG179" s="28">
        <f t="shared" si="49"/>
        <v>1.7123832345859253E-2</v>
      </c>
      <c r="AH179" s="28">
        <f t="shared" si="49"/>
        <v>1.7170921235490962E-2</v>
      </c>
      <c r="AI179" s="28">
        <f t="shared" si="49"/>
        <v>1.720011231394674E-2</v>
      </c>
      <c r="AJ179" s="28">
        <f t="shared" si="49"/>
        <v>1.7231468078725984E-2</v>
      </c>
      <c r="AK179" s="28">
        <f t="shared" si="49"/>
        <v>1.7264493513114532E-2</v>
      </c>
      <c r="AL179" s="28">
        <f t="shared" si="49"/>
        <v>1.7299393145414187E-2</v>
      </c>
      <c r="AM179" s="28">
        <f t="shared" si="49"/>
        <v>1.7336351628498631E-2</v>
      </c>
      <c r="AN179" s="28">
        <f t="shared" si="49"/>
        <v>1.7356503534937538E-2</v>
      </c>
      <c r="AO179" s="28">
        <f t="shared" si="49"/>
        <v>1.7377878973805026E-2</v>
      </c>
      <c r="AP179" s="28">
        <f t="shared" si="49"/>
        <v>1.7400926590350561E-2</v>
      </c>
      <c r="AQ179" s="28">
        <f t="shared" si="49"/>
        <v>1.7425603506526253E-2</v>
      </c>
      <c r="AR179" s="28">
        <f t="shared" si="49"/>
        <v>1.7452223423977883E-2</v>
      </c>
      <c r="AS179" s="28">
        <f t="shared" si="49"/>
        <v>1.7461521770457056E-2</v>
      </c>
      <c r="AT179" s="28">
        <f t="shared" si="49"/>
        <v>1.7468759965525583E-2</v>
      </c>
      <c r="AU179" s="28">
        <f t="shared" si="49"/>
        <v>1.7477053902041951E-2</v>
      </c>
      <c r="AV179" s="28">
        <f t="shared" si="49"/>
        <v>1.7487061559141349E-2</v>
      </c>
      <c r="AW179" s="28">
        <f t="shared" si="49"/>
        <v>1.7498080042052506E-2</v>
      </c>
      <c r="AY179" s="85"/>
    </row>
    <row r="180" spans="1:51" x14ac:dyDescent="0.25">
      <c r="A180" s="102" t="str">
        <f t="shared" si="45"/>
        <v>FA Goats MMCH4</v>
      </c>
      <c r="B180" s="102" t="s">
        <v>963</v>
      </c>
      <c r="C180" s="102" t="s">
        <v>1326</v>
      </c>
      <c r="D180" t="s">
        <v>15</v>
      </c>
      <c r="E180" t="s">
        <v>22</v>
      </c>
      <c r="F180" t="s">
        <v>19</v>
      </c>
      <c r="G180" t="s">
        <v>123</v>
      </c>
      <c r="H180" t="s">
        <v>1228</v>
      </c>
      <c r="I180" t="s">
        <v>121</v>
      </c>
      <c r="J180" t="s">
        <v>286</v>
      </c>
      <c r="K180" s="28">
        <f t="shared" si="47"/>
        <v>2.6586118821625565E-2</v>
      </c>
      <c r="L180" s="28">
        <f t="shared" si="49"/>
        <v>2.6655220564969766E-2</v>
      </c>
      <c r="M180" s="28">
        <f t="shared" si="49"/>
        <v>2.674840561336134E-2</v>
      </c>
      <c r="N180" s="28">
        <f t="shared" si="49"/>
        <v>2.6861902636511708E-2</v>
      </c>
      <c r="O180" s="28">
        <f t="shared" si="49"/>
        <v>2.6997844691604787E-2</v>
      </c>
      <c r="P180" s="28">
        <f t="shared" si="49"/>
        <v>2.7158559584249745E-2</v>
      </c>
      <c r="Q180" s="28">
        <f t="shared" si="49"/>
        <v>2.7328885652380994E-2</v>
      </c>
      <c r="R180" s="28">
        <f t="shared" si="49"/>
        <v>2.7506829944546809E-2</v>
      </c>
      <c r="S180" s="28">
        <f t="shared" si="49"/>
        <v>2.7680069399842709E-2</v>
      </c>
      <c r="T180" s="28">
        <f t="shared" si="49"/>
        <v>2.7759527225172408E-2</v>
      </c>
      <c r="U180" s="28">
        <f t="shared" si="49"/>
        <v>2.7845214311494997E-2</v>
      </c>
      <c r="V180" s="28">
        <f t="shared" si="49"/>
        <v>2.7938085188732656E-2</v>
      </c>
      <c r="W180" s="28">
        <f t="shared" si="49"/>
        <v>2.8038827359472312E-2</v>
      </c>
      <c r="X180" s="28">
        <f t="shared" si="49"/>
        <v>2.814879608986658E-2</v>
      </c>
      <c r="Y180" s="28">
        <f t="shared" si="49"/>
        <v>2.821957573375743E-2</v>
      </c>
      <c r="Z180" s="28">
        <f t="shared" si="49"/>
        <v>2.8296816529021451E-2</v>
      </c>
      <c r="AA180" s="28">
        <f t="shared" si="49"/>
        <v>2.8378597119004759E-2</v>
      </c>
      <c r="AB180" s="28">
        <f t="shared" si="49"/>
        <v>2.8466776798727306E-2</v>
      </c>
      <c r="AC180" s="28">
        <f t="shared" si="49"/>
        <v>2.8561385295015548E-2</v>
      </c>
      <c r="AD180" s="28">
        <f t="shared" si="49"/>
        <v>2.8623657806200815E-2</v>
      </c>
      <c r="AE180" s="28">
        <f t="shared" si="49"/>
        <v>2.8690783841907163E-2</v>
      </c>
      <c r="AF180" s="28">
        <f t="shared" si="49"/>
        <v>2.876234551493359E-2</v>
      </c>
      <c r="AG180" s="28">
        <f t="shared" si="49"/>
        <v>2.8839147161385727E-2</v>
      </c>
      <c r="AH180" s="28">
        <f t="shared" si="49"/>
        <v>2.891845203837394E-2</v>
      </c>
      <c r="AI180" s="28">
        <f t="shared" si="49"/>
        <v>2.8967614269723933E-2</v>
      </c>
      <c r="AJ180" s="28">
        <f t="shared" si="49"/>
        <v>2.9020422163223609E-2</v>
      </c>
      <c r="AK180" s="28">
        <f t="shared" si="49"/>
        <v>2.9076042035175369E-2</v>
      </c>
      <c r="AL180" s="28">
        <f t="shared" si="49"/>
        <v>2.9134818342455165E-2</v>
      </c>
      <c r="AM180" s="28">
        <f t="shared" si="49"/>
        <v>2.9197062068684575E-2</v>
      </c>
      <c r="AN180" s="28">
        <f t="shared" si="49"/>
        <v>2.9231000954772463E-2</v>
      </c>
      <c r="AO180" s="28">
        <f t="shared" si="49"/>
        <v>2.926700045620928E-2</v>
      </c>
      <c r="AP180" s="28">
        <f t="shared" si="49"/>
        <v>2.9305816160068741E-2</v>
      </c>
      <c r="AQ180" s="28">
        <f t="shared" si="49"/>
        <v>2.9347375853174006E-2</v>
      </c>
      <c r="AR180" s="28">
        <f t="shared" si="49"/>
        <v>2.9392207856974665E-2</v>
      </c>
      <c r="AS180" s="28">
        <f t="shared" si="49"/>
        <v>2.9407867691587285E-2</v>
      </c>
      <c r="AT180" s="28">
        <f t="shared" si="49"/>
        <v>2.9420057916797852E-2</v>
      </c>
      <c r="AU180" s="28">
        <f t="shared" si="49"/>
        <v>2.9434026171737036E-2</v>
      </c>
      <c r="AV180" s="28">
        <f t="shared" si="49"/>
        <v>2.9450880593691244E-2</v>
      </c>
      <c r="AW180" s="28">
        <f t="shared" si="49"/>
        <v>2.9469437400587745E-2</v>
      </c>
      <c r="AY180" s="85"/>
    </row>
    <row r="181" spans="1:51" x14ac:dyDescent="0.25">
      <c r="A181" s="102" t="str">
        <f t="shared" si="45"/>
        <v>FA Horses MMCH4</v>
      </c>
      <c r="B181" s="102" t="s">
        <v>963</v>
      </c>
      <c r="C181" s="102" t="s">
        <v>1327</v>
      </c>
      <c r="D181" t="s">
        <v>15</v>
      </c>
      <c r="E181" t="s">
        <v>22</v>
      </c>
      <c r="F181" t="s">
        <v>20</v>
      </c>
      <c r="G181" t="s">
        <v>3</v>
      </c>
      <c r="H181" t="s">
        <v>1228</v>
      </c>
      <c r="I181" t="s">
        <v>121</v>
      </c>
      <c r="J181" t="s">
        <v>286</v>
      </c>
      <c r="K181" s="28">
        <f t="shared" si="47"/>
        <v>4.1409780786531561E-3</v>
      </c>
      <c r="L181" s="28">
        <f t="shared" si="49"/>
        <v>4.1688671764084162E-3</v>
      </c>
      <c r="M181" s="28">
        <f t="shared" si="49"/>
        <v>4.1857409403688933E-3</v>
      </c>
      <c r="N181" s="28">
        <f t="shared" si="49"/>
        <v>4.1635395322190223E-3</v>
      </c>
      <c r="O181" s="28">
        <f t="shared" si="49"/>
        <v>4.1408513683072233E-3</v>
      </c>
      <c r="P181" s="28">
        <f t="shared" si="49"/>
        <v>4.1549094768624506E-3</v>
      </c>
      <c r="Q181" s="28">
        <f t="shared" si="49"/>
        <v>4.1567255728426969E-3</v>
      </c>
      <c r="R181" s="28">
        <f t="shared" si="49"/>
        <v>4.1179597585422178E-3</v>
      </c>
      <c r="S181" s="28">
        <f t="shared" si="49"/>
        <v>3.9049943158389311E-3</v>
      </c>
      <c r="T181" s="28">
        <f t="shared" si="49"/>
        <v>3.9699795028704365E-3</v>
      </c>
      <c r="U181" s="28">
        <f t="shared" si="49"/>
        <v>4.0126860665387013E-3</v>
      </c>
      <c r="V181" s="28">
        <f t="shared" si="49"/>
        <v>4.0499492305839649E-3</v>
      </c>
      <c r="W181" s="28">
        <f t="shared" si="49"/>
        <v>4.09467284204442E-3</v>
      </c>
      <c r="X181" s="28">
        <f t="shared" si="49"/>
        <v>4.1665387441703824E-3</v>
      </c>
      <c r="Y181" s="28">
        <f t="shared" si="49"/>
        <v>4.248702300747329E-3</v>
      </c>
      <c r="Z181" s="28">
        <f t="shared" si="49"/>
        <v>4.3374921923911899E-3</v>
      </c>
      <c r="AA181" s="28">
        <f t="shared" si="49"/>
        <v>4.414637811470782E-3</v>
      </c>
      <c r="AB181" s="28">
        <f t="shared" si="49"/>
        <v>4.5040673251205239E-3</v>
      </c>
      <c r="AC181" s="28">
        <f t="shared" si="49"/>
        <v>4.6087014569709678E-3</v>
      </c>
      <c r="AD181" s="28">
        <f t="shared" si="49"/>
        <v>4.7138573349945522E-3</v>
      </c>
      <c r="AE181" s="28">
        <f t="shared" si="49"/>
        <v>4.8236014553834257E-3</v>
      </c>
      <c r="AF181" s="28">
        <f t="shared" si="49"/>
        <v>4.9354202086686252E-3</v>
      </c>
      <c r="AG181" s="28">
        <f t="shared" si="49"/>
        <v>5.0601637107160246E-3</v>
      </c>
      <c r="AH181" s="28">
        <f t="shared" si="49"/>
        <v>5.1692799161183493E-3</v>
      </c>
      <c r="AI181" s="28">
        <f t="shared" si="49"/>
        <v>5.2891896269508833E-3</v>
      </c>
      <c r="AJ181" s="28">
        <f t="shared" si="49"/>
        <v>5.4110891568061297E-3</v>
      </c>
      <c r="AK181" s="28">
        <f t="shared" si="49"/>
        <v>5.5272908454311459E-3</v>
      </c>
      <c r="AL181" s="28">
        <f t="shared" si="49"/>
        <v>5.6429797772661562E-3</v>
      </c>
      <c r="AM181" s="28">
        <f t="shared" si="49"/>
        <v>5.7628358631585681E-3</v>
      </c>
      <c r="AN181" s="28">
        <f t="shared" si="49"/>
        <v>5.8932639862966018E-3</v>
      </c>
      <c r="AO181" s="28">
        <f t="shared" si="49"/>
        <v>6.015926079762964E-3</v>
      </c>
      <c r="AP181" s="28">
        <f t="shared" si="49"/>
        <v>6.1402055338910435E-3</v>
      </c>
      <c r="AQ181" s="28">
        <f t="shared" si="49"/>
        <v>6.266331762949981E-3</v>
      </c>
      <c r="AR181" s="28">
        <f t="shared" si="49"/>
        <v>6.4010164026291104E-3</v>
      </c>
      <c r="AS181" s="28">
        <f t="shared" si="49"/>
        <v>6.544222904657609E-3</v>
      </c>
      <c r="AT181" s="28">
        <f t="shared" si="49"/>
        <v>6.6249233396269902E-3</v>
      </c>
      <c r="AU181" s="28">
        <f t="shared" si="49"/>
        <v>6.7012526002480271E-3</v>
      </c>
      <c r="AV181" s="28">
        <f t="shared" si="49"/>
        <v>6.7861102667668991E-3</v>
      </c>
      <c r="AW181" s="28">
        <f t="shared" si="49"/>
        <v>6.8673471283418426E-3</v>
      </c>
      <c r="AY181" s="85"/>
    </row>
    <row r="182" spans="1:51" x14ac:dyDescent="0.25">
      <c r="A182" s="102" t="str">
        <f t="shared" si="45"/>
        <v>FA Mules MMCH4</v>
      </c>
      <c r="B182" s="102" t="s">
        <v>963</v>
      </c>
      <c r="C182" s="102" t="s">
        <v>1328</v>
      </c>
      <c r="D182" t="s">
        <v>15</v>
      </c>
      <c r="E182" t="s">
        <v>22</v>
      </c>
      <c r="F182" t="s">
        <v>140</v>
      </c>
      <c r="G182" t="s">
        <v>124</v>
      </c>
      <c r="H182" t="s">
        <v>1228</v>
      </c>
      <c r="I182" t="s">
        <v>121</v>
      </c>
      <c r="J182" t="s">
        <v>286</v>
      </c>
      <c r="K182" s="28">
        <f t="shared" si="47"/>
        <v>7.515E-4</v>
      </c>
      <c r="L182" s="28">
        <f t="shared" si="49"/>
        <v>7.515E-4</v>
      </c>
      <c r="M182" s="28">
        <f t="shared" si="49"/>
        <v>7.515E-4</v>
      </c>
      <c r="N182" s="28">
        <f t="shared" si="49"/>
        <v>7.515E-4</v>
      </c>
      <c r="O182" s="28">
        <f t="shared" si="49"/>
        <v>7.515E-4</v>
      </c>
      <c r="P182" s="28">
        <f t="shared" si="49"/>
        <v>7.515E-4</v>
      </c>
      <c r="Q182" s="28">
        <f t="shared" si="49"/>
        <v>7.515E-4</v>
      </c>
      <c r="R182" s="28">
        <f t="shared" si="49"/>
        <v>7.515E-4</v>
      </c>
      <c r="S182" s="28">
        <f t="shared" si="49"/>
        <v>7.515E-4</v>
      </c>
      <c r="T182" s="28">
        <f t="shared" si="49"/>
        <v>7.515E-4</v>
      </c>
      <c r="U182" s="28">
        <f t="shared" si="49"/>
        <v>7.515E-4</v>
      </c>
      <c r="V182" s="28">
        <f t="shared" si="49"/>
        <v>7.515E-4</v>
      </c>
      <c r="W182" s="28">
        <f t="shared" si="49"/>
        <v>7.515E-4</v>
      </c>
      <c r="X182" s="28">
        <f t="shared" si="49"/>
        <v>7.515E-4</v>
      </c>
      <c r="Y182" s="28">
        <f t="shared" si="49"/>
        <v>7.515E-4</v>
      </c>
      <c r="Z182" s="28">
        <f t="shared" si="49"/>
        <v>7.515E-4</v>
      </c>
      <c r="AA182" s="28">
        <f t="shared" si="49"/>
        <v>7.515E-4</v>
      </c>
      <c r="AB182" s="28">
        <f t="shared" si="49"/>
        <v>7.515E-4</v>
      </c>
      <c r="AC182" s="28">
        <f t="shared" si="49"/>
        <v>7.515E-4</v>
      </c>
      <c r="AD182" s="28">
        <f t="shared" si="49"/>
        <v>7.515E-4</v>
      </c>
      <c r="AE182" s="28">
        <f t="shared" si="49"/>
        <v>7.515E-4</v>
      </c>
      <c r="AF182" s="28">
        <f t="shared" si="49"/>
        <v>7.515E-4</v>
      </c>
      <c r="AG182" s="28">
        <f t="shared" si="49"/>
        <v>7.515E-4</v>
      </c>
      <c r="AH182" s="28">
        <f t="shared" si="49"/>
        <v>7.515E-4</v>
      </c>
      <c r="AI182" s="28">
        <f t="shared" si="49"/>
        <v>7.515E-4</v>
      </c>
      <c r="AJ182" s="28">
        <f t="shared" si="49"/>
        <v>7.515E-4</v>
      </c>
      <c r="AK182" s="28">
        <f t="shared" si="49"/>
        <v>7.515E-4</v>
      </c>
      <c r="AL182" s="28">
        <f t="shared" si="49"/>
        <v>7.515E-4</v>
      </c>
      <c r="AM182" s="28">
        <f t="shared" si="49"/>
        <v>7.515E-4</v>
      </c>
      <c r="AN182" s="28">
        <f t="shared" si="49"/>
        <v>7.515E-4</v>
      </c>
      <c r="AO182" s="28">
        <f t="shared" si="49"/>
        <v>7.515E-4</v>
      </c>
      <c r="AP182" s="28">
        <f t="shared" si="49"/>
        <v>7.515E-4</v>
      </c>
      <c r="AQ182" s="28">
        <f t="shared" si="49"/>
        <v>7.515E-4</v>
      </c>
      <c r="AR182" s="28">
        <f t="shared" si="49"/>
        <v>7.515E-4</v>
      </c>
      <c r="AS182" s="28">
        <f t="shared" si="49"/>
        <v>7.515E-4</v>
      </c>
      <c r="AT182" s="28">
        <f t="shared" si="49"/>
        <v>7.515E-4</v>
      </c>
      <c r="AU182" s="28">
        <f t="shared" si="49"/>
        <v>7.515E-4</v>
      </c>
      <c r="AV182" s="28">
        <f t="shared" si="49"/>
        <v>7.515E-4</v>
      </c>
      <c r="AW182" s="28">
        <f t="shared" si="49"/>
        <v>7.515E-4</v>
      </c>
      <c r="AY182" s="85"/>
    </row>
    <row r="183" spans="1:51" x14ac:dyDescent="0.25">
      <c r="A183" s="102" t="str">
        <f t="shared" si="45"/>
        <v>FA Swine MMCH4</v>
      </c>
      <c r="B183" s="102" t="s">
        <v>963</v>
      </c>
      <c r="C183" s="102" t="s">
        <v>1231</v>
      </c>
      <c r="D183" t="s">
        <v>15</v>
      </c>
      <c r="E183" t="s">
        <v>22</v>
      </c>
      <c r="F183" t="s">
        <v>21</v>
      </c>
      <c r="G183" t="s">
        <v>122</v>
      </c>
      <c r="H183" t="s">
        <v>1228</v>
      </c>
      <c r="I183" t="s">
        <v>121</v>
      </c>
      <c r="J183" t="s">
        <v>286</v>
      </c>
      <c r="K183" s="28">
        <f t="shared" si="47"/>
        <v>23.371743761076022</v>
      </c>
      <c r="L183" s="28">
        <f t="shared" si="49"/>
        <v>23.330436915239524</v>
      </c>
      <c r="M183" s="28">
        <f t="shared" si="49"/>
        <v>23.199540957083649</v>
      </c>
      <c r="N183" s="28">
        <f t="shared" si="49"/>
        <v>22.687613421640428</v>
      </c>
      <c r="O183" s="28">
        <f t="shared" si="49"/>
        <v>22.203503184399075</v>
      </c>
      <c r="P183" s="28">
        <f t="shared" si="49"/>
        <v>22.125366761256988</v>
      </c>
      <c r="Q183" s="28">
        <f t="shared" si="49"/>
        <v>21.935689428722483</v>
      </c>
      <c r="R183" s="28">
        <f t="shared" si="49"/>
        <v>21.35149621309353</v>
      </c>
      <c r="S183" s="28">
        <f t="shared" si="49"/>
        <v>19.044546726490758</v>
      </c>
      <c r="T183" s="28">
        <f t="shared" si="49"/>
        <v>19.454206590041967</v>
      </c>
      <c r="U183" s="28">
        <f t="shared" si="49"/>
        <v>19.642847548932107</v>
      </c>
      <c r="V183" s="28">
        <f t="shared" si="49"/>
        <v>19.780236351488622</v>
      </c>
      <c r="W183" s="28">
        <f t="shared" si="49"/>
        <v>19.991165183522316</v>
      </c>
      <c r="X183" s="28">
        <f t="shared" si="49"/>
        <v>20.459574437852073</v>
      </c>
      <c r="Y183" s="28">
        <f t="shared" si="49"/>
        <v>20.986742957293373</v>
      </c>
      <c r="Z183" s="28">
        <f t="shared" si="49"/>
        <v>21.566845728123951</v>
      </c>
      <c r="AA183" s="28">
        <f t="shared" si="49"/>
        <v>22.030719235951583</v>
      </c>
      <c r="AB183" s="28">
        <f t="shared" si="49"/>
        <v>22.598880859175789</v>
      </c>
      <c r="AC183" s="28">
        <f t="shared" si="49"/>
        <v>23.294180025092402</v>
      </c>
      <c r="AD183" s="28">
        <f t="shared" si="49"/>
        <v>23.952313754534117</v>
      </c>
      <c r="AE183" s="28">
        <f t="shared" si="49"/>
        <v>24.63728573195543</v>
      </c>
      <c r="AF183" s="28">
        <f t="shared" si="49"/>
        <v>25.326274059281189</v>
      </c>
      <c r="AG183" s="28">
        <f t="shared" si="49"/>
        <v>26.11204960463073</v>
      </c>
      <c r="AH183" s="28">
        <f t="shared" si="49"/>
        <v>26.749101858001481</v>
      </c>
      <c r="AI183" s="28">
        <f t="shared" si="49"/>
        <v>27.431724876299679</v>
      </c>
      <c r="AJ183" s="28">
        <f t="shared" si="49"/>
        <v>28.114476864503132</v>
      </c>
      <c r="AK183" s="28">
        <f t="shared" si="49"/>
        <v>28.734138944489672</v>
      </c>
      <c r="AL183" s="28">
        <f t="shared" si="49"/>
        <v>29.334581793903347</v>
      </c>
      <c r="AM183" s="28">
        <f t="shared" si="49"/>
        <v>29.953628904341453</v>
      </c>
      <c r="AN183" s="28">
        <f t="shared" si="49"/>
        <v>30.608088379613569</v>
      </c>
      <c r="AO183" s="28">
        <f t="shared" si="49"/>
        <v>31.183489146008849</v>
      </c>
      <c r="AP183" s="28">
        <f t="shared" si="49"/>
        <v>31.754697438156203</v>
      </c>
      <c r="AQ183" s="28">
        <f t="shared" si="49"/>
        <v>32.323232018651169</v>
      </c>
      <c r="AR183" s="28">
        <f t="shared" si="49"/>
        <v>32.939289105942862</v>
      </c>
      <c r="AS183" s="28">
        <f t="shared" si="49"/>
        <v>33.564283425055578</v>
      </c>
      <c r="AT183" s="28">
        <f t="shared" si="49"/>
        <v>33.710416184198159</v>
      </c>
      <c r="AU183" s="28">
        <f t="shared" si="49"/>
        <v>33.816346670611303</v>
      </c>
      <c r="AV183" s="28">
        <f t="shared" si="49"/>
        <v>33.97537205277176</v>
      </c>
      <c r="AW183" s="28">
        <f t="shared" si="49"/>
        <v>34.099539307658524</v>
      </c>
      <c r="AY183" s="85"/>
    </row>
    <row r="184" spans="1:51" x14ac:dyDescent="0.25">
      <c r="A184" s="102" t="str">
        <f t="shared" si="45"/>
        <v>FA Swine MMCH4</v>
      </c>
      <c r="B184" s="102" t="s">
        <v>963</v>
      </c>
      <c r="C184" s="102" t="s">
        <v>1231</v>
      </c>
      <c r="D184" t="s">
        <v>15</v>
      </c>
      <c r="E184" t="s">
        <v>22</v>
      </c>
      <c r="F184" t="s">
        <v>21</v>
      </c>
      <c r="G184" t="s">
        <v>123</v>
      </c>
      <c r="H184" t="s">
        <v>1228</v>
      </c>
      <c r="I184" t="s">
        <v>121</v>
      </c>
      <c r="J184" t="s">
        <v>286</v>
      </c>
      <c r="K184" s="28">
        <f t="shared" si="47"/>
        <v>7.8242315709845453E-2</v>
      </c>
      <c r="L184" s="28">
        <f t="shared" si="49"/>
        <v>7.8104031493402004E-2</v>
      </c>
      <c r="M184" s="28">
        <f t="shared" si="49"/>
        <v>7.7665827010763841E-2</v>
      </c>
      <c r="N184" s="28">
        <f t="shared" si="49"/>
        <v>7.5952031229919295E-2</v>
      </c>
      <c r="O184" s="28">
        <f t="shared" si="49"/>
        <v>7.4331360286072609E-2</v>
      </c>
      <c r="P184" s="28">
        <f t="shared" si="49"/>
        <v>7.4069780544722574E-2</v>
      </c>
      <c r="Q184" s="28">
        <f t="shared" si="49"/>
        <v>7.343479182129313E-2</v>
      </c>
      <c r="R184" s="28">
        <f t="shared" si="49"/>
        <v>7.1479069968441278E-2</v>
      </c>
      <c r="S184" s="28">
        <f t="shared" si="49"/>
        <v>6.3756023202968359E-2</v>
      </c>
      <c r="T184" s="28">
        <f t="shared" si="49"/>
        <v>6.5127454308207822E-2</v>
      </c>
      <c r="U184" s="28">
        <f t="shared" si="49"/>
        <v>6.5758973531256606E-2</v>
      </c>
      <c r="V184" s="28">
        <f t="shared" si="49"/>
        <v>6.6218914311650043E-2</v>
      </c>
      <c r="W184" s="28">
        <f t="shared" si="49"/>
        <v>6.6925047342929228E-2</v>
      </c>
      <c r="X184" s="28">
        <f t="shared" si="49"/>
        <v>6.8493155616464185E-2</v>
      </c>
      <c r="Y184" s="28">
        <f t="shared" si="49"/>
        <v>7.0257974114907237E-2</v>
      </c>
      <c r="Z184" s="28">
        <f t="shared" si="49"/>
        <v>7.2200002258099263E-2</v>
      </c>
      <c r="AA184" s="28">
        <f t="shared" si="49"/>
        <v>7.3752926071568817E-2</v>
      </c>
      <c r="AB184" s="28">
        <f t="shared" si="49"/>
        <v>7.5654978462394759E-2</v>
      </c>
      <c r="AC184" s="28">
        <f t="shared" si="49"/>
        <v>7.7982653171161778E-2</v>
      </c>
      <c r="AD184" s="28">
        <f t="shared" si="49"/>
        <v>8.0185907988803429E-2</v>
      </c>
      <c r="AE184" s="28">
        <f t="shared" si="49"/>
        <v>8.247901004647068E-2</v>
      </c>
      <c r="AF184" s="28">
        <f t="shared" si="49"/>
        <v>8.4785557764009881E-2</v>
      </c>
      <c r="AG184" s="28">
        <f t="shared" si="49"/>
        <v>8.7416123070767446E-2</v>
      </c>
      <c r="AH184" s="28">
        <f t="shared" si="49"/>
        <v>8.9548802773294175E-2</v>
      </c>
      <c r="AI184" s="28">
        <f t="shared" si="49"/>
        <v>9.1834041147225251E-2</v>
      </c>
      <c r="AJ184" s="28">
        <f t="shared" si="49"/>
        <v>9.4119711277731624E-2</v>
      </c>
      <c r="AK184" s="28">
        <f t="shared" si="49"/>
        <v>9.6194173354304288E-2</v>
      </c>
      <c r="AL184" s="28">
        <f t="shared" si="49"/>
        <v>9.820429461311192E-2</v>
      </c>
      <c r="AM184" s="28">
        <f t="shared" si="49"/>
        <v>0.10027669793694233</v>
      </c>
      <c r="AN184" s="28">
        <f t="shared" si="49"/>
        <v>0.10246765233927585</v>
      </c>
      <c r="AO184" s="28">
        <f t="shared" si="49"/>
        <v>0.10439393943553288</v>
      </c>
      <c r="AP184" s="28">
        <f t="shared" si="49"/>
        <v>0.10630619125495884</v>
      </c>
      <c r="AQ184" s="28">
        <f t="shared" si="49"/>
        <v>0.10820949220647513</v>
      </c>
      <c r="AR184" s="28">
        <f t="shared" si="49"/>
        <v>0.1102718857365395</v>
      </c>
      <c r="AS184" s="28">
        <f t="shared" si="49"/>
        <v>0.11236419871638305</v>
      </c>
      <c r="AT184" s="28">
        <f t="shared" si="49"/>
        <v>0.11285341191302209</v>
      </c>
      <c r="AU184" s="28">
        <f t="shared" si="49"/>
        <v>0.11320803870706722</v>
      </c>
      <c r="AV184" s="28">
        <f t="shared" si="49"/>
        <v>0.11374041293999027</v>
      </c>
      <c r="AW184" s="28">
        <f t="shared" si="49"/>
        <v>0.11415609153278124</v>
      </c>
      <c r="AY184" s="85"/>
    </row>
    <row r="185" spans="1:51" x14ac:dyDescent="0.25">
      <c r="A185" s="102" t="str">
        <f t="shared" si="45"/>
        <v>FA Poultry MMCH4</v>
      </c>
      <c r="B185" s="102" t="s">
        <v>963</v>
      </c>
      <c r="C185" s="102" t="s">
        <v>1232</v>
      </c>
      <c r="D185" t="s">
        <v>15</v>
      </c>
      <c r="E185" t="s">
        <v>22</v>
      </c>
      <c r="F185" t="s">
        <v>28</v>
      </c>
      <c r="G185" t="s">
        <v>131</v>
      </c>
      <c r="H185" t="s">
        <v>1228</v>
      </c>
      <c r="I185" t="s">
        <v>121</v>
      </c>
      <c r="J185" t="s">
        <v>286</v>
      </c>
      <c r="K185" s="28">
        <f t="shared" si="47"/>
        <v>0.55747442882718667</v>
      </c>
      <c r="L185" s="28">
        <f t="shared" si="49"/>
        <v>0.57000466235661118</v>
      </c>
      <c r="M185" s="28">
        <f t="shared" si="49"/>
        <v>0.58133812133078289</v>
      </c>
      <c r="N185" s="28">
        <f t="shared" si="49"/>
        <v>0.58718909348293968</v>
      </c>
      <c r="O185" s="28">
        <f t="shared" si="49"/>
        <v>0.59320136752099994</v>
      </c>
      <c r="P185" s="28">
        <f t="shared" si="49"/>
        <v>0.60517178839490071</v>
      </c>
      <c r="Q185" s="28">
        <f t="shared" si="49"/>
        <v>0.61540759790167998</v>
      </c>
      <c r="R185" s="28">
        <f t="shared" si="49"/>
        <v>0.61929285714109983</v>
      </c>
      <c r="S185" s="28">
        <f t="shared" si="49"/>
        <v>0.59469792033381752</v>
      </c>
      <c r="T185" s="28">
        <f t="shared" si="49"/>
        <v>0.6123961678050206</v>
      </c>
      <c r="U185" s="28">
        <f t="shared" si="49"/>
        <v>0.62670000214524924</v>
      </c>
      <c r="V185" s="28">
        <f t="shared" si="49"/>
        <v>0.64033072034628857</v>
      </c>
      <c r="W185" s="28">
        <f t="shared" si="49"/>
        <v>0.65546604439463374</v>
      </c>
      <c r="X185" s="28">
        <f t="shared" si="49"/>
        <v>0.67555681395741984</v>
      </c>
      <c r="Y185" s="28">
        <f t="shared" si="49"/>
        <v>0.69665833659280063</v>
      </c>
      <c r="Z185" s="28">
        <f t="shared" si="49"/>
        <v>0.7192776675745407</v>
      </c>
      <c r="AA185" s="28">
        <f t="shared" si="49"/>
        <v>0.74020059701318874</v>
      </c>
      <c r="AB185" s="28">
        <f t="shared" si="49"/>
        <v>0.7636741686553643</v>
      </c>
      <c r="AC185" s="28">
        <f t="shared" si="49"/>
        <v>0.79029892011866243</v>
      </c>
      <c r="AD185" s="28">
        <f t="shared" si="49"/>
        <v>0.81639549054517768</v>
      </c>
      <c r="AE185" s="28">
        <f t="shared" si="49"/>
        <v>0.84372718721281392</v>
      </c>
      <c r="AF185" s="28">
        <f t="shared" ref="L185:AW192" si="50">AF1407</f>
        <v>0.87185215188264154</v>
      </c>
      <c r="AG185" s="28">
        <f t="shared" si="50"/>
        <v>0.90282405951998446</v>
      </c>
      <c r="AH185" s="28">
        <f t="shared" si="50"/>
        <v>0.93129930364506475</v>
      </c>
      <c r="AI185" s="28">
        <f t="shared" si="50"/>
        <v>0.96108950462978437</v>
      </c>
      <c r="AJ185" s="28">
        <f t="shared" si="50"/>
        <v>0.99164854163197635</v>
      </c>
      <c r="AK185" s="28">
        <f t="shared" si="50"/>
        <v>1.0214996622641284</v>
      </c>
      <c r="AL185" s="28">
        <f t="shared" si="50"/>
        <v>1.0516345292230644</v>
      </c>
      <c r="AM185" s="28">
        <f t="shared" si="50"/>
        <v>1.0829748845958596</v>
      </c>
      <c r="AN185" s="28">
        <f t="shared" si="50"/>
        <v>1.1155704742631816</v>
      </c>
      <c r="AO185" s="28">
        <f t="shared" si="50"/>
        <v>1.1469836186626363</v>
      </c>
      <c r="AP185" s="28">
        <f t="shared" si="50"/>
        <v>1.1790678557525369</v>
      </c>
      <c r="AQ185" s="28">
        <f t="shared" si="50"/>
        <v>1.2118785602379014</v>
      </c>
      <c r="AR185" s="28">
        <f t="shared" si="50"/>
        <v>1.246786730113024</v>
      </c>
      <c r="AS185" s="28">
        <f t="shared" si="50"/>
        <v>1.2823996493212451</v>
      </c>
      <c r="AT185" s="28">
        <f t="shared" si="50"/>
        <v>1.3055397260898673</v>
      </c>
      <c r="AU185" s="28">
        <f t="shared" si="50"/>
        <v>1.3279825002684047</v>
      </c>
      <c r="AV185" s="28">
        <f t="shared" si="50"/>
        <v>1.3523851767933999</v>
      </c>
      <c r="AW185" s="28">
        <f t="shared" si="50"/>
        <v>1.3762491253290834</v>
      </c>
      <c r="AY185" s="85"/>
    </row>
    <row r="186" spans="1:51" x14ac:dyDescent="0.25">
      <c r="A186" s="102" t="str">
        <f t="shared" si="45"/>
        <v>FA Poultry MMCH4</v>
      </c>
      <c r="B186" s="102" t="s">
        <v>963</v>
      </c>
      <c r="C186" s="102" t="s">
        <v>1232</v>
      </c>
      <c r="D186" t="s">
        <v>15</v>
      </c>
      <c r="E186" t="s">
        <v>22</v>
      </c>
      <c r="F186" t="s">
        <v>28</v>
      </c>
      <c r="G186" t="s">
        <v>132</v>
      </c>
      <c r="H186" t="s">
        <v>1228</v>
      </c>
      <c r="I186" t="s">
        <v>121</v>
      </c>
      <c r="J186" t="s">
        <v>286</v>
      </c>
      <c r="K186" s="28">
        <f t="shared" si="47"/>
        <v>2.2247786627421906</v>
      </c>
      <c r="L186" s="28">
        <f t="shared" si="50"/>
        <v>2.2660704090846675</v>
      </c>
      <c r="M186" s="28">
        <f t="shared" si="50"/>
        <v>2.2931151480493956</v>
      </c>
      <c r="N186" s="28">
        <f t="shared" si="50"/>
        <v>2.263369089113628</v>
      </c>
      <c r="O186" s="28">
        <f t="shared" si="50"/>
        <v>2.2345214699411633</v>
      </c>
      <c r="P186" s="28">
        <f t="shared" si="50"/>
        <v>2.2631068961220624</v>
      </c>
      <c r="Q186" s="28">
        <f t="shared" si="50"/>
        <v>2.2741216722530595</v>
      </c>
      <c r="R186" s="28">
        <f t="shared" si="50"/>
        <v>2.2236230251769533</v>
      </c>
      <c r="S186" s="28">
        <f t="shared" si="50"/>
        <v>1.9032751826814061</v>
      </c>
      <c r="T186" s="28">
        <f t="shared" si="50"/>
        <v>2.0050045794652438</v>
      </c>
      <c r="U186" s="28">
        <f t="shared" si="50"/>
        <v>2.0731097774643854</v>
      </c>
      <c r="V186" s="28">
        <f t="shared" si="50"/>
        <v>2.1336466102427849</v>
      </c>
      <c r="W186" s="28">
        <f t="shared" si="50"/>
        <v>2.2067504039451395</v>
      </c>
      <c r="X186" s="28">
        <f t="shared" si="50"/>
        <v>2.3234221592291906</v>
      </c>
      <c r="Y186" s="28">
        <f t="shared" si="50"/>
        <v>2.453906612866656</v>
      </c>
      <c r="Z186" s="28">
        <f t="shared" si="50"/>
        <v>2.5958043881375255</v>
      </c>
      <c r="AA186" s="28">
        <f t="shared" si="50"/>
        <v>2.7204030410253512</v>
      </c>
      <c r="AB186" s="28">
        <f t="shared" si="50"/>
        <v>2.8654695762209732</v>
      </c>
      <c r="AC186" s="28">
        <f t="shared" si="50"/>
        <v>3.0358111573505431</v>
      </c>
      <c r="AD186" s="28">
        <f t="shared" si="50"/>
        <v>3.2044547295521539</v>
      </c>
      <c r="AE186" s="28">
        <f t="shared" si="50"/>
        <v>3.3813518114103016</v>
      </c>
      <c r="AF186" s="28">
        <f t="shared" si="50"/>
        <v>3.5625886999419771</v>
      </c>
      <c r="AG186" s="28">
        <f t="shared" si="50"/>
        <v>3.7655312365602969</v>
      </c>
      <c r="AH186" s="28">
        <f t="shared" si="50"/>
        <v>3.9447479907962553</v>
      </c>
      <c r="AI186" s="28">
        <f t="shared" si="50"/>
        <v>4.137705183266208</v>
      </c>
      <c r="AJ186" s="28">
        <f t="shared" si="50"/>
        <v>4.3346785117208917</v>
      </c>
      <c r="AK186" s="28">
        <f t="shared" si="50"/>
        <v>4.5234159579201654</v>
      </c>
      <c r="AL186" s="28">
        <f t="shared" si="50"/>
        <v>4.7122444809677875</v>
      </c>
      <c r="AM186" s="28">
        <f t="shared" si="50"/>
        <v>4.9087124214298683</v>
      </c>
      <c r="AN186" s="28">
        <f t="shared" si="50"/>
        <v>5.1177627309781579</v>
      </c>
      <c r="AO186" s="28">
        <f t="shared" si="50"/>
        <v>5.3149689082675069</v>
      </c>
      <c r="AP186" s="28">
        <f t="shared" si="50"/>
        <v>5.5154282999919104</v>
      </c>
      <c r="AQ186" s="28">
        <f t="shared" si="50"/>
        <v>5.7195487127572893</v>
      </c>
      <c r="AR186" s="28">
        <f t="shared" si="50"/>
        <v>5.93816190134776</v>
      </c>
      <c r="AS186" s="28">
        <f t="shared" si="50"/>
        <v>6.1647117891186287</v>
      </c>
      <c r="AT186" s="28">
        <f t="shared" si="50"/>
        <v>6.2911645282791966</v>
      </c>
      <c r="AU186" s="28">
        <f t="shared" si="50"/>
        <v>6.4110178863707459</v>
      </c>
      <c r="AV186" s="28">
        <f t="shared" si="50"/>
        <v>6.5450035893341036</v>
      </c>
      <c r="AW186" s="28">
        <f t="shared" si="50"/>
        <v>6.6736178617827129</v>
      </c>
      <c r="AY186" s="85"/>
    </row>
    <row r="187" spans="1:51" x14ac:dyDescent="0.25">
      <c r="A187" s="102" t="str">
        <f t="shared" si="45"/>
        <v>FA Poultry MMCH4</v>
      </c>
      <c r="B187" s="102" t="s">
        <v>963</v>
      </c>
      <c r="C187" s="102" t="s">
        <v>1232</v>
      </c>
      <c r="D187" t="s">
        <v>15</v>
      </c>
      <c r="E187" t="s">
        <v>22</v>
      </c>
      <c r="F187" t="s">
        <v>28</v>
      </c>
      <c r="G187" t="s">
        <v>134</v>
      </c>
      <c r="H187" t="s">
        <v>1228</v>
      </c>
      <c r="I187" t="s">
        <v>121</v>
      </c>
      <c r="J187" t="s">
        <v>286</v>
      </c>
      <c r="K187" s="28">
        <f t="shared" si="47"/>
        <v>2.3228101201132799E-2</v>
      </c>
      <c r="L187" s="28">
        <f t="shared" si="50"/>
        <v>2.3750194264858821E-2</v>
      </c>
      <c r="M187" s="28">
        <f t="shared" si="50"/>
        <v>2.4222421722115972E-2</v>
      </c>
      <c r="N187" s="28">
        <f t="shared" si="50"/>
        <v>2.4466212228455842E-2</v>
      </c>
      <c r="O187" s="28">
        <f t="shared" si="50"/>
        <v>2.4716723646708353E-2</v>
      </c>
      <c r="P187" s="28">
        <f t="shared" si="50"/>
        <v>2.5215491183120883E-2</v>
      </c>
      <c r="Q187" s="28">
        <f t="shared" si="50"/>
        <v>2.564198324590336E-2</v>
      </c>
      <c r="R187" s="28">
        <f t="shared" si="50"/>
        <v>2.5803869047545849E-2</v>
      </c>
      <c r="S187" s="28">
        <f t="shared" si="50"/>
        <v>2.4779080013909088E-2</v>
      </c>
      <c r="T187" s="28">
        <f t="shared" si="50"/>
        <v>2.5516506991875881E-2</v>
      </c>
      <c r="U187" s="28">
        <f t="shared" si="50"/>
        <v>2.6112500089385413E-2</v>
      </c>
      <c r="V187" s="28">
        <f t="shared" si="50"/>
        <v>2.6680446681095382E-2</v>
      </c>
      <c r="W187" s="28">
        <f t="shared" si="50"/>
        <v>2.7311085183109759E-2</v>
      </c>
      <c r="X187" s="28">
        <f t="shared" si="50"/>
        <v>2.8148200581559191E-2</v>
      </c>
      <c r="Y187" s="28">
        <f t="shared" si="50"/>
        <v>2.9027430691366724E-2</v>
      </c>
      <c r="Z187" s="28">
        <f t="shared" si="50"/>
        <v>2.9969902815605892E-2</v>
      </c>
      <c r="AA187" s="28">
        <f t="shared" si="50"/>
        <v>3.0841691542216221E-2</v>
      </c>
      <c r="AB187" s="28">
        <f t="shared" si="50"/>
        <v>3.1819757027306869E-2</v>
      </c>
      <c r="AC187" s="28">
        <f t="shared" si="50"/>
        <v>3.292912167161096E-2</v>
      </c>
      <c r="AD187" s="28">
        <f t="shared" si="50"/>
        <v>3.4016478772715769E-2</v>
      </c>
      <c r="AE187" s="28">
        <f t="shared" si="50"/>
        <v>3.5155299467200612E-2</v>
      </c>
      <c r="AF187" s="28">
        <f t="shared" si="50"/>
        <v>3.6327172995110089E-2</v>
      </c>
      <c r="AG187" s="28">
        <f t="shared" si="50"/>
        <v>3.7617669146666054E-2</v>
      </c>
      <c r="AH187" s="28">
        <f t="shared" si="50"/>
        <v>3.8804137651877735E-2</v>
      </c>
      <c r="AI187" s="28">
        <f t="shared" si="50"/>
        <v>4.0045396026241048E-2</v>
      </c>
      <c r="AJ187" s="28">
        <f t="shared" si="50"/>
        <v>4.1318689234665709E-2</v>
      </c>
      <c r="AK187" s="28">
        <f t="shared" si="50"/>
        <v>4.2562485927672068E-2</v>
      </c>
      <c r="AL187" s="28">
        <f t="shared" si="50"/>
        <v>4.3818105384294391E-2</v>
      </c>
      <c r="AM187" s="28">
        <f t="shared" si="50"/>
        <v>4.5123953524827516E-2</v>
      </c>
      <c r="AN187" s="28">
        <f t="shared" si="50"/>
        <v>4.6482103094299274E-2</v>
      </c>
      <c r="AO187" s="28">
        <f t="shared" si="50"/>
        <v>4.7790984110943228E-2</v>
      </c>
      <c r="AP187" s="28">
        <f t="shared" si="50"/>
        <v>4.912782732302242E-2</v>
      </c>
      <c r="AQ187" s="28">
        <f t="shared" si="50"/>
        <v>5.0494940009912614E-2</v>
      </c>
      <c r="AR187" s="28">
        <f t="shared" si="50"/>
        <v>5.1949447088042722E-2</v>
      </c>
      <c r="AS187" s="28">
        <f t="shared" si="50"/>
        <v>5.3433318721718588E-2</v>
      </c>
      <c r="AT187" s="28">
        <f t="shared" si="50"/>
        <v>5.4397488587077859E-2</v>
      </c>
      <c r="AU187" s="28">
        <f t="shared" si="50"/>
        <v>5.5332604177850256E-2</v>
      </c>
      <c r="AV187" s="28">
        <f t="shared" si="50"/>
        <v>5.6349382366391719E-2</v>
      </c>
      <c r="AW187" s="28">
        <f t="shared" si="50"/>
        <v>5.7343713555378532E-2</v>
      </c>
      <c r="AY187" s="85"/>
    </row>
    <row r="188" spans="1:51" x14ac:dyDescent="0.25">
      <c r="A188" s="102" t="str">
        <f t="shared" si="45"/>
        <v>FA Poultry MMCH4</v>
      </c>
      <c r="B188" s="102" t="s">
        <v>963</v>
      </c>
      <c r="C188" s="102" t="s">
        <v>1232</v>
      </c>
      <c r="D188" t="s">
        <v>15</v>
      </c>
      <c r="E188" t="s">
        <v>22</v>
      </c>
      <c r="F188" t="s">
        <v>28</v>
      </c>
      <c r="G188" t="s">
        <v>133</v>
      </c>
      <c r="H188" t="s">
        <v>1228</v>
      </c>
      <c r="I188" t="s">
        <v>121</v>
      </c>
      <c r="J188" t="s">
        <v>286</v>
      </c>
      <c r="K188" s="28">
        <f t="shared" si="47"/>
        <v>9.2699110947591354E-2</v>
      </c>
      <c r="L188" s="28">
        <f t="shared" si="50"/>
        <v>9.4419600378527896E-2</v>
      </c>
      <c r="M188" s="28">
        <f t="shared" si="50"/>
        <v>9.554646450205824E-2</v>
      </c>
      <c r="N188" s="28">
        <f t="shared" si="50"/>
        <v>9.4307045379734583E-2</v>
      </c>
      <c r="O188" s="28">
        <f t="shared" si="50"/>
        <v>9.3105061247548568E-2</v>
      </c>
      <c r="P188" s="28">
        <f t="shared" si="50"/>
        <v>9.4296120671752692E-2</v>
      </c>
      <c r="Q188" s="28">
        <f t="shared" si="50"/>
        <v>9.4755069677210882E-2</v>
      </c>
      <c r="R188" s="28">
        <f t="shared" si="50"/>
        <v>9.2650959382373138E-2</v>
      </c>
      <c r="S188" s="28">
        <f t="shared" si="50"/>
        <v>7.9303132611725335E-2</v>
      </c>
      <c r="T188" s="28">
        <f t="shared" si="50"/>
        <v>8.354185747771857E-2</v>
      </c>
      <c r="U188" s="28">
        <f t="shared" si="50"/>
        <v>8.6379574061016151E-2</v>
      </c>
      <c r="V188" s="28">
        <f t="shared" si="50"/>
        <v>8.8901942093449454E-2</v>
      </c>
      <c r="W188" s="28">
        <f t="shared" si="50"/>
        <v>9.1947933497714227E-2</v>
      </c>
      <c r="X188" s="28">
        <f t="shared" si="50"/>
        <v>9.6809256634549701E-2</v>
      </c>
      <c r="Y188" s="28">
        <f t="shared" si="50"/>
        <v>0.10224610886944407</v>
      </c>
      <c r="Z188" s="28">
        <f t="shared" si="50"/>
        <v>0.108158516172397</v>
      </c>
      <c r="AA188" s="28">
        <f t="shared" si="50"/>
        <v>0.11335012670938974</v>
      </c>
      <c r="AB188" s="28">
        <f t="shared" si="50"/>
        <v>0.11939456567587402</v>
      </c>
      <c r="AC188" s="28">
        <f t="shared" si="50"/>
        <v>0.12649213155627276</v>
      </c>
      <c r="AD188" s="28">
        <f t="shared" si="50"/>
        <v>0.13351894706467321</v>
      </c>
      <c r="AE188" s="28">
        <f t="shared" si="50"/>
        <v>0.14088965880876272</v>
      </c>
      <c r="AF188" s="28">
        <f t="shared" si="50"/>
        <v>0.14844119583091583</v>
      </c>
      <c r="AG188" s="28">
        <f t="shared" si="50"/>
        <v>0.15689713485667917</v>
      </c>
      <c r="AH188" s="28">
        <f t="shared" si="50"/>
        <v>0.16436449961651078</v>
      </c>
      <c r="AI188" s="28">
        <f t="shared" si="50"/>
        <v>0.1724043826360922</v>
      </c>
      <c r="AJ188" s="28">
        <f t="shared" si="50"/>
        <v>0.18061160465503734</v>
      </c>
      <c r="AK188" s="28">
        <f t="shared" si="50"/>
        <v>0.18847566491334045</v>
      </c>
      <c r="AL188" s="28">
        <f t="shared" si="50"/>
        <v>0.19634352004032468</v>
      </c>
      <c r="AM188" s="28">
        <f t="shared" si="50"/>
        <v>0.20452968422624468</v>
      </c>
      <c r="AN188" s="28">
        <f t="shared" si="50"/>
        <v>0.21324011379075677</v>
      </c>
      <c r="AO188" s="28">
        <f t="shared" si="50"/>
        <v>0.22145703784447965</v>
      </c>
      <c r="AP188" s="28">
        <f t="shared" si="50"/>
        <v>0.22980951249966317</v>
      </c>
      <c r="AQ188" s="28">
        <f t="shared" si="50"/>
        <v>0.23831452969822062</v>
      </c>
      <c r="AR188" s="28">
        <f t="shared" si="50"/>
        <v>0.24742341255615688</v>
      </c>
      <c r="AS188" s="28">
        <f t="shared" si="50"/>
        <v>0.25686299121327644</v>
      </c>
      <c r="AT188" s="28">
        <f t="shared" si="50"/>
        <v>0.26213185534496675</v>
      </c>
      <c r="AU188" s="28">
        <f t="shared" si="50"/>
        <v>0.26712574526544797</v>
      </c>
      <c r="AV188" s="28">
        <f t="shared" si="50"/>
        <v>0.27270848288892124</v>
      </c>
      <c r="AW188" s="28">
        <f t="shared" si="50"/>
        <v>0.27806741090761328</v>
      </c>
      <c r="AY188" s="85"/>
    </row>
    <row r="189" spans="1:51" x14ac:dyDescent="0.25">
      <c r="A189" s="102" t="str">
        <f t="shared" si="45"/>
        <v>FA Cattle MMN2O</v>
      </c>
      <c r="B189" s="102" t="s">
        <v>963</v>
      </c>
      <c r="C189" s="102" t="s">
        <v>1233</v>
      </c>
      <c r="D189" t="s">
        <v>15</v>
      </c>
      <c r="E189" t="s">
        <v>657</v>
      </c>
      <c r="F189" t="s">
        <v>6</v>
      </c>
      <c r="G189" t="s">
        <v>136</v>
      </c>
      <c r="H189" t="s">
        <v>1228</v>
      </c>
      <c r="I189" t="s">
        <v>139</v>
      </c>
      <c r="J189" t="s">
        <v>287</v>
      </c>
      <c r="K189" s="28">
        <f t="shared" si="47"/>
        <v>5.9534544879771355E-2</v>
      </c>
      <c r="L189" s="28">
        <f t="shared" si="50"/>
        <v>5.9936525469365599E-2</v>
      </c>
      <c r="M189" s="28">
        <f t="shared" si="50"/>
        <v>6.0288156660896548E-2</v>
      </c>
      <c r="N189" s="28">
        <f t="shared" si="50"/>
        <v>6.0333640892584528E-2</v>
      </c>
      <c r="O189" s="28">
        <f t="shared" si="50"/>
        <v>6.0411983022035293E-2</v>
      </c>
      <c r="P189" s="28">
        <f t="shared" si="50"/>
        <v>6.086149571042291E-2</v>
      </c>
      <c r="Q189" s="28">
        <f t="shared" si="50"/>
        <v>6.1220941265471868E-2</v>
      </c>
      <c r="R189" s="28">
        <f t="shared" si="50"/>
        <v>6.1224092905712291E-2</v>
      </c>
      <c r="S189" s="28">
        <f t="shared" si="50"/>
        <v>5.9602036939561669E-2</v>
      </c>
      <c r="T189" s="28">
        <f t="shared" si="50"/>
        <v>6.0385643196681223E-2</v>
      </c>
      <c r="U189" s="28">
        <f t="shared" si="50"/>
        <v>6.0978819669853017E-2</v>
      </c>
      <c r="V189" s="28">
        <f t="shared" si="50"/>
        <v>6.1538467635372317E-2</v>
      </c>
      <c r="W189" s="28">
        <f t="shared" si="50"/>
        <v>6.2187395948101611E-2</v>
      </c>
      <c r="X189" s="28">
        <f t="shared" si="50"/>
        <v>6.3117211952635158E-2</v>
      </c>
      <c r="Y189" s="28">
        <f t="shared" si="50"/>
        <v>6.4085258604249157E-2</v>
      </c>
      <c r="Z189" s="28">
        <f t="shared" si="50"/>
        <v>6.5136775789421397E-2</v>
      </c>
      <c r="AA189" s="28">
        <f t="shared" si="50"/>
        <v>6.6093023202577678E-2</v>
      </c>
      <c r="AB189" s="28">
        <f t="shared" si="50"/>
        <v>6.7188649433805245E-2</v>
      </c>
      <c r="AC189" s="28">
        <f t="shared" si="50"/>
        <v>6.8454554232404832E-2</v>
      </c>
      <c r="AD189" s="28">
        <f t="shared" si="50"/>
        <v>6.9673307405983362E-2</v>
      </c>
      <c r="AE189" s="28">
        <f t="shared" si="50"/>
        <v>7.0955599019075E-2</v>
      </c>
      <c r="AF189" s="28">
        <f t="shared" si="50"/>
        <v>7.2276783381790194E-2</v>
      </c>
      <c r="AG189" s="28">
        <f t="shared" si="50"/>
        <v>7.3746887396473032E-2</v>
      </c>
      <c r="AH189" s="28">
        <f t="shared" si="50"/>
        <v>7.5077879884479282E-2</v>
      </c>
      <c r="AI189" s="28">
        <f t="shared" si="50"/>
        <v>7.6460929017735491E-2</v>
      </c>
      <c r="AJ189" s="28">
        <f t="shared" si="50"/>
        <v>7.7880128375373087E-2</v>
      </c>
      <c r="AK189" s="28">
        <f t="shared" si="50"/>
        <v>7.925690413110191E-2</v>
      </c>
      <c r="AL189" s="28">
        <f t="shared" si="50"/>
        <v>8.0644114608921846E-2</v>
      </c>
      <c r="AM189" s="28">
        <f t="shared" si="50"/>
        <v>8.2090170284588052E-2</v>
      </c>
      <c r="AN189" s="28">
        <f t="shared" si="50"/>
        <v>8.3584106491488411E-2</v>
      </c>
      <c r="AO189" s="28">
        <f t="shared" si="50"/>
        <v>8.5010968574935772E-2</v>
      </c>
      <c r="AP189" s="28">
        <f t="shared" si="50"/>
        <v>8.6467971698133472E-2</v>
      </c>
      <c r="AQ189" s="28">
        <f t="shared" si="50"/>
        <v>8.7957741718516017E-2</v>
      </c>
      <c r="AR189" s="28">
        <f t="shared" si="50"/>
        <v>8.9550905410436282E-2</v>
      </c>
      <c r="AS189" s="28">
        <f t="shared" si="50"/>
        <v>9.1161603152246209E-2</v>
      </c>
      <c r="AT189" s="28">
        <f t="shared" si="50"/>
        <v>9.2125625118884502E-2</v>
      </c>
      <c r="AU189" s="28">
        <f t="shared" si="50"/>
        <v>9.3052192745030571E-2</v>
      </c>
      <c r="AV189" s="28">
        <f t="shared" si="50"/>
        <v>9.4077328885209005E-2</v>
      </c>
      <c r="AW189" s="28">
        <f t="shared" si="50"/>
        <v>9.5072920340837683E-2</v>
      </c>
      <c r="AY189" s="85"/>
    </row>
    <row r="190" spans="1:51" x14ac:dyDescent="0.25">
      <c r="A190" s="102" t="str">
        <f t="shared" si="45"/>
        <v>FA Cattle MMN2O</v>
      </c>
      <c r="B190" s="102" t="s">
        <v>963</v>
      </c>
      <c r="C190" s="102" t="s">
        <v>1233</v>
      </c>
      <c r="D190" t="s">
        <v>15</v>
      </c>
      <c r="E190" t="s">
        <v>657</v>
      </c>
      <c r="F190" t="s">
        <v>6</v>
      </c>
      <c r="G190" t="s">
        <v>137</v>
      </c>
      <c r="H190" t="s">
        <v>1228</v>
      </c>
      <c r="I190" t="s">
        <v>139</v>
      </c>
      <c r="J190" t="s">
        <v>287</v>
      </c>
      <c r="K190" s="28">
        <f t="shared" si="47"/>
        <v>0.26067987133037912</v>
      </c>
      <c r="L190" s="28">
        <f t="shared" si="50"/>
        <v>0.2624399964574689</v>
      </c>
      <c r="M190" s="28">
        <f t="shared" si="50"/>
        <v>0.26397966009224005</v>
      </c>
      <c r="N190" s="28">
        <f t="shared" si="50"/>
        <v>0.26417881881072747</v>
      </c>
      <c r="O190" s="28">
        <f t="shared" si="50"/>
        <v>0.26452185017623492</v>
      </c>
      <c r="P190" s="28">
        <f t="shared" si="50"/>
        <v>0.26649010087852709</v>
      </c>
      <c r="Q190" s="28">
        <f t="shared" si="50"/>
        <v>0.26806398073650983</v>
      </c>
      <c r="R190" s="28">
        <f t="shared" si="50"/>
        <v>0.26807778060974324</v>
      </c>
      <c r="S190" s="28">
        <f t="shared" si="50"/>
        <v>0.26097539423220861</v>
      </c>
      <c r="T190" s="28">
        <f t="shared" si="50"/>
        <v>0.26440651777051938</v>
      </c>
      <c r="U190" s="28">
        <f t="shared" si="50"/>
        <v>0.26700381933744832</v>
      </c>
      <c r="V190" s="28">
        <f t="shared" si="50"/>
        <v>0.26945431190334429</v>
      </c>
      <c r="W190" s="28">
        <f t="shared" si="50"/>
        <v>0.27229573026652365</v>
      </c>
      <c r="X190" s="28">
        <f t="shared" si="50"/>
        <v>0.27636705250325572</v>
      </c>
      <c r="Y190" s="28">
        <f t="shared" si="50"/>
        <v>0.28060577267982134</v>
      </c>
      <c r="Z190" s="28">
        <f t="shared" si="50"/>
        <v>0.28520997961691874</v>
      </c>
      <c r="AA190" s="28">
        <f t="shared" si="50"/>
        <v>0.2893970352688095</v>
      </c>
      <c r="AB190" s="28">
        <f t="shared" si="50"/>
        <v>0.29419437949239208</v>
      </c>
      <c r="AC190" s="28">
        <f t="shared" si="50"/>
        <v>0.2997373109229064</v>
      </c>
      <c r="AD190" s="28">
        <f t="shared" si="50"/>
        <v>0.3050737827329042</v>
      </c>
      <c r="AE190" s="28">
        <f t="shared" si="50"/>
        <v>0.31068846599593736</v>
      </c>
      <c r="AF190" s="28">
        <f t="shared" si="50"/>
        <v>0.31647344630227597</v>
      </c>
      <c r="AG190" s="28">
        <f t="shared" si="50"/>
        <v>0.32291049098219599</v>
      </c>
      <c r="AH190" s="28">
        <f t="shared" si="50"/>
        <v>0.32873841746111437</v>
      </c>
      <c r="AI190" s="28">
        <f t="shared" si="50"/>
        <v>0.33479428083974455</v>
      </c>
      <c r="AJ190" s="28">
        <f t="shared" si="50"/>
        <v>0.34100843275252468</v>
      </c>
      <c r="AK190" s="28">
        <f t="shared" si="50"/>
        <v>0.34703682731872076</v>
      </c>
      <c r="AL190" s="28">
        <f t="shared" si="50"/>
        <v>0.35311091169438086</v>
      </c>
      <c r="AM190" s="28">
        <f t="shared" si="50"/>
        <v>0.35944265754429855</v>
      </c>
      <c r="AN190" s="28">
        <f t="shared" si="50"/>
        <v>0.3659840546269007</v>
      </c>
      <c r="AO190" s="28">
        <f t="shared" si="50"/>
        <v>0.3722317587971502</v>
      </c>
      <c r="AP190" s="28">
        <f t="shared" si="50"/>
        <v>0.37861143949262133</v>
      </c>
      <c r="AQ190" s="28">
        <f t="shared" si="50"/>
        <v>0.38513459437705777</v>
      </c>
      <c r="AR190" s="28">
        <f t="shared" si="50"/>
        <v>0.39211047211420524</v>
      </c>
      <c r="AS190" s="28">
        <f t="shared" si="50"/>
        <v>0.3991631250056496</v>
      </c>
      <c r="AT190" s="28">
        <f t="shared" si="50"/>
        <v>0.40338422256724893</v>
      </c>
      <c r="AU190" s="28">
        <f t="shared" si="50"/>
        <v>0.40744132134998817</v>
      </c>
      <c r="AV190" s="28">
        <f t="shared" si="50"/>
        <v>0.41193001539573099</v>
      </c>
      <c r="AW190" s="28">
        <f t="shared" si="50"/>
        <v>0.41628934413629709</v>
      </c>
      <c r="AY190" s="85"/>
    </row>
    <row r="191" spans="1:51" x14ac:dyDescent="0.25">
      <c r="A191" s="102" t="str">
        <f t="shared" si="45"/>
        <v>FA Cattle MMN2O</v>
      </c>
      <c r="B191" s="102" t="s">
        <v>963</v>
      </c>
      <c r="C191" s="102" t="s">
        <v>1233</v>
      </c>
      <c r="D191" t="s">
        <v>15</v>
      </c>
      <c r="E191" t="s">
        <v>657</v>
      </c>
      <c r="F191" t="s">
        <v>67</v>
      </c>
      <c r="G191" t="s">
        <v>307</v>
      </c>
      <c r="H191" t="s">
        <v>1228</v>
      </c>
      <c r="I191" t="s">
        <v>139</v>
      </c>
      <c r="J191" t="s">
        <v>287</v>
      </c>
      <c r="K191" s="28">
        <f t="shared" si="47"/>
        <v>1.1598714945443948E-2</v>
      </c>
      <c r="L191" s="28">
        <f t="shared" si="50"/>
        <v>1.1677030119965246E-2</v>
      </c>
      <c r="M191" s="28">
        <f t="shared" si="50"/>
        <v>1.1745536059915416E-2</v>
      </c>
      <c r="N191" s="28">
        <f t="shared" si="50"/>
        <v>1.1754397446845087E-2</v>
      </c>
      <c r="O191" s="28">
        <f t="shared" si="50"/>
        <v>1.1769660316991377E-2</v>
      </c>
      <c r="P191" s="28">
        <f t="shared" si="50"/>
        <v>1.1857235850616387E-2</v>
      </c>
      <c r="Q191" s="28">
        <f t="shared" si="50"/>
        <v>1.1927264210450818E-2</v>
      </c>
      <c r="R191" s="28">
        <f t="shared" si="50"/>
        <v>1.1927878223320707E-2</v>
      </c>
      <c r="S191" s="28">
        <f t="shared" si="50"/>
        <v>1.1611863969496622E-2</v>
      </c>
      <c r="T191" s="28">
        <f t="shared" si="50"/>
        <v>1.1764528705981136E-2</v>
      </c>
      <c r="U191" s="28">
        <f t="shared" si="50"/>
        <v>1.1880093288503061E-2</v>
      </c>
      <c r="V191" s="28">
        <f t="shared" si="50"/>
        <v>1.1989125737394114E-2</v>
      </c>
      <c r="W191" s="28">
        <f t="shared" si="50"/>
        <v>1.2115552075826281E-2</v>
      </c>
      <c r="X191" s="28">
        <f t="shared" si="50"/>
        <v>1.2296701873982557E-2</v>
      </c>
      <c r="Y191" s="28">
        <f t="shared" si="50"/>
        <v>1.2485299891967528E-2</v>
      </c>
      <c r="Z191" s="28">
        <f t="shared" si="50"/>
        <v>1.2690159912577046E-2</v>
      </c>
      <c r="AA191" s="28">
        <f t="shared" si="50"/>
        <v>1.2876459164295801E-2</v>
      </c>
      <c r="AB191" s="28">
        <f t="shared" si="50"/>
        <v>1.3089912653667775E-2</v>
      </c>
      <c r="AC191" s="28">
        <f t="shared" si="50"/>
        <v>1.3336540371015372E-2</v>
      </c>
      <c r="AD191" s="28">
        <f t="shared" si="50"/>
        <v>1.3573981854405228E-2</v>
      </c>
      <c r="AE191" s="28">
        <f t="shared" si="50"/>
        <v>1.3823802104601461E-2</v>
      </c>
      <c r="AF191" s="28">
        <f t="shared" si="50"/>
        <v>1.4081199567611519E-2</v>
      </c>
      <c r="AG191" s="28">
        <f t="shared" si="50"/>
        <v>1.4367610044770513E-2</v>
      </c>
      <c r="AH191" s="28">
        <f t="shared" si="50"/>
        <v>1.4626918358860899E-2</v>
      </c>
      <c r="AI191" s="28">
        <f t="shared" si="50"/>
        <v>1.4896368519008723E-2</v>
      </c>
      <c r="AJ191" s="28">
        <f t="shared" si="50"/>
        <v>1.5172861584223856E-2</v>
      </c>
      <c r="AK191" s="28">
        <f t="shared" si="50"/>
        <v>1.5441089544423183E-2</v>
      </c>
      <c r="AL191" s="28">
        <f t="shared" si="50"/>
        <v>1.5711350431342863E-2</v>
      </c>
      <c r="AM191" s="28">
        <f t="shared" si="50"/>
        <v>1.5993075732362048E-2</v>
      </c>
      <c r="AN191" s="28">
        <f t="shared" si="50"/>
        <v>1.6284129275233806E-2</v>
      </c>
      <c r="AO191" s="28">
        <f t="shared" si="50"/>
        <v>1.6562115217778419E-2</v>
      </c>
      <c r="AP191" s="28">
        <f t="shared" si="50"/>
        <v>1.6845973336366879E-2</v>
      </c>
      <c r="AQ191" s="28">
        <f t="shared" si="50"/>
        <v>1.7136215209141423E-2</v>
      </c>
      <c r="AR191" s="28">
        <f t="shared" si="50"/>
        <v>1.7446600575508658E-2</v>
      </c>
      <c r="AS191" s="28">
        <f t="shared" si="50"/>
        <v>1.7760401982880657E-2</v>
      </c>
      <c r="AT191" s="28">
        <f t="shared" si="50"/>
        <v>1.7948215898562121E-2</v>
      </c>
      <c r="AU191" s="28">
        <f t="shared" si="50"/>
        <v>1.8128732837005983E-2</v>
      </c>
      <c r="AV191" s="28">
        <f t="shared" si="50"/>
        <v>1.8328453216060109E-2</v>
      </c>
      <c r="AW191" s="28">
        <f t="shared" si="50"/>
        <v>1.852241760294299E-2</v>
      </c>
      <c r="AY191" s="85"/>
    </row>
    <row r="192" spans="1:51" x14ac:dyDescent="0.25">
      <c r="A192" s="102" t="str">
        <f t="shared" si="45"/>
        <v>FA Cattle MMN2O</v>
      </c>
      <c r="B192" s="102" t="s">
        <v>963</v>
      </c>
      <c r="C192" s="102" t="s">
        <v>1233</v>
      </c>
      <c r="D192" t="s">
        <v>15</v>
      </c>
      <c r="E192" t="s">
        <v>657</v>
      </c>
      <c r="F192" t="s">
        <v>67</v>
      </c>
      <c r="G192" t="s">
        <v>122</v>
      </c>
      <c r="H192" t="s">
        <v>1228</v>
      </c>
      <c r="I192" t="s">
        <v>139</v>
      </c>
      <c r="J192" t="s">
        <v>287</v>
      </c>
      <c r="K192" s="28">
        <f t="shared" si="47"/>
        <v>0.52784381686908488</v>
      </c>
      <c r="L192" s="28">
        <f t="shared" si="50"/>
        <v>0.52515644938547934</v>
      </c>
      <c r="M192" s="28">
        <f t="shared" si="50"/>
        <v>0.52025151153580673</v>
      </c>
      <c r="N192" s="28">
        <f t="shared" si="50"/>
        <v>0.50682531077398352</v>
      </c>
      <c r="O192" s="28">
        <f t="shared" si="50"/>
        <v>0.4939348964332157</v>
      </c>
      <c r="P192" s="28">
        <f t="shared" si="50"/>
        <v>0.48971543421207564</v>
      </c>
      <c r="Q192" s="28">
        <f t="shared" si="50"/>
        <v>0.48290055380478719</v>
      </c>
      <c r="R192" s="28">
        <f t="shared" si="50"/>
        <v>0.46758884489133185</v>
      </c>
      <c r="S192" s="28">
        <f t="shared" si="50"/>
        <v>0.41621648904191116</v>
      </c>
      <c r="T192" s="28">
        <f t="shared" si="50"/>
        <v>0.42638667208573666</v>
      </c>
      <c r="U192" s="28">
        <f t="shared" ref="L192:AW198" si="51">U1414</f>
        <v>0.43187985525495859</v>
      </c>
      <c r="V192" s="28">
        <f t="shared" si="51"/>
        <v>0.4362459859607159</v>
      </c>
      <c r="W192" s="28">
        <f t="shared" si="51"/>
        <v>0.44211378477911739</v>
      </c>
      <c r="X192" s="28">
        <f t="shared" si="51"/>
        <v>0.45337915493608988</v>
      </c>
      <c r="Y192" s="28">
        <f t="shared" si="51"/>
        <v>0.46570884205291363</v>
      </c>
      <c r="Z192" s="28">
        <f t="shared" si="51"/>
        <v>0.47914332985830105</v>
      </c>
      <c r="AA192" s="28">
        <f t="shared" si="51"/>
        <v>0.49009752442785343</v>
      </c>
      <c r="AB192" s="28">
        <f t="shared" si="51"/>
        <v>0.50324660614266314</v>
      </c>
      <c r="AC192" s="28">
        <f t="shared" si="51"/>
        <v>0.51908497467197146</v>
      </c>
      <c r="AD192" s="28">
        <f t="shared" si="51"/>
        <v>0.52951816182604061</v>
      </c>
      <c r="AE192" s="28">
        <f t="shared" si="51"/>
        <v>0.54017530186644991</v>
      </c>
      <c r="AF192" s="28">
        <f t="shared" si="51"/>
        <v>0.55055968982828007</v>
      </c>
      <c r="AG192" s="28">
        <f t="shared" si="51"/>
        <v>0.56257359948982233</v>
      </c>
      <c r="AH192" s="28">
        <f t="shared" si="51"/>
        <v>0.571134780275243</v>
      </c>
      <c r="AI192" s="28">
        <f t="shared" si="51"/>
        <v>0.58015385111091267</v>
      </c>
      <c r="AJ192" s="28">
        <f t="shared" si="51"/>
        <v>0.58878429113613517</v>
      </c>
      <c r="AK192" s="28">
        <f t="shared" si="51"/>
        <v>0.5957568629631379</v>
      </c>
      <c r="AL192" s="28">
        <f t="shared" si="51"/>
        <v>0.60196210030255271</v>
      </c>
      <c r="AM192" s="28">
        <f t="shared" si="51"/>
        <v>0.60813947691884929</v>
      </c>
      <c r="AN192" s="28">
        <f t="shared" si="51"/>
        <v>0.61764741655645328</v>
      </c>
      <c r="AO192" s="28">
        <f t="shared" si="51"/>
        <v>0.62539054666282456</v>
      </c>
      <c r="AP192" s="28">
        <f t="shared" si="51"/>
        <v>0.63282578397368294</v>
      </c>
      <c r="AQ192" s="28">
        <f t="shared" si="51"/>
        <v>0.6399775293303559</v>
      </c>
      <c r="AR192" s="28">
        <f t="shared" si="51"/>
        <v>0.64779293053044351</v>
      </c>
      <c r="AS192" s="28">
        <f t="shared" si="51"/>
        <v>0.6554480309562406</v>
      </c>
      <c r="AT192" s="28">
        <f t="shared" si="51"/>
        <v>0.65387085498126252</v>
      </c>
      <c r="AU192" s="28">
        <f t="shared" si="51"/>
        <v>0.65139607098171814</v>
      </c>
      <c r="AV192" s="28">
        <f t="shared" si="51"/>
        <v>0.64976027386415824</v>
      </c>
      <c r="AW192" s="28">
        <f t="shared" si="51"/>
        <v>0.64732609029644417</v>
      </c>
      <c r="AY192" s="85"/>
    </row>
    <row r="193" spans="1:51" x14ac:dyDescent="0.25">
      <c r="A193" s="102" t="str">
        <f t="shared" si="45"/>
        <v>FA Cattle MMN2O</v>
      </c>
      <c r="B193" s="102" t="s">
        <v>963</v>
      </c>
      <c r="C193" s="102" t="s">
        <v>1233</v>
      </c>
      <c r="D193" t="s">
        <v>15</v>
      </c>
      <c r="E193" t="s">
        <v>657</v>
      </c>
      <c r="F193" t="s">
        <v>67</v>
      </c>
      <c r="G193" t="s">
        <v>123</v>
      </c>
      <c r="H193" t="s">
        <v>1228</v>
      </c>
      <c r="I193" t="s">
        <v>139</v>
      </c>
      <c r="J193" t="s">
        <v>287</v>
      </c>
      <c r="K193" s="28">
        <f t="shared" si="47"/>
        <v>0.80849535264982253</v>
      </c>
      <c r="L193" s="28">
        <f t="shared" si="51"/>
        <v>0.80437912725905281</v>
      </c>
      <c r="M193" s="28">
        <f t="shared" si="51"/>
        <v>0.79686626203308752</v>
      </c>
      <c r="N193" s="28">
        <f t="shared" si="51"/>
        <v>0.77630142718465789</v>
      </c>
      <c r="O193" s="28">
        <f t="shared" si="51"/>
        <v>0.75655725333024249</v>
      </c>
      <c r="P193" s="28">
        <f t="shared" si="51"/>
        <v>0.75009432720048652</v>
      </c>
      <c r="Q193" s="28">
        <f t="shared" si="51"/>
        <v>0.73965601389251134</v>
      </c>
      <c r="R193" s="28">
        <f t="shared" si="51"/>
        <v>0.71620315700184167</v>
      </c>
      <c r="S193" s="28">
        <f t="shared" si="51"/>
        <v>0.63751641362897982</v>
      </c>
      <c r="T193" s="28">
        <f t="shared" si="51"/>
        <v>0.65309402477786682</v>
      </c>
      <c r="U193" s="28">
        <f t="shared" si="51"/>
        <v>0.66150790199236797</v>
      </c>
      <c r="V193" s="28">
        <f t="shared" si="51"/>
        <v>0.66819547940040647</v>
      </c>
      <c r="W193" s="28">
        <f t="shared" si="51"/>
        <v>0.67718315326026413</v>
      </c>
      <c r="X193" s="28">
        <f t="shared" si="51"/>
        <v>0.69443825624094591</v>
      </c>
      <c r="Y193" s="28">
        <f t="shared" si="51"/>
        <v>0.7133235674163364</v>
      </c>
      <c r="Z193" s="28">
        <f t="shared" si="51"/>
        <v>0.73390109548195415</v>
      </c>
      <c r="AA193" s="28">
        <f t="shared" si="51"/>
        <v>0.75067957259671325</v>
      </c>
      <c r="AB193" s="28">
        <f t="shared" si="51"/>
        <v>0.7708199457872037</v>
      </c>
      <c r="AC193" s="28">
        <f t="shared" si="51"/>
        <v>0.79507948419660579</v>
      </c>
      <c r="AD193" s="28">
        <f t="shared" si="51"/>
        <v>0.81105993723558278</v>
      </c>
      <c r="AE193" s="28">
        <f t="shared" si="51"/>
        <v>0.82738341762854573</v>
      </c>
      <c r="AF193" s="28">
        <f t="shared" si="51"/>
        <v>0.84328912522412203</v>
      </c>
      <c r="AG193" s="28">
        <f t="shared" si="51"/>
        <v>0.86169076187892979</v>
      </c>
      <c r="AH193" s="28">
        <f t="shared" si="51"/>
        <v>0.8748038734793715</v>
      </c>
      <c r="AI193" s="28">
        <f t="shared" si="51"/>
        <v>0.88861833264858248</v>
      </c>
      <c r="AJ193" s="28">
        <f t="shared" si="51"/>
        <v>0.90183752823015395</v>
      </c>
      <c r="AK193" s="28">
        <f t="shared" si="51"/>
        <v>0.9125173765829987</v>
      </c>
      <c r="AL193" s="28">
        <f t="shared" si="51"/>
        <v>0.92202190309382137</v>
      </c>
      <c r="AM193" s="28">
        <f t="shared" si="51"/>
        <v>0.93148375549453255</v>
      </c>
      <c r="AN193" s="28">
        <f t="shared" si="51"/>
        <v>0.94604701220913134</v>
      </c>
      <c r="AO193" s="28">
        <f t="shared" si="51"/>
        <v>0.95790712026741442</v>
      </c>
      <c r="AP193" s="28">
        <f t="shared" si="51"/>
        <v>0.96929563069334712</v>
      </c>
      <c r="AQ193" s="28">
        <f t="shared" si="51"/>
        <v>0.98024991811590712</v>
      </c>
      <c r="AR193" s="28">
        <f t="shared" si="51"/>
        <v>0.99222072339471901</v>
      </c>
      <c r="AS193" s="28">
        <f t="shared" si="51"/>
        <v>1.0039459968951938</v>
      </c>
      <c r="AT193" s="28">
        <f t="shared" si="51"/>
        <v>1.0015302454828838</v>
      </c>
      <c r="AU193" s="28">
        <f t="shared" si="51"/>
        <v>0.99773963299771362</v>
      </c>
      <c r="AV193" s="28">
        <f t="shared" si="51"/>
        <v>0.99523409191688805</v>
      </c>
      <c r="AW193" s="28">
        <f t="shared" si="51"/>
        <v>0.99150566688073472</v>
      </c>
      <c r="AY193" s="85"/>
    </row>
    <row r="194" spans="1:51" x14ac:dyDescent="0.25">
      <c r="A194" s="102" t="str">
        <f t="shared" si="45"/>
        <v>FA Cattle MMN2O</v>
      </c>
      <c r="B194" s="102" t="s">
        <v>963</v>
      </c>
      <c r="C194" s="102" t="s">
        <v>1233</v>
      </c>
      <c r="D194" t="s">
        <v>15</v>
      </c>
      <c r="E194" t="s">
        <v>657</v>
      </c>
      <c r="F194" t="s">
        <v>67</v>
      </c>
      <c r="G194" t="s">
        <v>135</v>
      </c>
      <c r="H194" t="s">
        <v>1228</v>
      </c>
      <c r="I194" t="s">
        <v>139</v>
      </c>
      <c r="J194" t="s">
        <v>287</v>
      </c>
      <c r="K194" s="28">
        <f t="shared" si="47"/>
        <v>0.98205986457809369</v>
      </c>
      <c r="L194" s="28">
        <f t="shared" si="51"/>
        <v>1.0186966250855221</v>
      </c>
      <c r="M194" s="28">
        <f t="shared" si="51"/>
        <v>1.0516100331905254</v>
      </c>
      <c r="N194" s="28">
        <f t="shared" si="51"/>
        <v>1.0670554052779846</v>
      </c>
      <c r="O194" s="28">
        <f t="shared" si="51"/>
        <v>1.0827371051777117</v>
      </c>
      <c r="P194" s="28">
        <f t="shared" si="51"/>
        <v>1.1173522594931429</v>
      </c>
      <c r="Q194" s="28">
        <f t="shared" si="51"/>
        <v>1.1465503025323129</v>
      </c>
      <c r="R194" s="28">
        <f t="shared" si="51"/>
        <v>1.1550738596088039</v>
      </c>
      <c r="S194" s="28">
        <f t="shared" si="51"/>
        <v>1.0695943528873249</v>
      </c>
      <c r="T194" s="28">
        <f t="shared" si="51"/>
        <v>1.1219950081899948</v>
      </c>
      <c r="U194" s="28">
        <f t="shared" si="51"/>
        <v>1.1633173415255618</v>
      </c>
      <c r="V194" s="28">
        <f t="shared" si="51"/>
        <v>1.2025059899255817</v>
      </c>
      <c r="W194" s="28">
        <f t="shared" si="51"/>
        <v>1.2467916832467774</v>
      </c>
      <c r="X194" s="28">
        <f t="shared" si="51"/>
        <v>1.3077319490194745</v>
      </c>
      <c r="Y194" s="28">
        <f t="shared" si="51"/>
        <v>1.3736346071286145</v>
      </c>
      <c r="Z194" s="28">
        <f t="shared" si="51"/>
        <v>1.444880911122689</v>
      </c>
      <c r="AA194" s="28">
        <f t="shared" si="51"/>
        <v>1.5106946759567434</v>
      </c>
      <c r="AB194" s="28">
        <f t="shared" si="51"/>
        <v>1.5853572340052999</v>
      </c>
      <c r="AC194" s="28">
        <f t="shared" si="51"/>
        <v>1.6709659686150751</v>
      </c>
      <c r="AD194" s="28">
        <f t="shared" si="51"/>
        <v>1.7608921819876218</v>
      </c>
      <c r="AE194" s="28">
        <f t="shared" si="51"/>
        <v>1.8558227828840355</v>
      </c>
      <c r="AF194" s="28">
        <f t="shared" si="51"/>
        <v>1.9543039033617708</v>
      </c>
      <c r="AG194" s="28">
        <f t="shared" si="51"/>
        <v>2.0634682331223644</v>
      </c>
      <c r="AH194" s="28">
        <f t="shared" si="51"/>
        <v>2.1649176431538755</v>
      </c>
      <c r="AI194" s="28">
        <f t="shared" si="51"/>
        <v>2.2729641706273069</v>
      </c>
      <c r="AJ194" s="28">
        <f t="shared" si="51"/>
        <v>2.3846427633469691</v>
      </c>
      <c r="AK194" s="28">
        <f t="shared" si="51"/>
        <v>2.4947887072389494</v>
      </c>
      <c r="AL194" s="28">
        <f t="shared" si="51"/>
        <v>2.6068756949224299</v>
      </c>
      <c r="AM194" s="28">
        <f t="shared" si="51"/>
        <v>2.7241988792314307</v>
      </c>
      <c r="AN194" s="28">
        <f t="shared" si="51"/>
        <v>2.844574694525166</v>
      </c>
      <c r="AO194" s="28">
        <f t="shared" si="51"/>
        <v>2.9614918045068643</v>
      </c>
      <c r="AP194" s="28">
        <f t="shared" si="51"/>
        <v>3.0815745118174522</v>
      </c>
      <c r="AQ194" s="28">
        <f t="shared" si="51"/>
        <v>3.2050489971777192</v>
      </c>
      <c r="AR194" s="28">
        <f t="shared" si="51"/>
        <v>3.3369151668424974</v>
      </c>
      <c r="AS194" s="28">
        <f t="shared" si="51"/>
        <v>3.4733559158161165</v>
      </c>
      <c r="AT194" s="28">
        <f t="shared" si="51"/>
        <v>3.5651160309626517</v>
      </c>
      <c r="AU194" s="28">
        <f t="shared" si="51"/>
        <v>3.6548683550042269</v>
      </c>
      <c r="AV194" s="28">
        <f t="shared" si="51"/>
        <v>3.7523616710832552</v>
      </c>
      <c r="AW194" s="28">
        <f t="shared" si="51"/>
        <v>3.8484469226935669</v>
      </c>
      <c r="AY194" s="85"/>
    </row>
    <row r="195" spans="1:51" x14ac:dyDescent="0.25">
      <c r="A195" s="102" t="str">
        <f t="shared" si="45"/>
        <v>FA Sheep MMN2O</v>
      </c>
      <c r="B195" s="102" t="s">
        <v>963</v>
      </c>
      <c r="C195" s="102" t="s">
        <v>1329</v>
      </c>
      <c r="D195" t="s">
        <v>15</v>
      </c>
      <c r="E195" t="s">
        <v>657</v>
      </c>
      <c r="F195" t="s">
        <v>18</v>
      </c>
      <c r="G195" t="s">
        <v>122</v>
      </c>
      <c r="H195" t="s">
        <v>1228</v>
      </c>
      <c r="I195" t="s">
        <v>139</v>
      </c>
      <c r="J195" t="s">
        <v>287</v>
      </c>
      <c r="K195" s="28">
        <f t="shared" si="47"/>
        <v>0.11717139101759612</v>
      </c>
      <c r="L195" s="28">
        <f t="shared" si="51"/>
        <v>0.11723462618367245</v>
      </c>
      <c r="M195" s="28">
        <f t="shared" si="51"/>
        <v>0.11737999843906115</v>
      </c>
      <c r="N195" s="28">
        <f t="shared" si="51"/>
        <v>0.1175958170956644</v>
      </c>
      <c r="O195" s="28">
        <f t="shared" si="51"/>
        <v>0.1178871134646596</v>
      </c>
      <c r="P195" s="28">
        <f t="shared" si="51"/>
        <v>0.11825974180541671</v>
      </c>
      <c r="Q195" s="28">
        <f t="shared" si="51"/>
        <v>0.11867033947255794</v>
      </c>
      <c r="R195" s="28">
        <f t="shared" si="51"/>
        <v>0.11911252923744317</v>
      </c>
      <c r="S195" s="28">
        <f t="shared" si="51"/>
        <v>0.11955062486439895</v>
      </c>
      <c r="T195" s="28">
        <f t="shared" si="51"/>
        <v>0.11972991314052749</v>
      </c>
      <c r="U195" s="28">
        <f t="shared" si="51"/>
        <v>0.11993350054454542</v>
      </c>
      <c r="V195" s="28">
        <f t="shared" si="51"/>
        <v>0.12016374349275831</v>
      </c>
      <c r="W195" s="28">
        <f t="shared" si="51"/>
        <v>0.12042231214139444</v>
      </c>
      <c r="X195" s="28">
        <f t="shared" si="51"/>
        <v>0.12071286205990268</v>
      </c>
      <c r="Y195" s="28">
        <f t="shared" si="51"/>
        <v>0.12089554719264045</v>
      </c>
      <c r="Z195" s="28">
        <f t="shared" si="51"/>
        <v>0.12110125995232866</v>
      </c>
      <c r="AA195" s="28">
        <f t="shared" si="51"/>
        <v>0.12132427506998271</v>
      </c>
      <c r="AB195" s="28">
        <f t="shared" si="51"/>
        <v>0.12156982110770359</v>
      </c>
      <c r="AC195" s="28">
        <f t="shared" si="51"/>
        <v>0.12183786994920162</v>
      </c>
      <c r="AD195" s="28">
        <f t="shared" si="51"/>
        <v>0.12201528623614287</v>
      </c>
      <c r="AE195" s="28">
        <f t="shared" si="51"/>
        <v>0.12220996410772501</v>
      </c>
      <c r="AF195" s="28">
        <f t="shared" si="51"/>
        <v>0.1224205957767</v>
      </c>
      <c r="AG195" s="28">
        <f t="shared" si="51"/>
        <v>0.12264946134615734</v>
      </c>
      <c r="AH195" s="28">
        <f t="shared" si="51"/>
        <v>0.12288846185835746</v>
      </c>
      <c r="AI195" s="28">
        <f t="shared" si="51"/>
        <v>0.12304136792276418</v>
      </c>
      <c r="AJ195" s="28">
        <f t="shared" si="51"/>
        <v>0.12320724493915225</v>
      </c>
      <c r="AK195" s="28">
        <f t="shared" si="51"/>
        <v>0.12338358070705197</v>
      </c>
      <c r="AL195" s="28">
        <f t="shared" si="51"/>
        <v>0.12357134049580157</v>
      </c>
      <c r="AM195" s="28">
        <f t="shared" si="51"/>
        <v>0.12377140391233164</v>
      </c>
      <c r="AN195" s="28">
        <f t="shared" si="51"/>
        <v>0.1238893184922704</v>
      </c>
      <c r="AO195" s="28">
        <f t="shared" si="51"/>
        <v>0.12401495917055069</v>
      </c>
      <c r="AP195" s="28">
        <f t="shared" si="51"/>
        <v>0.12415054004629532</v>
      </c>
      <c r="AQ195" s="28">
        <f t="shared" si="51"/>
        <v>0.12429582194532131</v>
      </c>
      <c r="AR195" s="28">
        <f t="shared" si="51"/>
        <v>0.12445236467960287</v>
      </c>
      <c r="AS195" s="28">
        <f t="shared" si="51"/>
        <v>0.12452291839205781</v>
      </c>
      <c r="AT195" s="28">
        <f t="shared" si="51"/>
        <v>0.12458415812408247</v>
      </c>
      <c r="AU195" s="28">
        <f t="shared" si="51"/>
        <v>0.12465176490232828</v>
      </c>
      <c r="AV195" s="28">
        <f t="shared" si="51"/>
        <v>0.12472905780449089</v>
      </c>
      <c r="AW195" s="28">
        <f t="shared" si="51"/>
        <v>0.12481246580884831</v>
      </c>
      <c r="AY195" s="85"/>
    </row>
    <row r="196" spans="1:51" x14ac:dyDescent="0.25">
      <c r="A196" s="102" t="str">
        <f t="shared" si="45"/>
        <v>FA Sheep MMN2O</v>
      </c>
      <c r="B196" s="102" t="s">
        <v>963</v>
      </c>
      <c r="C196" s="102" t="s">
        <v>1329</v>
      </c>
      <c r="D196" t="s">
        <v>15</v>
      </c>
      <c r="E196" t="s">
        <v>657</v>
      </c>
      <c r="F196" t="s">
        <v>18</v>
      </c>
      <c r="G196" t="s">
        <v>123</v>
      </c>
      <c r="H196" t="s">
        <v>1228</v>
      </c>
      <c r="I196" t="s">
        <v>139</v>
      </c>
      <c r="J196" t="s">
        <v>287</v>
      </c>
      <c r="K196" s="28">
        <f t="shared" si="47"/>
        <v>6.2656398763200921E-2</v>
      </c>
      <c r="L196" s="28">
        <f t="shared" si="51"/>
        <v>6.2690213227185057E-2</v>
      </c>
      <c r="M196" s="28">
        <f t="shared" si="51"/>
        <v>6.276794979686845E-2</v>
      </c>
      <c r="N196" s="28">
        <f t="shared" si="51"/>
        <v>6.2883356976822818E-2</v>
      </c>
      <c r="O196" s="28">
        <f t="shared" si="51"/>
        <v>6.303912521764958E-2</v>
      </c>
      <c r="P196" s="28">
        <f t="shared" si="51"/>
        <v>6.3238385034454531E-2</v>
      </c>
      <c r="Q196" s="28">
        <f t="shared" si="51"/>
        <v>6.3457948623656765E-2</v>
      </c>
      <c r="R196" s="28">
        <f t="shared" si="51"/>
        <v>6.3694405816808061E-2</v>
      </c>
      <c r="S196" s="28">
        <f t="shared" si="51"/>
        <v>6.3928673704733319E-2</v>
      </c>
      <c r="T196" s="28">
        <f t="shared" si="51"/>
        <v>6.4024546576303062E-2</v>
      </c>
      <c r="U196" s="28">
        <f t="shared" si="51"/>
        <v>6.4133413198594794E-2</v>
      </c>
      <c r="V196" s="28">
        <f t="shared" si="51"/>
        <v>6.4256533645065173E-2</v>
      </c>
      <c r="W196" s="28">
        <f t="shared" si="51"/>
        <v>6.4394801017466488E-2</v>
      </c>
      <c r="X196" s="28">
        <f t="shared" si="51"/>
        <v>6.4550170100282397E-2</v>
      </c>
      <c r="Y196" s="28">
        <f t="shared" si="51"/>
        <v>6.4647859411858508E-2</v>
      </c>
      <c r="Z196" s="28">
        <f t="shared" si="51"/>
        <v>6.4757862549909215E-2</v>
      </c>
      <c r="AA196" s="28">
        <f t="shared" si="51"/>
        <v>6.4877117975833593E-2</v>
      </c>
      <c r="AB196" s="28">
        <f t="shared" si="51"/>
        <v>6.5008421618476642E-2</v>
      </c>
      <c r="AC196" s="28">
        <f t="shared" si="51"/>
        <v>6.5151758442893073E-2</v>
      </c>
      <c r="AD196" s="28">
        <f t="shared" si="51"/>
        <v>6.5246630284262655E-2</v>
      </c>
      <c r="AE196" s="28">
        <f t="shared" si="51"/>
        <v>6.5350732610319262E-2</v>
      </c>
      <c r="AF196" s="28">
        <f t="shared" si="51"/>
        <v>6.5463366093022182E-2</v>
      </c>
      <c r="AG196" s="28">
        <f t="shared" si="51"/>
        <v>6.5585749997988649E-2</v>
      </c>
      <c r="AH196" s="28">
        <f t="shared" si="51"/>
        <v>6.571355347686661E-2</v>
      </c>
      <c r="AI196" s="28">
        <f t="shared" si="51"/>
        <v>6.5795318686458951E-2</v>
      </c>
      <c r="AJ196" s="28">
        <f t="shared" si="51"/>
        <v>6.5884020001636651E-2</v>
      </c>
      <c r="AK196" s="28">
        <f t="shared" si="51"/>
        <v>6.5978314044694314E-2</v>
      </c>
      <c r="AL196" s="28">
        <f t="shared" si="51"/>
        <v>6.6078716985151179E-2</v>
      </c>
      <c r="AM196" s="28">
        <f t="shared" si="51"/>
        <v>6.6185699185286995E-2</v>
      </c>
      <c r="AN196" s="28">
        <f t="shared" si="51"/>
        <v>6.6248752997966662E-2</v>
      </c>
      <c r="AO196" s="28">
        <f t="shared" si="51"/>
        <v>6.6315938275625666E-2</v>
      </c>
      <c r="AP196" s="28">
        <f t="shared" si="51"/>
        <v>6.6388438988824877E-2</v>
      </c>
      <c r="AQ196" s="28">
        <f t="shared" si="51"/>
        <v>6.6466127241216463E-2</v>
      </c>
      <c r="AR196" s="28">
        <f t="shared" si="51"/>
        <v>6.6549837128906997E-2</v>
      </c>
      <c r="AS196" s="28">
        <f t="shared" si="51"/>
        <v>6.658756512294553E-2</v>
      </c>
      <c r="AT196" s="28">
        <f t="shared" si="51"/>
        <v>6.66203125456446E-2</v>
      </c>
      <c r="AU196" s="28">
        <f t="shared" si="51"/>
        <v>6.6656464691830439E-2</v>
      </c>
      <c r="AV196" s="28">
        <f t="shared" si="51"/>
        <v>6.6697796409900922E-2</v>
      </c>
      <c r="AW196" s="28">
        <f t="shared" si="51"/>
        <v>6.6742398126545865E-2</v>
      </c>
      <c r="AY196" s="85"/>
    </row>
    <row r="197" spans="1:51" x14ac:dyDescent="0.25">
      <c r="A197" s="102" t="str">
        <f t="shared" si="45"/>
        <v>FA Goats MMN2O</v>
      </c>
      <c r="B197" s="102" t="s">
        <v>963</v>
      </c>
      <c r="C197" s="102" t="s">
        <v>1330</v>
      </c>
      <c r="D197" t="s">
        <v>15</v>
      </c>
      <c r="E197" t="s">
        <v>657</v>
      </c>
      <c r="F197" t="s">
        <v>19</v>
      </c>
      <c r="G197" t="s">
        <v>122</v>
      </c>
      <c r="H197" t="s">
        <v>1228</v>
      </c>
      <c r="I197" t="s">
        <v>139</v>
      </c>
      <c r="J197" t="s">
        <v>287</v>
      </c>
      <c r="K197" s="28">
        <f t="shared" si="47"/>
        <v>1.4482807028187926E-2</v>
      </c>
      <c r="L197" s="28">
        <f t="shared" si="51"/>
        <v>1.4520450251739283E-2</v>
      </c>
      <c r="M197" s="28">
        <f t="shared" si="51"/>
        <v>1.4571212872745463E-2</v>
      </c>
      <c r="N197" s="28">
        <f t="shared" si="51"/>
        <v>1.4633040456364911E-2</v>
      </c>
      <c r="O197" s="28">
        <f t="shared" si="51"/>
        <v>1.4707094987006923E-2</v>
      </c>
      <c r="P197" s="28">
        <f t="shared" si="51"/>
        <v>1.4794644538423191E-2</v>
      </c>
      <c r="Q197" s="28">
        <f t="shared" si="51"/>
        <v>1.4887429784482062E-2</v>
      </c>
      <c r="R197" s="28">
        <f t="shared" si="51"/>
        <v>1.4984365063470912E-2</v>
      </c>
      <c r="S197" s="28">
        <f t="shared" si="51"/>
        <v>1.5078737379247895E-2</v>
      </c>
      <c r="T197" s="28">
        <f t="shared" si="51"/>
        <v>1.5122022085784054E-2</v>
      </c>
      <c r="U197" s="28">
        <f t="shared" si="51"/>
        <v>1.5168700186651049E-2</v>
      </c>
      <c r="V197" s="28">
        <f t="shared" si="51"/>
        <v>1.5219291662698977E-2</v>
      </c>
      <c r="W197" s="28">
        <f t="shared" si="51"/>
        <v>1.5274171031448219E-2</v>
      </c>
      <c r="X197" s="28">
        <f t="shared" si="51"/>
        <v>1.5334076575093777E-2</v>
      </c>
      <c r="Y197" s="28">
        <f t="shared" si="51"/>
        <v>1.5372633836154437E-2</v>
      </c>
      <c r="Z197" s="28">
        <f t="shared" si="51"/>
        <v>1.5414710813994566E-2</v>
      </c>
      <c r="AA197" s="28">
        <f t="shared" si="51"/>
        <v>1.5459260848218298E-2</v>
      </c>
      <c r="AB197" s="28">
        <f t="shared" si="51"/>
        <v>1.5507296791102529E-2</v>
      </c>
      <c r="AC197" s="28">
        <f t="shared" si="51"/>
        <v>1.5558834836357003E-2</v>
      </c>
      <c r="AD197" s="28">
        <f t="shared" si="51"/>
        <v>1.5592757830860556E-2</v>
      </c>
      <c r="AE197" s="28">
        <f t="shared" si="51"/>
        <v>1.562932478627909E-2</v>
      </c>
      <c r="AF197" s="28">
        <f t="shared" si="51"/>
        <v>1.5668308058264361E-2</v>
      </c>
      <c r="AG197" s="28">
        <f t="shared" si="51"/>
        <v>1.5710145809478677E-2</v>
      </c>
      <c r="AH197" s="28">
        <f t="shared" si="51"/>
        <v>1.5753347197297651E-2</v>
      </c>
      <c r="AI197" s="28">
        <f t="shared" si="51"/>
        <v>1.5780128357590142E-2</v>
      </c>
      <c r="AJ197" s="28">
        <f t="shared" si="51"/>
        <v>1.5808895494916663E-2</v>
      </c>
      <c r="AK197" s="28">
        <f t="shared" si="51"/>
        <v>1.5839194459493416E-2</v>
      </c>
      <c r="AL197" s="28">
        <f t="shared" si="51"/>
        <v>1.5871212894447165E-2</v>
      </c>
      <c r="AM197" s="28">
        <f t="shared" si="51"/>
        <v>1.5905120208325661E-2</v>
      </c>
      <c r="AN197" s="28">
        <f t="shared" si="51"/>
        <v>1.5923608440521576E-2</v>
      </c>
      <c r="AO197" s="28">
        <f t="shared" si="51"/>
        <v>1.5943219194385971E-2</v>
      </c>
      <c r="AP197" s="28">
        <f t="shared" si="51"/>
        <v>1.5964364076511545E-2</v>
      </c>
      <c r="AQ197" s="28">
        <f t="shared" si="51"/>
        <v>1.5987003748719163E-2</v>
      </c>
      <c r="AR197" s="28">
        <f t="shared" si="51"/>
        <v>1.6011426014492076E-2</v>
      </c>
      <c r="AS197" s="28">
        <f t="shared" si="51"/>
        <v>1.6019956720470994E-2</v>
      </c>
      <c r="AT197" s="28">
        <f t="shared" si="51"/>
        <v>1.6026597354274651E-2</v>
      </c>
      <c r="AU197" s="28">
        <f t="shared" si="51"/>
        <v>1.6034206571030277E-2</v>
      </c>
      <c r="AV197" s="28">
        <f t="shared" si="51"/>
        <v>1.6043388029308273E-2</v>
      </c>
      <c r="AW197" s="28">
        <f t="shared" si="51"/>
        <v>1.6053496862987397E-2</v>
      </c>
      <c r="AY197" s="85"/>
    </row>
    <row r="198" spans="1:51" x14ac:dyDescent="0.25">
      <c r="A198" s="102" t="str">
        <f t="shared" si="45"/>
        <v>FA Goats MMN2O</v>
      </c>
      <c r="B198" s="102" t="s">
        <v>963</v>
      </c>
      <c r="C198" s="102" t="s">
        <v>1330</v>
      </c>
      <c r="D198" t="s">
        <v>15</v>
      </c>
      <c r="E198" t="s">
        <v>657</v>
      </c>
      <c r="F198" t="s">
        <v>19</v>
      </c>
      <c r="G198" t="s">
        <v>123</v>
      </c>
      <c r="H198" t="s">
        <v>1228</v>
      </c>
      <c r="I198" t="s">
        <v>139</v>
      </c>
      <c r="J198" t="s">
        <v>287</v>
      </c>
      <c r="K198" s="28">
        <f t="shared" si="47"/>
        <v>0.11481805129047286</v>
      </c>
      <c r="L198" s="28">
        <f t="shared" si="51"/>
        <v>0.11511648249680231</v>
      </c>
      <c r="M198" s="28">
        <f t="shared" si="51"/>
        <v>0.11551892279798029</v>
      </c>
      <c r="N198" s="28">
        <f t="shared" si="51"/>
        <v>0.11600908486762376</v>
      </c>
      <c r="O198" s="28">
        <f t="shared" si="51"/>
        <v>0.11659618078632224</v>
      </c>
      <c r="P198" s="28">
        <f t="shared" si="51"/>
        <v>0.11729026369893758</v>
      </c>
      <c r="Q198" s="28">
        <f t="shared" si="51"/>
        <v>0.1180258546047787</v>
      </c>
      <c r="R198" s="28">
        <f t="shared" si="51"/>
        <v>0.11879434650093773</v>
      </c>
      <c r="S198" s="28">
        <f t="shared" si="51"/>
        <v>0.1195425195154779</v>
      </c>
      <c r="T198" s="28">
        <f t="shared" si="51"/>
        <v>0.1198856757589802</v>
      </c>
      <c r="U198" s="28">
        <f t="shared" si="51"/>
        <v>0.1202557344478143</v>
      </c>
      <c r="V198" s="28">
        <f t="shared" si="51"/>
        <v>0.1206568179311767</v>
      </c>
      <c r="W198" s="28">
        <f t="shared" si="51"/>
        <v>0.12109189534148641</v>
      </c>
      <c r="X198" s="28">
        <f t="shared" si="51"/>
        <v>0.12156681969623982</v>
      </c>
      <c r="Y198" s="28">
        <f t="shared" si="51"/>
        <v>0.12187249728826091</v>
      </c>
      <c r="Z198" s="28">
        <f t="shared" si="51"/>
        <v>0.12220607879565744</v>
      </c>
      <c r="AA198" s="28">
        <f t="shared" si="51"/>
        <v>0.12255926641353683</v>
      </c>
      <c r="AB198" s="28">
        <f t="shared" si="51"/>
        <v>0.12294008991985945</v>
      </c>
      <c r="AC198" s="28">
        <f t="shared" si="51"/>
        <v>0.12334867769651912</v>
      </c>
      <c r="AD198" s="28">
        <f t="shared" si="51"/>
        <v>0.12361761534895452</v>
      </c>
      <c r="AE198" s="28">
        <f t="shared" si="51"/>
        <v>0.12390751402361132</v>
      </c>
      <c r="AF198" s="28">
        <f t="shared" si="51"/>
        <v>0.124216568981919</v>
      </c>
      <c r="AG198" s="28">
        <f t="shared" si="51"/>
        <v>0.12454825392776228</v>
      </c>
      <c r="AH198" s="28">
        <f t="shared" si="51"/>
        <v>0.12489074962992587</v>
      </c>
      <c r="AI198" s="28">
        <f t="shared" si="51"/>
        <v>0.12510306763085599</v>
      </c>
      <c r="AJ198" s="28">
        <f t="shared" si="51"/>
        <v>0.12533113023243647</v>
      </c>
      <c r="AK198" s="28">
        <f t="shared" si="51"/>
        <v>0.12557133698669695</v>
      </c>
      <c r="AL198" s="28">
        <f t="shared" si="51"/>
        <v>0.12582517550706146</v>
      </c>
      <c r="AM198" s="28">
        <f t="shared" si="51"/>
        <v>0.12609398884528009</v>
      </c>
      <c r="AN198" s="28">
        <f t="shared" si="51"/>
        <v>0.1262405614529527</v>
      </c>
      <c r="AO198" s="28">
        <f t="shared" si="51"/>
        <v>0.12639603328508198</v>
      </c>
      <c r="AP198" s="28">
        <f t="shared" si="51"/>
        <v>0.12656366751204504</v>
      </c>
      <c r="AQ198" s="28">
        <f t="shared" si="51"/>
        <v>0.1267431522652199</v>
      </c>
      <c r="AR198" s="28">
        <f t="shared" si="51"/>
        <v>0.12693676921797539</v>
      </c>
      <c r="AS198" s="28">
        <f t="shared" si="51"/>
        <v>0.12700439968731225</v>
      </c>
      <c r="AT198" s="28">
        <f t="shared" si="51"/>
        <v>0.12705704587884023</v>
      </c>
      <c r="AU198" s="28">
        <f t="shared" si="51"/>
        <v>0.12711737088614225</v>
      </c>
      <c r="AV198" s="28">
        <f t="shared" ref="L198:AW205" si="52">AV1420</f>
        <v>0.12719016044588929</v>
      </c>
      <c r="AW198" s="28">
        <f t="shared" si="52"/>
        <v>0.12727030213262158</v>
      </c>
      <c r="AY198" s="85"/>
    </row>
    <row r="199" spans="1:51" x14ac:dyDescent="0.25">
      <c r="A199" s="102" t="str">
        <f t="shared" si="45"/>
        <v>FA Horses MMN2O</v>
      </c>
      <c r="B199" s="102" t="s">
        <v>963</v>
      </c>
      <c r="C199" s="102" t="s">
        <v>1331</v>
      </c>
      <c r="D199" t="s">
        <v>15</v>
      </c>
      <c r="E199" t="s">
        <v>657</v>
      </c>
      <c r="F199" t="s">
        <v>20</v>
      </c>
      <c r="G199" t="s">
        <v>3</v>
      </c>
      <c r="H199" t="s">
        <v>1228</v>
      </c>
      <c r="I199" t="s">
        <v>139</v>
      </c>
      <c r="J199" t="s">
        <v>287</v>
      </c>
      <c r="K199" s="28" t="str">
        <f t="shared" si="47"/>
        <v>NO</v>
      </c>
      <c r="L199" s="28" t="str">
        <f t="shared" si="52"/>
        <v>NO</v>
      </c>
      <c r="M199" s="28" t="str">
        <f t="shared" si="52"/>
        <v>NO</v>
      </c>
      <c r="N199" s="28" t="str">
        <f t="shared" si="52"/>
        <v>NO</v>
      </c>
      <c r="O199" s="28" t="str">
        <f t="shared" si="52"/>
        <v>NO</v>
      </c>
      <c r="P199" s="28" t="str">
        <f t="shared" si="52"/>
        <v>NO</v>
      </c>
      <c r="Q199" s="28" t="str">
        <f t="shared" si="52"/>
        <v>NO</v>
      </c>
      <c r="R199" s="28" t="str">
        <f t="shared" si="52"/>
        <v>NO</v>
      </c>
      <c r="S199" s="28" t="str">
        <f t="shared" si="52"/>
        <v>NO</v>
      </c>
      <c r="T199" s="28" t="str">
        <f t="shared" si="52"/>
        <v>NO</v>
      </c>
      <c r="U199" s="28" t="str">
        <f t="shared" si="52"/>
        <v>NO</v>
      </c>
      <c r="V199" s="28" t="str">
        <f t="shared" si="52"/>
        <v>NO</v>
      </c>
      <c r="W199" s="28" t="str">
        <f t="shared" si="52"/>
        <v>NO</v>
      </c>
      <c r="X199" s="28" t="str">
        <f t="shared" si="52"/>
        <v>NO</v>
      </c>
      <c r="Y199" s="28" t="str">
        <f t="shared" si="52"/>
        <v>NO</v>
      </c>
      <c r="Z199" s="28" t="str">
        <f t="shared" si="52"/>
        <v>NO</v>
      </c>
      <c r="AA199" s="28" t="str">
        <f t="shared" si="52"/>
        <v>NO</v>
      </c>
      <c r="AB199" s="28" t="str">
        <f t="shared" si="52"/>
        <v>NO</v>
      </c>
      <c r="AC199" s="28" t="str">
        <f t="shared" si="52"/>
        <v>NO</v>
      </c>
      <c r="AD199" s="28" t="str">
        <f t="shared" si="52"/>
        <v>NO</v>
      </c>
      <c r="AE199" s="28" t="str">
        <f t="shared" si="52"/>
        <v>NO</v>
      </c>
      <c r="AF199" s="28" t="str">
        <f t="shared" si="52"/>
        <v>NO</v>
      </c>
      <c r="AG199" s="28" t="str">
        <f t="shared" si="52"/>
        <v>NO</v>
      </c>
      <c r="AH199" s="28" t="str">
        <f t="shared" si="52"/>
        <v>NO</v>
      </c>
      <c r="AI199" s="28" t="str">
        <f t="shared" si="52"/>
        <v>NO</v>
      </c>
      <c r="AJ199" s="28" t="str">
        <f t="shared" si="52"/>
        <v>NO</v>
      </c>
      <c r="AK199" s="28" t="str">
        <f t="shared" si="52"/>
        <v>NO</v>
      </c>
      <c r="AL199" s="28" t="str">
        <f t="shared" si="52"/>
        <v>NO</v>
      </c>
      <c r="AM199" s="28" t="str">
        <f t="shared" si="52"/>
        <v>NO</v>
      </c>
      <c r="AN199" s="28" t="str">
        <f t="shared" si="52"/>
        <v>NO</v>
      </c>
      <c r="AO199" s="28" t="str">
        <f t="shared" si="52"/>
        <v>NO</v>
      </c>
      <c r="AP199" s="28" t="str">
        <f t="shared" si="52"/>
        <v>NO</v>
      </c>
      <c r="AQ199" s="28" t="str">
        <f t="shared" si="52"/>
        <v>NO</v>
      </c>
      <c r="AR199" s="28" t="str">
        <f t="shared" si="52"/>
        <v>NO</v>
      </c>
      <c r="AS199" s="28" t="str">
        <f t="shared" si="52"/>
        <v>NO</v>
      </c>
      <c r="AT199" s="28" t="str">
        <f t="shared" si="52"/>
        <v>NO</v>
      </c>
      <c r="AU199" s="28" t="str">
        <f t="shared" si="52"/>
        <v>NO</v>
      </c>
      <c r="AV199" s="28" t="str">
        <f t="shared" si="52"/>
        <v>NO</v>
      </c>
      <c r="AW199" s="28" t="str">
        <f t="shared" si="52"/>
        <v>NO</v>
      </c>
      <c r="AY199" s="85"/>
    </row>
    <row r="200" spans="1:51" x14ac:dyDescent="0.25">
      <c r="A200" s="102" t="str">
        <f t="shared" si="45"/>
        <v>FA Mules MMN2O</v>
      </c>
      <c r="B200" s="102" t="s">
        <v>963</v>
      </c>
      <c r="C200" s="102" t="s">
        <v>1332</v>
      </c>
      <c r="D200" t="s">
        <v>15</v>
      </c>
      <c r="E200" t="s">
        <v>657</v>
      </c>
      <c r="F200" t="s">
        <v>140</v>
      </c>
      <c r="G200" t="s">
        <v>124</v>
      </c>
      <c r="H200" t="s">
        <v>1228</v>
      </c>
      <c r="I200" t="s">
        <v>139</v>
      </c>
      <c r="J200" t="s">
        <v>287</v>
      </c>
      <c r="K200" s="28" t="str">
        <f t="shared" si="47"/>
        <v>NO</v>
      </c>
      <c r="L200" s="28" t="str">
        <f t="shared" si="52"/>
        <v>NO</v>
      </c>
      <c r="M200" s="28" t="str">
        <f t="shared" si="52"/>
        <v>NO</v>
      </c>
      <c r="N200" s="28" t="str">
        <f t="shared" si="52"/>
        <v>NO</v>
      </c>
      <c r="O200" s="28" t="str">
        <f t="shared" si="52"/>
        <v>NO</v>
      </c>
      <c r="P200" s="28" t="str">
        <f t="shared" si="52"/>
        <v>NO</v>
      </c>
      <c r="Q200" s="28" t="str">
        <f t="shared" si="52"/>
        <v>NO</v>
      </c>
      <c r="R200" s="28" t="str">
        <f t="shared" si="52"/>
        <v>NO</v>
      </c>
      <c r="S200" s="28" t="str">
        <f t="shared" si="52"/>
        <v>NO</v>
      </c>
      <c r="T200" s="28" t="str">
        <f t="shared" si="52"/>
        <v>NO</v>
      </c>
      <c r="U200" s="28" t="str">
        <f t="shared" si="52"/>
        <v>NO</v>
      </c>
      <c r="V200" s="28" t="str">
        <f t="shared" si="52"/>
        <v>NO</v>
      </c>
      <c r="W200" s="28" t="str">
        <f t="shared" si="52"/>
        <v>NO</v>
      </c>
      <c r="X200" s="28" t="str">
        <f t="shared" si="52"/>
        <v>NO</v>
      </c>
      <c r="Y200" s="28" t="str">
        <f t="shared" si="52"/>
        <v>NO</v>
      </c>
      <c r="Z200" s="28" t="str">
        <f t="shared" si="52"/>
        <v>NO</v>
      </c>
      <c r="AA200" s="28" t="str">
        <f t="shared" si="52"/>
        <v>NO</v>
      </c>
      <c r="AB200" s="28" t="str">
        <f t="shared" si="52"/>
        <v>NO</v>
      </c>
      <c r="AC200" s="28" t="str">
        <f t="shared" si="52"/>
        <v>NO</v>
      </c>
      <c r="AD200" s="28" t="str">
        <f t="shared" si="52"/>
        <v>NO</v>
      </c>
      <c r="AE200" s="28" t="str">
        <f t="shared" si="52"/>
        <v>NO</v>
      </c>
      <c r="AF200" s="28" t="str">
        <f t="shared" si="52"/>
        <v>NO</v>
      </c>
      <c r="AG200" s="28" t="str">
        <f t="shared" si="52"/>
        <v>NO</v>
      </c>
      <c r="AH200" s="28" t="str">
        <f t="shared" si="52"/>
        <v>NO</v>
      </c>
      <c r="AI200" s="28" t="str">
        <f t="shared" si="52"/>
        <v>NO</v>
      </c>
      <c r="AJ200" s="28" t="str">
        <f t="shared" si="52"/>
        <v>NO</v>
      </c>
      <c r="AK200" s="28" t="str">
        <f t="shared" si="52"/>
        <v>NO</v>
      </c>
      <c r="AL200" s="28" t="str">
        <f t="shared" si="52"/>
        <v>NO</v>
      </c>
      <c r="AM200" s="28" t="str">
        <f t="shared" si="52"/>
        <v>NO</v>
      </c>
      <c r="AN200" s="28" t="str">
        <f t="shared" si="52"/>
        <v>NO</v>
      </c>
      <c r="AO200" s="28" t="str">
        <f t="shared" si="52"/>
        <v>NO</v>
      </c>
      <c r="AP200" s="28" t="str">
        <f t="shared" si="52"/>
        <v>NO</v>
      </c>
      <c r="AQ200" s="28" t="str">
        <f t="shared" si="52"/>
        <v>NO</v>
      </c>
      <c r="AR200" s="28" t="str">
        <f t="shared" si="52"/>
        <v>NO</v>
      </c>
      <c r="AS200" s="28" t="str">
        <f t="shared" si="52"/>
        <v>NO</v>
      </c>
      <c r="AT200" s="28" t="str">
        <f t="shared" si="52"/>
        <v>NO</v>
      </c>
      <c r="AU200" s="28" t="str">
        <f t="shared" si="52"/>
        <v>NO</v>
      </c>
      <c r="AV200" s="28" t="str">
        <f t="shared" si="52"/>
        <v>NO</v>
      </c>
      <c r="AW200" s="28" t="str">
        <f t="shared" si="52"/>
        <v>NO</v>
      </c>
      <c r="AY200" s="85"/>
    </row>
    <row r="201" spans="1:51" x14ac:dyDescent="0.25">
      <c r="A201" s="102" t="str">
        <f t="shared" si="45"/>
        <v>FA Swine MMN2O</v>
      </c>
      <c r="B201" s="102" t="s">
        <v>963</v>
      </c>
      <c r="C201" s="102" t="s">
        <v>1234</v>
      </c>
      <c r="D201" t="s">
        <v>15</v>
      </c>
      <c r="E201" t="s">
        <v>657</v>
      </c>
      <c r="F201" t="s">
        <v>21</v>
      </c>
      <c r="G201" t="s">
        <v>122</v>
      </c>
      <c r="H201" t="s">
        <v>1228</v>
      </c>
      <c r="I201" t="s">
        <v>139</v>
      </c>
      <c r="J201" t="s">
        <v>287</v>
      </c>
      <c r="K201" s="28">
        <f t="shared" si="47"/>
        <v>9.7855003322124628E-2</v>
      </c>
      <c r="L201" s="28">
        <f t="shared" si="52"/>
        <v>9.768205595551481E-2</v>
      </c>
      <c r="M201" s="28">
        <f t="shared" si="52"/>
        <v>9.7134008511937764E-2</v>
      </c>
      <c r="N201" s="28">
        <f t="shared" si="52"/>
        <v>9.4990622413168677E-2</v>
      </c>
      <c r="O201" s="28">
        <f t="shared" si="52"/>
        <v>9.2963704380958218E-2</v>
      </c>
      <c r="P201" s="28">
        <f t="shared" si="52"/>
        <v>9.2636555494494649E-2</v>
      </c>
      <c r="Q201" s="28">
        <f t="shared" si="52"/>
        <v>9.1842396693378264E-2</v>
      </c>
      <c r="R201" s="28">
        <f t="shared" si="52"/>
        <v>8.9396441883992581E-2</v>
      </c>
      <c r="S201" s="28">
        <f t="shared" si="52"/>
        <v>7.973748994684815E-2</v>
      </c>
      <c r="T201" s="28">
        <f t="shared" si="52"/>
        <v>8.1452692189288772E-2</v>
      </c>
      <c r="U201" s="28">
        <f t="shared" si="52"/>
        <v>8.2242511804273E-2</v>
      </c>
      <c r="V201" s="28">
        <f t="shared" si="52"/>
        <v>8.2817744096224652E-2</v>
      </c>
      <c r="W201" s="28">
        <f t="shared" si="52"/>
        <v>8.3700880663628088E-2</v>
      </c>
      <c r="X201" s="28">
        <f t="shared" si="52"/>
        <v>8.5662060351678962E-2</v>
      </c>
      <c r="Y201" s="28">
        <f t="shared" si="52"/>
        <v>8.7869258828121299E-2</v>
      </c>
      <c r="Z201" s="28">
        <f t="shared" si="52"/>
        <v>9.0298087380543637E-2</v>
      </c>
      <c r="AA201" s="28">
        <f t="shared" si="52"/>
        <v>9.2240276380797723E-2</v>
      </c>
      <c r="AB201" s="28">
        <f t="shared" si="52"/>
        <v>9.4619108619267742E-2</v>
      </c>
      <c r="AC201" s="28">
        <f t="shared" si="52"/>
        <v>9.7530252215833863E-2</v>
      </c>
      <c r="AD201" s="28">
        <f t="shared" si="52"/>
        <v>0.10028578808595486</v>
      </c>
      <c r="AE201" s="28">
        <f t="shared" si="52"/>
        <v>0.10315369284356883</v>
      </c>
      <c r="AF201" s="28">
        <f t="shared" si="52"/>
        <v>0.10603841363071233</v>
      </c>
      <c r="AG201" s="28">
        <f t="shared" si="52"/>
        <v>0.10932837219720498</v>
      </c>
      <c r="AH201" s="28">
        <f t="shared" si="52"/>
        <v>0.11199564217103479</v>
      </c>
      <c r="AI201" s="28">
        <f t="shared" si="52"/>
        <v>0.11485371208683526</v>
      </c>
      <c r="AJ201" s="28">
        <f t="shared" si="52"/>
        <v>0.11771232198590084</v>
      </c>
      <c r="AK201" s="28">
        <f t="shared" si="52"/>
        <v>0.12030678115486812</v>
      </c>
      <c r="AL201" s="28">
        <f t="shared" si="52"/>
        <v>0.12282077145121797</v>
      </c>
      <c r="AM201" s="28">
        <f t="shared" si="52"/>
        <v>0.12541265580814645</v>
      </c>
      <c r="AN201" s="28">
        <f t="shared" si="52"/>
        <v>0.12815280796716533</v>
      </c>
      <c r="AO201" s="28">
        <f t="shared" si="52"/>
        <v>0.13056194972752197</v>
      </c>
      <c r="AP201" s="28">
        <f t="shared" si="52"/>
        <v>0.13295353804447049</v>
      </c>
      <c r="AQ201" s="28">
        <f t="shared" si="52"/>
        <v>0.13533393181533376</v>
      </c>
      <c r="AR201" s="28">
        <f t="shared" si="52"/>
        <v>0.1379132972636212</v>
      </c>
      <c r="AS201" s="28">
        <f t="shared" si="52"/>
        <v>0.14053008195021952</v>
      </c>
      <c r="AT201" s="28">
        <f t="shared" si="52"/>
        <v>0.14114192425764652</v>
      </c>
      <c r="AU201" s="28">
        <f t="shared" si="52"/>
        <v>0.14158544392848668</v>
      </c>
      <c r="AV201" s="28">
        <f t="shared" si="52"/>
        <v>0.14225126627613405</v>
      </c>
      <c r="AW201" s="28">
        <f t="shared" si="52"/>
        <v>0.14277114135536023</v>
      </c>
      <c r="AY201" s="85"/>
    </row>
    <row r="202" spans="1:51" x14ac:dyDescent="0.25">
      <c r="A202" s="102" t="str">
        <f t="shared" si="45"/>
        <v>FA Swine MMN2O</v>
      </c>
      <c r="B202" s="102" t="s">
        <v>963</v>
      </c>
      <c r="C202" s="102" t="s">
        <v>1234</v>
      </c>
      <c r="D202" t="s">
        <v>15</v>
      </c>
      <c r="E202" t="s">
        <v>657</v>
      </c>
      <c r="F202" t="s">
        <v>21</v>
      </c>
      <c r="G202" t="s">
        <v>123</v>
      </c>
      <c r="H202" t="s">
        <v>1228</v>
      </c>
      <c r="I202" t="s">
        <v>139</v>
      </c>
      <c r="J202" t="s">
        <v>287</v>
      </c>
      <c r="K202" s="28">
        <f t="shared" si="47"/>
        <v>3.8282858549039588E-2</v>
      </c>
      <c r="L202" s="28">
        <f t="shared" si="52"/>
        <v>3.8215198037593316E-2</v>
      </c>
      <c r="M202" s="28">
        <f t="shared" si="52"/>
        <v>3.8000790781466037E-2</v>
      </c>
      <c r="N202" s="28">
        <f t="shared" si="52"/>
        <v>3.7162254742945426E-2</v>
      </c>
      <c r="O202" s="28">
        <f t="shared" si="52"/>
        <v>3.6369283370166726E-2</v>
      </c>
      <c r="P202" s="28">
        <f t="shared" si="52"/>
        <v>3.6241296102068297E-2</v>
      </c>
      <c r="Q202" s="28">
        <f t="shared" si="52"/>
        <v>3.5930605099907358E-2</v>
      </c>
      <c r="R202" s="28">
        <f t="shared" si="52"/>
        <v>3.497369805574925E-2</v>
      </c>
      <c r="S202" s="28">
        <f t="shared" si="52"/>
        <v>3.1194920495194334E-2</v>
      </c>
      <c r="T202" s="28">
        <f t="shared" si="52"/>
        <v>3.1865942339771837E-2</v>
      </c>
      <c r="U202" s="28">
        <f t="shared" si="52"/>
        <v>3.21749357644633E-2</v>
      </c>
      <c r="V202" s="28">
        <f t="shared" si="52"/>
        <v>3.2399978283680568E-2</v>
      </c>
      <c r="W202" s="28">
        <f t="shared" si="52"/>
        <v>3.2745479189526895E-2</v>
      </c>
      <c r="X202" s="28">
        <f t="shared" si="52"/>
        <v>3.3512732391080123E-2</v>
      </c>
      <c r="Y202" s="28">
        <f t="shared" si="52"/>
        <v>3.4376233123742127E-2</v>
      </c>
      <c r="Z202" s="28">
        <f t="shared" si="52"/>
        <v>3.5326440029424484E-2</v>
      </c>
      <c r="AA202" s="28">
        <f t="shared" si="52"/>
        <v>3.6086263689411195E-2</v>
      </c>
      <c r="AB202" s="28">
        <f t="shared" si="52"/>
        <v>3.7016911024810674E-2</v>
      </c>
      <c r="AC202" s="28">
        <f t="shared" si="52"/>
        <v>3.8155809341092126E-2</v>
      </c>
      <c r="AD202" s="28">
        <f t="shared" si="52"/>
        <v>3.9233830764231724E-2</v>
      </c>
      <c r="AE202" s="28">
        <f t="shared" si="52"/>
        <v>4.0355813171267518E-2</v>
      </c>
      <c r="AF202" s="28">
        <f t="shared" si="52"/>
        <v>4.1484374349525836E-2</v>
      </c>
      <c r="AG202" s="28">
        <f t="shared" si="52"/>
        <v>4.2771472751828604E-2</v>
      </c>
      <c r="AH202" s="28">
        <f t="shared" si="52"/>
        <v>4.3814962769238276E-2</v>
      </c>
      <c r="AI202" s="28">
        <f t="shared" si="52"/>
        <v>4.4933097587032685E-2</v>
      </c>
      <c r="AJ202" s="28">
        <f t="shared" si="52"/>
        <v>4.605144365721333E-2</v>
      </c>
      <c r="AK202" s="28">
        <f t="shared" si="52"/>
        <v>4.7066448613575902E-2</v>
      </c>
      <c r="AL202" s="28">
        <f t="shared" si="52"/>
        <v>4.8049972517734428E-2</v>
      </c>
      <c r="AM202" s="28">
        <f t="shared" si="52"/>
        <v>4.906397015549574E-2</v>
      </c>
      <c r="AN202" s="28">
        <f t="shared" si="52"/>
        <v>5.0135973159381467E-2</v>
      </c>
      <c r="AO202" s="28">
        <f t="shared" si="52"/>
        <v>5.1078478193413449E-2</v>
      </c>
      <c r="AP202" s="28">
        <f t="shared" si="52"/>
        <v>5.2014115964983336E-2</v>
      </c>
      <c r="AQ202" s="28">
        <f t="shared" si="52"/>
        <v>5.2945374203471063E-2</v>
      </c>
      <c r="AR202" s="28">
        <f t="shared" si="52"/>
        <v>5.395447419070433E-2</v>
      </c>
      <c r="AS202" s="28">
        <f t="shared" si="52"/>
        <v>5.4978213341584196E-2</v>
      </c>
      <c r="AT202" s="28">
        <f t="shared" si="52"/>
        <v>5.5217578440090585E-2</v>
      </c>
      <c r="AU202" s="28">
        <f t="shared" si="52"/>
        <v>5.5391092315171642E-2</v>
      </c>
      <c r="AV202" s="28">
        <f t="shared" si="52"/>
        <v>5.5651575498334646E-2</v>
      </c>
      <c r="AW202" s="28">
        <f t="shared" si="52"/>
        <v>5.5854961155128016E-2</v>
      </c>
      <c r="AY202" s="85"/>
    </row>
    <row r="203" spans="1:51" x14ac:dyDescent="0.25">
      <c r="A203" s="102" t="str">
        <f t="shared" si="45"/>
        <v>FA Poultry MMN2O</v>
      </c>
      <c r="B203" s="102" t="s">
        <v>963</v>
      </c>
      <c r="C203" s="102" t="s">
        <v>1235</v>
      </c>
      <c r="D203" t="s">
        <v>15</v>
      </c>
      <c r="E203" t="s">
        <v>657</v>
      </c>
      <c r="F203" t="s">
        <v>28</v>
      </c>
      <c r="G203" t="s">
        <v>131</v>
      </c>
      <c r="H203" t="s">
        <v>1228</v>
      </c>
      <c r="I203" t="s">
        <v>139</v>
      </c>
      <c r="J203" t="s">
        <v>287</v>
      </c>
      <c r="K203" s="28">
        <f t="shared" si="47"/>
        <v>0.32879130142743862</v>
      </c>
      <c r="L203" s="28">
        <f t="shared" si="52"/>
        <v>0.33618147320266517</v>
      </c>
      <c r="M203" s="28">
        <f t="shared" si="52"/>
        <v>0.34286580262317662</v>
      </c>
      <c r="N203" s="28">
        <f t="shared" si="52"/>
        <v>0.34631663130525719</v>
      </c>
      <c r="O203" s="28">
        <f t="shared" si="52"/>
        <v>0.34986259378047058</v>
      </c>
      <c r="P203" s="28">
        <f t="shared" si="52"/>
        <v>0.35692259519801384</v>
      </c>
      <c r="Q203" s="28">
        <f t="shared" si="52"/>
        <v>0.36295954497520366</v>
      </c>
      <c r="R203" s="28">
        <f t="shared" si="52"/>
        <v>0.36525102127555931</v>
      </c>
      <c r="S203" s="28">
        <f t="shared" si="52"/>
        <v>0.35074524152454095</v>
      </c>
      <c r="T203" s="28">
        <f t="shared" si="52"/>
        <v>0.36118344194798235</v>
      </c>
      <c r="U203" s="28">
        <f t="shared" si="52"/>
        <v>0.36961966083970876</v>
      </c>
      <c r="V203" s="28">
        <f t="shared" si="52"/>
        <v>0.37765888442551321</v>
      </c>
      <c r="W203" s="28">
        <f t="shared" si="52"/>
        <v>0.38658550533232433</v>
      </c>
      <c r="X203" s="28">
        <f t="shared" si="52"/>
        <v>0.39843478474254634</v>
      </c>
      <c r="Y203" s="28">
        <f t="shared" si="52"/>
        <v>0.41088019341175391</v>
      </c>
      <c r="Z203" s="28">
        <f t="shared" si="52"/>
        <v>0.42422078606736746</v>
      </c>
      <c r="AA203" s="28">
        <f t="shared" si="52"/>
        <v>0.4365608627490552</v>
      </c>
      <c r="AB203" s="28">
        <f t="shared" si="52"/>
        <v>0.45040527564099359</v>
      </c>
      <c r="AC203" s="28">
        <f t="shared" si="52"/>
        <v>0.46610821416360254</v>
      </c>
      <c r="AD203" s="28">
        <f t="shared" si="52"/>
        <v>0.48149963825345377</v>
      </c>
      <c r="AE203" s="28">
        <f t="shared" si="52"/>
        <v>0.49761952403274901</v>
      </c>
      <c r="AF203" s="28">
        <f t="shared" si="52"/>
        <v>0.51420726915291115</v>
      </c>
      <c r="AG203" s="28">
        <f t="shared" si="52"/>
        <v>0.53247410489136104</v>
      </c>
      <c r="AH203" s="28">
        <f t="shared" si="52"/>
        <v>0.5492684403625786</v>
      </c>
      <c r="AI203" s="28">
        <f t="shared" si="52"/>
        <v>0.56683832060292816</v>
      </c>
      <c r="AJ203" s="28">
        <f t="shared" si="52"/>
        <v>0.584861650511455</v>
      </c>
      <c r="AK203" s="28">
        <f t="shared" si="52"/>
        <v>0.60246746038216259</v>
      </c>
      <c r="AL203" s="28">
        <f t="shared" si="52"/>
        <v>0.62024062021411375</v>
      </c>
      <c r="AM203" s="28">
        <f t="shared" si="52"/>
        <v>0.63872476172334525</v>
      </c>
      <c r="AN203" s="28">
        <f t="shared" si="52"/>
        <v>0.65794922439522119</v>
      </c>
      <c r="AO203" s="28">
        <f t="shared" si="52"/>
        <v>0.67647629594315495</v>
      </c>
      <c r="AP203" s="28">
        <f t="shared" si="52"/>
        <v>0.69539916939277291</v>
      </c>
      <c r="AQ203" s="28">
        <f t="shared" si="52"/>
        <v>0.71475050403818352</v>
      </c>
      <c r="AR203" s="28">
        <f t="shared" si="52"/>
        <v>0.73533889699431976</v>
      </c>
      <c r="AS203" s="28">
        <f t="shared" si="52"/>
        <v>0.75634294211031738</v>
      </c>
      <c r="AT203" s="28">
        <f t="shared" si="52"/>
        <v>0.76999066398321547</v>
      </c>
      <c r="AU203" s="28">
        <f t="shared" si="52"/>
        <v>0.78322712569021657</v>
      </c>
      <c r="AV203" s="28">
        <f t="shared" si="52"/>
        <v>0.79761951278112875</v>
      </c>
      <c r="AW203" s="28">
        <f t="shared" si="52"/>
        <v>0.8116941649813233</v>
      </c>
      <c r="AY203" s="85"/>
    </row>
    <row r="204" spans="1:51" x14ac:dyDescent="0.25">
      <c r="A204" s="102" t="str">
        <f t="shared" si="45"/>
        <v>FA Poultry MMN2O</v>
      </c>
      <c r="B204" s="102" t="s">
        <v>963</v>
      </c>
      <c r="C204" s="102" t="s">
        <v>1235</v>
      </c>
      <c r="D204" t="s">
        <v>15</v>
      </c>
      <c r="E204" t="s">
        <v>657</v>
      </c>
      <c r="F204" t="s">
        <v>28</v>
      </c>
      <c r="G204" t="s">
        <v>132</v>
      </c>
      <c r="H204" t="s">
        <v>1228</v>
      </c>
      <c r="I204" t="s">
        <v>139</v>
      </c>
      <c r="J204" t="s">
        <v>287</v>
      </c>
      <c r="K204" s="28">
        <f t="shared" si="47"/>
        <v>1.7130795703114865</v>
      </c>
      <c r="L204" s="28">
        <f t="shared" si="52"/>
        <v>1.7448742149951937</v>
      </c>
      <c r="M204" s="28">
        <f t="shared" si="52"/>
        <v>1.7656986639980343</v>
      </c>
      <c r="N204" s="28">
        <f t="shared" si="52"/>
        <v>1.7427941986174933</v>
      </c>
      <c r="O204" s="28">
        <f t="shared" si="52"/>
        <v>1.7205815318546955</v>
      </c>
      <c r="P204" s="28">
        <f t="shared" si="52"/>
        <v>1.7425923100139877</v>
      </c>
      <c r="Q204" s="28">
        <f t="shared" si="52"/>
        <v>1.7510736876348556</v>
      </c>
      <c r="R204" s="28">
        <f t="shared" si="52"/>
        <v>1.7121897293862536</v>
      </c>
      <c r="S204" s="28">
        <f t="shared" si="52"/>
        <v>1.4655218906646825</v>
      </c>
      <c r="T204" s="28">
        <f t="shared" si="52"/>
        <v>1.5438535261882376</v>
      </c>
      <c r="U204" s="28">
        <f t="shared" si="52"/>
        <v>1.5962945286475767</v>
      </c>
      <c r="V204" s="28">
        <f t="shared" si="52"/>
        <v>1.642907889886944</v>
      </c>
      <c r="W204" s="28">
        <f t="shared" si="52"/>
        <v>1.6991978110377575</v>
      </c>
      <c r="X204" s="28">
        <f t="shared" si="52"/>
        <v>1.7890350626064766</v>
      </c>
      <c r="Y204" s="28">
        <f t="shared" si="52"/>
        <v>1.8895080919073246</v>
      </c>
      <c r="Z204" s="28">
        <f t="shared" si="52"/>
        <v>1.9987693788658938</v>
      </c>
      <c r="AA204" s="28">
        <f t="shared" si="52"/>
        <v>2.0947103415895203</v>
      </c>
      <c r="AB204" s="28">
        <f t="shared" si="52"/>
        <v>2.2064115736901493</v>
      </c>
      <c r="AC204" s="28">
        <f t="shared" si="52"/>
        <v>2.3375745911599179</v>
      </c>
      <c r="AD204" s="28">
        <f t="shared" si="52"/>
        <v>2.4674301417551581</v>
      </c>
      <c r="AE204" s="28">
        <f t="shared" si="52"/>
        <v>2.6036408947859315</v>
      </c>
      <c r="AF204" s="28">
        <f t="shared" si="52"/>
        <v>2.7431932989553216</v>
      </c>
      <c r="AG204" s="28">
        <f t="shared" si="52"/>
        <v>2.8994590521514279</v>
      </c>
      <c r="AH204" s="28">
        <f t="shared" si="52"/>
        <v>3.037455952913116</v>
      </c>
      <c r="AI204" s="28">
        <f t="shared" si="52"/>
        <v>3.1860329911149803</v>
      </c>
      <c r="AJ204" s="28">
        <f t="shared" si="52"/>
        <v>3.3377024540250857</v>
      </c>
      <c r="AK204" s="28">
        <f t="shared" si="52"/>
        <v>3.4830302875985271</v>
      </c>
      <c r="AL204" s="28">
        <f t="shared" si="52"/>
        <v>3.6284282503451957</v>
      </c>
      <c r="AM204" s="28">
        <f t="shared" si="52"/>
        <v>3.7797085645009982</v>
      </c>
      <c r="AN204" s="28">
        <f t="shared" si="52"/>
        <v>3.9406773028531807</v>
      </c>
      <c r="AO204" s="28">
        <f t="shared" si="52"/>
        <v>4.09252605936598</v>
      </c>
      <c r="AP204" s="28">
        <f t="shared" si="52"/>
        <v>4.2468797909937708</v>
      </c>
      <c r="AQ204" s="28">
        <f t="shared" si="52"/>
        <v>4.4040525088231126</v>
      </c>
      <c r="AR204" s="28">
        <f t="shared" si="52"/>
        <v>4.5723846640377745</v>
      </c>
      <c r="AS204" s="28">
        <f t="shared" si="52"/>
        <v>4.746828077621343</v>
      </c>
      <c r="AT204" s="28">
        <f t="shared" si="52"/>
        <v>4.8441966867749811</v>
      </c>
      <c r="AU204" s="28">
        <f t="shared" si="52"/>
        <v>4.9364837725054729</v>
      </c>
      <c r="AV204" s="28">
        <f t="shared" si="52"/>
        <v>5.0396527637872595</v>
      </c>
      <c r="AW204" s="28">
        <f t="shared" si="52"/>
        <v>5.1386857535726884</v>
      </c>
      <c r="AY204" s="85"/>
    </row>
    <row r="205" spans="1:51" x14ac:dyDescent="0.25">
      <c r="A205" s="102" t="str">
        <f t="shared" si="45"/>
        <v>FA Poultry MMN2O</v>
      </c>
      <c r="B205" s="102" t="s">
        <v>963</v>
      </c>
      <c r="C205" s="102" t="s">
        <v>1235</v>
      </c>
      <c r="D205" t="s">
        <v>15</v>
      </c>
      <c r="E205" t="s">
        <v>657</v>
      </c>
      <c r="F205" t="s">
        <v>28</v>
      </c>
      <c r="G205" t="s">
        <v>134</v>
      </c>
      <c r="H205" t="s">
        <v>1228</v>
      </c>
      <c r="I205" t="s">
        <v>139</v>
      </c>
      <c r="J205" t="s">
        <v>287</v>
      </c>
      <c r="K205" s="28">
        <f t="shared" si="47"/>
        <v>1.3699637559476618E-2</v>
      </c>
      <c r="L205" s="28">
        <f t="shared" si="52"/>
        <v>1.4007561383444394E-2</v>
      </c>
      <c r="M205" s="28">
        <f t="shared" si="52"/>
        <v>1.4286075109299039E-2</v>
      </c>
      <c r="N205" s="28">
        <f t="shared" si="52"/>
        <v>1.4429859637719061E-2</v>
      </c>
      <c r="O205" s="28">
        <f t="shared" si="52"/>
        <v>1.4577608074186288E-2</v>
      </c>
      <c r="P205" s="28">
        <f t="shared" si="52"/>
        <v>1.4871774799917255E-2</v>
      </c>
      <c r="Q205" s="28">
        <f t="shared" si="52"/>
        <v>1.5123314373966834E-2</v>
      </c>
      <c r="R205" s="28">
        <f t="shared" si="52"/>
        <v>1.5218792553148319E-2</v>
      </c>
      <c r="S205" s="28">
        <f t="shared" si="52"/>
        <v>1.4614385063522554E-2</v>
      </c>
      <c r="T205" s="28">
        <f t="shared" si="52"/>
        <v>1.5049310081165945E-2</v>
      </c>
      <c r="U205" s="28">
        <f t="shared" si="52"/>
        <v>1.5400819201654545E-2</v>
      </c>
      <c r="V205" s="28">
        <f t="shared" si="52"/>
        <v>1.5735786851063062E-2</v>
      </c>
      <c r="W205" s="28">
        <f t="shared" si="52"/>
        <v>1.6107729388846862E-2</v>
      </c>
      <c r="X205" s="28">
        <f t="shared" si="52"/>
        <v>1.6601449364272783E-2</v>
      </c>
      <c r="Y205" s="28">
        <f t="shared" si="52"/>
        <v>1.7120008058823098E-2</v>
      </c>
      <c r="Z205" s="28">
        <f t="shared" si="52"/>
        <v>1.7675866086140329E-2</v>
      </c>
      <c r="AA205" s="28">
        <f t="shared" si="52"/>
        <v>1.8190035947877312E-2</v>
      </c>
      <c r="AB205" s="28">
        <f t="shared" si="52"/>
        <v>1.8766886485041417E-2</v>
      </c>
      <c r="AC205" s="28">
        <f t="shared" si="52"/>
        <v>1.9421175590150126E-2</v>
      </c>
      <c r="AD205" s="28">
        <f t="shared" si="52"/>
        <v>2.0062484927227259E-2</v>
      </c>
      <c r="AE205" s="28">
        <f t="shared" si="52"/>
        <v>2.0734146834697896E-2</v>
      </c>
      <c r="AF205" s="28">
        <f t="shared" si="52"/>
        <v>2.1425302881371316E-2</v>
      </c>
      <c r="AG205" s="28">
        <f t="shared" si="52"/>
        <v>2.2186421037140063E-2</v>
      </c>
      <c r="AH205" s="28">
        <f t="shared" si="52"/>
        <v>2.2886185015107467E-2</v>
      </c>
      <c r="AI205" s="28">
        <f t="shared" si="52"/>
        <v>2.3618263358455356E-2</v>
      </c>
      <c r="AJ205" s="28">
        <f t="shared" si="52"/>
        <v>2.436923543797731E-2</v>
      </c>
      <c r="AK205" s="28">
        <f t="shared" ref="L205:AW206" si="53">AK1427</f>
        <v>2.5102810849256797E-2</v>
      </c>
      <c r="AL205" s="28">
        <f t="shared" si="53"/>
        <v>2.5843359175588099E-2</v>
      </c>
      <c r="AM205" s="28">
        <f t="shared" si="53"/>
        <v>2.6613531738472741E-2</v>
      </c>
      <c r="AN205" s="28">
        <f t="shared" si="53"/>
        <v>2.7414551016467576E-2</v>
      </c>
      <c r="AO205" s="28">
        <f t="shared" si="53"/>
        <v>2.8186512330964811E-2</v>
      </c>
      <c r="AP205" s="28">
        <f t="shared" si="53"/>
        <v>2.8974965391365567E-2</v>
      </c>
      <c r="AQ205" s="28">
        <f t="shared" si="53"/>
        <v>2.978127100159101E-2</v>
      </c>
      <c r="AR205" s="28">
        <f t="shared" si="53"/>
        <v>3.0639120708096691E-2</v>
      </c>
      <c r="AS205" s="28">
        <f t="shared" si="53"/>
        <v>3.1514289254596581E-2</v>
      </c>
      <c r="AT205" s="28">
        <f t="shared" si="53"/>
        <v>3.2082944332634006E-2</v>
      </c>
      <c r="AU205" s="28">
        <f t="shared" si="53"/>
        <v>3.2634463570425723E-2</v>
      </c>
      <c r="AV205" s="28">
        <f t="shared" si="53"/>
        <v>3.3234146365880395E-2</v>
      </c>
      <c r="AW205" s="28">
        <f t="shared" si="53"/>
        <v>3.3820590207555172E-2</v>
      </c>
      <c r="AY205" s="85"/>
    </row>
    <row r="206" spans="1:51" x14ac:dyDescent="0.25">
      <c r="A206" s="102" t="str">
        <f t="shared" si="45"/>
        <v>FA Poultry MMN2O</v>
      </c>
      <c r="B206" s="102" t="s">
        <v>963</v>
      </c>
      <c r="C206" s="102" t="s">
        <v>1235</v>
      </c>
      <c r="D206" t="s">
        <v>15</v>
      </c>
      <c r="E206" t="s">
        <v>657</v>
      </c>
      <c r="F206" t="s">
        <v>28</v>
      </c>
      <c r="G206" t="s">
        <v>133</v>
      </c>
      <c r="H206" t="s">
        <v>1228</v>
      </c>
      <c r="I206" t="s">
        <v>139</v>
      </c>
      <c r="J206" t="s">
        <v>287</v>
      </c>
      <c r="K206" s="28">
        <f t="shared" si="47"/>
        <v>7.1378315429645331E-2</v>
      </c>
      <c r="L206" s="28">
        <f t="shared" si="53"/>
        <v>7.2703092291466473E-2</v>
      </c>
      <c r="M206" s="28">
        <f t="shared" si="53"/>
        <v>7.3570777666584833E-2</v>
      </c>
      <c r="N206" s="28">
        <f t="shared" si="53"/>
        <v>7.2616424942395619E-2</v>
      </c>
      <c r="O206" s="28">
        <f t="shared" si="53"/>
        <v>7.1690897160612388E-2</v>
      </c>
      <c r="P206" s="28">
        <f t="shared" si="53"/>
        <v>7.2608012917249581E-2</v>
      </c>
      <c r="Q206" s="28">
        <f t="shared" si="53"/>
        <v>7.2961403651452372E-2</v>
      </c>
      <c r="R206" s="28">
        <f t="shared" si="53"/>
        <v>7.1341238724427325E-2</v>
      </c>
      <c r="S206" s="28">
        <f t="shared" si="53"/>
        <v>6.1063412111028503E-2</v>
      </c>
      <c r="T206" s="28">
        <f t="shared" si="53"/>
        <v>6.4327230257843288E-2</v>
      </c>
      <c r="U206" s="28">
        <f t="shared" si="53"/>
        <v>6.6512272026982414E-2</v>
      </c>
      <c r="V206" s="28">
        <f t="shared" si="53"/>
        <v>6.8454495411956071E-2</v>
      </c>
      <c r="W206" s="28">
        <f t="shared" si="53"/>
        <v>7.0799908793239955E-2</v>
      </c>
      <c r="X206" s="28">
        <f t="shared" si="53"/>
        <v>7.4543127608603252E-2</v>
      </c>
      <c r="Y206" s="28">
        <f t="shared" si="53"/>
        <v>7.8729503829471928E-2</v>
      </c>
      <c r="Z206" s="28">
        <f t="shared" si="53"/>
        <v>8.3282057452745667E-2</v>
      </c>
      <c r="AA206" s="28">
        <f t="shared" si="53"/>
        <v>8.7279597566230077E-2</v>
      </c>
      <c r="AB206" s="28">
        <f t="shared" si="53"/>
        <v>9.1933815570422989E-2</v>
      </c>
      <c r="AC206" s="28">
        <f t="shared" si="53"/>
        <v>9.7398941298330002E-2</v>
      </c>
      <c r="AD206" s="28">
        <f t="shared" si="53"/>
        <v>0.10280958923979837</v>
      </c>
      <c r="AE206" s="28">
        <f t="shared" si="53"/>
        <v>0.10848503728274725</v>
      </c>
      <c r="AF206" s="28">
        <f t="shared" si="53"/>
        <v>0.11429972078980519</v>
      </c>
      <c r="AG206" s="28">
        <f t="shared" si="53"/>
        <v>0.12081079383964298</v>
      </c>
      <c r="AH206" s="28">
        <f t="shared" si="53"/>
        <v>0.12656066470471328</v>
      </c>
      <c r="AI206" s="28">
        <f t="shared" si="53"/>
        <v>0.13275137462979095</v>
      </c>
      <c r="AJ206" s="28">
        <f t="shared" si="53"/>
        <v>0.13907093558437875</v>
      </c>
      <c r="AK206" s="28">
        <f t="shared" si="53"/>
        <v>0.14512626198327211</v>
      </c>
      <c r="AL206" s="28">
        <f t="shared" si="53"/>
        <v>0.15118451043105</v>
      </c>
      <c r="AM206" s="28">
        <f t="shared" si="53"/>
        <v>0.15748785685420838</v>
      </c>
      <c r="AN206" s="28">
        <f t="shared" si="53"/>
        <v>0.16419488761888268</v>
      </c>
      <c r="AO206" s="28">
        <f t="shared" si="53"/>
        <v>0.17052191914024933</v>
      </c>
      <c r="AP206" s="28">
        <f t="shared" si="53"/>
        <v>0.17695332462474059</v>
      </c>
      <c r="AQ206" s="28">
        <f t="shared" si="53"/>
        <v>0.18350218786762987</v>
      </c>
      <c r="AR206" s="28">
        <f t="shared" si="53"/>
        <v>0.1905160276682408</v>
      </c>
      <c r="AS206" s="28">
        <f t="shared" si="53"/>
        <v>0.19778450323422284</v>
      </c>
      <c r="AT206" s="28">
        <f t="shared" si="53"/>
        <v>0.20184152861562438</v>
      </c>
      <c r="AU206" s="28">
        <f t="shared" si="53"/>
        <v>0.20568682385439491</v>
      </c>
      <c r="AV206" s="28">
        <f t="shared" si="53"/>
        <v>0.20998553182446936</v>
      </c>
      <c r="AW206" s="28">
        <f t="shared" si="53"/>
        <v>0.21411190639886218</v>
      </c>
      <c r="AY206" s="85"/>
    </row>
    <row r="207" spans="1:51" x14ac:dyDescent="0.25">
      <c r="A207" s="102" t="str">
        <f t="shared" si="45"/>
        <v>FA Synthetic</v>
      </c>
      <c r="B207" s="102" t="s">
        <v>963</v>
      </c>
      <c r="C207" s="102" t="s">
        <v>1127</v>
      </c>
      <c r="D207" t="s">
        <v>369</v>
      </c>
      <c r="E207" t="s">
        <v>55</v>
      </c>
      <c r="H207" t="s">
        <v>419</v>
      </c>
      <c r="I207" t="s">
        <v>139</v>
      </c>
      <c r="J207" t="s">
        <v>287</v>
      </c>
      <c r="K207" s="22">
        <f>K1463</f>
        <v>6.6064812063358538</v>
      </c>
      <c r="L207" s="22">
        <f t="shared" ref="L207:AW214" si="54">L1463</f>
        <v>6.6056660352543144</v>
      </c>
      <c r="M207" s="22">
        <f t="shared" si="54"/>
        <v>6.6042995522505379</v>
      </c>
      <c r="N207" s="22">
        <f t="shared" si="54"/>
        <v>6.6031365898338095</v>
      </c>
      <c r="O207" s="22">
        <f t="shared" si="54"/>
        <v>6.6027560568732087</v>
      </c>
      <c r="P207" s="22">
        <f t="shared" si="54"/>
        <v>6.6023708971175274</v>
      </c>
      <c r="Q207" s="22">
        <f t="shared" si="54"/>
        <v>6.6011966991986881</v>
      </c>
      <c r="R207" s="22">
        <f t="shared" si="54"/>
        <v>6.6002765167075461</v>
      </c>
      <c r="S207" s="22">
        <f t="shared" si="54"/>
        <v>6.6002145648060502</v>
      </c>
      <c r="T207" s="22">
        <f t="shared" si="54"/>
        <v>6.6040420720172728</v>
      </c>
      <c r="U207" s="22">
        <f t="shared" si="54"/>
        <v>6.6019485697997204</v>
      </c>
      <c r="V207" s="22">
        <f t="shared" si="54"/>
        <v>6.6003652312909882</v>
      </c>
      <c r="W207" s="22">
        <f t="shared" si="54"/>
        <v>6.5989054673114653</v>
      </c>
      <c r="X207" s="22">
        <f t="shared" si="54"/>
        <v>6.5972835879321101</v>
      </c>
      <c r="Y207" s="22">
        <f t="shared" si="54"/>
        <v>6.5950794659321978</v>
      </c>
      <c r="Z207" s="22">
        <f t="shared" si="54"/>
        <v>6.5927714888243178</v>
      </c>
      <c r="AA207" s="22">
        <f t="shared" si="54"/>
        <v>6.5903551292141982</v>
      </c>
      <c r="AB207" s="22">
        <f t="shared" si="54"/>
        <v>6.5882075529961197</v>
      </c>
      <c r="AC207" s="22">
        <f t="shared" si="54"/>
        <v>6.5858383398788654</v>
      </c>
      <c r="AD207" s="22">
        <f t="shared" si="54"/>
        <v>6.5832049506454569</v>
      </c>
      <c r="AE207" s="22">
        <f t="shared" si="54"/>
        <v>6.5806825645343991</v>
      </c>
      <c r="AF207" s="22">
        <f t="shared" si="54"/>
        <v>6.5781181226611025</v>
      </c>
      <c r="AG207" s="22">
        <f t="shared" si="54"/>
        <v>6.5755610222279151</v>
      </c>
      <c r="AH207" s="22">
        <f t="shared" si="54"/>
        <v>6.5728213410220508</v>
      </c>
      <c r="AI207" s="22">
        <f t="shared" si="54"/>
        <v>6.5704025946446434</v>
      </c>
      <c r="AJ207" s="22">
        <f t="shared" si="54"/>
        <v>6.5679167627959911</v>
      </c>
      <c r="AK207" s="22">
        <f t="shared" si="54"/>
        <v>6.5654442966296829</v>
      </c>
      <c r="AL207" s="22">
        <f t="shared" si="54"/>
        <v>6.5631078462466625</v>
      </c>
      <c r="AM207" s="22">
        <f t="shared" si="54"/>
        <v>6.5608183818668682</v>
      </c>
      <c r="AN207" s="22">
        <f t="shared" si="54"/>
        <v>6.5585023260560664</v>
      </c>
      <c r="AO207" s="22">
        <f t="shared" si="54"/>
        <v>6.5561383844940604</v>
      </c>
      <c r="AP207" s="22">
        <f t="shared" si="54"/>
        <v>6.5539317250053788</v>
      </c>
      <c r="AQ207" s="22">
        <f t="shared" si="54"/>
        <v>6.5517393492300551</v>
      </c>
      <c r="AR207" s="22">
        <f t="shared" si="54"/>
        <v>6.5495579618392012</v>
      </c>
      <c r="AS207" s="22">
        <f t="shared" si="54"/>
        <v>6.5472963164045943</v>
      </c>
      <c r="AT207" s="22">
        <f t="shared" si="54"/>
        <v>6.5450342769214798</v>
      </c>
      <c r="AU207" s="22">
        <f t="shared" si="54"/>
        <v>6.5436308710087152</v>
      </c>
      <c r="AV207" s="22">
        <f t="shared" si="54"/>
        <v>6.5422967735758233</v>
      </c>
      <c r="AW207" s="22">
        <f t="shared" si="54"/>
        <v>6.5408646829531705</v>
      </c>
      <c r="AY207" s="85"/>
    </row>
    <row r="208" spans="1:51" x14ac:dyDescent="0.25">
      <c r="A208" s="102" t="str">
        <f t="shared" si="45"/>
        <v>FA Organic</v>
      </c>
      <c r="B208" s="102" t="s">
        <v>963</v>
      </c>
      <c r="C208" s="102" t="s">
        <v>1128</v>
      </c>
      <c r="D208" t="s">
        <v>369</v>
      </c>
      <c r="E208" t="s">
        <v>55</v>
      </c>
      <c r="H208" t="s">
        <v>420</v>
      </c>
      <c r="I208" t="s">
        <v>139</v>
      </c>
      <c r="J208" t="s">
        <v>287</v>
      </c>
      <c r="K208" s="22">
        <f t="shared" ref="K208:Z271" si="55">K1464</f>
        <v>4.3602775961816637E-2</v>
      </c>
      <c r="L208" s="22">
        <f t="shared" si="55"/>
        <v>4.3597395832678479E-2</v>
      </c>
      <c r="M208" s="22">
        <f t="shared" si="55"/>
        <v>4.3588377044853563E-2</v>
      </c>
      <c r="N208" s="22">
        <f t="shared" si="55"/>
        <v>4.3580701492903162E-2</v>
      </c>
      <c r="O208" s="22">
        <f t="shared" si="55"/>
        <v>4.3578189975363169E-2</v>
      </c>
      <c r="P208" s="22">
        <f t="shared" si="55"/>
        <v>4.3575647920975694E-2</v>
      </c>
      <c r="Q208" s="22">
        <f t="shared" si="55"/>
        <v>4.3567898214711354E-2</v>
      </c>
      <c r="R208" s="22">
        <f t="shared" si="55"/>
        <v>4.3561825010269811E-2</v>
      </c>
      <c r="S208" s="22">
        <f t="shared" si="55"/>
        <v>4.3561416127719944E-2</v>
      </c>
      <c r="T208" s="22">
        <f t="shared" si="55"/>
        <v>4.358667767531401E-2</v>
      </c>
      <c r="U208" s="22">
        <f t="shared" si="55"/>
        <v>4.3572860560678155E-2</v>
      </c>
      <c r="V208" s="22">
        <f t="shared" si="55"/>
        <v>4.3562410526520524E-2</v>
      </c>
      <c r="W208" s="22">
        <f t="shared" si="55"/>
        <v>4.3552776084255673E-2</v>
      </c>
      <c r="X208" s="22">
        <f t="shared" si="55"/>
        <v>4.3542071680351936E-2</v>
      </c>
      <c r="Y208" s="22">
        <f t="shared" si="55"/>
        <v>4.3527524475152499E-2</v>
      </c>
      <c r="Z208" s="22">
        <f t="shared" si="55"/>
        <v>4.3512291826240515E-2</v>
      </c>
      <c r="AA208" s="22">
        <f t="shared" si="54"/>
        <v>4.3496343852813708E-2</v>
      </c>
      <c r="AB208" s="22">
        <f t="shared" si="54"/>
        <v>4.3482169849774405E-2</v>
      </c>
      <c r="AC208" s="22">
        <f t="shared" si="54"/>
        <v>4.3466533043200514E-2</v>
      </c>
      <c r="AD208" s="22">
        <f t="shared" si="54"/>
        <v>4.3449152674260021E-2</v>
      </c>
      <c r="AE208" s="22">
        <f t="shared" si="54"/>
        <v>4.3432504925927033E-2</v>
      </c>
      <c r="AF208" s="22">
        <f t="shared" si="54"/>
        <v>4.3415579609563271E-2</v>
      </c>
      <c r="AG208" s="22">
        <f t="shared" si="54"/>
        <v>4.3398702746704231E-2</v>
      </c>
      <c r="AH208" s="22">
        <f t="shared" si="54"/>
        <v>4.3380620850745545E-2</v>
      </c>
      <c r="AI208" s="22">
        <f t="shared" si="54"/>
        <v>4.3364657124654649E-2</v>
      </c>
      <c r="AJ208" s="22">
        <f t="shared" si="54"/>
        <v>4.3348250634453557E-2</v>
      </c>
      <c r="AK208" s="22">
        <f t="shared" si="54"/>
        <v>4.3331932357755919E-2</v>
      </c>
      <c r="AL208" s="22">
        <f t="shared" si="54"/>
        <v>4.3316511785227982E-2</v>
      </c>
      <c r="AM208" s="22">
        <f t="shared" si="54"/>
        <v>4.3301401320321335E-2</v>
      </c>
      <c r="AN208" s="22">
        <f t="shared" si="54"/>
        <v>4.328611535197005E-2</v>
      </c>
      <c r="AO208" s="22">
        <f t="shared" si="54"/>
        <v>4.3270513337660813E-2</v>
      </c>
      <c r="AP208" s="22">
        <f t="shared" si="54"/>
        <v>4.3255949385035505E-2</v>
      </c>
      <c r="AQ208" s="22">
        <f t="shared" si="54"/>
        <v>4.3241479704918373E-2</v>
      </c>
      <c r="AR208" s="22">
        <f t="shared" si="54"/>
        <v>4.3227082548138743E-2</v>
      </c>
      <c r="AS208" s="22">
        <f t="shared" si="54"/>
        <v>4.3212155688270325E-2</v>
      </c>
      <c r="AT208" s="22">
        <f t="shared" si="54"/>
        <v>4.3197226227681768E-2</v>
      </c>
      <c r="AU208" s="22">
        <f t="shared" si="54"/>
        <v>4.3187963748657528E-2</v>
      </c>
      <c r="AV208" s="22">
        <f t="shared" si="54"/>
        <v>4.3179158705600441E-2</v>
      </c>
      <c r="AW208" s="22">
        <f t="shared" si="54"/>
        <v>4.3169706907490939E-2</v>
      </c>
      <c r="AY208" s="85"/>
    </row>
    <row r="209" spans="1:51" x14ac:dyDescent="0.25">
      <c r="A209" s="102" t="str">
        <f t="shared" si="45"/>
        <v>FA Crop residues</v>
      </c>
      <c r="B209" s="102" t="s">
        <v>963</v>
      </c>
      <c r="C209" s="102" t="s">
        <v>58</v>
      </c>
      <c r="D209" t="s">
        <v>369</v>
      </c>
      <c r="E209" t="s">
        <v>55</v>
      </c>
      <c r="H209" t="s">
        <v>58</v>
      </c>
      <c r="I209" t="s">
        <v>139</v>
      </c>
      <c r="J209" t="s">
        <v>287</v>
      </c>
      <c r="K209" s="22">
        <f t="shared" si="55"/>
        <v>2.94930909510781</v>
      </c>
      <c r="L209" s="22">
        <f t="shared" si="54"/>
        <v>2.9553948259346963</v>
      </c>
      <c r="M209" s="22">
        <f t="shared" si="54"/>
        <v>2.9655964240149095</v>
      </c>
      <c r="N209" s="22">
        <f t="shared" si="54"/>
        <v>2.9742786213968655</v>
      </c>
      <c r="O209" s="22">
        <f t="shared" si="54"/>
        <v>2.9771195234129291</v>
      </c>
      <c r="P209" s="22">
        <f t="shared" si="54"/>
        <v>2.9799949671713049</v>
      </c>
      <c r="Q209" s="22">
        <f t="shared" si="54"/>
        <v>2.9887610441744785</v>
      </c>
      <c r="R209" s="22">
        <f t="shared" si="54"/>
        <v>2.9956307468412153</v>
      </c>
      <c r="S209" s="22">
        <f t="shared" si="54"/>
        <v>2.9960932541666816</v>
      </c>
      <c r="T209" s="22">
        <f t="shared" si="54"/>
        <v>2.9675186651595986</v>
      </c>
      <c r="U209" s="22">
        <f t="shared" si="54"/>
        <v>2.9831478886073279</v>
      </c>
      <c r="V209" s="22">
        <f t="shared" si="54"/>
        <v>2.9949684403788361</v>
      </c>
      <c r="W209" s="22">
        <f t="shared" si="54"/>
        <v>3.0058664357215821</v>
      </c>
      <c r="X209" s="22">
        <f t="shared" si="54"/>
        <v>3.0179747177251275</v>
      </c>
      <c r="Y209" s="22">
        <f t="shared" si="54"/>
        <v>3.0344297828088291</v>
      </c>
      <c r="Z209" s="22">
        <f t="shared" si="54"/>
        <v>3.051660187261632</v>
      </c>
      <c r="AA209" s="22">
        <f t="shared" si="54"/>
        <v>3.0696997307404872</v>
      </c>
      <c r="AB209" s="22">
        <f t="shared" si="54"/>
        <v>3.0857326483566894</v>
      </c>
      <c r="AC209" s="22">
        <f t="shared" si="54"/>
        <v>3.1034202155798769</v>
      </c>
      <c r="AD209" s="22">
        <f t="shared" si="54"/>
        <v>3.1230800126456195</v>
      </c>
      <c r="AE209" s="22">
        <f t="shared" si="54"/>
        <v>3.1419111062172522</v>
      </c>
      <c r="AF209" s="22">
        <f t="shared" si="54"/>
        <v>3.1610561707509404</v>
      </c>
      <c r="AG209" s="22">
        <f t="shared" si="54"/>
        <v>3.1801464271230016</v>
      </c>
      <c r="AH209" s="22">
        <f t="shared" si="54"/>
        <v>3.2005997561822985</v>
      </c>
      <c r="AI209" s="22">
        <f t="shared" si="54"/>
        <v>3.2186571182805661</v>
      </c>
      <c r="AJ209" s="22">
        <f t="shared" si="54"/>
        <v>3.2372153128171188</v>
      </c>
      <c r="AK209" s="22">
        <f t="shared" si="54"/>
        <v>3.2556737246860838</v>
      </c>
      <c r="AL209" s="22">
        <f t="shared" si="54"/>
        <v>3.2731166988585363</v>
      </c>
      <c r="AM209" s="22">
        <f t="shared" si="54"/>
        <v>3.2902088949247208</v>
      </c>
      <c r="AN209" s="22">
        <f t="shared" si="54"/>
        <v>3.3074996116389994</v>
      </c>
      <c r="AO209" s="22">
        <f t="shared" si="54"/>
        <v>3.3251478236065783</v>
      </c>
      <c r="AP209" s="22">
        <f t="shared" si="54"/>
        <v>3.3416218325340545</v>
      </c>
      <c r="AQ209" s="22">
        <f t="shared" si="54"/>
        <v>3.3579892051532951</v>
      </c>
      <c r="AR209" s="22">
        <f t="shared" si="54"/>
        <v>3.3742745430296259</v>
      </c>
      <c r="AS209" s="22">
        <f t="shared" si="54"/>
        <v>3.391159054333535</v>
      </c>
      <c r="AT209" s="22">
        <f t="shared" si="54"/>
        <v>3.4080465074409378</v>
      </c>
      <c r="AU209" s="22">
        <f t="shared" si="54"/>
        <v>3.4185237567194666</v>
      </c>
      <c r="AV209" s="22">
        <f t="shared" si="54"/>
        <v>3.4284835774948501</v>
      </c>
      <c r="AW209" s="22">
        <f t="shared" si="54"/>
        <v>3.439174974977584</v>
      </c>
      <c r="AY209" s="85"/>
    </row>
    <row r="210" spans="1:51" x14ac:dyDescent="0.25">
      <c r="A210" s="102" t="str">
        <f t="shared" si="45"/>
        <v>FA Organic</v>
      </c>
      <c r="B210" s="102" t="s">
        <v>963</v>
      </c>
      <c r="C210" s="102" t="s">
        <v>1128</v>
      </c>
      <c r="D210" t="s">
        <v>369</v>
      </c>
      <c r="E210" t="s">
        <v>55</v>
      </c>
      <c r="F210" t="s">
        <v>421</v>
      </c>
      <c r="G210" t="s">
        <v>1153</v>
      </c>
      <c r="H210" t="s">
        <v>1154</v>
      </c>
      <c r="I210" t="s">
        <v>139</v>
      </c>
      <c r="J210" t="s">
        <v>287</v>
      </c>
      <c r="K210" s="22">
        <f t="shared" si="55"/>
        <v>0.31910516055557447</v>
      </c>
      <c r="L210" s="22">
        <f t="shared" si="54"/>
        <v>0.32125977651579962</v>
      </c>
      <c r="M210" s="22">
        <f t="shared" si="54"/>
        <v>0.32314451970240549</v>
      </c>
      <c r="N210" s="22">
        <f t="shared" si="54"/>
        <v>0.32338831518425315</v>
      </c>
      <c r="O210" s="22">
        <f t="shared" si="54"/>
        <v>0.32380822899810918</v>
      </c>
      <c r="P210" s="22">
        <f t="shared" si="54"/>
        <v>0.32621761700786678</v>
      </c>
      <c r="Q210" s="22">
        <f t="shared" si="54"/>
        <v>0.32814424518292917</v>
      </c>
      <c r="R210" s="22">
        <f t="shared" si="54"/>
        <v>0.32816113797461788</v>
      </c>
      <c r="S210" s="22">
        <f t="shared" si="54"/>
        <v>0.31946691799605059</v>
      </c>
      <c r="T210" s="22">
        <f t="shared" si="54"/>
        <v>0.32366704753421133</v>
      </c>
      <c r="U210" s="22">
        <f t="shared" si="54"/>
        <v>0.32684647343041223</v>
      </c>
      <c r="V210" s="22">
        <f t="shared" si="54"/>
        <v>0.32984618652559566</v>
      </c>
      <c r="W210" s="22">
        <f t="shared" si="54"/>
        <v>0.33332444228182462</v>
      </c>
      <c r="X210" s="22">
        <f t="shared" si="54"/>
        <v>0.33830825606612447</v>
      </c>
      <c r="Y210" s="22">
        <f t="shared" si="54"/>
        <v>0.34349698611877544</v>
      </c>
      <c r="Z210" s="22">
        <f t="shared" si="54"/>
        <v>0.34913311823129872</v>
      </c>
      <c r="AA210" s="22">
        <f t="shared" si="54"/>
        <v>0.3542586043658163</v>
      </c>
      <c r="AB210" s="22">
        <f t="shared" si="54"/>
        <v>0.36013116096519615</v>
      </c>
      <c r="AC210" s="22">
        <f t="shared" si="54"/>
        <v>0.36691641068568986</v>
      </c>
      <c r="AD210" s="22">
        <f t="shared" si="54"/>
        <v>0.3734489276960708</v>
      </c>
      <c r="AE210" s="22">
        <f t="shared" si="54"/>
        <v>0.38032201074224209</v>
      </c>
      <c r="AF210" s="22">
        <f t="shared" si="54"/>
        <v>0.3874035589263955</v>
      </c>
      <c r="AG210" s="22">
        <f t="shared" si="54"/>
        <v>0.39528331644509546</v>
      </c>
      <c r="AH210" s="22">
        <f t="shared" si="54"/>
        <v>0.402417436180809</v>
      </c>
      <c r="AI210" s="22">
        <f t="shared" si="54"/>
        <v>0.40983057953506236</v>
      </c>
      <c r="AJ210" s="22">
        <f t="shared" si="54"/>
        <v>0.41743748809199982</v>
      </c>
      <c r="AK210" s="22">
        <f t="shared" si="54"/>
        <v>0.42481700614270618</v>
      </c>
      <c r="AL210" s="22">
        <f t="shared" si="54"/>
        <v>0.4322524543038212</v>
      </c>
      <c r="AM210" s="22">
        <f t="shared" si="54"/>
        <v>0.44000331272539195</v>
      </c>
      <c r="AN210" s="22">
        <f t="shared" si="54"/>
        <v>0.44801081079437804</v>
      </c>
      <c r="AO210" s="22">
        <f t="shared" si="54"/>
        <v>0.45565879156165573</v>
      </c>
      <c r="AP210" s="22">
        <f t="shared" si="54"/>
        <v>0.46346832830199552</v>
      </c>
      <c r="AQ210" s="22">
        <f t="shared" si="54"/>
        <v>0.47145349561124583</v>
      </c>
      <c r="AR210" s="22">
        <f t="shared" si="54"/>
        <v>0.47999285299993844</v>
      </c>
      <c r="AS210" s="22">
        <f t="shared" si="54"/>
        <v>0.4886261928960397</v>
      </c>
      <c r="AT210" s="22">
        <f t="shared" si="54"/>
        <v>0.49379335063722096</v>
      </c>
      <c r="AU210" s="22">
        <f t="shared" si="54"/>
        <v>0.4987597531133639</v>
      </c>
      <c r="AV210" s="22">
        <f t="shared" si="54"/>
        <v>0.5042544828247203</v>
      </c>
      <c r="AW210" s="22">
        <f t="shared" si="54"/>
        <v>0.50959085302689011</v>
      </c>
      <c r="AY210" s="85"/>
    </row>
    <row r="211" spans="1:51" x14ac:dyDescent="0.25">
      <c r="A211" s="102" t="str">
        <f t="shared" si="45"/>
        <v>FA Organic</v>
      </c>
      <c r="B211" s="102" t="s">
        <v>963</v>
      </c>
      <c r="C211" s="102" t="s">
        <v>1128</v>
      </c>
      <c r="D211" t="s">
        <v>369</v>
      </c>
      <c r="E211" t="s">
        <v>55</v>
      </c>
      <c r="F211" t="s">
        <v>421</v>
      </c>
      <c r="G211" t="s">
        <v>1155</v>
      </c>
      <c r="H211" t="s">
        <v>1156</v>
      </c>
      <c r="I211" t="s">
        <v>139</v>
      </c>
      <c r="J211" t="s">
        <v>287</v>
      </c>
      <c r="K211" s="22">
        <f t="shared" si="55"/>
        <v>0.93305416014115006</v>
      </c>
      <c r="L211" s="22">
        <f t="shared" si="54"/>
        <v>0.93935419421673338</v>
      </c>
      <c r="M211" s="22">
        <f t="shared" si="54"/>
        <v>0.94486512819222468</v>
      </c>
      <c r="N211" s="22">
        <f t="shared" si="54"/>
        <v>0.94557797905356933</v>
      </c>
      <c r="O211" s="22">
        <f t="shared" si="54"/>
        <v>0.94680579476873028</v>
      </c>
      <c r="P211" s="22">
        <f t="shared" si="54"/>
        <v>0.9538507748686591</v>
      </c>
      <c r="Q211" s="22">
        <f t="shared" si="54"/>
        <v>0.95948417932585228</v>
      </c>
      <c r="R211" s="22">
        <f t="shared" si="54"/>
        <v>0.95953357335487388</v>
      </c>
      <c r="S211" s="22">
        <f t="shared" si="54"/>
        <v>0.9341119283208017</v>
      </c>
      <c r="T211" s="22">
        <f t="shared" si="54"/>
        <v>0.94639298429585894</v>
      </c>
      <c r="U211" s="22">
        <f t="shared" si="54"/>
        <v>0.95568953266300471</v>
      </c>
      <c r="V211" s="22">
        <f t="shared" si="54"/>
        <v>0.96446060605403905</v>
      </c>
      <c r="W211" s="22">
        <f t="shared" si="54"/>
        <v>0.97463092419535036</v>
      </c>
      <c r="X211" s="22">
        <f t="shared" si="54"/>
        <v>0.98920344999441168</v>
      </c>
      <c r="Y211" s="22">
        <f t="shared" si="54"/>
        <v>1.0043751449712224</v>
      </c>
      <c r="Z211" s="22">
        <f t="shared" si="54"/>
        <v>1.0208550304909023</v>
      </c>
      <c r="AA211" s="22">
        <f t="shared" si="54"/>
        <v>1.0358418021000837</v>
      </c>
      <c r="AB211" s="22">
        <f t="shared" si="54"/>
        <v>1.0530129859072517</v>
      </c>
      <c r="AC211" s="22">
        <f t="shared" si="54"/>
        <v>1.0728528577171612</v>
      </c>
      <c r="AD211" s="22">
        <f t="shared" si="54"/>
        <v>1.0919537464715672</v>
      </c>
      <c r="AE211" s="22">
        <f t="shared" si="54"/>
        <v>1.1120504403578721</v>
      </c>
      <c r="AF211" s="22">
        <f t="shared" si="54"/>
        <v>1.1327566802129738</v>
      </c>
      <c r="AG211" s="22">
        <f t="shared" si="54"/>
        <v>1.1557968608259288</v>
      </c>
      <c r="AH211" s="22">
        <f t="shared" si="54"/>
        <v>1.1766568183608164</v>
      </c>
      <c r="AI211" s="22">
        <f t="shared" si="54"/>
        <v>1.1983326327988097</v>
      </c>
      <c r="AJ211" s="22">
        <f t="shared" si="54"/>
        <v>1.2205750110245537</v>
      </c>
      <c r="AK211" s="22">
        <f t="shared" si="54"/>
        <v>1.2421525060580416</v>
      </c>
      <c r="AL211" s="22">
        <f t="shared" si="54"/>
        <v>1.2638935390991974</v>
      </c>
      <c r="AM211" s="22">
        <f t="shared" si="54"/>
        <v>1.2865568225206274</v>
      </c>
      <c r="AN211" s="22">
        <f t="shared" si="54"/>
        <v>1.3099705127680101</v>
      </c>
      <c r="AO211" s="22">
        <f t="shared" si="54"/>
        <v>1.3323329849360066</v>
      </c>
      <c r="AP211" s="22">
        <f t="shared" si="54"/>
        <v>1.3551678420460032</v>
      </c>
      <c r="AQ211" s="22">
        <f t="shared" si="54"/>
        <v>1.3785162378047791</v>
      </c>
      <c r="AR211" s="22">
        <f t="shared" si="54"/>
        <v>1.4034850691536036</v>
      </c>
      <c r="AS211" s="22">
        <f t="shared" si="54"/>
        <v>1.4287287026064286</v>
      </c>
      <c r="AT211" s="22">
        <f t="shared" si="54"/>
        <v>1.4438373207751876</v>
      </c>
      <c r="AU211" s="22">
        <f t="shared" si="54"/>
        <v>1.4583589364182332</v>
      </c>
      <c r="AV211" s="22">
        <f t="shared" si="54"/>
        <v>1.4744253654509265</v>
      </c>
      <c r="AW211" s="22">
        <f t="shared" si="54"/>
        <v>1.490028755908539</v>
      </c>
      <c r="AY211" s="85"/>
    </row>
    <row r="212" spans="1:51" x14ac:dyDescent="0.25">
      <c r="A212" s="102" t="str">
        <f t="shared" si="45"/>
        <v>FA Organic</v>
      </c>
      <c r="B212" s="102" t="s">
        <v>963</v>
      </c>
      <c r="C212" s="102" t="s">
        <v>1128</v>
      </c>
      <c r="D212" t="s">
        <v>369</v>
      </c>
      <c r="E212" t="s">
        <v>55</v>
      </c>
      <c r="F212" t="s">
        <v>421</v>
      </c>
      <c r="G212" t="s">
        <v>1157</v>
      </c>
      <c r="H212" t="s">
        <v>1158</v>
      </c>
      <c r="I212" t="s">
        <v>139</v>
      </c>
      <c r="J212" t="s">
        <v>287</v>
      </c>
      <c r="K212" s="22">
        <f t="shared" si="55"/>
        <v>4.9913136648560473E-2</v>
      </c>
      <c r="L212" s="22">
        <f t="shared" si="54"/>
        <v>5.0250152949583772E-2</v>
      </c>
      <c r="M212" s="22">
        <f t="shared" si="54"/>
        <v>5.0544956844502678E-2</v>
      </c>
      <c r="N212" s="22">
        <f t="shared" si="54"/>
        <v>5.0583090346256708E-2</v>
      </c>
      <c r="O212" s="22">
        <f t="shared" si="54"/>
        <v>5.0648771564119566E-2</v>
      </c>
      <c r="P212" s="22">
        <f t="shared" si="54"/>
        <v>5.1025638277152528E-2</v>
      </c>
      <c r="Q212" s="22">
        <f t="shared" si="54"/>
        <v>5.1326993652306703E-2</v>
      </c>
      <c r="R212" s="22">
        <f t="shared" si="54"/>
        <v>5.1329635954356786E-2</v>
      </c>
      <c r="S212" s="22">
        <f t="shared" si="54"/>
        <v>4.9969721282067128E-2</v>
      </c>
      <c r="T212" s="22">
        <f t="shared" si="54"/>
        <v>5.0626688531405499E-2</v>
      </c>
      <c r="U212" s="22">
        <f t="shared" si="54"/>
        <v>5.1124001451524841E-2</v>
      </c>
      <c r="V212" s="22">
        <f t="shared" si="54"/>
        <v>5.1593204423252687E-2</v>
      </c>
      <c r="W212" s="22">
        <f t="shared" si="54"/>
        <v>5.2137259099639094E-2</v>
      </c>
      <c r="X212" s="22">
        <f t="shared" si="54"/>
        <v>5.2916807064371608E-2</v>
      </c>
      <c r="Y212" s="22">
        <f t="shared" si="54"/>
        <v>5.3728407201766935E-2</v>
      </c>
      <c r="Z212" s="22">
        <f t="shared" si="54"/>
        <v>5.4609988157123229E-2</v>
      </c>
      <c r="AA212" s="22">
        <f t="shared" si="54"/>
        <v>5.5411695937019619E-2</v>
      </c>
      <c r="AB212" s="22">
        <f t="shared" si="54"/>
        <v>5.6330257452950339E-2</v>
      </c>
      <c r="AC212" s="22">
        <f t="shared" si="54"/>
        <v>5.7391578729936159E-2</v>
      </c>
      <c r="AD212" s="22">
        <f t="shared" si="54"/>
        <v>5.8413368580123831E-2</v>
      </c>
      <c r="AE212" s="22">
        <f t="shared" si="54"/>
        <v>5.9488428390134962E-2</v>
      </c>
      <c r="AF212" s="22">
        <f t="shared" si="54"/>
        <v>6.0596095472621583E-2</v>
      </c>
      <c r="AG212" s="22">
        <f t="shared" si="54"/>
        <v>6.1828615225995781E-2</v>
      </c>
      <c r="AH212" s="22">
        <f t="shared" si="54"/>
        <v>6.2944505337631407E-2</v>
      </c>
      <c r="AI212" s="22">
        <f t="shared" si="54"/>
        <v>6.4104039193467549E-2</v>
      </c>
      <c r="AJ212" s="22">
        <f t="shared" si="54"/>
        <v>6.5293881017443309E-2</v>
      </c>
      <c r="AK212" s="22">
        <f t="shared" si="54"/>
        <v>6.6448155339501103E-2</v>
      </c>
      <c r="AL212" s="22">
        <f t="shared" si="54"/>
        <v>6.7611178022878776E-2</v>
      </c>
      <c r="AM212" s="22">
        <f t="shared" si="54"/>
        <v>6.8823535901598024E-2</v>
      </c>
      <c r="AN212" s="22">
        <f t="shared" si="54"/>
        <v>7.0076036314422829E-2</v>
      </c>
      <c r="AO212" s="22">
        <f t="shared" si="54"/>
        <v>7.1272302487173145E-2</v>
      </c>
      <c r="AP212" s="22">
        <f t="shared" si="54"/>
        <v>7.2493838590832138E-2</v>
      </c>
      <c r="AQ212" s="22">
        <f t="shared" si="54"/>
        <v>7.3742846116671951E-2</v>
      </c>
      <c r="AR212" s="22">
        <f t="shared" si="54"/>
        <v>7.507853780993895E-2</v>
      </c>
      <c r="AS212" s="22">
        <f t="shared" si="54"/>
        <v>7.6428929866329778E-2</v>
      </c>
      <c r="AT212" s="22">
        <f t="shared" si="54"/>
        <v>7.7237155750145656E-2</v>
      </c>
      <c r="AU212" s="22">
        <f t="shared" si="54"/>
        <v>7.8013980308582434E-2</v>
      </c>
      <c r="AV212" s="22">
        <f t="shared" si="54"/>
        <v>7.8873443673111984E-2</v>
      </c>
      <c r="AW212" s="22">
        <f t="shared" si="54"/>
        <v>7.970813708466469E-2</v>
      </c>
      <c r="AY212" s="85"/>
    </row>
    <row r="213" spans="1:51" x14ac:dyDescent="0.25">
      <c r="A213" s="102" t="str">
        <f t="shared" si="45"/>
        <v>FA Organic</v>
      </c>
      <c r="B213" s="102" t="s">
        <v>963</v>
      </c>
      <c r="C213" s="102" t="s">
        <v>1128</v>
      </c>
      <c r="D213" t="s">
        <v>369</v>
      </c>
      <c r="E213" t="s">
        <v>55</v>
      </c>
      <c r="F213" t="s">
        <v>421</v>
      </c>
      <c r="G213" t="s">
        <v>1159</v>
      </c>
      <c r="H213" t="s">
        <v>1160</v>
      </c>
      <c r="I213" t="s">
        <v>139</v>
      </c>
      <c r="J213" t="s">
        <v>287</v>
      </c>
      <c r="K213" s="22">
        <f t="shared" si="55"/>
        <v>0.40197336823107255</v>
      </c>
      <c r="L213" s="22">
        <f t="shared" si="54"/>
        <v>0.39992683453201888</v>
      </c>
      <c r="M213" s="22">
        <f t="shared" si="54"/>
        <v>0.39619153570803745</v>
      </c>
      <c r="N213" s="22">
        <f t="shared" si="54"/>
        <v>0.38596696743557218</v>
      </c>
      <c r="O213" s="22">
        <f t="shared" si="54"/>
        <v>0.37615042112991043</v>
      </c>
      <c r="P213" s="22">
        <f t="shared" si="54"/>
        <v>0.37293713836150383</v>
      </c>
      <c r="Q213" s="22">
        <f t="shared" si="54"/>
        <v>0.36774734482056881</v>
      </c>
      <c r="R213" s="22">
        <f t="shared" si="54"/>
        <v>0.35608688957109119</v>
      </c>
      <c r="S213" s="22">
        <f t="shared" si="54"/>
        <v>0.31696486473191704</v>
      </c>
      <c r="T213" s="22">
        <f t="shared" si="54"/>
        <v>0.32470985028067645</v>
      </c>
      <c r="U213" s="22">
        <f t="shared" si="54"/>
        <v>0.32889312054031467</v>
      </c>
      <c r="V213" s="22">
        <f t="shared" si="54"/>
        <v>0.33221809700085297</v>
      </c>
      <c r="W213" s="22">
        <f t="shared" si="54"/>
        <v>0.33668665148563554</v>
      </c>
      <c r="X213" s="22">
        <f t="shared" si="54"/>
        <v>0.34526566414363768</v>
      </c>
      <c r="Y213" s="22">
        <f t="shared" si="54"/>
        <v>0.3546551951018343</v>
      </c>
      <c r="Z213" s="22">
        <f t="shared" si="54"/>
        <v>0.36488607427670622</v>
      </c>
      <c r="AA213" s="22">
        <f t="shared" si="54"/>
        <v>0.37322811475659617</v>
      </c>
      <c r="AB213" s="22">
        <f t="shared" si="54"/>
        <v>0.38324164621633577</v>
      </c>
      <c r="AC213" s="22">
        <f t="shared" si="54"/>
        <v>0.39530317301942447</v>
      </c>
      <c r="AD213" s="22">
        <f t="shared" si="54"/>
        <v>0.40324844631367707</v>
      </c>
      <c r="AE213" s="22">
        <f t="shared" si="54"/>
        <v>0.41136426834445033</v>
      </c>
      <c r="AF213" s="22">
        <f t="shared" si="54"/>
        <v>0.41927237917692112</v>
      </c>
      <c r="AG213" s="22">
        <f t="shared" si="54"/>
        <v>0.428421433457634</v>
      </c>
      <c r="AH213" s="22">
        <f t="shared" si="54"/>
        <v>0.43494110190191582</v>
      </c>
      <c r="AI213" s="22">
        <f t="shared" si="54"/>
        <v>0.44180947123061814</v>
      </c>
      <c r="AJ213" s="22">
        <f t="shared" si="54"/>
        <v>0.4483818832498262</v>
      </c>
      <c r="AK213" s="22">
        <f t="shared" si="54"/>
        <v>0.45369176487192819</v>
      </c>
      <c r="AL213" s="22">
        <f t="shared" si="54"/>
        <v>0.45841729176886709</v>
      </c>
      <c r="AM213" s="22">
        <f t="shared" si="54"/>
        <v>0.46312160165358524</v>
      </c>
      <c r="AN213" s="22">
        <f t="shared" si="54"/>
        <v>0.47036226337760684</v>
      </c>
      <c r="AO213" s="22">
        <f t="shared" si="54"/>
        <v>0.47625895476630487</v>
      </c>
      <c r="AP213" s="22">
        <f t="shared" si="54"/>
        <v>0.48192117394918943</v>
      </c>
      <c r="AQ213" s="22">
        <f t="shared" si="54"/>
        <v>0.48736750310542487</v>
      </c>
      <c r="AR213" s="22">
        <f t="shared" si="54"/>
        <v>0.49331923171164554</v>
      </c>
      <c r="AS213" s="22">
        <f t="shared" si="54"/>
        <v>0.49914888511282934</v>
      </c>
      <c r="AT213" s="22">
        <f t="shared" si="54"/>
        <v>0.49794780494726931</v>
      </c>
      <c r="AU213" s="22">
        <f t="shared" si="54"/>
        <v>0.49606316174761622</v>
      </c>
      <c r="AV213" s="22">
        <f t="shared" si="54"/>
        <v>0.49481743932732059</v>
      </c>
      <c r="AW213" s="22">
        <f t="shared" si="54"/>
        <v>0.49296371491806151</v>
      </c>
      <c r="AY213" s="85"/>
    </row>
    <row r="214" spans="1:51" x14ac:dyDescent="0.25">
      <c r="A214" s="102" t="str">
        <f t="shared" si="45"/>
        <v>FA Organic</v>
      </c>
      <c r="B214" s="102" t="s">
        <v>963</v>
      </c>
      <c r="C214" s="102" t="s">
        <v>1128</v>
      </c>
      <c r="D214" t="s">
        <v>369</v>
      </c>
      <c r="E214" t="s">
        <v>55</v>
      </c>
      <c r="F214" t="s">
        <v>421</v>
      </c>
      <c r="G214" t="s">
        <v>1161</v>
      </c>
      <c r="H214" t="s">
        <v>1162</v>
      </c>
      <c r="I214" t="s">
        <v>139</v>
      </c>
      <c r="J214" t="s">
        <v>287</v>
      </c>
      <c r="K214" s="22">
        <f t="shared" si="55"/>
        <v>2.6734246327620794</v>
      </c>
      <c r="L214" s="22">
        <f t="shared" si="54"/>
        <v>2.6598136474699339</v>
      </c>
      <c r="M214" s="22">
        <f t="shared" si="54"/>
        <v>2.6349711064560761</v>
      </c>
      <c r="N214" s="22">
        <f t="shared" si="54"/>
        <v>2.5669700525572687</v>
      </c>
      <c r="O214" s="22">
        <f t="shared" si="54"/>
        <v>2.5016826510120014</v>
      </c>
      <c r="P214" s="22">
        <f t="shared" ref="L214:AW220" si="56">P1470</f>
        <v>2.4803119086096084</v>
      </c>
      <c r="Q214" s="22">
        <f t="shared" si="56"/>
        <v>2.4457958859379039</v>
      </c>
      <c r="R214" s="22">
        <f t="shared" si="56"/>
        <v>2.3682451058194229</v>
      </c>
      <c r="S214" s="22">
        <f t="shared" si="56"/>
        <v>2.1080542743998265</v>
      </c>
      <c r="T214" s="22">
        <f t="shared" si="56"/>
        <v>2.1595642419321464</v>
      </c>
      <c r="U214" s="22">
        <f t="shared" si="56"/>
        <v>2.1873861292547638</v>
      </c>
      <c r="V214" s="22">
        <f t="shared" si="56"/>
        <v>2.2094997185506768</v>
      </c>
      <c r="W214" s="22">
        <f t="shared" si="56"/>
        <v>2.2392189601139396</v>
      </c>
      <c r="X214" s="22">
        <f t="shared" si="56"/>
        <v>2.2962758339700611</v>
      </c>
      <c r="Y214" s="22">
        <f t="shared" si="56"/>
        <v>2.3587232629233519</v>
      </c>
      <c r="Z214" s="22">
        <f t="shared" si="56"/>
        <v>2.4267662890603274</v>
      </c>
      <c r="AA214" s="22">
        <f t="shared" si="56"/>
        <v>2.482247120053132</v>
      </c>
      <c r="AB214" s="22">
        <f t="shared" si="56"/>
        <v>2.5488446207363533</v>
      </c>
      <c r="AC214" s="22">
        <f t="shared" si="56"/>
        <v>2.6290628277434434</v>
      </c>
      <c r="AD214" s="22">
        <f t="shared" si="56"/>
        <v>2.6819048591256602</v>
      </c>
      <c r="AE214" s="22">
        <f t="shared" si="56"/>
        <v>2.7358811676250578</v>
      </c>
      <c r="AF214" s="22">
        <f t="shared" si="56"/>
        <v>2.7884760407410969</v>
      </c>
      <c r="AG214" s="22">
        <f t="shared" si="56"/>
        <v>2.8493241192796606</v>
      </c>
      <c r="AH214" s="22">
        <f t="shared" si="56"/>
        <v>2.8926848083051211</v>
      </c>
      <c r="AI214" s="22">
        <f t="shared" si="56"/>
        <v>2.9383646199579787</v>
      </c>
      <c r="AJ214" s="22">
        <f t="shared" si="56"/>
        <v>2.9820760933477084</v>
      </c>
      <c r="AK214" s="22">
        <f t="shared" si="56"/>
        <v>3.0173907919011151</v>
      </c>
      <c r="AL214" s="22">
        <f t="shared" si="56"/>
        <v>3.0488190928969017</v>
      </c>
      <c r="AM214" s="22">
        <f t="shared" si="56"/>
        <v>3.0801062848352543</v>
      </c>
      <c r="AN214" s="22">
        <f t="shared" si="56"/>
        <v>3.1282621203715273</v>
      </c>
      <c r="AO214" s="22">
        <f t="shared" si="56"/>
        <v>3.1674795443509169</v>
      </c>
      <c r="AP214" s="22">
        <f t="shared" si="56"/>
        <v>3.2051375521593344</v>
      </c>
      <c r="AQ214" s="22">
        <f t="shared" si="56"/>
        <v>3.2413597292365988</v>
      </c>
      <c r="AR214" s="22">
        <f t="shared" si="56"/>
        <v>3.2809431920252043</v>
      </c>
      <c r="AS214" s="22">
        <f t="shared" si="56"/>
        <v>3.319714763066774</v>
      </c>
      <c r="AT214" s="22">
        <f t="shared" si="56"/>
        <v>3.3117266783967354</v>
      </c>
      <c r="AU214" s="22">
        <f t="shared" si="56"/>
        <v>3.2991923864457724</v>
      </c>
      <c r="AV214" s="22">
        <f t="shared" si="56"/>
        <v>3.2909073972718437</v>
      </c>
      <c r="AW214" s="22">
        <f t="shared" si="56"/>
        <v>3.2785787384856291</v>
      </c>
      <c r="AY214" s="85"/>
    </row>
    <row r="215" spans="1:51" x14ac:dyDescent="0.25">
      <c r="A215" s="102" t="str">
        <f t="shared" si="45"/>
        <v>FA Organic</v>
      </c>
      <c r="B215" s="102" t="s">
        <v>963</v>
      </c>
      <c r="C215" s="102" t="s">
        <v>1128</v>
      </c>
      <c r="D215" t="s">
        <v>369</v>
      </c>
      <c r="E215" t="s">
        <v>55</v>
      </c>
      <c r="F215" t="s">
        <v>421</v>
      </c>
      <c r="G215" t="s">
        <v>1163</v>
      </c>
      <c r="H215" t="s">
        <v>1164</v>
      </c>
      <c r="I215" t="s">
        <v>139</v>
      </c>
      <c r="J215" t="s">
        <v>287</v>
      </c>
      <c r="K215" s="22">
        <f t="shared" si="55"/>
        <v>0.34456271820054257</v>
      </c>
      <c r="L215" s="22">
        <f t="shared" si="56"/>
        <v>0.35741698731572036</v>
      </c>
      <c r="M215" s="22">
        <f t="shared" si="56"/>
        <v>0.36896489164513291</v>
      </c>
      <c r="N215" s="22">
        <f t="shared" si="56"/>
        <v>0.37438401076610434</v>
      </c>
      <c r="O215" s="22">
        <f t="shared" si="56"/>
        <v>0.37988604718806568</v>
      </c>
      <c r="P215" s="22">
        <f t="shared" si="56"/>
        <v>0.39203102133073692</v>
      </c>
      <c r="Q215" s="22">
        <f t="shared" si="56"/>
        <v>0.40227536328848007</v>
      </c>
      <c r="R215" s="22">
        <f t="shared" si="56"/>
        <v>0.40526591417131741</v>
      </c>
      <c r="S215" s="22">
        <f t="shared" si="56"/>
        <v>0.37527481867018142</v>
      </c>
      <c r="T215" s="22">
        <f t="shared" si="56"/>
        <v>0.39365996287351818</v>
      </c>
      <c r="U215" s="22">
        <f t="shared" si="56"/>
        <v>0.40815819868382563</v>
      </c>
      <c r="V215" s="22">
        <f t="shared" si="56"/>
        <v>0.42190781589388981</v>
      </c>
      <c r="W215" s="22">
        <f t="shared" si="56"/>
        <v>0.4374457677220121</v>
      </c>
      <c r="X215" s="22">
        <f t="shared" si="56"/>
        <v>0.45882709525597559</v>
      </c>
      <c r="Y215" s="22">
        <f t="shared" si="56"/>
        <v>0.48194951358683946</v>
      </c>
      <c r="Z215" s="22">
        <f t="shared" si="56"/>
        <v>0.5069467882453319</v>
      </c>
      <c r="AA215" s="22">
        <f t="shared" si="56"/>
        <v>0.53003801773568016</v>
      </c>
      <c r="AB215" s="22">
        <f t="shared" si="56"/>
        <v>0.55623390953100238</v>
      </c>
      <c r="AC215" s="22">
        <f t="shared" si="56"/>
        <v>0.58627034555980351</v>
      </c>
      <c r="AD215" s="22">
        <f t="shared" si="56"/>
        <v>0.61782159985165686</v>
      </c>
      <c r="AE215" s="22">
        <f t="shared" si="56"/>
        <v>0.65112867925188422</v>
      </c>
      <c r="AF215" s="22">
        <f t="shared" si="56"/>
        <v>0.68568148380807281</v>
      </c>
      <c r="AG215" s="22">
        <f t="shared" si="56"/>
        <v>0.72398256864978949</v>
      </c>
      <c r="AH215" s="22">
        <f t="shared" si="56"/>
        <v>0.75957681879798822</v>
      </c>
      <c r="AI215" s="22">
        <f t="shared" si="56"/>
        <v>0.79748571472295215</v>
      </c>
      <c r="AJ215" s="22">
        <f t="shared" si="56"/>
        <v>0.83666894668287939</v>
      </c>
      <c r="AK215" s="22">
        <f t="shared" si="56"/>
        <v>0.87531443785412277</v>
      </c>
      <c r="AL215" s="22">
        <f t="shared" si="56"/>
        <v>0.91464095810421253</v>
      </c>
      <c r="AM215" s="22">
        <f t="shared" si="56"/>
        <v>0.95580463534177018</v>
      </c>
      <c r="AN215" s="22">
        <f t="shared" si="56"/>
        <v>0.99803934996482946</v>
      </c>
      <c r="AO215" s="22">
        <f t="shared" si="56"/>
        <v>1.0390605531241226</v>
      </c>
      <c r="AP215" s="22">
        <f t="shared" si="56"/>
        <v>1.0811924287176657</v>
      </c>
      <c r="AQ215" s="22">
        <f t="shared" si="56"/>
        <v>1.1245143338669252</v>
      </c>
      <c r="AR215" s="22">
        <f t="shared" si="56"/>
        <v>1.1707805213950246</v>
      </c>
      <c r="AS215" s="22">
        <f t="shared" si="56"/>
        <v>1.2186517327491972</v>
      </c>
      <c r="AT215" s="22">
        <f t="shared" si="56"/>
        <v>1.2508464245777533</v>
      </c>
      <c r="AU215" s="22">
        <f t="shared" si="56"/>
        <v>1.2823366685557687</v>
      </c>
      <c r="AV215" s="22">
        <f t="shared" si="56"/>
        <v>1.3165428948829248</v>
      </c>
      <c r="AW215" s="22">
        <f t="shared" si="56"/>
        <v>1.3502550917336287</v>
      </c>
      <c r="AY215" s="85"/>
    </row>
    <row r="216" spans="1:51" x14ac:dyDescent="0.25">
      <c r="A216" s="102" t="str">
        <f t="shared" si="45"/>
        <v>FA Organic</v>
      </c>
      <c r="B216" s="102" t="s">
        <v>963</v>
      </c>
      <c r="C216" s="102" t="s">
        <v>1128</v>
      </c>
      <c r="D216" t="s">
        <v>369</v>
      </c>
      <c r="E216" t="s">
        <v>55</v>
      </c>
      <c r="F216" t="s">
        <v>421</v>
      </c>
      <c r="G216" t="s">
        <v>1165</v>
      </c>
      <c r="H216" t="s">
        <v>1166</v>
      </c>
      <c r="I216" t="s">
        <v>139</v>
      </c>
      <c r="J216" t="s">
        <v>287</v>
      </c>
      <c r="K216" s="22">
        <f t="shared" si="55"/>
        <v>5.8351352726762881E-2</v>
      </c>
      <c r="L216" s="22">
        <f t="shared" si="56"/>
        <v>5.838284383946888E-2</v>
      </c>
      <c r="M216" s="22">
        <f t="shared" si="56"/>
        <v>5.8455239222652444E-2</v>
      </c>
      <c r="N216" s="22">
        <f t="shared" si="56"/>
        <v>5.8562716913640872E-2</v>
      </c>
      <c r="O216" s="22">
        <f t="shared" si="56"/>
        <v>5.8707782505400478E-2</v>
      </c>
      <c r="P216" s="22">
        <f t="shared" si="56"/>
        <v>5.8893351419097517E-2</v>
      </c>
      <c r="Q216" s="22">
        <f t="shared" si="56"/>
        <v>5.909782905733385E-2</v>
      </c>
      <c r="R216" s="22">
        <f t="shared" si="56"/>
        <v>5.9318039560246685E-2</v>
      </c>
      <c r="S216" s="22">
        <f t="shared" si="56"/>
        <v>5.9536211182470676E-2</v>
      </c>
      <c r="T216" s="22">
        <f t="shared" si="56"/>
        <v>5.9625496743982688E-2</v>
      </c>
      <c r="U216" s="22">
        <f t="shared" si="56"/>
        <v>5.9726883271183619E-2</v>
      </c>
      <c r="V216" s="22">
        <f t="shared" si="56"/>
        <v>5.9841544259393621E-2</v>
      </c>
      <c r="W216" s="22">
        <f t="shared" si="56"/>
        <v>5.9970311446414445E-2</v>
      </c>
      <c r="X216" s="22">
        <f t="shared" si="56"/>
        <v>6.0115005305831533E-2</v>
      </c>
      <c r="Y216" s="22">
        <f t="shared" si="56"/>
        <v>6.0205982501934943E-2</v>
      </c>
      <c r="Z216" s="22">
        <f t="shared" si="56"/>
        <v>6.0308427456259674E-2</v>
      </c>
      <c r="AA216" s="22">
        <f t="shared" si="56"/>
        <v>6.0419488984851388E-2</v>
      </c>
      <c r="AB216" s="22">
        <f t="shared" si="56"/>
        <v>6.0541770911636386E-2</v>
      </c>
      <c r="AC216" s="22">
        <f t="shared" si="56"/>
        <v>6.0675259234702413E-2</v>
      </c>
      <c r="AD216" s="22">
        <f t="shared" si="56"/>
        <v>6.0763612545599144E-2</v>
      </c>
      <c r="AE216" s="22">
        <f t="shared" si="56"/>
        <v>6.0860562125647062E-2</v>
      </c>
      <c r="AF216" s="22">
        <f t="shared" si="56"/>
        <v>6.0965456696796608E-2</v>
      </c>
      <c r="AG216" s="22">
        <f t="shared" si="56"/>
        <v>6.1079431750386354E-2</v>
      </c>
      <c r="AH216" s="22">
        <f t="shared" si="56"/>
        <v>6.1198454005462005E-2</v>
      </c>
      <c r="AI216" s="22">
        <f t="shared" si="56"/>
        <v>6.1274601225536553E-2</v>
      </c>
      <c r="AJ216" s="22">
        <f t="shared" si="56"/>
        <v>6.1357207979697827E-2</v>
      </c>
      <c r="AK216" s="22">
        <f t="shared" si="56"/>
        <v>6.1445023192111883E-2</v>
      </c>
      <c r="AL216" s="22">
        <f t="shared" si="56"/>
        <v>6.1538527566909175E-2</v>
      </c>
      <c r="AM216" s="22">
        <f t="shared" si="56"/>
        <v>6.163815914834115E-2</v>
      </c>
      <c r="AN216" s="22">
        <f t="shared" si="56"/>
        <v>6.1696880609150663E-2</v>
      </c>
      <c r="AO216" s="22">
        <f t="shared" si="56"/>
        <v>6.1759449666934245E-2</v>
      </c>
      <c r="AP216" s="22">
        <f t="shared" si="56"/>
        <v>6.1826968943055068E-2</v>
      </c>
      <c r="AQ216" s="22">
        <f t="shared" si="56"/>
        <v>6.1899319328770012E-2</v>
      </c>
      <c r="AR216" s="22">
        <f t="shared" si="56"/>
        <v>6.1977277610442229E-2</v>
      </c>
      <c r="AS216" s="22">
        <f t="shared" si="56"/>
        <v>6.2012413359244796E-2</v>
      </c>
      <c r="AT216" s="22">
        <f t="shared" si="56"/>
        <v>6.2042910745793073E-2</v>
      </c>
      <c r="AU216" s="22">
        <f t="shared" si="56"/>
        <v>6.2076578921359475E-2</v>
      </c>
      <c r="AV216" s="22">
        <f t="shared" si="56"/>
        <v>6.2115070786636459E-2</v>
      </c>
      <c r="AW216" s="22">
        <f t="shared" si="56"/>
        <v>6.2156607972806463E-2</v>
      </c>
      <c r="AY216" s="85"/>
    </row>
    <row r="217" spans="1:51" x14ac:dyDescent="0.25">
      <c r="A217" s="102" t="str">
        <f t="shared" si="45"/>
        <v>FA Organic</v>
      </c>
      <c r="B217" s="102" t="s">
        <v>963</v>
      </c>
      <c r="C217" s="102" t="s">
        <v>1128</v>
      </c>
      <c r="D217" t="s">
        <v>369</v>
      </c>
      <c r="E217" t="s">
        <v>55</v>
      </c>
      <c r="F217" t="s">
        <v>421</v>
      </c>
      <c r="G217" t="s">
        <v>1167</v>
      </c>
      <c r="H217" t="s">
        <v>1168</v>
      </c>
      <c r="I217" t="s">
        <v>139</v>
      </c>
      <c r="J217" t="s">
        <v>287</v>
      </c>
      <c r="K217" s="22">
        <f t="shared" si="55"/>
        <v>4.7490069351463909E-2</v>
      </c>
      <c r="L217" s="22">
        <f t="shared" si="56"/>
        <v>4.7515698836582541E-2</v>
      </c>
      <c r="M217" s="22">
        <f t="shared" si="56"/>
        <v>4.7574618837704238E-2</v>
      </c>
      <c r="N217" s="22">
        <f t="shared" si="56"/>
        <v>4.7662091068599664E-2</v>
      </c>
      <c r="O217" s="22">
        <f t="shared" si="56"/>
        <v>4.7780154741355184E-2</v>
      </c>
      <c r="P217" s="22">
        <f t="shared" si="56"/>
        <v>4.7931182612503523E-2</v>
      </c>
      <c r="Q217" s="22">
        <f t="shared" si="56"/>
        <v>4.809759961514163E-2</v>
      </c>
      <c r="R217" s="22">
        <f t="shared" si="56"/>
        <v>4.8276821031039585E-2</v>
      </c>
      <c r="S217" s="22">
        <f t="shared" si="56"/>
        <v>4.845438307520427E-2</v>
      </c>
      <c r="T217" s="22">
        <f t="shared" si="56"/>
        <v>4.8527049385583491E-2</v>
      </c>
      <c r="U217" s="22">
        <f t="shared" si="56"/>
        <v>4.8609564237134945E-2</v>
      </c>
      <c r="V217" s="22">
        <f t="shared" si="56"/>
        <v>4.8702882695534688E-2</v>
      </c>
      <c r="W217" s="22">
        <f t="shared" si="56"/>
        <v>4.8807681682294192E-2</v>
      </c>
      <c r="X217" s="22">
        <f t="shared" si="56"/>
        <v>4.8925442815452934E-2</v>
      </c>
      <c r="Y217" s="22">
        <f t="shared" si="56"/>
        <v>4.899948588644365E-2</v>
      </c>
      <c r="Z217" s="22">
        <f t="shared" si="56"/>
        <v>4.9082862153800644E-2</v>
      </c>
      <c r="AA217" s="22">
        <f t="shared" si="56"/>
        <v>4.9173251141349877E-2</v>
      </c>
      <c r="AB217" s="22">
        <f t="shared" si="56"/>
        <v>4.9272772007826496E-2</v>
      </c>
      <c r="AC217" s="22">
        <f t="shared" si="56"/>
        <v>4.9381413357577224E-2</v>
      </c>
      <c r="AD217" s="22">
        <f t="shared" si="56"/>
        <v>4.9453320942677535E-2</v>
      </c>
      <c r="AE217" s="22">
        <f t="shared" si="56"/>
        <v>4.9532224722365882E-2</v>
      </c>
      <c r="AF217" s="22">
        <f t="shared" si="56"/>
        <v>4.9617594644838996E-2</v>
      </c>
      <c r="AG217" s="22">
        <f t="shared" si="56"/>
        <v>4.9710354845697732E-2</v>
      </c>
      <c r="AH217" s="22">
        <f t="shared" si="56"/>
        <v>4.9807222782493964E-2</v>
      </c>
      <c r="AI217" s="22">
        <f t="shared" si="56"/>
        <v>4.9869196268853305E-2</v>
      </c>
      <c r="AJ217" s="22">
        <f t="shared" si="56"/>
        <v>4.9936426937907168E-2</v>
      </c>
      <c r="AK217" s="22">
        <f t="shared" si="56"/>
        <v>5.0007896583986924E-2</v>
      </c>
      <c r="AL217" s="22">
        <f t="shared" si="56"/>
        <v>5.0083996434912091E-2</v>
      </c>
      <c r="AM217" s="22">
        <f t="shared" si="56"/>
        <v>5.0165082999159477E-2</v>
      </c>
      <c r="AN217" s="22">
        <f t="shared" si="56"/>
        <v>5.0212874286181063E-2</v>
      </c>
      <c r="AO217" s="22">
        <f t="shared" si="56"/>
        <v>5.0263796994131166E-2</v>
      </c>
      <c r="AP217" s="22">
        <f t="shared" si="56"/>
        <v>5.0318748506918774E-2</v>
      </c>
      <c r="AQ217" s="22">
        <f t="shared" si="56"/>
        <v>5.0377631886217578E-2</v>
      </c>
      <c r="AR217" s="22">
        <f t="shared" si="56"/>
        <v>5.0441079330537687E-2</v>
      </c>
      <c r="AS217" s="22">
        <f t="shared" si="56"/>
        <v>5.0469675054019239E-2</v>
      </c>
      <c r="AT217" s="22">
        <f t="shared" si="56"/>
        <v>5.049449578112386E-2</v>
      </c>
      <c r="AU217" s="22">
        <f t="shared" si="56"/>
        <v>5.0521897099480149E-2</v>
      </c>
      <c r="AV217" s="22">
        <f t="shared" si="56"/>
        <v>5.055322424557103E-2</v>
      </c>
      <c r="AW217" s="22">
        <f t="shared" si="56"/>
        <v>5.0587029868914744E-2</v>
      </c>
      <c r="AY217" s="85"/>
    </row>
    <row r="218" spans="1:51" x14ac:dyDescent="0.25">
      <c r="A218" s="102" t="str">
        <f t="shared" si="45"/>
        <v>FA Organic</v>
      </c>
      <c r="B218" s="102" t="s">
        <v>963</v>
      </c>
      <c r="C218" s="102" t="s">
        <v>1128</v>
      </c>
      <c r="D218" t="s">
        <v>369</v>
      </c>
      <c r="E218" t="s">
        <v>55</v>
      </c>
      <c r="F218" t="s">
        <v>421</v>
      </c>
      <c r="G218" t="s">
        <v>1169</v>
      </c>
      <c r="H218" t="s">
        <v>1170</v>
      </c>
      <c r="I218" t="s">
        <v>139</v>
      </c>
      <c r="J218" t="s">
        <v>287</v>
      </c>
      <c r="K218" s="22">
        <f t="shared" si="55"/>
        <v>7.2124379000375856E-3</v>
      </c>
      <c r="L218" s="22">
        <f t="shared" si="56"/>
        <v>7.2311842253661622E-3</v>
      </c>
      <c r="M218" s="22">
        <f t="shared" si="56"/>
        <v>7.2564640106272402E-3</v>
      </c>
      <c r="N218" s="22">
        <f t="shared" si="56"/>
        <v>7.287254147269725E-3</v>
      </c>
      <c r="O218" s="22">
        <f t="shared" si="56"/>
        <v>7.3241333035294473E-3</v>
      </c>
      <c r="P218" s="22">
        <f t="shared" si="56"/>
        <v>7.3677329801347495E-3</v>
      </c>
      <c r="Q218" s="22">
        <f t="shared" si="56"/>
        <v>7.4139400326720672E-3</v>
      </c>
      <c r="R218" s="22">
        <f t="shared" si="56"/>
        <v>7.4622138016085145E-3</v>
      </c>
      <c r="S218" s="22">
        <f t="shared" si="56"/>
        <v>7.509211214865451E-3</v>
      </c>
      <c r="T218" s="22">
        <f t="shared" si="56"/>
        <v>7.5307669987204583E-3</v>
      </c>
      <c r="U218" s="22">
        <f t="shared" si="56"/>
        <v>7.5540126929522231E-3</v>
      </c>
      <c r="V218" s="22">
        <f t="shared" si="56"/>
        <v>7.5792072480240892E-3</v>
      </c>
      <c r="W218" s="22">
        <f t="shared" si="56"/>
        <v>7.6065371736612122E-3</v>
      </c>
      <c r="X218" s="22">
        <f t="shared" si="56"/>
        <v>7.6363701343967012E-3</v>
      </c>
      <c r="Y218" s="22">
        <f t="shared" si="56"/>
        <v>7.6555716504049104E-3</v>
      </c>
      <c r="Z218" s="22">
        <f t="shared" si="56"/>
        <v>7.6765259853692923E-3</v>
      </c>
      <c r="AA218" s="22">
        <f t="shared" si="56"/>
        <v>7.6987119024127136E-3</v>
      </c>
      <c r="AB218" s="22">
        <f t="shared" si="56"/>
        <v>7.7226338019690602E-3</v>
      </c>
      <c r="AC218" s="22">
        <f t="shared" si="56"/>
        <v>7.7482997485057862E-3</v>
      </c>
      <c r="AD218" s="22">
        <f t="shared" si="56"/>
        <v>7.7651933997685552E-3</v>
      </c>
      <c r="AE218" s="22">
        <f t="shared" si="56"/>
        <v>7.7834037435669879E-3</v>
      </c>
      <c r="AF218" s="22">
        <f t="shared" si="56"/>
        <v>7.802817413015653E-3</v>
      </c>
      <c r="AG218" s="22">
        <f t="shared" si="56"/>
        <v>7.8236526131203795E-3</v>
      </c>
      <c r="AH218" s="22">
        <f t="shared" si="56"/>
        <v>7.8451669042542294E-3</v>
      </c>
      <c r="AI218" s="22">
        <f t="shared" si="56"/>
        <v>7.8585039220798909E-3</v>
      </c>
      <c r="AJ218" s="22">
        <f t="shared" si="56"/>
        <v>7.8728299564684995E-3</v>
      </c>
      <c r="AK218" s="22">
        <f t="shared" si="56"/>
        <v>7.8879188408277207E-3</v>
      </c>
      <c r="AL218" s="22">
        <f t="shared" si="56"/>
        <v>7.9038640214346874E-3</v>
      </c>
      <c r="AM218" s="22">
        <f t="shared" si="56"/>
        <v>7.9207498637461782E-3</v>
      </c>
      <c r="AN218" s="22">
        <f t="shared" si="56"/>
        <v>7.9299570033797458E-3</v>
      </c>
      <c r="AO218" s="22">
        <f t="shared" si="56"/>
        <v>7.9397231588042138E-3</v>
      </c>
      <c r="AP218" s="22">
        <f t="shared" si="56"/>
        <v>7.9502533101027516E-3</v>
      </c>
      <c r="AQ218" s="22">
        <f t="shared" si="56"/>
        <v>7.9615278668621423E-3</v>
      </c>
      <c r="AR218" s="22">
        <f t="shared" si="56"/>
        <v>7.9736901552170548E-3</v>
      </c>
      <c r="AS218" s="22">
        <f t="shared" si="56"/>
        <v>7.9779384467945549E-3</v>
      </c>
      <c r="AT218" s="22">
        <f t="shared" si="56"/>
        <v>7.9812454824287754E-3</v>
      </c>
      <c r="AU218" s="22">
        <f t="shared" si="56"/>
        <v>7.9850348723730785E-3</v>
      </c>
      <c r="AV218" s="22">
        <f t="shared" si="56"/>
        <v>7.9896072385955193E-3</v>
      </c>
      <c r="AW218" s="22">
        <f t="shared" si="56"/>
        <v>7.9946414377677251E-3</v>
      </c>
      <c r="AY218" s="85"/>
    </row>
    <row r="219" spans="1:51" x14ac:dyDescent="0.25">
      <c r="A219" s="102" t="str">
        <f t="shared" si="45"/>
        <v>FA Organic</v>
      </c>
      <c r="B219" s="102" t="s">
        <v>963</v>
      </c>
      <c r="C219" s="102" t="s">
        <v>1128</v>
      </c>
      <c r="D219" t="s">
        <v>369</v>
      </c>
      <c r="E219" t="s">
        <v>55</v>
      </c>
      <c r="F219" t="s">
        <v>421</v>
      </c>
      <c r="G219" t="s">
        <v>1171</v>
      </c>
      <c r="H219" t="s">
        <v>1172</v>
      </c>
      <c r="I219" t="s">
        <v>139</v>
      </c>
      <c r="J219" t="s">
        <v>287</v>
      </c>
      <c r="K219" s="22">
        <f t="shared" si="55"/>
        <v>8.7025704097551199E-2</v>
      </c>
      <c r="L219" s="22">
        <f t="shared" si="56"/>
        <v>8.7251898372437478E-2</v>
      </c>
      <c r="M219" s="22">
        <f t="shared" si="56"/>
        <v>8.7556925762935861E-2</v>
      </c>
      <c r="N219" s="22">
        <f t="shared" si="56"/>
        <v>8.7928441380499503E-2</v>
      </c>
      <c r="O219" s="22">
        <f t="shared" si="56"/>
        <v>8.8373427470433044E-2</v>
      </c>
      <c r="P219" s="22">
        <f t="shared" si="56"/>
        <v>8.8899503758033641E-2</v>
      </c>
      <c r="Q219" s="22">
        <f t="shared" si="56"/>
        <v>8.9457040798499768E-2</v>
      </c>
      <c r="R219" s="22">
        <f t="shared" si="56"/>
        <v>9.0039514961794118E-2</v>
      </c>
      <c r="S219" s="22">
        <f t="shared" si="56"/>
        <v>9.0606588541648075E-2</v>
      </c>
      <c r="T219" s="22">
        <f t="shared" si="56"/>
        <v>9.0866681909987077E-2</v>
      </c>
      <c r="U219" s="22">
        <f t="shared" si="56"/>
        <v>9.1147165837307267E-2</v>
      </c>
      <c r="V219" s="22">
        <f t="shared" si="56"/>
        <v>9.1451164835280221E-2</v>
      </c>
      <c r="W219" s="22">
        <f t="shared" si="56"/>
        <v>9.1780929341327769E-2</v>
      </c>
      <c r="X219" s="22">
        <f t="shared" si="56"/>
        <v>9.2140895617544447E-2</v>
      </c>
      <c r="Y219" s="22">
        <f t="shared" si="56"/>
        <v>9.2372582250207988E-2</v>
      </c>
      <c r="Z219" s="22">
        <f t="shared" si="56"/>
        <v>9.2625418500508608E-2</v>
      </c>
      <c r="AA219" s="22">
        <f t="shared" si="56"/>
        <v>9.2893115093326858E-2</v>
      </c>
      <c r="AB219" s="22">
        <f t="shared" si="56"/>
        <v>9.3181758154257929E-2</v>
      </c>
      <c r="AC219" s="22">
        <f t="shared" si="56"/>
        <v>9.3491444989645012E-2</v>
      </c>
      <c r="AD219" s="22">
        <f t="shared" si="56"/>
        <v>9.3695284789210367E-2</v>
      </c>
      <c r="AE219" s="22">
        <f t="shared" si="56"/>
        <v>9.3915011879118299E-2</v>
      </c>
      <c r="AF219" s="22">
        <f t="shared" si="56"/>
        <v>9.4149258367795627E-2</v>
      </c>
      <c r="AG219" s="22">
        <f t="shared" si="56"/>
        <v>9.4400657129803389E-2</v>
      </c>
      <c r="AH219" s="22">
        <f t="shared" si="56"/>
        <v>9.4660249844504385E-2</v>
      </c>
      <c r="AI219" s="22">
        <f t="shared" si="56"/>
        <v>9.4821175093764906E-2</v>
      </c>
      <c r="AJ219" s="22">
        <f t="shared" si="56"/>
        <v>9.4994033875618389E-2</v>
      </c>
      <c r="AK219" s="22">
        <f t="shared" si="56"/>
        <v>9.5176097250528169E-2</v>
      </c>
      <c r="AL219" s="22">
        <f t="shared" si="56"/>
        <v>9.5368492746824421E-2</v>
      </c>
      <c r="AM219" s="22">
        <f t="shared" si="56"/>
        <v>9.5572238323119812E-2</v>
      </c>
      <c r="AN219" s="22">
        <f t="shared" si="56"/>
        <v>9.5683332216812994E-2</v>
      </c>
      <c r="AO219" s="22">
        <f t="shared" si="56"/>
        <v>9.5801171228242971E-2</v>
      </c>
      <c r="AP219" s="22">
        <f t="shared" si="56"/>
        <v>9.5928228659268394E-2</v>
      </c>
      <c r="AQ219" s="22">
        <f t="shared" si="56"/>
        <v>9.6064268130799754E-2</v>
      </c>
      <c r="AR219" s="22">
        <f t="shared" si="56"/>
        <v>9.6211019024491043E-2</v>
      </c>
      <c r="AS219" s="22">
        <f t="shared" si="56"/>
        <v>9.6262279163000078E-2</v>
      </c>
      <c r="AT219" s="22">
        <f t="shared" si="56"/>
        <v>9.6302182051389879E-2</v>
      </c>
      <c r="AU219" s="22">
        <f t="shared" si="56"/>
        <v>9.634790505553549E-2</v>
      </c>
      <c r="AV219" s="22">
        <f t="shared" si="56"/>
        <v>9.6403075497959345E-2</v>
      </c>
      <c r="AW219" s="22">
        <f t="shared" si="56"/>
        <v>9.6463818444186472E-2</v>
      </c>
      <c r="AY219" s="85"/>
    </row>
    <row r="220" spans="1:51" x14ac:dyDescent="0.25">
      <c r="A220" s="102" t="str">
        <f t="shared" si="45"/>
        <v>FA Organic</v>
      </c>
      <c r="B220" s="102" t="s">
        <v>963</v>
      </c>
      <c r="C220" s="102" t="s">
        <v>1128</v>
      </c>
      <c r="D220" t="s">
        <v>369</v>
      </c>
      <c r="E220" t="s">
        <v>55</v>
      </c>
      <c r="F220" t="s">
        <v>421</v>
      </c>
      <c r="G220" t="s">
        <v>1173</v>
      </c>
      <c r="H220" t="s">
        <v>1174</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85"/>
    </row>
    <row r="221" spans="1:51" x14ac:dyDescent="0.25">
      <c r="A221" s="102" t="str">
        <f t="shared" si="45"/>
        <v>FA Organic</v>
      </c>
      <c r="B221" s="102" t="s">
        <v>963</v>
      </c>
      <c r="C221" s="102" t="s">
        <v>1128</v>
      </c>
      <c r="D221" t="s">
        <v>369</v>
      </c>
      <c r="E221" t="s">
        <v>55</v>
      </c>
      <c r="F221" t="s">
        <v>421</v>
      </c>
      <c r="G221" t="s">
        <v>1175</v>
      </c>
      <c r="H221" t="s">
        <v>1176</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85"/>
    </row>
    <row r="222" spans="1:51" x14ac:dyDescent="0.25">
      <c r="A222" s="102" t="str">
        <f t="shared" si="45"/>
        <v>FA Organic</v>
      </c>
      <c r="B222" s="102" t="s">
        <v>963</v>
      </c>
      <c r="C222" s="102" t="s">
        <v>1128</v>
      </c>
      <c r="D222" t="s">
        <v>369</v>
      </c>
      <c r="E222" t="s">
        <v>55</v>
      </c>
      <c r="F222" t="s">
        <v>421</v>
      </c>
      <c r="G222" t="s">
        <v>1177</v>
      </c>
      <c r="H222" t="s">
        <v>1178</v>
      </c>
      <c r="I222" t="s">
        <v>139</v>
      </c>
      <c r="J222" t="s">
        <v>287</v>
      </c>
      <c r="K222" s="22">
        <f t="shared" si="55"/>
        <v>0.12512489027733434</v>
      </c>
      <c r="L222" s="22">
        <f t="shared" si="57"/>
        <v>0.1249037465490002</v>
      </c>
      <c r="M222" s="22">
        <f t="shared" si="57"/>
        <v>0.12420297117813216</v>
      </c>
      <c r="N222" s="22">
        <f t="shared" si="57"/>
        <v>0.12146227380625023</v>
      </c>
      <c r="O222" s="22">
        <f t="shared" si="57"/>
        <v>0.11887050141065171</v>
      </c>
      <c r="P222" s="22">
        <f t="shared" si="57"/>
        <v>0.11845218382715161</v>
      </c>
      <c r="Q222" s="22">
        <f t="shared" si="57"/>
        <v>0.11743671165425351</v>
      </c>
      <c r="R222" s="22">
        <f t="shared" si="57"/>
        <v>0.11430912679136991</v>
      </c>
      <c r="S222" s="22">
        <f t="shared" si="57"/>
        <v>0.1019584522188007</v>
      </c>
      <c r="T222" s="22">
        <f t="shared" si="57"/>
        <v>0.10415164096850968</v>
      </c>
      <c r="U222" s="22">
        <f t="shared" si="57"/>
        <v>0.10516156472619907</v>
      </c>
      <c r="V222" s="22">
        <f t="shared" si="57"/>
        <v>0.10589710072304019</v>
      </c>
      <c r="W222" s="22">
        <f t="shared" si="57"/>
        <v>0.10702634667209501</v>
      </c>
      <c r="X222" s="22">
        <f t="shared" si="57"/>
        <v>0.10953406099380125</v>
      </c>
      <c r="Y222" s="22">
        <f t="shared" si="57"/>
        <v>0.11235635375154626</v>
      </c>
      <c r="Z222" s="22">
        <f t="shared" si="57"/>
        <v>0.11546203967262161</v>
      </c>
      <c r="AA222" s="22">
        <f t="shared" si="57"/>
        <v>0.11794547104868178</v>
      </c>
      <c r="AB222" s="22">
        <f t="shared" si="57"/>
        <v>0.12098722785949015</v>
      </c>
      <c r="AC222" s="22">
        <f t="shared" si="57"/>
        <v>0.12470963867892285</v>
      </c>
      <c r="AD222" s="22">
        <f t="shared" si="57"/>
        <v>0.12823307755990843</v>
      </c>
      <c r="AE222" s="22">
        <f t="shared" si="57"/>
        <v>0.13190019989335749</v>
      </c>
      <c r="AF222" s="22">
        <f t="shared" si="57"/>
        <v>0.13558882448809464</v>
      </c>
      <c r="AG222" s="22">
        <f t="shared" si="57"/>
        <v>0.139795617096279</v>
      </c>
      <c r="AH222" s="22">
        <f t="shared" si="57"/>
        <v>0.14320619245252167</v>
      </c>
      <c r="AI222" s="22">
        <f t="shared" si="57"/>
        <v>0.14686073920515186</v>
      </c>
      <c r="AJ222" s="22">
        <f t="shared" si="57"/>
        <v>0.15051597642167761</v>
      </c>
      <c r="AK222" s="22">
        <f t="shared" si="57"/>
        <v>0.15383345031493795</v>
      </c>
      <c r="AL222" s="22">
        <f t="shared" si="57"/>
        <v>0.15704803055416769</v>
      </c>
      <c r="AM222" s="22">
        <f t="shared" si="57"/>
        <v>0.16036221209585783</v>
      </c>
      <c r="AN222" s="22">
        <f t="shared" si="57"/>
        <v>0.16386598018742685</v>
      </c>
      <c r="AO222" s="22">
        <f t="shared" si="57"/>
        <v>0.16694649307070639</v>
      </c>
      <c r="AP222" s="22">
        <f t="shared" si="57"/>
        <v>0.17000456077892223</v>
      </c>
      <c r="AQ222" s="22">
        <f t="shared" si="57"/>
        <v>0.17304831428445985</v>
      </c>
      <c r="AR222" s="22">
        <f t="shared" si="57"/>
        <v>0.17634648819223331</v>
      </c>
      <c r="AS222" s="22">
        <f t="shared" si="57"/>
        <v>0.17969250919958218</v>
      </c>
      <c r="AT222" s="22">
        <f t="shared" si="57"/>
        <v>0.18047485756179946</v>
      </c>
      <c r="AU222" s="22">
        <f t="shared" si="57"/>
        <v>0.18104197572914582</v>
      </c>
      <c r="AV222" s="22">
        <f t="shared" si="57"/>
        <v>0.18189334709867436</v>
      </c>
      <c r="AW222" s="22">
        <f t="shared" si="57"/>
        <v>0.18255809913012605</v>
      </c>
      <c r="AY222" s="85"/>
    </row>
    <row r="223" spans="1:51" x14ac:dyDescent="0.25">
      <c r="A223" s="102" t="str">
        <f t="shared" si="45"/>
        <v>FA Organic</v>
      </c>
      <c r="B223" s="102" t="s">
        <v>963</v>
      </c>
      <c r="C223" s="102" t="s">
        <v>1128</v>
      </c>
      <c r="D223" t="s">
        <v>369</v>
      </c>
      <c r="E223" t="s">
        <v>55</v>
      </c>
      <c r="F223" t="s">
        <v>421</v>
      </c>
      <c r="G223" t="s">
        <v>1179</v>
      </c>
      <c r="H223" t="s">
        <v>1180</v>
      </c>
      <c r="I223" t="s">
        <v>139</v>
      </c>
      <c r="J223" t="s">
        <v>287</v>
      </c>
      <c r="K223" s="22">
        <f t="shared" si="55"/>
        <v>3.1744662482237319E-2</v>
      </c>
      <c r="L223" s="22">
        <f t="shared" si="57"/>
        <v>3.1688557473869519E-2</v>
      </c>
      <c r="M223" s="22">
        <f t="shared" si="57"/>
        <v>3.151076808620442E-2</v>
      </c>
      <c r="N223" s="22">
        <f t="shared" si="57"/>
        <v>3.0815442696959246E-2</v>
      </c>
      <c r="O223" s="22">
        <f t="shared" si="57"/>
        <v>3.0157900142902292E-2</v>
      </c>
      <c r="P223" s="22">
        <f t="shared" si="57"/>
        <v>3.0051771374524052E-2</v>
      </c>
      <c r="Q223" s="22">
        <f t="shared" si="57"/>
        <v>2.9794142206440031E-2</v>
      </c>
      <c r="R223" s="22">
        <f t="shared" si="57"/>
        <v>2.9000661983306687E-2</v>
      </c>
      <c r="S223" s="22">
        <f t="shared" si="57"/>
        <v>2.5867248680284741E-2</v>
      </c>
      <c r="T223" s="22">
        <f t="shared" si="57"/>
        <v>2.6423669041293948E-2</v>
      </c>
      <c r="U223" s="22">
        <f t="shared" si="57"/>
        <v>2.6679890555251589E-2</v>
      </c>
      <c r="V223" s="22">
        <f t="shared" si="57"/>
        <v>2.6866498846467711E-2</v>
      </c>
      <c r="W223" s="22">
        <f t="shared" si="57"/>
        <v>2.7152992856034661E-2</v>
      </c>
      <c r="X223" s="22">
        <f t="shared" si="57"/>
        <v>2.7789209555749587E-2</v>
      </c>
      <c r="Y223" s="22">
        <f t="shared" si="57"/>
        <v>2.8505236005979432E-2</v>
      </c>
      <c r="Z223" s="22">
        <f t="shared" si="57"/>
        <v>2.9293160383949742E-2</v>
      </c>
      <c r="AA223" s="22">
        <f t="shared" si="57"/>
        <v>2.9923216407624114E-2</v>
      </c>
      <c r="AB223" s="22">
        <f t="shared" si="57"/>
        <v>3.0694921726191319E-2</v>
      </c>
      <c r="AC223" s="22">
        <f t="shared" si="57"/>
        <v>3.1639311565984256E-2</v>
      </c>
      <c r="AD223" s="22">
        <f t="shared" si="57"/>
        <v>3.2533221465171916E-2</v>
      </c>
      <c r="AE223" s="22">
        <f t="shared" si="57"/>
        <v>3.3463584404938677E-2</v>
      </c>
      <c r="AF223" s="22">
        <f t="shared" si="57"/>
        <v>3.4399402550505692E-2</v>
      </c>
      <c r="AG223" s="22">
        <f t="shared" si="57"/>
        <v>3.5466681899830918E-2</v>
      </c>
      <c r="AH223" s="22">
        <f t="shared" si="57"/>
        <v>3.633195789179533E-2</v>
      </c>
      <c r="AI223" s="22">
        <f t="shared" si="57"/>
        <v>3.7259130358685527E-2</v>
      </c>
      <c r="AJ223" s="22">
        <f t="shared" si="57"/>
        <v>3.8186477998902742E-2</v>
      </c>
      <c r="AK223" s="22">
        <f t="shared" si="57"/>
        <v>3.9028133794178674E-2</v>
      </c>
      <c r="AL223" s="22">
        <f t="shared" si="57"/>
        <v>3.984368507650337E-2</v>
      </c>
      <c r="AM223" s="22">
        <f t="shared" si="57"/>
        <v>4.0684505589613319E-2</v>
      </c>
      <c r="AN223" s="22">
        <f t="shared" si="57"/>
        <v>4.1573424934408458E-2</v>
      </c>
      <c r="AO223" s="22">
        <f t="shared" si="57"/>
        <v>4.2354962816560815E-2</v>
      </c>
      <c r="AP223" s="22">
        <f t="shared" si="57"/>
        <v>4.3130806272087305E-2</v>
      </c>
      <c r="AQ223" s="22">
        <f t="shared" si="57"/>
        <v>4.3903018159732181E-2</v>
      </c>
      <c r="AR223" s="22">
        <f t="shared" si="57"/>
        <v>4.4739777474988543E-2</v>
      </c>
      <c r="AS223" s="22">
        <f t="shared" si="57"/>
        <v>4.5588675782122633E-2</v>
      </c>
      <c r="AT223" s="22">
        <f t="shared" si="57"/>
        <v>4.5787160549198715E-2</v>
      </c>
      <c r="AU223" s="22">
        <f t="shared" si="57"/>
        <v>4.5931040593928836E-2</v>
      </c>
      <c r="AV223" s="22">
        <f t="shared" si="57"/>
        <v>4.6147036761540416E-2</v>
      </c>
      <c r="AW223" s="22">
        <f t="shared" si="57"/>
        <v>4.6315686890432001E-2</v>
      </c>
      <c r="AY223" s="85"/>
    </row>
    <row r="224" spans="1:51" x14ac:dyDescent="0.25">
      <c r="A224" s="102" t="str">
        <f t="shared" si="45"/>
        <v>FA Organic</v>
      </c>
      <c r="B224" s="102" t="s">
        <v>963</v>
      </c>
      <c r="C224" s="102" t="s">
        <v>1128</v>
      </c>
      <c r="D224" t="s">
        <v>369</v>
      </c>
      <c r="E224" t="s">
        <v>55</v>
      </c>
      <c r="F224" t="s">
        <v>421</v>
      </c>
      <c r="G224" t="s">
        <v>1181</v>
      </c>
      <c r="H224" t="s">
        <v>1182</v>
      </c>
      <c r="I224" t="s">
        <v>139</v>
      </c>
      <c r="J224" t="s">
        <v>287</v>
      </c>
      <c r="K224" s="22">
        <f t="shared" si="55"/>
        <v>0.1574619566019842</v>
      </c>
      <c r="L224" s="22">
        <f t="shared" si="57"/>
        <v>0.16100119532971174</v>
      </c>
      <c r="M224" s="22">
        <f t="shared" si="57"/>
        <v>0.16420239799096348</v>
      </c>
      <c r="N224" s="22">
        <f t="shared" si="57"/>
        <v>0.16585503975435448</v>
      </c>
      <c r="O224" s="22">
        <f t="shared" si="57"/>
        <v>0.16755324219146345</v>
      </c>
      <c r="P224" s="22">
        <f t="shared" si="57"/>
        <v>0.1709343585165998</v>
      </c>
      <c r="Q224" s="22">
        <f t="shared" si="57"/>
        <v>0.17382552357996145</v>
      </c>
      <c r="R224" s="22">
        <f t="shared" si="57"/>
        <v>0.17492293808026785</v>
      </c>
      <c r="S224" s="22">
        <f t="shared" si="57"/>
        <v>0.16797595240358967</v>
      </c>
      <c r="T224" s="22">
        <f t="shared" si="57"/>
        <v>0.17297492730025818</v>
      </c>
      <c r="U224" s="22">
        <f t="shared" si="57"/>
        <v>0.17701513008922104</v>
      </c>
      <c r="V224" s="22">
        <f t="shared" si="57"/>
        <v>0.18086520723507568</v>
      </c>
      <c r="W224" s="22">
        <f t="shared" si="57"/>
        <v>0.18514026922037843</v>
      </c>
      <c r="X224" s="22">
        <f t="shared" si="57"/>
        <v>0.19081502616241675</v>
      </c>
      <c r="Y224" s="22">
        <f t="shared" si="57"/>
        <v>0.19677527630059505</v>
      </c>
      <c r="Z224" s="22">
        <f t="shared" si="57"/>
        <v>0.20316424040233105</v>
      </c>
      <c r="AA224" s="22">
        <f t="shared" si="57"/>
        <v>0.2090740458335611</v>
      </c>
      <c r="AB224" s="22">
        <f t="shared" si="57"/>
        <v>0.21570429527296558</v>
      </c>
      <c r="AC224" s="22">
        <f t="shared" si="57"/>
        <v>0.22322461413005179</v>
      </c>
      <c r="AD224" s="22">
        <f t="shared" si="57"/>
        <v>0.23059574512274245</v>
      </c>
      <c r="AE224" s="22">
        <f t="shared" si="57"/>
        <v>0.23831574484289472</v>
      </c>
      <c r="AF224" s="22">
        <f t="shared" si="57"/>
        <v>0.24625980781200643</v>
      </c>
      <c r="AG224" s="22">
        <f t="shared" si="57"/>
        <v>0.25500800669627088</v>
      </c>
      <c r="AH224" s="22">
        <f t="shared" si="57"/>
        <v>0.26305100817364307</v>
      </c>
      <c r="AI224" s="22">
        <f t="shared" si="57"/>
        <v>0.27146542700983761</v>
      </c>
      <c r="AJ224" s="22">
        <f t="shared" si="57"/>
        <v>0.28009700813609817</v>
      </c>
      <c r="AK224" s="22">
        <f t="shared" si="57"/>
        <v>0.28852863408778395</v>
      </c>
      <c r="AL224" s="22">
        <f t="shared" si="57"/>
        <v>0.29704040587124897</v>
      </c>
      <c r="AM224" s="22">
        <f t="shared" si="57"/>
        <v>0.30589267500220069</v>
      </c>
      <c r="AN224" s="22">
        <f t="shared" si="57"/>
        <v>0.31509949249948005</v>
      </c>
      <c r="AO224" s="22">
        <f t="shared" si="57"/>
        <v>0.32397232132243609</v>
      </c>
      <c r="AP224" s="22">
        <f t="shared" si="57"/>
        <v>0.33303470425340953</v>
      </c>
      <c r="AQ224" s="22">
        <f t="shared" si="57"/>
        <v>0.34230228220604159</v>
      </c>
      <c r="AR224" s="22">
        <f t="shared" si="57"/>
        <v>0.35216230168979662</v>
      </c>
      <c r="AS224" s="22">
        <f t="shared" si="57"/>
        <v>0.36222138179977098</v>
      </c>
      <c r="AT224" s="22">
        <f t="shared" si="57"/>
        <v>0.36875743363549901</v>
      </c>
      <c r="AU224" s="22">
        <f t="shared" si="57"/>
        <v>0.37509652822170919</v>
      </c>
      <c r="AV224" s="22">
        <f t="shared" si="57"/>
        <v>0.38198920884211868</v>
      </c>
      <c r="AW224" s="22">
        <f t="shared" si="57"/>
        <v>0.3887297225488785</v>
      </c>
      <c r="AY224" s="85"/>
    </row>
    <row r="225" spans="1:51" x14ac:dyDescent="0.25">
      <c r="A225" s="102" t="str">
        <f t="shared" si="45"/>
        <v>FA Organic</v>
      </c>
      <c r="B225" s="102" t="s">
        <v>963</v>
      </c>
      <c r="C225" s="102" t="s">
        <v>1128</v>
      </c>
      <c r="D225" t="s">
        <v>369</v>
      </c>
      <c r="E225" t="s">
        <v>55</v>
      </c>
      <c r="F225" t="s">
        <v>421</v>
      </c>
      <c r="G225" t="s">
        <v>1183</v>
      </c>
      <c r="H225" t="s">
        <v>1184</v>
      </c>
      <c r="I225" t="s">
        <v>139</v>
      </c>
      <c r="J225" t="s">
        <v>287</v>
      </c>
      <c r="K225" s="22">
        <f t="shared" si="55"/>
        <v>0.79145317534147697</v>
      </c>
      <c r="L225" s="22">
        <f t="shared" si="57"/>
        <v>0.80614249446586472</v>
      </c>
      <c r="M225" s="22">
        <f t="shared" si="57"/>
        <v>0.81576351649757217</v>
      </c>
      <c r="N225" s="22">
        <f t="shared" si="57"/>
        <v>0.8051815142548906</v>
      </c>
      <c r="O225" s="22">
        <f t="shared" si="57"/>
        <v>0.79491912717906921</v>
      </c>
      <c r="P225" s="22">
        <f t="shared" si="57"/>
        <v>0.8050882404927846</v>
      </c>
      <c r="Q225" s="22">
        <f t="shared" si="57"/>
        <v>0.80900668851215218</v>
      </c>
      <c r="R225" s="22">
        <f t="shared" si="57"/>
        <v>0.79104206342465233</v>
      </c>
      <c r="S225" s="22">
        <f t="shared" si="57"/>
        <v>0.67708002243474696</v>
      </c>
      <c r="T225" s="22">
        <f t="shared" si="57"/>
        <v>0.71326971422678453</v>
      </c>
      <c r="U225" s="22">
        <f t="shared" si="57"/>
        <v>0.73749777615328771</v>
      </c>
      <c r="V225" s="22">
        <f t="shared" si="57"/>
        <v>0.75903343240977361</v>
      </c>
      <c r="W225" s="22">
        <f t="shared" si="57"/>
        <v>0.78503971816941975</v>
      </c>
      <c r="X225" s="22">
        <f t="shared" si="57"/>
        <v>0.8265450745172781</v>
      </c>
      <c r="Y225" s="22">
        <f t="shared" si="57"/>
        <v>0.87296422483256353</v>
      </c>
      <c r="Z225" s="22">
        <f t="shared" si="57"/>
        <v>0.92344360360977484</v>
      </c>
      <c r="AA225" s="22">
        <f t="shared" si="57"/>
        <v>0.9677689116158269</v>
      </c>
      <c r="AB225" s="22">
        <f t="shared" si="57"/>
        <v>1.0193755598811634</v>
      </c>
      <c r="AC225" s="22">
        <f t="shared" si="57"/>
        <v>1.0799736712957677</v>
      </c>
      <c r="AD225" s="22">
        <f t="shared" si="57"/>
        <v>1.1399677250662128</v>
      </c>
      <c r="AE225" s="22">
        <f t="shared" si="57"/>
        <v>1.2028979209953241</v>
      </c>
      <c r="AF225" s="22">
        <f t="shared" si="57"/>
        <v>1.2673719800644652</v>
      </c>
      <c r="AG225" s="22">
        <f t="shared" si="57"/>
        <v>1.3395677079848545</v>
      </c>
      <c r="AH225" s="22">
        <f t="shared" si="57"/>
        <v>1.4033231150236891</v>
      </c>
      <c r="AI225" s="22">
        <f t="shared" si="57"/>
        <v>1.4719666098768296</v>
      </c>
      <c r="AJ225" s="22">
        <f t="shared" si="57"/>
        <v>1.5420388237441127</v>
      </c>
      <c r="AK225" s="22">
        <f t="shared" si="57"/>
        <v>1.6091811663069184</v>
      </c>
      <c r="AL225" s="22">
        <f t="shared" si="57"/>
        <v>1.6763559089740723</v>
      </c>
      <c r="AM225" s="22">
        <f t="shared" si="57"/>
        <v>1.7462483337512213</v>
      </c>
      <c r="AN225" s="22">
        <f t="shared" si="57"/>
        <v>1.8206168694032934</v>
      </c>
      <c r="AO225" s="22">
        <f t="shared" si="57"/>
        <v>1.8907719180049514</v>
      </c>
      <c r="AP225" s="22">
        <f t="shared" si="57"/>
        <v>1.9620842803375478</v>
      </c>
      <c r="AQ225" s="22">
        <f t="shared" si="57"/>
        <v>2.0346990314319551</v>
      </c>
      <c r="AR225" s="22">
        <f t="shared" si="57"/>
        <v>2.1124695104369047</v>
      </c>
      <c r="AS225" s="22">
        <f t="shared" si="57"/>
        <v>2.1930634279587973</v>
      </c>
      <c r="AT225" s="22">
        <f t="shared" si="57"/>
        <v>2.2380483172942163</v>
      </c>
      <c r="AU225" s="22">
        <f t="shared" si="57"/>
        <v>2.2806855119174227</v>
      </c>
      <c r="AV225" s="22">
        <f t="shared" si="57"/>
        <v>2.3283502130567282</v>
      </c>
      <c r="AW225" s="22">
        <f t="shared" si="57"/>
        <v>2.3741040563618498</v>
      </c>
      <c r="AY225" s="85"/>
    </row>
    <row r="226" spans="1:51" x14ac:dyDescent="0.25">
      <c r="A226" s="102" t="str">
        <f t="shared" si="45"/>
        <v>FA U&amp;D</v>
      </c>
      <c r="B226" s="102" t="s">
        <v>963</v>
      </c>
      <c r="C226" s="102" t="s">
        <v>1337</v>
      </c>
      <c r="D226" t="s">
        <v>369</v>
      </c>
      <c r="E226" t="s">
        <v>55</v>
      </c>
      <c r="F226" t="s">
        <v>422</v>
      </c>
      <c r="G226" t="s">
        <v>1153</v>
      </c>
      <c r="H226" t="s">
        <v>1241</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85"/>
    </row>
    <row r="227" spans="1:51" x14ac:dyDescent="0.25">
      <c r="A227" s="102" t="str">
        <f t="shared" si="45"/>
        <v>FA U&amp;D</v>
      </c>
      <c r="B227" s="102" t="s">
        <v>963</v>
      </c>
      <c r="C227" s="102" t="s">
        <v>1337</v>
      </c>
      <c r="D227" t="s">
        <v>369</v>
      </c>
      <c r="E227" t="s">
        <v>55</v>
      </c>
      <c r="F227" t="s">
        <v>422</v>
      </c>
      <c r="G227" t="s">
        <v>1155</v>
      </c>
      <c r="H227" t="s">
        <v>1242</v>
      </c>
      <c r="I227" t="s">
        <v>139</v>
      </c>
      <c r="J227" t="s">
        <v>287</v>
      </c>
      <c r="K227" s="22">
        <f t="shared" si="55"/>
        <v>1.0786753296429479</v>
      </c>
      <c r="L227" s="22">
        <f t="shared" si="57"/>
        <v>1.0859586060309057</v>
      </c>
      <c r="M227" s="22">
        <f t="shared" si="57"/>
        <v>1.0923296279678898</v>
      </c>
      <c r="N227" s="22">
        <f t="shared" si="57"/>
        <v>1.0931537330099066</v>
      </c>
      <c r="O227" s="22">
        <f t="shared" si="57"/>
        <v>1.0945731731430408</v>
      </c>
      <c r="P227" s="22">
        <f t="shared" si="57"/>
        <v>1.1027176588076981</v>
      </c>
      <c r="Q227" s="22">
        <f t="shared" si="57"/>
        <v>1.1092302651165924</v>
      </c>
      <c r="R227" s="22">
        <f t="shared" si="57"/>
        <v>1.109287368040317</v>
      </c>
      <c r="S227" s="22">
        <f t="shared" si="57"/>
        <v>1.0798981830298287</v>
      </c>
      <c r="T227" s="22">
        <f t="shared" si="57"/>
        <v>1.0940959356021487</v>
      </c>
      <c r="U227" s="22">
        <f t="shared" si="57"/>
        <v>1.1048433903618551</v>
      </c>
      <c r="V227" s="22">
        <f t="shared" si="57"/>
        <v>1.1149833596000451</v>
      </c>
      <c r="W227" s="22">
        <f t="shared" si="57"/>
        <v>1.1267409528269945</v>
      </c>
      <c r="X227" s="22">
        <f t="shared" si="57"/>
        <v>1.1435878034617475</v>
      </c>
      <c r="Y227" s="22">
        <f t="shared" si="57"/>
        <v>1.1611273352268467</v>
      </c>
      <c r="Z227" s="22">
        <f t="shared" si="57"/>
        <v>1.1801792260010431</v>
      </c>
      <c r="AA227" s="22">
        <f t="shared" si="57"/>
        <v>1.1975049735261083</v>
      </c>
      <c r="AB227" s="22">
        <f t="shared" si="57"/>
        <v>1.2173560530719671</v>
      </c>
      <c r="AC227" s="22">
        <f t="shared" si="57"/>
        <v>1.2402923210603021</v>
      </c>
      <c r="AD227" s="22">
        <f t="shared" si="57"/>
        <v>1.2623742733775345</v>
      </c>
      <c r="AE227" s="22">
        <f t="shared" si="57"/>
        <v>1.2856074455004303</v>
      </c>
      <c r="AF227" s="22">
        <f t="shared" ref="L227:AW234" si="58">AF1483</f>
        <v>1.3095452950439004</v>
      </c>
      <c r="AG227" s="22">
        <f t="shared" si="58"/>
        <v>1.3361813419952935</v>
      </c>
      <c r="AH227" s="22">
        <f t="shared" si="58"/>
        <v>1.3602968998390941</v>
      </c>
      <c r="AI227" s="22">
        <f t="shared" si="58"/>
        <v>1.3853556448541151</v>
      </c>
      <c r="AJ227" s="22">
        <f t="shared" si="58"/>
        <v>1.4110693769069982</v>
      </c>
      <c r="AK227" s="22">
        <f t="shared" si="58"/>
        <v>1.4360144578705683</v>
      </c>
      <c r="AL227" s="22">
        <f t="shared" si="58"/>
        <v>1.4611486001146794</v>
      </c>
      <c r="AM227" s="22">
        <f t="shared" si="58"/>
        <v>1.4873489277695111</v>
      </c>
      <c r="AN227" s="22">
        <f t="shared" si="58"/>
        <v>1.5144167777664856</v>
      </c>
      <c r="AO227" s="22">
        <f t="shared" si="58"/>
        <v>1.540269346746828</v>
      </c>
      <c r="AP227" s="22">
        <f t="shared" si="58"/>
        <v>1.5666680254867089</v>
      </c>
      <c r="AQ227" s="22">
        <f t="shared" si="58"/>
        <v>1.593660390525756</v>
      </c>
      <c r="AR227" s="22">
        <f t="shared" si="58"/>
        <v>1.6225260915070563</v>
      </c>
      <c r="AS227" s="22">
        <f t="shared" si="58"/>
        <v>1.6517094827819983</v>
      </c>
      <c r="AT227" s="22">
        <f t="shared" si="58"/>
        <v>1.6691760933817195</v>
      </c>
      <c r="AU227" s="22">
        <f t="shared" si="58"/>
        <v>1.6859640883447786</v>
      </c>
      <c r="AV227" s="22">
        <f t="shared" si="58"/>
        <v>1.7045379947409554</v>
      </c>
      <c r="AW227" s="22">
        <f t="shared" si="58"/>
        <v>1.7225765964260569</v>
      </c>
      <c r="AY227" s="85"/>
    </row>
    <row r="228" spans="1:51" x14ac:dyDescent="0.25">
      <c r="A228" s="102" t="str">
        <f t="shared" si="45"/>
        <v>FA U&amp;D</v>
      </c>
      <c r="B228" s="102" t="s">
        <v>963</v>
      </c>
      <c r="C228" s="102" t="s">
        <v>1337</v>
      </c>
      <c r="D228" t="s">
        <v>369</v>
      </c>
      <c r="E228" t="s">
        <v>55</v>
      </c>
      <c r="F228" t="s">
        <v>422</v>
      </c>
      <c r="G228" t="s">
        <v>1157</v>
      </c>
      <c r="H228" t="s">
        <v>1243</v>
      </c>
      <c r="I228" t="s">
        <v>139</v>
      </c>
      <c r="J228" t="s">
        <v>287</v>
      </c>
      <c r="K228" s="22">
        <f t="shared" si="55"/>
        <v>0.73458527987811684</v>
      </c>
      <c r="L228" s="22">
        <f t="shared" si="58"/>
        <v>0.73954524093113228</v>
      </c>
      <c r="M228" s="22">
        <f t="shared" si="58"/>
        <v>0.74388395046130973</v>
      </c>
      <c r="N228" s="22">
        <f t="shared" si="58"/>
        <v>0.7444451716335222</v>
      </c>
      <c r="O228" s="22">
        <f t="shared" si="58"/>
        <v>0.7454118200761205</v>
      </c>
      <c r="P228" s="22">
        <f t="shared" si="58"/>
        <v>0.75095827053903796</v>
      </c>
      <c r="Q228" s="22">
        <f t="shared" si="58"/>
        <v>0.75539339999521871</v>
      </c>
      <c r="R228" s="22">
        <f t="shared" si="58"/>
        <v>0.75543228747697821</v>
      </c>
      <c r="S228" s="22">
        <f t="shared" si="58"/>
        <v>0.73541805140145267</v>
      </c>
      <c r="T228" s="22">
        <f t="shared" si="58"/>
        <v>0.74508681804547194</v>
      </c>
      <c r="U228" s="22">
        <f t="shared" si="58"/>
        <v>0.75240590827186049</v>
      </c>
      <c r="V228" s="22">
        <f t="shared" si="58"/>
        <v>0.75931129670162745</v>
      </c>
      <c r="W228" s="22">
        <f t="shared" si="58"/>
        <v>0.76731829813566454</v>
      </c>
      <c r="X228" s="22">
        <f t="shared" si="58"/>
        <v>0.77879111868556206</v>
      </c>
      <c r="Y228" s="22">
        <f t="shared" si="58"/>
        <v>0.79073565982461014</v>
      </c>
      <c r="Z228" s="22">
        <f t="shared" si="58"/>
        <v>0.80371012779654638</v>
      </c>
      <c r="AA228" s="22">
        <f t="shared" si="58"/>
        <v>0.81550908040540082</v>
      </c>
      <c r="AB228" s="22">
        <f t="shared" si="58"/>
        <v>0.82902780139895904</v>
      </c>
      <c r="AC228" s="22">
        <f t="shared" si="58"/>
        <v>0.84464755683097381</v>
      </c>
      <c r="AD228" s="22">
        <f t="shared" si="58"/>
        <v>0.85968551744566435</v>
      </c>
      <c r="AE228" s="22">
        <f t="shared" si="58"/>
        <v>0.8755074666247592</v>
      </c>
      <c r="AF228" s="22">
        <f t="shared" si="58"/>
        <v>0.89180930594872954</v>
      </c>
      <c r="AG228" s="22">
        <f t="shared" si="58"/>
        <v>0.90994863616879917</v>
      </c>
      <c r="AH228" s="22">
        <f t="shared" si="58"/>
        <v>0.9263714960611904</v>
      </c>
      <c r="AI228" s="22">
        <f t="shared" si="58"/>
        <v>0.94343667287055244</v>
      </c>
      <c r="AJ228" s="22">
        <f t="shared" si="58"/>
        <v>0.96094790033417754</v>
      </c>
      <c r="AK228" s="22">
        <f t="shared" si="58"/>
        <v>0.97793567114680158</v>
      </c>
      <c r="AL228" s="22">
        <f t="shared" si="58"/>
        <v>0.99505219398504785</v>
      </c>
      <c r="AM228" s="22">
        <f t="shared" si="58"/>
        <v>1.0128947963829298</v>
      </c>
      <c r="AN228" s="22">
        <f t="shared" si="58"/>
        <v>1.0313281874314744</v>
      </c>
      <c r="AO228" s="22">
        <f t="shared" si="58"/>
        <v>1.0489339637926334</v>
      </c>
      <c r="AP228" s="22">
        <f t="shared" si="58"/>
        <v>1.066911644636569</v>
      </c>
      <c r="AQ228" s="22">
        <f t="shared" si="58"/>
        <v>1.0852936299122902</v>
      </c>
      <c r="AR228" s="22">
        <f t="shared" si="58"/>
        <v>1.1049513697822153</v>
      </c>
      <c r="AS228" s="22">
        <f t="shared" si="58"/>
        <v>1.1248254589157749</v>
      </c>
      <c r="AT228" s="22">
        <f t="shared" si="58"/>
        <v>1.1367203402422674</v>
      </c>
      <c r="AU228" s="22">
        <f t="shared" si="58"/>
        <v>1.1481530796770461</v>
      </c>
      <c r="AV228" s="22">
        <f t="shared" si="58"/>
        <v>1.1608020370171399</v>
      </c>
      <c r="AW228" s="22">
        <f t="shared" si="58"/>
        <v>1.1730864481863896</v>
      </c>
      <c r="AY228" s="85"/>
    </row>
    <row r="229" spans="1:51" x14ac:dyDescent="0.25">
      <c r="A229" s="102" t="str">
        <f t="shared" si="45"/>
        <v>FA U&amp;D</v>
      </c>
      <c r="B229" s="102" t="s">
        <v>963</v>
      </c>
      <c r="C229" s="102" t="s">
        <v>1337</v>
      </c>
      <c r="D229" t="s">
        <v>369</v>
      </c>
      <c r="E229" t="s">
        <v>55</v>
      </c>
      <c r="F229" t="s">
        <v>422</v>
      </c>
      <c r="G229" t="s">
        <v>1159</v>
      </c>
      <c r="H229" t="s">
        <v>1244</v>
      </c>
      <c r="I229" t="s">
        <v>139</v>
      </c>
      <c r="J229" t="s">
        <v>287</v>
      </c>
      <c r="K229" s="22">
        <f t="shared" si="55"/>
        <v>15.429280800788639</v>
      </c>
      <c r="L229" s="22">
        <f t="shared" si="58"/>
        <v>15.35072698203709</v>
      </c>
      <c r="M229" s="22">
        <f t="shared" si="58"/>
        <v>15.207351875662043</v>
      </c>
      <c r="N229" s="22">
        <f t="shared" si="58"/>
        <v>14.814893699547214</v>
      </c>
      <c r="O229" s="22">
        <f t="shared" si="58"/>
        <v>14.438096972663228</v>
      </c>
      <c r="P229" s="22">
        <f t="shared" si="58"/>
        <v>14.314758846199135</v>
      </c>
      <c r="Q229" s="22">
        <f t="shared" si="58"/>
        <v>14.115554649678398</v>
      </c>
      <c r="R229" s="22">
        <f t="shared" si="58"/>
        <v>13.66798161990047</v>
      </c>
      <c r="S229" s="22">
        <f t="shared" si="58"/>
        <v>12.166328141225097</v>
      </c>
      <c r="T229" s="22">
        <f t="shared" si="58"/>
        <v>12.463610414813839</v>
      </c>
      <c r="U229" s="22">
        <f t="shared" si="58"/>
        <v>12.624180384375714</v>
      </c>
      <c r="V229" s="22">
        <f t="shared" si="58"/>
        <v>12.751805743467081</v>
      </c>
      <c r="W229" s="22">
        <f t="shared" si="58"/>
        <v>12.923326016620354</v>
      </c>
      <c r="X229" s="22">
        <f t="shared" si="58"/>
        <v>13.25262145197801</v>
      </c>
      <c r="Y229" s="22">
        <f t="shared" si="58"/>
        <v>13.613027690777479</v>
      </c>
      <c r="Z229" s="22">
        <f t="shared" si="58"/>
        <v>14.005728103550339</v>
      </c>
      <c r="AA229" s="22">
        <f t="shared" si="58"/>
        <v>14.32592763712187</v>
      </c>
      <c r="AB229" s="22">
        <f t="shared" si="58"/>
        <v>14.710285410323998</v>
      </c>
      <c r="AC229" s="22">
        <f t="shared" si="58"/>
        <v>15.173253105796089</v>
      </c>
      <c r="AD229" s="22">
        <f t="shared" si="58"/>
        <v>15.47822319183811</v>
      </c>
      <c r="AE229" s="22">
        <f t="shared" si="58"/>
        <v>15.789739593019302</v>
      </c>
      <c r="AF229" s="22">
        <f t="shared" si="58"/>
        <v>16.093283241134344</v>
      </c>
      <c r="AG229" s="22">
        <f t="shared" si="58"/>
        <v>16.444459062010196</v>
      </c>
      <c r="AH229" s="22">
        <f t="shared" si="58"/>
        <v>16.694708961891717</v>
      </c>
      <c r="AI229" s="22">
        <f t="shared" si="58"/>
        <v>16.95834334016514</v>
      </c>
      <c r="AJ229" s="22">
        <f t="shared" si="58"/>
        <v>17.210617740902418</v>
      </c>
      <c r="AK229" s="22">
        <f t="shared" si="58"/>
        <v>17.41443137892249</v>
      </c>
      <c r="AL229" s="22">
        <f t="shared" si="58"/>
        <v>17.595815239613078</v>
      </c>
      <c r="AM229" s="22">
        <f t="shared" si="58"/>
        <v>17.776384709935595</v>
      </c>
      <c r="AN229" s="22">
        <f t="shared" si="58"/>
        <v>18.054309099342483</v>
      </c>
      <c r="AO229" s="22">
        <f t="shared" si="58"/>
        <v>18.280646748605641</v>
      </c>
      <c r="AP229" s="22">
        <f t="shared" si="58"/>
        <v>18.497984454615345</v>
      </c>
      <c r="AQ229" s="22">
        <f t="shared" si="58"/>
        <v>18.70703547273348</v>
      </c>
      <c r="AR229" s="22">
        <f t="shared" si="58"/>
        <v>18.935485661659122</v>
      </c>
      <c r="AS229" s="22">
        <f t="shared" si="58"/>
        <v>19.159250135643951</v>
      </c>
      <c r="AT229" s="22">
        <f t="shared" si="58"/>
        <v>19.11314806868306</v>
      </c>
      <c r="AU229" s="22">
        <f t="shared" si="58"/>
        <v>19.040808228696374</v>
      </c>
      <c r="AV229" s="22">
        <f t="shared" si="58"/>
        <v>18.992992620644625</v>
      </c>
      <c r="AW229" s="22">
        <f t="shared" si="58"/>
        <v>18.921839562511444</v>
      </c>
      <c r="AY229" s="85"/>
    </row>
    <row r="230" spans="1:51" x14ac:dyDescent="0.25">
      <c r="A230" s="102" t="str">
        <f t="shared" si="45"/>
        <v>FA U&amp;D</v>
      </c>
      <c r="B230" s="102" t="s">
        <v>963</v>
      </c>
      <c r="C230" s="102" t="s">
        <v>1337</v>
      </c>
      <c r="D230" t="s">
        <v>369</v>
      </c>
      <c r="E230" t="s">
        <v>55</v>
      </c>
      <c r="F230" t="s">
        <v>422</v>
      </c>
      <c r="G230" t="s">
        <v>1161</v>
      </c>
      <c r="H230" t="s">
        <v>1245</v>
      </c>
      <c r="I230" t="s">
        <v>139</v>
      </c>
      <c r="J230" t="s">
        <v>287</v>
      </c>
      <c r="K230" s="22">
        <f t="shared" si="55"/>
        <v>9.701944231797869</v>
      </c>
      <c r="L230" s="22">
        <f t="shared" si="58"/>
        <v>9.652549527108631</v>
      </c>
      <c r="M230" s="22">
        <f t="shared" si="58"/>
        <v>9.5623951443970494</v>
      </c>
      <c r="N230" s="22">
        <f t="shared" si="58"/>
        <v>9.3156171262158942</v>
      </c>
      <c r="O230" s="22">
        <f t="shared" si="58"/>
        <v>9.0786870399629098</v>
      </c>
      <c r="P230" s="22">
        <f t="shared" si="58"/>
        <v>9.0011319264058365</v>
      </c>
      <c r="Q230" s="22">
        <f t="shared" si="58"/>
        <v>8.8758721667101366</v>
      </c>
      <c r="R230" s="22">
        <f t="shared" si="58"/>
        <v>8.5944378840220992</v>
      </c>
      <c r="S230" s="22">
        <f t="shared" si="58"/>
        <v>7.6501969635477565</v>
      </c>
      <c r="T230" s="22">
        <f t="shared" si="58"/>
        <v>7.8371282973344023</v>
      </c>
      <c r="U230" s="22">
        <f t="shared" si="58"/>
        <v>7.9380948239084157</v>
      </c>
      <c r="V230" s="22">
        <f t="shared" si="58"/>
        <v>8.0183457528048763</v>
      </c>
      <c r="W230" s="22">
        <f t="shared" si="58"/>
        <v>8.1261978391231704</v>
      </c>
      <c r="X230" s="22">
        <f t="shared" si="58"/>
        <v>8.3332590748913482</v>
      </c>
      <c r="Y230" s="22">
        <f t="shared" si="58"/>
        <v>8.5598828089960346</v>
      </c>
      <c r="Z230" s="22">
        <f t="shared" si="58"/>
        <v>8.8068131457834475</v>
      </c>
      <c r="AA230" s="22">
        <f t="shared" si="58"/>
        <v>9.0081548711605581</v>
      </c>
      <c r="AB230" s="22">
        <f t="shared" si="58"/>
        <v>9.249839349446443</v>
      </c>
      <c r="AC230" s="22">
        <f t="shared" si="58"/>
        <v>9.5409538103592695</v>
      </c>
      <c r="AD230" s="22">
        <f t="shared" si="58"/>
        <v>9.7327192468269903</v>
      </c>
      <c r="AE230" s="22">
        <f t="shared" si="58"/>
        <v>9.9286010115425469</v>
      </c>
      <c r="AF230" s="22">
        <f t="shared" si="58"/>
        <v>10.119469502689464</v>
      </c>
      <c r="AG230" s="22">
        <f t="shared" si="58"/>
        <v>10.340289142547157</v>
      </c>
      <c r="AH230" s="22">
        <f t="shared" si="58"/>
        <v>10.497646481752456</v>
      </c>
      <c r="AI230" s="22">
        <f t="shared" si="58"/>
        <v>10.663419991782989</v>
      </c>
      <c r="AJ230" s="22">
        <f t="shared" si="58"/>
        <v>10.822050338761844</v>
      </c>
      <c r="AK230" s="22">
        <f t="shared" si="58"/>
        <v>10.950208518995984</v>
      </c>
      <c r="AL230" s="22">
        <f t="shared" si="58"/>
        <v>11.064262837125854</v>
      </c>
      <c r="AM230" s="22">
        <f t="shared" si="58"/>
        <v>11.17780506593439</v>
      </c>
      <c r="AN230" s="22">
        <f t="shared" si="58"/>
        <v>11.352564146509573</v>
      </c>
      <c r="AO230" s="22">
        <f t="shared" si="58"/>
        <v>11.494885443208972</v>
      </c>
      <c r="AP230" s="22">
        <f t="shared" si="58"/>
        <v>11.631547568320162</v>
      </c>
      <c r="AQ230" s="22">
        <f t="shared" si="58"/>
        <v>11.762999017390882</v>
      </c>
      <c r="AR230" s="22">
        <f t="shared" si="58"/>
        <v>11.906648680736627</v>
      </c>
      <c r="AS230" s="22">
        <f t="shared" si="58"/>
        <v>12.047351962742322</v>
      </c>
      <c r="AT230" s="22">
        <f t="shared" si="58"/>
        <v>12.018362945794602</v>
      </c>
      <c r="AU230" s="22">
        <f t="shared" si="58"/>
        <v>11.972875595972562</v>
      </c>
      <c r="AV230" s="22">
        <f t="shared" si="58"/>
        <v>11.942809103002656</v>
      </c>
      <c r="AW230" s="22">
        <f t="shared" si="58"/>
        <v>11.898068002568817</v>
      </c>
      <c r="AY230" s="85"/>
    </row>
    <row r="231" spans="1:51" x14ac:dyDescent="0.25">
      <c r="A231" s="102" t="str">
        <f t="shared" si="45"/>
        <v>FA U&amp;D</v>
      </c>
      <c r="B231" s="102" t="s">
        <v>963</v>
      </c>
      <c r="C231" s="102" t="s">
        <v>1337</v>
      </c>
      <c r="D231" t="s">
        <v>369</v>
      </c>
      <c r="E231" t="s">
        <v>55</v>
      </c>
      <c r="F231" t="s">
        <v>422</v>
      </c>
      <c r="G231" t="s">
        <v>1163</v>
      </c>
      <c r="H231" t="s">
        <v>1246</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85"/>
    </row>
    <row r="232" spans="1:51" x14ac:dyDescent="0.25">
      <c r="A232" s="102" t="str">
        <f t="shared" si="45"/>
        <v>FA U&amp;D</v>
      </c>
      <c r="B232" s="102" t="s">
        <v>963</v>
      </c>
      <c r="C232" s="102" t="s">
        <v>1337</v>
      </c>
      <c r="D232" t="s">
        <v>369</v>
      </c>
      <c r="E232" t="s">
        <v>55</v>
      </c>
      <c r="F232" t="s">
        <v>422</v>
      </c>
      <c r="G232" t="s">
        <v>1165</v>
      </c>
      <c r="H232" t="s">
        <v>1247</v>
      </c>
      <c r="I232" t="s">
        <v>139</v>
      </c>
      <c r="J232" t="s">
        <v>287</v>
      </c>
      <c r="K232" s="22">
        <f t="shared" si="55"/>
        <v>5.7999838553710088</v>
      </c>
      <c r="L232" s="22">
        <f t="shared" si="58"/>
        <v>5.8031139960917857</v>
      </c>
      <c r="M232" s="22">
        <f t="shared" si="58"/>
        <v>5.8103099227335253</v>
      </c>
      <c r="N232" s="22">
        <f t="shared" si="58"/>
        <v>5.8209929462353873</v>
      </c>
      <c r="O232" s="22">
        <f t="shared" si="58"/>
        <v>5.8354121165006498</v>
      </c>
      <c r="P232" s="22">
        <f t="shared" si="58"/>
        <v>5.8538572193681269</v>
      </c>
      <c r="Q232" s="22">
        <f t="shared" si="58"/>
        <v>5.8741818038916174</v>
      </c>
      <c r="R232" s="22">
        <f t="shared" si="58"/>
        <v>5.8960701972534357</v>
      </c>
      <c r="S232" s="22">
        <f t="shared" si="58"/>
        <v>5.9177559307877479</v>
      </c>
      <c r="T232" s="22">
        <f t="shared" si="58"/>
        <v>5.9266307004561112</v>
      </c>
      <c r="U232" s="22">
        <f t="shared" si="58"/>
        <v>5.9367082769549988</v>
      </c>
      <c r="V232" s="22">
        <f t="shared" si="58"/>
        <v>5.9481053028915358</v>
      </c>
      <c r="W232" s="22">
        <f t="shared" si="58"/>
        <v>5.960904450999025</v>
      </c>
      <c r="X232" s="22">
        <f t="shared" si="58"/>
        <v>5.9752866719651836</v>
      </c>
      <c r="Y232" s="22">
        <f t="shared" si="58"/>
        <v>5.9843295860357024</v>
      </c>
      <c r="Z232" s="22">
        <f t="shared" si="58"/>
        <v>5.9945123676402678</v>
      </c>
      <c r="AA232" s="22">
        <f t="shared" si="58"/>
        <v>6.0055516159641433</v>
      </c>
      <c r="AB232" s="22">
        <f t="shared" si="58"/>
        <v>6.0177061448313278</v>
      </c>
      <c r="AC232" s="22">
        <f t="shared" si="58"/>
        <v>6.03097456248548</v>
      </c>
      <c r="AD232" s="22">
        <f t="shared" si="58"/>
        <v>6.0397566686890718</v>
      </c>
      <c r="AE232" s="22">
        <f t="shared" si="58"/>
        <v>6.0493932233323875</v>
      </c>
      <c r="AF232" s="22">
        <f t="shared" si="58"/>
        <v>6.0598194909466505</v>
      </c>
      <c r="AG232" s="22">
        <f t="shared" si="58"/>
        <v>6.0711483366347876</v>
      </c>
      <c r="AH232" s="22">
        <f t="shared" si="58"/>
        <v>6.0829788619886944</v>
      </c>
      <c r="AI232" s="22">
        <f t="shared" si="58"/>
        <v>6.0905477121768259</v>
      </c>
      <c r="AJ232" s="22">
        <f t="shared" si="58"/>
        <v>6.0987586244880356</v>
      </c>
      <c r="AK232" s="22">
        <f t="shared" si="58"/>
        <v>6.1074872449990725</v>
      </c>
      <c r="AL232" s="22">
        <f t="shared" si="58"/>
        <v>6.1167813545421765</v>
      </c>
      <c r="AM232" s="22">
        <f t="shared" si="58"/>
        <v>6.1266844936604166</v>
      </c>
      <c r="AN232" s="22">
        <f t="shared" si="58"/>
        <v>6.1325212653673837</v>
      </c>
      <c r="AO232" s="22">
        <f t="shared" si="58"/>
        <v>6.1387404789422586</v>
      </c>
      <c r="AP232" s="22">
        <f t="shared" si="58"/>
        <v>6.145451732291618</v>
      </c>
      <c r="AQ232" s="22">
        <f t="shared" si="58"/>
        <v>6.152643186293405</v>
      </c>
      <c r="AR232" s="22">
        <f t="shared" si="58"/>
        <v>6.1603920516403416</v>
      </c>
      <c r="AS232" s="22">
        <f t="shared" si="58"/>
        <v>6.1638844604068606</v>
      </c>
      <c r="AT232" s="22">
        <f t="shared" si="58"/>
        <v>6.1669158271420823</v>
      </c>
      <c r="AU232" s="22">
        <f t="shared" si="58"/>
        <v>6.1702623626652491</v>
      </c>
      <c r="AV232" s="22">
        <f t="shared" si="58"/>
        <v>6.1740883613222994</v>
      </c>
      <c r="AW232" s="22">
        <f t="shared" si="58"/>
        <v>6.1782170575379913</v>
      </c>
      <c r="AY232" s="85"/>
    </row>
    <row r="233" spans="1:51" x14ac:dyDescent="0.25">
      <c r="A233" s="102" t="str">
        <f t="shared" si="45"/>
        <v>FA U&amp;D</v>
      </c>
      <c r="B233" s="102" t="s">
        <v>963</v>
      </c>
      <c r="C233" s="102" t="s">
        <v>1337</v>
      </c>
      <c r="D233" t="s">
        <v>369</v>
      </c>
      <c r="E233" t="s">
        <v>55</v>
      </c>
      <c r="F233" t="s">
        <v>422</v>
      </c>
      <c r="G233" t="s">
        <v>1167</v>
      </c>
      <c r="H233" t="s">
        <v>1248</v>
      </c>
      <c r="I233" t="s">
        <v>139</v>
      </c>
      <c r="J233" t="s">
        <v>287</v>
      </c>
      <c r="K233" s="22">
        <f t="shared" si="55"/>
        <v>0.64744945388640951</v>
      </c>
      <c r="L233" s="22">
        <f t="shared" si="58"/>
        <v>0.64779887001424552</v>
      </c>
      <c r="M233" s="22">
        <f t="shared" si="58"/>
        <v>0.64860214790097404</v>
      </c>
      <c r="N233" s="22">
        <f t="shared" si="58"/>
        <v>0.64979468876050261</v>
      </c>
      <c r="O233" s="22">
        <f t="shared" si="58"/>
        <v>0.65140429391571231</v>
      </c>
      <c r="P233" s="22">
        <f t="shared" si="58"/>
        <v>0.6534633120226967</v>
      </c>
      <c r="Q233" s="22">
        <f t="shared" si="58"/>
        <v>0.65573213577778644</v>
      </c>
      <c r="R233" s="22">
        <f t="shared" si="58"/>
        <v>0.65817552677368318</v>
      </c>
      <c r="S233" s="22">
        <f t="shared" si="58"/>
        <v>0.66059629494891092</v>
      </c>
      <c r="T233" s="22">
        <f t="shared" si="58"/>
        <v>0.66158698128846494</v>
      </c>
      <c r="U233" s="22">
        <f t="shared" si="58"/>
        <v>0.66271193638547965</v>
      </c>
      <c r="V233" s="22">
        <f t="shared" si="58"/>
        <v>0.6639841809990068</v>
      </c>
      <c r="W233" s="22">
        <f t="shared" si="58"/>
        <v>0.66541294384715366</v>
      </c>
      <c r="X233" s="22">
        <f t="shared" si="58"/>
        <v>0.66701842436958481</v>
      </c>
      <c r="Y233" s="22">
        <f t="shared" si="58"/>
        <v>0.66802788058920459</v>
      </c>
      <c r="Z233" s="22">
        <f t="shared" si="58"/>
        <v>0.66916457968239529</v>
      </c>
      <c r="AA233" s="22">
        <f t="shared" si="58"/>
        <v>0.67039688575028045</v>
      </c>
      <c r="AB233" s="22">
        <f t="shared" si="58"/>
        <v>0.671753690057592</v>
      </c>
      <c r="AC233" s="22">
        <f t="shared" si="58"/>
        <v>0.67323483724322841</v>
      </c>
      <c r="AD233" s="22">
        <f t="shared" si="58"/>
        <v>0.67421517960404742</v>
      </c>
      <c r="AE233" s="22">
        <f t="shared" si="58"/>
        <v>0.6752909036399658</v>
      </c>
      <c r="AF233" s="22">
        <f t="shared" si="58"/>
        <v>0.67645478296122918</v>
      </c>
      <c r="AG233" s="22">
        <f t="shared" si="58"/>
        <v>0.67771941664588264</v>
      </c>
      <c r="AH233" s="22">
        <f t="shared" si="58"/>
        <v>0.67904005259428835</v>
      </c>
      <c r="AI233" s="22">
        <f t="shared" si="58"/>
        <v>0.67988495976007579</v>
      </c>
      <c r="AJ233" s="22">
        <f t="shared" si="58"/>
        <v>0.68080154001691195</v>
      </c>
      <c r="AK233" s="22">
        <f t="shared" si="58"/>
        <v>0.68177591179517449</v>
      </c>
      <c r="AL233" s="22">
        <f t="shared" si="58"/>
        <v>0.68281340884656228</v>
      </c>
      <c r="AM233" s="22">
        <f t="shared" si="58"/>
        <v>0.68391889158129904</v>
      </c>
      <c r="AN233" s="22">
        <f t="shared" si="58"/>
        <v>0.68457044764565533</v>
      </c>
      <c r="AO233" s="22">
        <f t="shared" si="58"/>
        <v>0.68526469551479852</v>
      </c>
      <c r="AP233" s="22">
        <f t="shared" si="58"/>
        <v>0.68601386955119048</v>
      </c>
      <c r="AQ233" s="22">
        <f t="shared" si="58"/>
        <v>0.68681664815923671</v>
      </c>
      <c r="AR233" s="22">
        <f t="shared" si="58"/>
        <v>0.68768165033203899</v>
      </c>
      <c r="AS233" s="22">
        <f t="shared" si="58"/>
        <v>0.68807150627043723</v>
      </c>
      <c r="AT233" s="22">
        <f t="shared" si="58"/>
        <v>0.68840989630499416</v>
      </c>
      <c r="AU233" s="22">
        <f t="shared" si="58"/>
        <v>0.68878346848224781</v>
      </c>
      <c r="AV233" s="22">
        <f t="shared" si="58"/>
        <v>0.68921056290230964</v>
      </c>
      <c r="AW233" s="22">
        <f t="shared" si="58"/>
        <v>0.68967144730764052</v>
      </c>
      <c r="AY233" s="85"/>
    </row>
    <row r="234" spans="1:51" x14ac:dyDescent="0.25">
      <c r="A234" s="102" t="str">
        <f t="shared" si="45"/>
        <v>FA U&amp;D</v>
      </c>
      <c r="B234" s="102" t="s">
        <v>963</v>
      </c>
      <c r="C234" s="102" t="s">
        <v>1337</v>
      </c>
      <c r="D234" t="s">
        <v>369</v>
      </c>
      <c r="E234" t="s">
        <v>55</v>
      </c>
      <c r="F234" t="s">
        <v>422</v>
      </c>
      <c r="G234" t="s">
        <v>1169</v>
      </c>
      <c r="H234" t="s">
        <v>1249</v>
      </c>
      <c r="I234" t="s">
        <v>139</v>
      </c>
      <c r="J234" t="s">
        <v>287</v>
      </c>
      <c r="K234" s="22">
        <f t="shared" si="55"/>
        <v>0.71689894789530229</v>
      </c>
      <c r="L234" s="22">
        <f t="shared" si="58"/>
        <v>0.71876228746109427</v>
      </c>
      <c r="M234" s="22">
        <f t="shared" si="58"/>
        <v>0.72127503720090047</v>
      </c>
      <c r="N234" s="22">
        <f t="shared" si="58"/>
        <v>0.72433550259006296</v>
      </c>
      <c r="O234" s="22">
        <f t="shared" si="58"/>
        <v>0.72800120185684258</v>
      </c>
      <c r="P234" s="22">
        <f t="shared" si="58"/>
        <v>0.73233490465194795</v>
      </c>
      <c r="Q234" s="22">
        <f t="shared" si="58"/>
        <v>0.73692777433186207</v>
      </c>
      <c r="R234" s="22">
        <f t="shared" si="58"/>
        <v>0.74172607064181018</v>
      </c>
      <c r="S234" s="22">
        <f t="shared" si="58"/>
        <v>0.74639750027277085</v>
      </c>
      <c r="T234" s="22">
        <f t="shared" si="58"/>
        <v>0.74854009324631066</v>
      </c>
      <c r="U234" s="22">
        <f t="shared" ref="L234:AW240" si="59">U1490</f>
        <v>0.75085065923922678</v>
      </c>
      <c r="V234" s="22">
        <f t="shared" si="59"/>
        <v>0.75335493730359926</v>
      </c>
      <c r="W234" s="22">
        <f t="shared" si="59"/>
        <v>0.75607146605668685</v>
      </c>
      <c r="X234" s="22">
        <f t="shared" si="59"/>
        <v>0.75903679046714201</v>
      </c>
      <c r="Y234" s="22">
        <f t="shared" si="59"/>
        <v>0.76094537488964475</v>
      </c>
      <c r="Z234" s="22">
        <f t="shared" si="59"/>
        <v>0.76302818529273087</v>
      </c>
      <c r="AA234" s="22">
        <f t="shared" si="59"/>
        <v>0.76523341198680583</v>
      </c>
      <c r="AB234" s="22">
        <f t="shared" si="59"/>
        <v>0.76761119115957532</v>
      </c>
      <c r="AC234" s="22">
        <f t="shared" si="59"/>
        <v>0.77016232439967147</v>
      </c>
      <c r="AD234" s="22">
        <f t="shared" si="59"/>
        <v>0.77184151262759737</v>
      </c>
      <c r="AE234" s="22">
        <f t="shared" si="59"/>
        <v>0.7736515769208151</v>
      </c>
      <c r="AF234" s="22">
        <f t="shared" si="59"/>
        <v>0.77558124888408586</v>
      </c>
      <c r="AG234" s="22">
        <f t="shared" si="59"/>
        <v>0.77765221756919434</v>
      </c>
      <c r="AH234" s="22">
        <f t="shared" si="59"/>
        <v>0.7797906862662336</v>
      </c>
      <c r="AI234" s="22">
        <f t="shared" si="59"/>
        <v>0.7811163537007122</v>
      </c>
      <c r="AJ234" s="22">
        <f t="shared" si="59"/>
        <v>0.78254032699837495</v>
      </c>
      <c r="AK234" s="22">
        <f t="shared" si="59"/>
        <v>0.78404012574492399</v>
      </c>
      <c r="AL234" s="22">
        <f t="shared" si="59"/>
        <v>0.78562503827513464</v>
      </c>
      <c r="AM234" s="22">
        <f t="shared" si="59"/>
        <v>0.78730345031212023</v>
      </c>
      <c r="AN234" s="22">
        <f t="shared" si="59"/>
        <v>0.78821861780581803</v>
      </c>
      <c r="AO234" s="22">
        <f t="shared" si="59"/>
        <v>0.78918935012210545</v>
      </c>
      <c r="AP234" s="22">
        <f t="shared" si="59"/>
        <v>0.79023602178732166</v>
      </c>
      <c r="AQ234" s="22">
        <f t="shared" si="59"/>
        <v>0.79135668556159844</v>
      </c>
      <c r="AR234" s="22">
        <f t="shared" si="59"/>
        <v>0.79256558771735774</v>
      </c>
      <c r="AS234" s="22">
        <f t="shared" si="59"/>
        <v>0.79298785766331426</v>
      </c>
      <c r="AT234" s="22">
        <f t="shared" si="59"/>
        <v>0.79331656903659509</v>
      </c>
      <c r="AU234" s="22">
        <f t="shared" si="59"/>
        <v>0.79369322526599873</v>
      </c>
      <c r="AV234" s="22">
        <f t="shared" si="59"/>
        <v>0.79414770745075947</v>
      </c>
      <c r="AW234" s="22">
        <f t="shared" si="59"/>
        <v>0.79464809471787612</v>
      </c>
      <c r="AY234" s="85"/>
    </row>
    <row r="235" spans="1:51" x14ac:dyDescent="0.25">
      <c r="A235" s="102" t="str">
        <f t="shared" si="45"/>
        <v>FA U&amp;D</v>
      </c>
      <c r="B235" s="102" t="s">
        <v>963</v>
      </c>
      <c r="C235" s="102" t="s">
        <v>1337</v>
      </c>
      <c r="D235" t="s">
        <v>369</v>
      </c>
      <c r="E235" t="s">
        <v>55</v>
      </c>
      <c r="F235" t="s">
        <v>422</v>
      </c>
      <c r="G235" t="s">
        <v>1171</v>
      </c>
      <c r="H235" t="s">
        <v>1250</v>
      </c>
      <c r="I235" t="s">
        <v>139</v>
      </c>
      <c r="J235" t="s">
        <v>287</v>
      </c>
      <c r="K235" s="22">
        <f t="shared" si="55"/>
        <v>1.1864531966682197</v>
      </c>
      <c r="L235" s="22">
        <f t="shared" si="59"/>
        <v>1.1895369858002907</v>
      </c>
      <c r="M235" s="22">
        <f t="shared" si="59"/>
        <v>1.1936955355791294</v>
      </c>
      <c r="N235" s="22">
        <f t="shared" si="59"/>
        <v>1.1987605436321125</v>
      </c>
      <c r="O235" s="22">
        <f t="shared" si="59"/>
        <v>1.2048272014586632</v>
      </c>
      <c r="P235" s="22">
        <f t="shared" si="59"/>
        <v>1.2119993915556884</v>
      </c>
      <c r="Q235" s="22">
        <f t="shared" si="59"/>
        <v>1.2196004975827131</v>
      </c>
      <c r="R235" s="22">
        <f t="shared" si="59"/>
        <v>1.2275415805096901</v>
      </c>
      <c r="S235" s="22">
        <f t="shared" si="59"/>
        <v>1.2352727016599383</v>
      </c>
      <c r="T235" s="22">
        <f t="shared" si="59"/>
        <v>1.238818649509462</v>
      </c>
      <c r="U235" s="22">
        <f t="shared" si="59"/>
        <v>1.2426425892940813</v>
      </c>
      <c r="V235" s="22">
        <f t="shared" si="59"/>
        <v>1.2467871186221595</v>
      </c>
      <c r="W235" s="22">
        <f t="shared" si="59"/>
        <v>1.2512829185286929</v>
      </c>
      <c r="X235" s="22">
        <f t="shared" si="59"/>
        <v>1.2561904701944779</v>
      </c>
      <c r="Y235" s="22">
        <f t="shared" si="59"/>
        <v>1.2593491386453628</v>
      </c>
      <c r="Z235" s="22">
        <f t="shared" si="59"/>
        <v>1.2627961475551268</v>
      </c>
      <c r="AA235" s="22">
        <f t="shared" si="59"/>
        <v>1.2664457529398805</v>
      </c>
      <c r="AB235" s="22">
        <f t="shared" si="59"/>
        <v>1.2703809291718808</v>
      </c>
      <c r="AC235" s="22">
        <f t="shared" si="59"/>
        <v>1.2746030028640307</v>
      </c>
      <c r="AD235" s="22">
        <f t="shared" si="59"/>
        <v>1.2773820252725296</v>
      </c>
      <c r="AE235" s="22">
        <f t="shared" si="59"/>
        <v>1.2803776449106503</v>
      </c>
      <c r="AF235" s="22">
        <f t="shared" si="59"/>
        <v>1.2835712128131631</v>
      </c>
      <c r="AG235" s="22">
        <f t="shared" si="59"/>
        <v>1.2869986239202102</v>
      </c>
      <c r="AH235" s="22">
        <f t="shared" si="59"/>
        <v>1.2905377461759007</v>
      </c>
      <c r="AI235" s="22">
        <f t="shared" si="59"/>
        <v>1.2927316988521784</v>
      </c>
      <c r="AJ235" s="22">
        <f t="shared" si="59"/>
        <v>1.2950883457351767</v>
      </c>
      <c r="AK235" s="22">
        <f t="shared" si="59"/>
        <v>1.2975704821958689</v>
      </c>
      <c r="AL235" s="22">
        <f t="shared" si="59"/>
        <v>1.3001934802396349</v>
      </c>
      <c r="AM235" s="22">
        <f t="shared" si="59"/>
        <v>1.3029712180678941</v>
      </c>
      <c r="AN235" s="22">
        <f t="shared" si="59"/>
        <v>1.3044858016805112</v>
      </c>
      <c r="AO235" s="22">
        <f t="shared" si="59"/>
        <v>1.3060923439458467</v>
      </c>
      <c r="AP235" s="22">
        <f t="shared" si="59"/>
        <v>1.3078245642911324</v>
      </c>
      <c r="AQ235" s="22">
        <f t="shared" si="59"/>
        <v>1.309679240073939</v>
      </c>
      <c r="AR235" s="22">
        <f t="shared" si="59"/>
        <v>1.3116799485857458</v>
      </c>
      <c r="AS235" s="22">
        <f t="shared" si="59"/>
        <v>1.3123787967688931</v>
      </c>
      <c r="AT235" s="22">
        <f t="shared" si="59"/>
        <v>1.3129228074146826</v>
      </c>
      <c r="AU235" s="22">
        <f t="shared" si="59"/>
        <v>1.3135461658234697</v>
      </c>
      <c r="AV235" s="22">
        <f t="shared" si="59"/>
        <v>1.3142983246075228</v>
      </c>
      <c r="AW235" s="22">
        <f t="shared" si="59"/>
        <v>1.3151264553704232</v>
      </c>
      <c r="AY235" s="85"/>
    </row>
    <row r="236" spans="1:51" x14ac:dyDescent="0.25">
      <c r="A236" s="102" t="str">
        <f t="shared" si="45"/>
        <v>FA U&amp;D</v>
      </c>
      <c r="B236" s="102" t="s">
        <v>963</v>
      </c>
      <c r="C236" s="102" t="s">
        <v>1337</v>
      </c>
      <c r="D236" t="s">
        <v>369</v>
      </c>
      <c r="E236" t="s">
        <v>55</v>
      </c>
      <c r="F236" t="s">
        <v>422</v>
      </c>
      <c r="G236" t="s">
        <v>1173</v>
      </c>
      <c r="H236" t="s">
        <v>1251</v>
      </c>
      <c r="I236" t="s">
        <v>139</v>
      </c>
      <c r="J236" t="s">
        <v>287</v>
      </c>
      <c r="K236" s="22">
        <f t="shared" si="55"/>
        <v>0.19181822763057532</v>
      </c>
      <c r="L236" s="22">
        <f t="shared" si="59"/>
        <v>0.19311010534642395</v>
      </c>
      <c r="M236" s="22">
        <f t="shared" si="59"/>
        <v>0.19389173119299405</v>
      </c>
      <c r="N236" s="22">
        <f t="shared" si="59"/>
        <v>0.19286331841675533</v>
      </c>
      <c r="O236" s="22">
        <f t="shared" si="59"/>
        <v>0.19181235815879408</v>
      </c>
      <c r="P236" s="22">
        <f t="shared" si="59"/>
        <v>0.19246355732374573</v>
      </c>
      <c r="Q236" s="22">
        <f t="shared" si="59"/>
        <v>0.19254768245204176</v>
      </c>
      <c r="R236" s="22">
        <f t="shared" si="59"/>
        <v>0.1907519738898287</v>
      </c>
      <c r="S236" s="22">
        <f t="shared" si="59"/>
        <v>0.18088699682644091</v>
      </c>
      <c r="T236" s="22">
        <f t="shared" si="59"/>
        <v>0.1838972381660133</v>
      </c>
      <c r="U236" s="22">
        <f t="shared" si="59"/>
        <v>0.18587548996919678</v>
      </c>
      <c r="V236" s="22">
        <f t="shared" si="59"/>
        <v>0.18760159282395869</v>
      </c>
      <c r="W236" s="22">
        <f t="shared" si="59"/>
        <v>0.1896732782375587</v>
      </c>
      <c r="X236" s="22">
        <f t="shared" si="59"/>
        <v>0.1930022477976579</v>
      </c>
      <c r="Y236" s="22">
        <f t="shared" si="59"/>
        <v>0.19680822491201644</v>
      </c>
      <c r="Z236" s="22">
        <f t="shared" si="59"/>
        <v>0.20092114686502896</v>
      </c>
      <c r="AA236" s="22">
        <f t="shared" si="59"/>
        <v>0.20449468327122119</v>
      </c>
      <c r="AB236" s="22">
        <f t="shared" si="59"/>
        <v>0.20863723377024176</v>
      </c>
      <c r="AC236" s="22">
        <f t="shared" si="59"/>
        <v>0.21348409201000912</v>
      </c>
      <c r="AD236" s="22">
        <f t="shared" si="59"/>
        <v>0.21835511855598433</v>
      </c>
      <c r="AE236" s="22">
        <f t="shared" si="59"/>
        <v>0.22343868148870985</v>
      </c>
      <c r="AF236" s="22">
        <f t="shared" si="59"/>
        <v>0.22861834548683552</v>
      </c>
      <c r="AG236" s="22">
        <f t="shared" si="59"/>
        <v>0.23439670920107816</v>
      </c>
      <c r="AH236" s="22">
        <f t="shared" si="59"/>
        <v>0.23945118587989581</v>
      </c>
      <c r="AI236" s="22">
        <f t="shared" si="59"/>
        <v>0.24500563890300198</v>
      </c>
      <c r="AJ236" s="22">
        <f t="shared" si="59"/>
        <v>0.25065226424650994</v>
      </c>
      <c r="AK236" s="22">
        <f t="shared" si="59"/>
        <v>0.25603495440723167</v>
      </c>
      <c r="AL236" s="22">
        <f t="shared" si="59"/>
        <v>0.26139389266760604</v>
      </c>
      <c r="AM236" s="22">
        <f t="shared" si="59"/>
        <v>0.26694586167829398</v>
      </c>
      <c r="AN236" s="22">
        <f t="shared" si="59"/>
        <v>0.2729875481925238</v>
      </c>
      <c r="AO236" s="22">
        <f t="shared" si="59"/>
        <v>0.27866949697835908</v>
      </c>
      <c r="AP236" s="22">
        <f t="shared" si="59"/>
        <v>0.28442636508269281</v>
      </c>
      <c r="AQ236" s="22">
        <f t="shared" si="59"/>
        <v>0.29026877942449542</v>
      </c>
      <c r="AR236" s="22">
        <f t="shared" si="59"/>
        <v>0.2965076361345787</v>
      </c>
      <c r="AS236" s="22">
        <f t="shared" si="59"/>
        <v>0.30314124222534444</v>
      </c>
      <c r="AT236" s="22">
        <f t="shared" si="59"/>
        <v>0.30687944467675132</v>
      </c>
      <c r="AU236" s="22">
        <f t="shared" si="59"/>
        <v>0.31041516575775774</v>
      </c>
      <c r="AV236" s="22">
        <f t="shared" si="59"/>
        <v>0.31434593932944749</v>
      </c>
      <c r="AW236" s="22">
        <f t="shared" si="59"/>
        <v>0.31810899011348942</v>
      </c>
      <c r="AY236" s="85"/>
    </row>
    <row r="237" spans="1:51" x14ac:dyDescent="0.25">
      <c r="A237" s="102" t="str">
        <f t="shared" si="45"/>
        <v>FA U&amp;D</v>
      </c>
      <c r="B237" s="102" t="s">
        <v>963</v>
      </c>
      <c r="C237" s="102" t="s">
        <v>1337</v>
      </c>
      <c r="D237" t="s">
        <v>369</v>
      </c>
      <c r="E237" t="s">
        <v>55</v>
      </c>
      <c r="F237" t="s">
        <v>422</v>
      </c>
      <c r="G237" t="s">
        <v>1175</v>
      </c>
      <c r="H237" t="s">
        <v>1252</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85"/>
    </row>
    <row r="238" spans="1:51" x14ac:dyDescent="0.25">
      <c r="A238" s="102" t="str">
        <f t="shared" si="45"/>
        <v>FA U&amp;D</v>
      </c>
      <c r="B238" s="102" t="s">
        <v>963</v>
      </c>
      <c r="C238" s="102" t="s">
        <v>1337</v>
      </c>
      <c r="D238" t="s">
        <v>369</v>
      </c>
      <c r="E238" t="s">
        <v>55</v>
      </c>
      <c r="F238" t="s">
        <v>422</v>
      </c>
      <c r="G238" t="s">
        <v>1177</v>
      </c>
      <c r="H238" t="s">
        <v>1253</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85"/>
    </row>
    <row r="239" spans="1:51" x14ac:dyDescent="0.25">
      <c r="A239" s="102" t="str">
        <f t="shared" si="45"/>
        <v>FA U&amp;D</v>
      </c>
      <c r="B239" s="102" t="s">
        <v>963</v>
      </c>
      <c r="C239" s="102" t="s">
        <v>1337</v>
      </c>
      <c r="D239" t="s">
        <v>369</v>
      </c>
      <c r="E239" t="s">
        <v>55</v>
      </c>
      <c r="F239" t="s">
        <v>422</v>
      </c>
      <c r="G239" t="s">
        <v>1179</v>
      </c>
      <c r="H239" t="s">
        <v>1254</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85"/>
    </row>
    <row r="240" spans="1:51" x14ac:dyDescent="0.25">
      <c r="A240" s="102" t="str">
        <f t="shared" si="45"/>
        <v>FA U&amp;D</v>
      </c>
      <c r="B240" s="102" t="s">
        <v>963</v>
      </c>
      <c r="C240" s="102" t="s">
        <v>1337</v>
      </c>
      <c r="D240" t="s">
        <v>369</v>
      </c>
      <c r="E240" t="s">
        <v>55</v>
      </c>
      <c r="F240" t="s">
        <v>422</v>
      </c>
      <c r="G240" t="s">
        <v>1181</v>
      </c>
      <c r="H240" t="s">
        <v>1255</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85"/>
    </row>
    <row r="241" spans="1:51" x14ac:dyDescent="0.25">
      <c r="A241" s="102" t="str">
        <f t="shared" si="45"/>
        <v>FA U&amp;D</v>
      </c>
      <c r="B241" s="102" t="s">
        <v>963</v>
      </c>
      <c r="C241" s="102" t="s">
        <v>1337</v>
      </c>
      <c r="D241" t="s">
        <v>369</v>
      </c>
      <c r="E241" t="s">
        <v>55</v>
      </c>
      <c r="F241" t="s">
        <v>422</v>
      </c>
      <c r="G241" t="s">
        <v>1183</v>
      </c>
      <c r="H241" t="s">
        <v>1256</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85"/>
    </row>
    <row r="242" spans="1:51" x14ac:dyDescent="0.25">
      <c r="A242" s="102" t="str">
        <f t="shared" si="45"/>
        <v>FA FSOM</v>
      </c>
      <c r="B242" s="102" t="s">
        <v>963</v>
      </c>
      <c r="C242" s="102" t="s">
        <v>60</v>
      </c>
      <c r="D242" t="s">
        <v>369</v>
      </c>
      <c r="E242" t="s">
        <v>55</v>
      </c>
      <c r="F242" t="s">
        <v>60</v>
      </c>
      <c r="G242" t="s">
        <v>1267</v>
      </c>
      <c r="H242" t="s">
        <v>1268</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85"/>
    </row>
    <row r="243" spans="1:51" x14ac:dyDescent="0.25">
      <c r="A243" s="102" t="str">
        <f t="shared" si="45"/>
        <v>FA FSOM</v>
      </c>
      <c r="B243" s="102" t="s">
        <v>963</v>
      </c>
      <c r="C243" s="102" t="s">
        <v>60</v>
      </c>
      <c r="D243" t="s">
        <v>369</v>
      </c>
      <c r="E243" t="s">
        <v>55</v>
      </c>
      <c r="F243" t="s">
        <v>60</v>
      </c>
      <c r="G243" t="s">
        <v>1269</v>
      </c>
      <c r="H243" t="s">
        <v>1270</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85"/>
    </row>
    <row r="244" spans="1:51" x14ac:dyDescent="0.25">
      <c r="A244" s="102" t="str">
        <f t="shared" si="45"/>
        <v>FA FSOM</v>
      </c>
      <c r="B244" s="102" t="s">
        <v>963</v>
      </c>
      <c r="C244" s="102" t="s">
        <v>60</v>
      </c>
      <c r="D244" t="s">
        <v>369</v>
      </c>
      <c r="E244" t="s">
        <v>55</v>
      </c>
      <c r="F244" t="s">
        <v>60</v>
      </c>
      <c r="G244" t="s">
        <v>1271</v>
      </c>
      <c r="H244" t="s">
        <v>1272</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85"/>
    </row>
    <row r="245" spans="1:51" x14ac:dyDescent="0.25">
      <c r="A245" s="102" t="str">
        <f t="shared" si="45"/>
        <v>FA FSOM</v>
      </c>
      <c r="B245" s="102" t="s">
        <v>963</v>
      </c>
      <c r="C245" s="102" t="s">
        <v>60</v>
      </c>
      <c r="D245" t="s">
        <v>369</v>
      </c>
      <c r="E245" t="s">
        <v>55</v>
      </c>
      <c r="F245" t="s">
        <v>60</v>
      </c>
      <c r="G245" t="s">
        <v>1273</v>
      </c>
      <c r="H245" t="s">
        <v>1274</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85"/>
    </row>
    <row r="246" spans="1:51" x14ac:dyDescent="0.25">
      <c r="A246" s="102" t="str">
        <f t="shared" si="45"/>
        <v>FA FSOM</v>
      </c>
      <c r="B246" s="102" t="s">
        <v>963</v>
      </c>
      <c r="C246" s="102" t="s">
        <v>60</v>
      </c>
      <c r="D246" t="s">
        <v>369</v>
      </c>
      <c r="E246" t="s">
        <v>55</v>
      </c>
      <c r="F246" t="s">
        <v>60</v>
      </c>
      <c r="G246" t="s">
        <v>1275</v>
      </c>
      <c r="H246" t="s">
        <v>1276</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85"/>
    </row>
    <row r="247" spans="1:51" x14ac:dyDescent="0.25">
      <c r="A247" s="102" t="str">
        <f t="shared" si="45"/>
        <v>FA FSOM</v>
      </c>
      <c r="B247" s="102" t="s">
        <v>963</v>
      </c>
      <c r="C247" s="102" t="s">
        <v>60</v>
      </c>
      <c r="D247" t="s">
        <v>369</v>
      </c>
      <c r="E247" t="s">
        <v>55</v>
      </c>
      <c r="F247" t="s">
        <v>60</v>
      </c>
      <c r="G247" t="s">
        <v>1277</v>
      </c>
      <c r="H247" t="s">
        <v>1278</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85"/>
    </row>
    <row r="248" spans="1:51" x14ac:dyDescent="0.25">
      <c r="A248" s="102" t="str">
        <f t="shared" si="45"/>
        <v>FA FSOM</v>
      </c>
      <c r="B248" s="102" t="s">
        <v>963</v>
      </c>
      <c r="C248" s="102" t="s">
        <v>60</v>
      </c>
      <c r="D248" t="s">
        <v>369</v>
      </c>
      <c r="E248" t="s">
        <v>55</v>
      </c>
      <c r="F248" t="s">
        <v>60</v>
      </c>
      <c r="G248" t="s">
        <v>1279</v>
      </c>
      <c r="H248" t="s">
        <v>1280</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85"/>
    </row>
    <row r="249" spans="1:51" x14ac:dyDescent="0.25">
      <c r="A249" s="102" t="str">
        <f t="shared" si="45"/>
        <v>FA FSOM</v>
      </c>
      <c r="B249" s="102" t="s">
        <v>963</v>
      </c>
      <c r="C249" s="102" t="s">
        <v>60</v>
      </c>
      <c r="D249" t="s">
        <v>369</v>
      </c>
      <c r="E249" t="s">
        <v>55</v>
      </c>
      <c r="F249" t="s">
        <v>60</v>
      </c>
      <c r="G249" t="s">
        <v>1281</v>
      </c>
      <c r="H249" t="s">
        <v>1282</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85"/>
    </row>
    <row r="250" spans="1:51" x14ac:dyDescent="0.25">
      <c r="A250" s="102" t="str">
        <f t="shared" si="45"/>
        <v>FA FSOM</v>
      </c>
      <c r="B250" s="102" t="s">
        <v>963</v>
      </c>
      <c r="C250" s="102" t="s">
        <v>60</v>
      </c>
      <c r="D250" t="s">
        <v>369</v>
      </c>
      <c r="E250" t="s">
        <v>55</v>
      </c>
      <c r="F250" t="s">
        <v>60</v>
      </c>
      <c r="G250" t="s">
        <v>1283</v>
      </c>
      <c r="H250" t="s">
        <v>1284</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85"/>
    </row>
    <row r="251" spans="1:51" x14ac:dyDescent="0.25">
      <c r="A251" s="102" t="str">
        <f t="shared" si="45"/>
        <v>FA FSOM</v>
      </c>
      <c r="B251" s="102" t="s">
        <v>963</v>
      </c>
      <c r="C251" s="102" t="s">
        <v>60</v>
      </c>
      <c r="D251" t="s">
        <v>369</v>
      </c>
      <c r="E251" t="s">
        <v>55</v>
      </c>
      <c r="F251" t="s">
        <v>60</v>
      </c>
      <c r="G251" t="s">
        <v>1285</v>
      </c>
      <c r="H251" t="s">
        <v>1286</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85"/>
    </row>
    <row r="252" spans="1:51" x14ac:dyDescent="0.25">
      <c r="A252" s="102" t="str">
        <f t="shared" si="45"/>
        <v>FA FSOM</v>
      </c>
      <c r="B252" s="102" t="s">
        <v>963</v>
      </c>
      <c r="C252" s="102" t="s">
        <v>60</v>
      </c>
      <c r="D252" t="s">
        <v>369</v>
      </c>
      <c r="E252" t="s">
        <v>55</v>
      </c>
      <c r="F252" t="s">
        <v>60</v>
      </c>
      <c r="G252" t="s">
        <v>1287</v>
      </c>
      <c r="H252" t="s">
        <v>1288</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85"/>
    </row>
    <row r="253" spans="1:51" x14ac:dyDescent="0.25">
      <c r="A253" s="102" t="str">
        <f t="shared" si="45"/>
        <v>FA FSOM</v>
      </c>
      <c r="B253" s="102" t="s">
        <v>963</v>
      </c>
      <c r="C253" s="102" t="s">
        <v>60</v>
      </c>
      <c r="D253" t="s">
        <v>369</v>
      </c>
      <c r="E253" t="s">
        <v>55</v>
      </c>
      <c r="F253" t="s">
        <v>60</v>
      </c>
      <c r="G253" t="s">
        <v>1289</v>
      </c>
      <c r="H253" t="s">
        <v>1290</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85"/>
    </row>
    <row r="254" spans="1:51" x14ac:dyDescent="0.25">
      <c r="A254" s="102" t="str">
        <f t="shared" si="45"/>
        <v>FA Volatilisation</v>
      </c>
      <c r="B254" s="102" t="s">
        <v>963</v>
      </c>
      <c r="C254" s="102" t="s">
        <v>62</v>
      </c>
      <c r="D254" t="s">
        <v>369</v>
      </c>
      <c r="E254" t="s">
        <v>61</v>
      </c>
      <c r="F254" t="s">
        <v>62</v>
      </c>
      <c r="G254" t="s">
        <v>435</v>
      </c>
      <c r="H254" t="s">
        <v>1185</v>
      </c>
      <c r="I254" t="s">
        <v>139</v>
      </c>
      <c r="J254" t="s">
        <v>287</v>
      </c>
      <c r="K254" s="22">
        <f t="shared" si="55"/>
        <v>0.66064812063358536</v>
      </c>
      <c r="L254" s="22">
        <f t="shared" si="61"/>
        <v>0.66056660352543128</v>
      </c>
      <c r="M254" s="22">
        <f t="shared" si="61"/>
        <v>0.66042995522505377</v>
      </c>
      <c r="N254" s="22">
        <f t="shared" si="61"/>
        <v>0.66031365898338112</v>
      </c>
      <c r="O254" s="22">
        <f t="shared" si="61"/>
        <v>0.66027560568732091</v>
      </c>
      <c r="P254" s="22">
        <f t="shared" si="61"/>
        <v>0.66023708971175277</v>
      </c>
      <c r="Q254" s="22">
        <f t="shared" si="61"/>
        <v>0.66011966991986881</v>
      </c>
      <c r="R254" s="22">
        <f t="shared" si="61"/>
        <v>0.66002765167075472</v>
      </c>
      <c r="S254" s="22">
        <f t="shared" si="61"/>
        <v>0.66002145648060517</v>
      </c>
      <c r="T254" s="22">
        <f t="shared" si="61"/>
        <v>0.66040420720172732</v>
      </c>
      <c r="U254" s="22">
        <f t="shared" si="61"/>
        <v>0.66019485697997204</v>
      </c>
      <c r="V254" s="22">
        <f t="shared" si="61"/>
        <v>0.66003652312909888</v>
      </c>
      <c r="W254" s="22">
        <f t="shared" si="61"/>
        <v>0.65989054673114655</v>
      </c>
      <c r="X254" s="22">
        <f t="shared" si="61"/>
        <v>0.65972835879321112</v>
      </c>
      <c r="Y254" s="22">
        <f t="shared" si="61"/>
        <v>0.65950794659321976</v>
      </c>
      <c r="Z254" s="22">
        <f t="shared" ref="L254:AW261" si="62">Z1510</f>
        <v>0.65927714888243172</v>
      </c>
      <c r="AA254" s="22">
        <f t="shared" si="62"/>
        <v>0.65903551292141993</v>
      </c>
      <c r="AB254" s="22">
        <f t="shared" si="62"/>
        <v>0.65882075529961204</v>
      </c>
      <c r="AC254" s="22">
        <f t="shared" si="62"/>
        <v>0.65858383398788667</v>
      </c>
      <c r="AD254" s="22">
        <f t="shared" si="62"/>
        <v>0.65832049506454571</v>
      </c>
      <c r="AE254" s="22">
        <f t="shared" si="62"/>
        <v>0.65806825645343991</v>
      </c>
      <c r="AF254" s="22">
        <f t="shared" si="62"/>
        <v>0.65781181226611019</v>
      </c>
      <c r="AG254" s="22">
        <f t="shared" si="62"/>
        <v>0.65755610222279148</v>
      </c>
      <c r="AH254" s="22">
        <f t="shared" si="62"/>
        <v>0.65728213410220515</v>
      </c>
      <c r="AI254" s="22">
        <f t="shared" si="62"/>
        <v>0.65704025946446432</v>
      </c>
      <c r="AJ254" s="22">
        <f t="shared" si="62"/>
        <v>0.65679167627959911</v>
      </c>
      <c r="AK254" s="22">
        <f t="shared" si="62"/>
        <v>0.65654442966296833</v>
      </c>
      <c r="AL254" s="22">
        <f t="shared" si="62"/>
        <v>0.6563107846246663</v>
      </c>
      <c r="AM254" s="22">
        <f t="shared" si="62"/>
        <v>0.65608183818668697</v>
      </c>
      <c r="AN254" s="22">
        <f t="shared" si="62"/>
        <v>0.6558502326056066</v>
      </c>
      <c r="AO254" s="22">
        <f t="shared" si="62"/>
        <v>0.65561383844940613</v>
      </c>
      <c r="AP254" s="22">
        <f t="shared" si="62"/>
        <v>0.65539317250053775</v>
      </c>
      <c r="AQ254" s="22">
        <f t="shared" si="62"/>
        <v>0.65517393492300557</v>
      </c>
      <c r="AR254" s="22">
        <f t="shared" si="62"/>
        <v>0.65495579618392019</v>
      </c>
      <c r="AS254" s="22">
        <f t="shared" si="62"/>
        <v>0.65472963164045961</v>
      </c>
      <c r="AT254" s="22">
        <f t="shared" si="62"/>
        <v>0.65450342769214809</v>
      </c>
      <c r="AU254" s="22">
        <f t="shared" si="62"/>
        <v>0.65436308710087154</v>
      </c>
      <c r="AV254" s="22">
        <f t="shared" si="62"/>
        <v>0.65422967735758231</v>
      </c>
      <c r="AW254" s="22">
        <f t="shared" si="62"/>
        <v>0.65408646829531714</v>
      </c>
      <c r="AY254" s="85"/>
    </row>
    <row r="255" spans="1:51" x14ac:dyDescent="0.25">
      <c r="A255" s="102" t="str">
        <f t="shared" si="45"/>
        <v>FA Volatilisation</v>
      </c>
      <c r="B255" s="102" t="s">
        <v>963</v>
      </c>
      <c r="C255" s="102" t="s">
        <v>62</v>
      </c>
      <c r="D255" t="s">
        <v>369</v>
      </c>
      <c r="E255" t="s">
        <v>61</v>
      </c>
      <c r="F255" t="s">
        <v>62</v>
      </c>
      <c r="G255" t="s">
        <v>436</v>
      </c>
      <c r="H255" t="s">
        <v>1186</v>
      </c>
      <c r="I255" t="s">
        <v>139</v>
      </c>
      <c r="J255" t="s">
        <v>287</v>
      </c>
      <c r="K255" s="22">
        <f t="shared" si="55"/>
        <v>8.720555192363328E-3</v>
      </c>
      <c r="L255" s="22">
        <f t="shared" si="62"/>
        <v>8.7194791665356954E-3</v>
      </c>
      <c r="M255" s="22">
        <f t="shared" si="62"/>
        <v>8.7176754089707108E-3</v>
      </c>
      <c r="N255" s="22">
        <f t="shared" si="62"/>
        <v>8.7161402985806314E-3</v>
      </c>
      <c r="O255" s="22">
        <f t="shared" si="62"/>
        <v>8.7156379950726372E-3</v>
      </c>
      <c r="P255" s="22">
        <f t="shared" si="62"/>
        <v>8.7151295841951387E-3</v>
      </c>
      <c r="Q255" s="22">
        <f t="shared" si="62"/>
        <v>8.7135796429422714E-3</v>
      </c>
      <c r="R255" s="22">
        <f t="shared" si="62"/>
        <v>8.7123650020539626E-3</v>
      </c>
      <c r="S255" s="22">
        <f t="shared" si="62"/>
        <v>8.7122832255439892E-3</v>
      </c>
      <c r="T255" s="22">
        <f t="shared" si="62"/>
        <v>8.7173355350628028E-3</v>
      </c>
      <c r="U255" s="22">
        <f t="shared" si="62"/>
        <v>8.7145721121356327E-3</v>
      </c>
      <c r="V255" s="22">
        <f t="shared" si="62"/>
        <v>8.7124821053041063E-3</v>
      </c>
      <c r="W255" s="22">
        <f t="shared" si="62"/>
        <v>8.7105552168511343E-3</v>
      </c>
      <c r="X255" s="22">
        <f t="shared" si="62"/>
        <v>8.7084143360703897E-3</v>
      </c>
      <c r="Y255" s="22">
        <f t="shared" si="62"/>
        <v>8.7055048950305004E-3</v>
      </c>
      <c r="Z255" s="22">
        <f t="shared" si="62"/>
        <v>8.7024583652481006E-3</v>
      </c>
      <c r="AA255" s="22">
        <f t="shared" si="62"/>
        <v>8.6992687705627434E-3</v>
      </c>
      <c r="AB255" s="22">
        <f t="shared" si="62"/>
        <v>8.6964339699548802E-3</v>
      </c>
      <c r="AC255" s="22">
        <f t="shared" si="62"/>
        <v>8.6933066086401032E-3</v>
      </c>
      <c r="AD255" s="22">
        <f t="shared" si="62"/>
        <v>8.6898305348520055E-3</v>
      </c>
      <c r="AE255" s="22">
        <f t="shared" si="62"/>
        <v>8.6865009851854087E-3</v>
      </c>
      <c r="AF255" s="22">
        <f t="shared" si="62"/>
        <v>8.6831159219126538E-3</v>
      </c>
      <c r="AG255" s="22">
        <f t="shared" si="62"/>
        <v>8.6797405493408489E-3</v>
      </c>
      <c r="AH255" s="22">
        <f t="shared" si="62"/>
        <v>8.6761241701491087E-3</v>
      </c>
      <c r="AI255" s="22">
        <f t="shared" si="62"/>
        <v>8.672931424930929E-3</v>
      </c>
      <c r="AJ255" s="22">
        <f t="shared" si="62"/>
        <v>8.6696501268907124E-3</v>
      </c>
      <c r="AK255" s="22">
        <f t="shared" si="62"/>
        <v>8.6663864715511834E-3</v>
      </c>
      <c r="AL255" s="22">
        <f t="shared" si="62"/>
        <v>8.6633023570455974E-3</v>
      </c>
      <c r="AM255" s="22">
        <f t="shared" si="62"/>
        <v>8.6602802640642716E-3</v>
      </c>
      <c r="AN255" s="22">
        <f t="shared" si="62"/>
        <v>8.6572230703940104E-3</v>
      </c>
      <c r="AO255" s="22">
        <f t="shared" si="62"/>
        <v>8.6541026675321618E-3</v>
      </c>
      <c r="AP255" s="22">
        <f t="shared" si="62"/>
        <v>8.651189877007099E-3</v>
      </c>
      <c r="AQ255" s="22">
        <f t="shared" si="62"/>
        <v>8.6482959409836767E-3</v>
      </c>
      <c r="AR255" s="22">
        <f t="shared" si="62"/>
        <v>8.6454165096277492E-3</v>
      </c>
      <c r="AS255" s="22">
        <f t="shared" si="62"/>
        <v>8.642431137654066E-3</v>
      </c>
      <c r="AT255" s="22">
        <f t="shared" si="62"/>
        <v>8.6394452455363525E-3</v>
      </c>
      <c r="AU255" s="22">
        <f t="shared" si="62"/>
        <v>8.6375927497315073E-3</v>
      </c>
      <c r="AV255" s="22">
        <f t="shared" si="62"/>
        <v>8.635831741120089E-3</v>
      </c>
      <c r="AW255" s="22">
        <f t="shared" si="62"/>
        <v>8.6339413814981846E-3</v>
      </c>
      <c r="AY255" s="85"/>
    </row>
    <row r="256" spans="1:51" x14ac:dyDescent="0.25">
      <c r="A256" s="102" t="str">
        <f t="shared" si="45"/>
        <v>FA Volatilisation</v>
      </c>
      <c r="B256" s="102" t="s">
        <v>963</v>
      </c>
      <c r="C256" s="102" t="s">
        <v>62</v>
      </c>
      <c r="D256" t="s">
        <v>369</v>
      </c>
      <c r="E256" t="s">
        <v>61</v>
      </c>
      <c r="F256" t="s">
        <v>62</v>
      </c>
      <c r="G256" t="s">
        <v>437</v>
      </c>
      <c r="H256" t="s">
        <v>1187</v>
      </c>
      <c r="I256" t="s">
        <v>139</v>
      </c>
      <c r="J256" t="s">
        <v>287</v>
      </c>
      <c r="K256" s="22">
        <f t="shared" si="55"/>
        <v>1.2055794850635659</v>
      </c>
      <c r="L256" s="22">
        <f t="shared" si="62"/>
        <v>1.2104278424184185</v>
      </c>
      <c r="M256" s="22">
        <f t="shared" si="62"/>
        <v>1.2110410080270337</v>
      </c>
      <c r="N256" s="22">
        <f t="shared" si="62"/>
        <v>1.1943250378730979</v>
      </c>
      <c r="O256" s="22">
        <f t="shared" si="62"/>
        <v>1.1785336367211481</v>
      </c>
      <c r="P256" s="22">
        <f t="shared" si="62"/>
        <v>1.1807984846872717</v>
      </c>
      <c r="Q256" s="22">
        <f t="shared" si="62"/>
        <v>1.1777806975328995</v>
      </c>
      <c r="R256" s="22">
        <f t="shared" si="62"/>
        <v>1.1565987272959932</v>
      </c>
      <c r="S256" s="22">
        <f t="shared" si="62"/>
        <v>1.0565661190304907</v>
      </c>
      <c r="T256" s="22">
        <f t="shared" si="62"/>
        <v>1.0843981444045876</v>
      </c>
      <c r="U256" s="22">
        <f t="shared" si="62"/>
        <v>1.1022978887172767</v>
      </c>
      <c r="V256" s="22">
        <f t="shared" si="62"/>
        <v>1.1179525333401792</v>
      </c>
      <c r="W256" s="22">
        <f t="shared" si="62"/>
        <v>1.1371937582920058</v>
      </c>
      <c r="X256" s="22">
        <f t="shared" si="62"/>
        <v>1.1688596383194103</v>
      </c>
      <c r="Y256" s="22">
        <f t="shared" si="62"/>
        <v>1.2033526446166931</v>
      </c>
      <c r="Z256" s="22">
        <f t="shared" si="62"/>
        <v>1.2408507133252609</v>
      </c>
      <c r="AA256" s="22">
        <f t="shared" si="62"/>
        <v>1.2731843133951926</v>
      </c>
      <c r="AB256" s="22">
        <f t="shared" si="62"/>
        <v>1.3110551040849183</v>
      </c>
      <c r="AC256" s="22">
        <f t="shared" si="62"/>
        <v>1.355728169291323</v>
      </c>
      <c r="AD256" s="22">
        <f t="shared" si="62"/>
        <v>1.3939596257860098</v>
      </c>
      <c r="AE256" s="22">
        <f t="shared" si="62"/>
        <v>1.4337807294637712</v>
      </c>
      <c r="AF256" s="22">
        <f t="shared" si="62"/>
        <v>1.47406827607512</v>
      </c>
      <c r="AG256" s="22">
        <f t="shared" si="62"/>
        <v>1.5194978047800693</v>
      </c>
      <c r="AH256" s="22">
        <f t="shared" si="62"/>
        <v>1.5577289711925291</v>
      </c>
      <c r="AI256" s="22">
        <f t="shared" si="62"/>
        <v>1.5982604880799263</v>
      </c>
      <c r="AJ256" s="22">
        <f t="shared" si="62"/>
        <v>1.6390864176929789</v>
      </c>
      <c r="AK256" s="22">
        <f t="shared" si="62"/>
        <v>1.6769805965077378</v>
      </c>
      <c r="AL256" s="22">
        <f t="shared" si="62"/>
        <v>1.7141634850883904</v>
      </c>
      <c r="AM256" s="22">
        <f t="shared" si="62"/>
        <v>1.7525800299502974</v>
      </c>
      <c r="AN256" s="22">
        <f t="shared" si="62"/>
        <v>1.7962799809461818</v>
      </c>
      <c r="AO256" s="22">
        <f t="shared" si="62"/>
        <v>1.8363745934977889</v>
      </c>
      <c r="AP256" s="22">
        <f t="shared" si="62"/>
        <v>1.8767319429652667</v>
      </c>
      <c r="AQ256" s="22">
        <f t="shared" si="62"/>
        <v>1.9174419078072971</v>
      </c>
      <c r="AR256" s="22">
        <f t="shared" si="62"/>
        <v>1.9611841098019933</v>
      </c>
      <c r="AS256" s="22">
        <f t="shared" si="62"/>
        <v>2.0057175014121866</v>
      </c>
      <c r="AT256" s="22">
        <f t="shared" si="62"/>
        <v>2.0250554676371522</v>
      </c>
      <c r="AU256" s="22">
        <f t="shared" si="62"/>
        <v>2.0424822718000586</v>
      </c>
      <c r="AV256" s="22">
        <f t="shared" si="62"/>
        <v>2.0630523613917346</v>
      </c>
      <c r="AW256" s="22">
        <f t="shared" si="62"/>
        <v>2.082006990762475</v>
      </c>
      <c r="AY256" s="85"/>
    </row>
    <row r="257" spans="1:51" x14ac:dyDescent="0.25">
      <c r="A257" s="102" t="str">
        <f t="shared" si="45"/>
        <v>FA Volatilisation</v>
      </c>
      <c r="B257" s="102" t="s">
        <v>963</v>
      </c>
      <c r="C257" s="102" t="s">
        <v>62</v>
      </c>
      <c r="D257" t="s">
        <v>369</v>
      </c>
      <c r="E257" t="s">
        <v>61</v>
      </c>
      <c r="F257" t="s">
        <v>62</v>
      </c>
      <c r="G257" t="s">
        <v>438</v>
      </c>
      <c r="H257" t="s">
        <v>1266</v>
      </c>
      <c r="I257" t="s">
        <v>139</v>
      </c>
      <c r="J257" t="s">
        <v>287</v>
      </c>
      <c r="K257" s="22">
        <f t="shared" si="55"/>
        <v>4.4098974147867755</v>
      </c>
      <c r="L257" s="22">
        <f t="shared" si="62"/>
        <v>4.4002705988392581</v>
      </c>
      <c r="M257" s="22">
        <f t="shared" si="62"/>
        <v>4.3810790490560496</v>
      </c>
      <c r="N257" s="22">
        <f t="shared" si="62"/>
        <v>4.3210884872533324</v>
      </c>
      <c r="O257" s="22">
        <f t="shared" si="62"/>
        <v>4.2648964492483783</v>
      </c>
      <c r="P257" s="22">
        <f t="shared" si="62"/>
        <v>4.2527084614653266</v>
      </c>
      <c r="Q257" s="22">
        <f t="shared" si="62"/>
        <v>4.2283311412429541</v>
      </c>
      <c r="R257" s="22">
        <f t="shared" si="62"/>
        <v>4.1624951000433894</v>
      </c>
      <c r="S257" s="22">
        <f t="shared" si="62"/>
        <v>3.918294133105289</v>
      </c>
      <c r="T257" s="22">
        <f t="shared" si="62"/>
        <v>3.9728149933985741</v>
      </c>
      <c r="U257" s="22">
        <f t="shared" si="62"/>
        <v>4.0046383553460947</v>
      </c>
      <c r="V257" s="22">
        <f t="shared" si="62"/>
        <v>4.0313393560711299</v>
      </c>
      <c r="W257" s="22">
        <f t="shared" si="62"/>
        <v>4.0659554364901567</v>
      </c>
      <c r="X257" s="22">
        <f t="shared" si="62"/>
        <v>4.127860980146191</v>
      </c>
      <c r="Y257" s="22">
        <f t="shared" si="62"/>
        <v>4.1932975047825973</v>
      </c>
      <c r="Z257" s="22">
        <f t="shared" si="62"/>
        <v>4.2646556600059613</v>
      </c>
      <c r="AA257" s="22">
        <f t="shared" si="62"/>
        <v>4.3240622404895737</v>
      </c>
      <c r="AB257" s="22">
        <f t="shared" si="62"/>
        <v>4.3947968135079751</v>
      </c>
      <c r="AC257" s="22">
        <f t="shared" si="62"/>
        <v>4.4793345574908621</v>
      </c>
      <c r="AD257" s="22">
        <f t="shared" si="62"/>
        <v>4.5365384381843912</v>
      </c>
      <c r="AE257" s="22">
        <f t="shared" si="62"/>
        <v>4.5953040720129232</v>
      </c>
      <c r="AF257" s="22">
        <f t="shared" si="62"/>
        <v>4.6531478649857521</v>
      </c>
      <c r="AG257" s="22">
        <f t="shared" si="62"/>
        <v>4.7195989933520908</v>
      </c>
      <c r="AH257" s="22">
        <f t="shared" si="62"/>
        <v>4.7691902048211627</v>
      </c>
      <c r="AI257" s="22">
        <f t="shared" si="62"/>
        <v>4.8198409519315524</v>
      </c>
      <c r="AJ257" s="22">
        <f t="shared" si="62"/>
        <v>4.8689648702732589</v>
      </c>
      <c r="AK257" s="22">
        <f t="shared" si="62"/>
        <v>4.9101688608077527</v>
      </c>
      <c r="AL257" s="22">
        <f t="shared" si="62"/>
        <v>4.9479174362838023</v>
      </c>
      <c r="AM257" s="22">
        <f t="shared" si="62"/>
        <v>4.9859362473479623</v>
      </c>
      <c r="AN257" s="22">
        <f t="shared" si="62"/>
        <v>5.0387466715290952</v>
      </c>
      <c r="AO257" s="22">
        <f t="shared" si="62"/>
        <v>5.0829929376217953</v>
      </c>
      <c r="AP257" s="22">
        <f t="shared" si="62"/>
        <v>5.1260297941923829</v>
      </c>
      <c r="AQ257" s="22">
        <f t="shared" si="62"/>
        <v>5.1679798732444908</v>
      </c>
      <c r="AR257" s="22">
        <f t="shared" si="62"/>
        <v>5.2136546695362291</v>
      </c>
      <c r="AS257" s="22">
        <f t="shared" si="62"/>
        <v>5.2573345909610909</v>
      </c>
      <c r="AT257" s="22">
        <f t="shared" si="62"/>
        <v>5.2543577680109008</v>
      </c>
      <c r="AU257" s="22">
        <f t="shared" si="62"/>
        <v>5.2470482911537353</v>
      </c>
      <c r="AV257" s="22">
        <f t="shared" si="62"/>
        <v>5.2442604689487187</v>
      </c>
      <c r="AW257" s="22">
        <f t="shared" si="62"/>
        <v>5.2376395842644694</v>
      </c>
      <c r="AY257" s="85"/>
    </row>
    <row r="258" spans="1:51" x14ac:dyDescent="0.25">
      <c r="A258" s="102" t="str">
        <f t="shared" si="45"/>
        <v>FA Leaching</v>
      </c>
      <c r="B258" s="102" t="s">
        <v>963</v>
      </c>
      <c r="C258" s="102" t="s">
        <v>1191</v>
      </c>
      <c r="D258" t="s">
        <v>369</v>
      </c>
      <c r="E258" t="s">
        <v>61</v>
      </c>
      <c r="F258" t="s">
        <v>63</v>
      </c>
      <c r="G258" t="s">
        <v>435</v>
      </c>
      <c r="H258" t="s">
        <v>1188</v>
      </c>
      <c r="I258" t="s">
        <v>139</v>
      </c>
      <c r="J258" t="s">
        <v>287</v>
      </c>
      <c r="K258" s="22">
        <f t="shared" si="55"/>
        <v>2.2792360161858692E-4</v>
      </c>
      <c r="L258" s="22">
        <f t="shared" si="62"/>
        <v>2.278954782162738E-4</v>
      </c>
      <c r="M258" s="22">
        <f t="shared" si="62"/>
        <v>2.2784833455264354E-4</v>
      </c>
      <c r="N258" s="22">
        <f t="shared" si="62"/>
        <v>2.2780821234926642E-4</v>
      </c>
      <c r="O258" s="22">
        <f t="shared" si="62"/>
        <v>2.2779508396212562E-4</v>
      </c>
      <c r="P258" s="22">
        <f t="shared" si="62"/>
        <v>2.2778179595055463E-4</v>
      </c>
      <c r="Q258" s="22">
        <f t="shared" si="62"/>
        <v>2.2774128612235473E-4</v>
      </c>
      <c r="R258" s="22">
        <f t="shared" si="62"/>
        <v>2.2770953982641034E-4</v>
      </c>
      <c r="S258" s="22">
        <f t="shared" si="62"/>
        <v>2.2770740248580869E-4</v>
      </c>
      <c r="T258" s="22">
        <f t="shared" si="62"/>
        <v>2.2783945148459591E-4</v>
      </c>
      <c r="U258" s="22">
        <f t="shared" si="62"/>
        <v>2.2776722565809031E-4</v>
      </c>
      <c r="V258" s="22">
        <f t="shared" si="62"/>
        <v>2.2771260047953912E-4</v>
      </c>
      <c r="W258" s="22">
        <f t="shared" si="62"/>
        <v>2.2766223862224547E-4</v>
      </c>
      <c r="X258" s="22">
        <f t="shared" si="62"/>
        <v>2.276062837836578E-4</v>
      </c>
      <c r="Y258" s="22">
        <f t="shared" si="62"/>
        <v>2.2753024157466073E-4</v>
      </c>
      <c r="Z258" s="22">
        <f t="shared" si="62"/>
        <v>2.2745061636443892E-4</v>
      </c>
      <c r="AA258" s="22">
        <f t="shared" si="62"/>
        <v>2.2736725195788982E-4</v>
      </c>
      <c r="AB258" s="22">
        <f t="shared" si="62"/>
        <v>2.2729316057836611E-4</v>
      </c>
      <c r="AC258" s="22">
        <f t="shared" si="62"/>
        <v>2.2721142272582082E-4</v>
      </c>
      <c r="AD258" s="22">
        <f t="shared" si="62"/>
        <v>2.2712057079726826E-4</v>
      </c>
      <c r="AE258" s="22">
        <f t="shared" si="62"/>
        <v>2.2703354847643673E-4</v>
      </c>
      <c r="AF258" s="22">
        <f t="shared" si="62"/>
        <v>2.26945075231808E-4</v>
      </c>
      <c r="AG258" s="22">
        <f t="shared" si="62"/>
        <v>2.2685685526686305E-4</v>
      </c>
      <c r="AH258" s="22">
        <f t="shared" si="62"/>
        <v>2.2676233626526071E-4</v>
      </c>
      <c r="AI258" s="22">
        <f t="shared" si="62"/>
        <v>2.2667888951524015E-4</v>
      </c>
      <c r="AJ258" s="22">
        <f t="shared" si="62"/>
        <v>2.2659312831646165E-4</v>
      </c>
      <c r="AK258" s="22">
        <f t="shared" si="62"/>
        <v>2.2650782823372401E-4</v>
      </c>
      <c r="AL258" s="22">
        <f t="shared" si="62"/>
        <v>2.2642722069550987E-4</v>
      </c>
      <c r="AM258" s="22">
        <f t="shared" si="62"/>
        <v>2.2634823417440697E-4</v>
      </c>
      <c r="AN258" s="22">
        <f t="shared" si="62"/>
        <v>2.2626833024893425E-4</v>
      </c>
      <c r="AO258" s="22">
        <f t="shared" si="62"/>
        <v>2.2618677426504506E-4</v>
      </c>
      <c r="AP258" s="22">
        <f t="shared" si="62"/>
        <v>2.2611064451268553E-4</v>
      </c>
      <c r="AQ258" s="22">
        <f t="shared" si="62"/>
        <v>2.2603500754843689E-4</v>
      </c>
      <c r="AR258" s="22">
        <f t="shared" si="62"/>
        <v>2.2595974968345244E-4</v>
      </c>
      <c r="AS258" s="22">
        <f t="shared" si="62"/>
        <v>2.2588172291595847E-4</v>
      </c>
      <c r="AT258" s="22">
        <f t="shared" si="62"/>
        <v>2.25803682553791E-4</v>
      </c>
      <c r="AU258" s="22">
        <f t="shared" si="62"/>
        <v>2.2575526504980067E-4</v>
      </c>
      <c r="AV258" s="22">
        <f t="shared" si="62"/>
        <v>2.2570923868836588E-4</v>
      </c>
      <c r="AW258" s="22">
        <f t="shared" si="62"/>
        <v>2.2565983156188431E-4</v>
      </c>
      <c r="AY258" s="85"/>
    </row>
    <row r="259" spans="1:51" x14ac:dyDescent="0.25">
      <c r="A259" s="102" t="str">
        <f t="shared" si="45"/>
        <v>FA Leaching</v>
      </c>
      <c r="B259" s="102" t="s">
        <v>963</v>
      </c>
      <c r="C259" s="102" t="s">
        <v>1191</v>
      </c>
      <c r="D259" t="s">
        <v>369</v>
      </c>
      <c r="E259" t="s">
        <v>61</v>
      </c>
      <c r="F259" t="s">
        <v>63</v>
      </c>
      <c r="G259" t="s">
        <v>436</v>
      </c>
      <c r="H259" t="s">
        <v>1189</v>
      </c>
      <c r="I259" t="s">
        <v>139</v>
      </c>
      <c r="J259" t="s">
        <v>287</v>
      </c>
      <c r="K259" s="22">
        <f t="shared" si="55"/>
        <v>1.5042957706826741E-6</v>
      </c>
      <c r="L259" s="22">
        <f t="shared" si="62"/>
        <v>1.5041101562274073E-6</v>
      </c>
      <c r="M259" s="22">
        <f t="shared" si="62"/>
        <v>1.5037990080474479E-6</v>
      </c>
      <c r="N259" s="22">
        <f t="shared" si="62"/>
        <v>1.5035342015051588E-6</v>
      </c>
      <c r="O259" s="22">
        <f t="shared" si="62"/>
        <v>1.5034475541500297E-6</v>
      </c>
      <c r="P259" s="22">
        <f t="shared" si="62"/>
        <v>1.5033598532736611E-6</v>
      </c>
      <c r="Q259" s="22">
        <f t="shared" si="62"/>
        <v>1.5030924884075416E-6</v>
      </c>
      <c r="R259" s="22">
        <f t="shared" si="62"/>
        <v>1.5028829628543084E-6</v>
      </c>
      <c r="S259" s="22">
        <f t="shared" si="62"/>
        <v>1.5028688564063377E-6</v>
      </c>
      <c r="T259" s="22">
        <f t="shared" si="62"/>
        <v>1.5037403797983331E-6</v>
      </c>
      <c r="U259" s="22">
        <f t="shared" si="62"/>
        <v>1.5032636893433962E-6</v>
      </c>
      <c r="V259" s="22">
        <f t="shared" si="62"/>
        <v>1.5029031631649579E-6</v>
      </c>
      <c r="W259" s="22">
        <f t="shared" si="62"/>
        <v>1.5025707749068207E-6</v>
      </c>
      <c r="X259" s="22">
        <f t="shared" si="62"/>
        <v>1.5022014729721417E-6</v>
      </c>
      <c r="Y259" s="22">
        <f t="shared" si="62"/>
        <v>1.5016995943927613E-6</v>
      </c>
      <c r="Z259" s="22">
        <f t="shared" si="62"/>
        <v>1.5011740680052976E-6</v>
      </c>
      <c r="AA259" s="22">
        <f t="shared" si="62"/>
        <v>1.5006238629220729E-6</v>
      </c>
      <c r="AB259" s="22">
        <f t="shared" si="62"/>
        <v>1.5001348598172167E-6</v>
      </c>
      <c r="AC259" s="22">
        <f t="shared" si="62"/>
        <v>1.4995953899904175E-6</v>
      </c>
      <c r="AD259" s="22">
        <f t="shared" si="62"/>
        <v>1.4989957672619707E-6</v>
      </c>
      <c r="AE259" s="22">
        <f t="shared" si="62"/>
        <v>1.4984214199444828E-6</v>
      </c>
      <c r="AF259" s="22">
        <f t="shared" si="62"/>
        <v>1.497837496529933E-6</v>
      </c>
      <c r="AG259" s="22">
        <f t="shared" si="62"/>
        <v>1.497255244761296E-6</v>
      </c>
      <c r="AH259" s="22">
        <f t="shared" si="62"/>
        <v>1.4966314193507213E-6</v>
      </c>
      <c r="AI259" s="22">
        <f t="shared" si="62"/>
        <v>1.4960806708005854E-6</v>
      </c>
      <c r="AJ259" s="22">
        <f t="shared" si="62"/>
        <v>1.4955146468886474E-6</v>
      </c>
      <c r="AK259" s="22">
        <f t="shared" si="62"/>
        <v>1.494951666342579E-6</v>
      </c>
      <c r="AL259" s="22">
        <f t="shared" si="62"/>
        <v>1.494419656590365E-6</v>
      </c>
      <c r="AM259" s="22">
        <f t="shared" si="62"/>
        <v>1.493898345551086E-6</v>
      </c>
      <c r="AN259" s="22">
        <f t="shared" si="62"/>
        <v>1.4933709796429669E-6</v>
      </c>
      <c r="AO259" s="22">
        <f t="shared" si="62"/>
        <v>1.4928327101492978E-6</v>
      </c>
      <c r="AP259" s="22">
        <f t="shared" si="62"/>
        <v>1.4923302537837247E-6</v>
      </c>
      <c r="AQ259" s="22">
        <f t="shared" si="62"/>
        <v>1.4918310498196839E-6</v>
      </c>
      <c r="AR259" s="22">
        <f t="shared" si="62"/>
        <v>1.4913343479107866E-6</v>
      </c>
      <c r="AS259" s="22">
        <f t="shared" si="62"/>
        <v>1.490819371245326E-6</v>
      </c>
      <c r="AT259" s="22">
        <f t="shared" si="62"/>
        <v>1.490304304855021E-6</v>
      </c>
      <c r="AU259" s="22">
        <f t="shared" si="62"/>
        <v>1.4899847493286845E-6</v>
      </c>
      <c r="AV259" s="22">
        <f t="shared" si="62"/>
        <v>1.4896809753432154E-6</v>
      </c>
      <c r="AW259" s="22">
        <f t="shared" si="62"/>
        <v>1.489354888308437E-6</v>
      </c>
      <c r="AY259" s="85"/>
    </row>
    <row r="260" spans="1:51" x14ac:dyDescent="0.25">
      <c r="A260" s="102" t="str">
        <f t="shared" si="45"/>
        <v>FA Leaching</v>
      </c>
      <c r="B260" s="102" t="s">
        <v>963</v>
      </c>
      <c r="C260" s="102" t="s">
        <v>1191</v>
      </c>
      <c r="D260" t="s">
        <v>369</v>
      </c>
      <c r="E260" t="s">
        <v>61</v>
      </c>
      <c r="F260" t="s">
        <v>63</v>
      </c>
      <c r="G260" t="s">
        <v>437</v>
      </c>
      <c r="H260" t="s">
        <v>1190</v>
      </c>
      <c r="I260" t="s">
        <v>139</v>
      </c>
      <c r="J260" t="s">
        <v>287</v>
      </c>
      <c r="K260" s="22">
        <f t="shared" si="55"/>
        <v>0.20796246117346509</v>
      </c>
      <c r="L260" s="22">
        <f t="shared" si="62"/>
        <v>0.20879880281717714</v>
      </c>
      <c r="M260" s="22">
        <f t="shared" si="62"/>
        <v>0.20890457388466332</v>
      </c>
      <c r="N260" s="22">
        <f t="shared" si="62"/>
        <v>0.20602106903310935</v>
      </c>
      <c r="O260" s="22">
        <f t="shared" si="62"/>
        <v>0.20329705233439804</v>
      </c>
      <c r="P260" s="22">
        <f t="shared" si="62"/>
        <v>0.2036877386085543</v>
      </c>
      <c r="Q260" s="22">
        <f t="shared" si="62"/>
        <v>0.20316717032442511</v>
      </c>
      <c r="R260" s="22">
        <f t="shared" si="62"/>
        <v>0.19951328045855884</v>
      </c>
      <c r="S260" s="22">
        <f t="shared" si="62"/>
        <v>0.18225765553275963</v>
      </c>
      <c r="T260" s="22">
        <f t="shared" si="62"/>
        <v>0.18705867990979133</v>
      </c>
      <c r="U260" s="22">
        <f t="shared" si="62"/>
        <v>0.19014638580373017</v>
      </c>
      <c r="V260" s="22">
        <f t="shared" si="62"/>
        <v>0.19284681200118092</v>
      </c>
      <c r="W260" s="22">
        <f t="shared" si="62"/>
        <v>0.19616592330537094</v>
      </c>
      <c r="X260" s="22">
        <f t="shared" si="62"/>
        <v>0.20162828761009829</v>
      </c>
      <c r="Y260" s="22">
        <f t="shared" si="62"/>
        <v>0.20757833119637956</v>
      </c>
      <c r="Z260" s="22">
        <f t="shared" si="62"/>
        <v>0.21404674804860749</v>
      </c>
      <c r="AA260" s="22">
        <f t="shared" si="62"/>
        <v>0.21962429406067066</v>
      </c>
      <c r="AB260" s="22">
        <f t="shared" si="62"/>
        <v>0.22615700545464837</v>
      </c>
      <c r="AC260" s="22">
        <f t="shared" si="62"/>
        <v>0.23386310920275319</v>
      </c>
      <c r="AD260" s="22">
        <f t="shared" si="62"/>
        <v>0.24045803544808661</v>
      </c>
      <c r="AE260" s="22">
        <f t="shared" si="62"/>
        <v>0.2473271758325005</v>
      </c>
      <c r="AF260" s="22">
        <f t="shared" si="62"/>
        <v>0.25427677762295814</v>
      </c>
      <c r="AG260" s="22">
        <f t="shared" si="62"/>
        <v>0.26211337132456192</v>
      </c>
      <c r="AH260" s="22">
        <f t="shared" si="62"/>
        <v>0.26870824753071121</v>
      </c>
      <c r="AI260" s="22">
        <f t="shared" si="62"/>
        <v>0.27569993419378713</v>
      </c>
      <c r="AJ260" s="22">
        <f t="shared" si="62"/>
        <v>0.28274240705203879</v>
      </c>
      <c r="AK260" s="22">
        <f t="shared" si="62"/>
        <v>0.28927915289758471</v>
      </c>
      <c r="AL260" s="22">
        <f t="shared" si="62"/>
        <v>0.29569320117774733</v>
      </c>
      <c r="AM260" s="22">
        <f t="shared" si="62"/>
        <v>0.30232005516642629</v>
      </c>
      <c r="AN260" s="22">
        <f t="shared" si="62"/>
        <v>0.30985829671321635</v>
      </c>
      <c r="AO260" s="22">
        <f t="shared" si="62"/>
        <v>0.31677461737836854</v>
      </c>
      <c r="AP260" s="22">
        <f t="shared" si="62"/>
        <v>0.32373626016150842</v>
      </c>
      <c r="AQ260" s="22">
        <f t="shared" si="62"/>
        <v>0.33075872909675869</v>
      </c>
      <c r="AR260" s="22">
        <f t="shared" si="62"/>
        <v>0.33830425894084387</v>
      </c>
      <c r="AS260" s="22">
        <f t="shared" si="62"/>
        <v>0.34598626899360208</v>
      </c>
      <c r="AT260" s="22">
        <f t="shared" si="62"/>
        <v>0.34932206816740874</v>
      </c>
      <c r="AU260" s="22">
        <f t="shared" si="62"/>
        <v>0.35232819188551001</v>
      </c>
      <c r="AV260" s="22">
        <f t="shared" si="62"/>
        <v>0.35587653234007416</v>
      </c>
      <c r="AW260" s="22">
        <f t="shared" si="62"/>
        <v>0.35914620590652685</v>
      </c>
      <c r="AY260" s="85"/>
    </row>
    <row r="261" spans="1:51" x14ac:dyDescent="0.25">
      <c r="A261" s="102" t="str">
        <f t="shared" si="45"/>
        <v>FA Leaching</v>
      </c>
      <c r="B261" s="102" t="s">
        <v>963</v>
      </c>
      <c r="C261" s="102" t="s">
        <v>1191</v>
      </c>
      <c r="D261" t="s">
        <v>369</v>
      </c>
      <c r="E261" t="s">
        <v>61</v>
      </c>
      <c r="F261" t="s">
        <v>63</v>
      </c>
      <c r="G261" t="s">
        <v>438</v>
      </c>
      <c r="H261" t="s">
        <v>1192</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85"/>
    </row>
    <row r="262" spans="1:51" x14ac:dyDescent="0.25">
      <c r="A262" s="102" t="str">
        <f t="shared" si="45"/>
        <v>FA Leaching</v>
      </c>
      <c r="B262" s="102" t="s">
        <v>963</v>
      </c>
      <c r="C262" s="102" t="s">
        <v>1191</v>
      </c>
      <c r="D262" t="s">
        <v>369</v>
      </c>
      <c r="E262" t="s">
        <v>61</v>
      </c>
      <c r="F262" t="s">
        <v>63</v>
      </c>
      <c r="G262" t="s">
        <v>439</v>
      </c>
      <c r="H262" t="s">
        <v>1193</v>
      </c>
      <c r="I262" t="s">
        <v>139</v>
      </c>
      <c r="J262" t="s">
        <v>287</v>
      </c>
      <c r="K262" s="22">
        <f t="shared" si="55"/>
        <v>0.10175116378121943</v>
      </c>
      <c r="L262" s="22">
        <f t="shared" si="63"/>
        <v>0.10196112149474701</v>
      </c>
      <c r="M262" s="22">
        <f t="shared" si="63"/>
        <v>0.10231307662851437</v>
      </c>
      <c r="N262" s="22">
        <f t="shared" si="63"/>
        <v>0.10261261243819185</v>
      </c>
      <c r="O262" s="22">
        <f t="shared" si="63"/>
        <v>0.10271062355774604</v>
      </c>
      <c r="P262" s="22">
        <f t="shared" si="63"/>
        <v>0.10280982636740998</v>
      </c>
      <c r="Q262" s="22">
        <f t="shared" si="63"/>
        <v>0.10311225602401949</v>
      </c>
      <c r="R262" s="22">
        <f t="shared" si="63"/>
        <v>0.10334926076602191</v>
      </c>
      <c r="S262" s="22">
        <f t="shared" si="63"/>
        <v>0.1033652172687505</v>
      </c>
      <c r="T262" s="22">
        <f t="shared" si="63"/>
        <v>0.10237939394800614</v>
      </c>
      <c r="U262" s="22">
        <f t="shared" si="63"/>
        <v>0.10291860215695282</v>
      </c>
      <c r="V262" s="22">
        <f t="shared" si="63"/>
        <v>0.10332641119306983</v>
      </c>
      <c r="W262" s="22">
        <f t="shared" si="63"/>
        <v>0.10370239203239459</v>
      </c>
      <c r="X262" s="22">
        <f t="shared" si="63"/>
        <v>0.1041201277615169</v>
      </c>
      <c r="Y262" s="22">
        <f t="shared" si="63"/>
        <v>0.1046878275069046</v>
      </c>
      <c r="Z262" s="22">
        <f t="shared" si="63"/>
        <v>0.10528227646052629</v>
      </c>
      <c r="AA262" s="22">
        <f t="shared" si="63"/>
        <v>0.1059046407105468</v>
      </c>
      <c r="AB262" s="22">
        <f t="shared" si="63"/>
        <v>0.10645777636830578</v>
      </c>
      <c r="AC262" s="22">
        <f t="shared" si="63"/>
        <v>0.10706799743750575</v>
      </c>
      <c r="AD262" s="22">
        <f t="shared" si="63"/>
        <v>0.10774626043627387</v>
      </c>
      <c r="AE262" s="22">
        <f t="shared" si="63"/>
        <v>0.10839593316449521</v>
      </c>
      <c r="AF262" s="22">
        <f t="shared" si="63"/>
        <v>0.10905643789090745</v>
      </c>
      <c r="AG262" s="22">
        <f t="shared" si="63"/>
        <v>0.10971505173574356</v>
      </c>
      <c r="AH262" s="22">
        <f t="shared" si="63"/>
        <v>0.11042069158828928</v>
      </c>
      <c r="AI262" s="22">
        <f t="shared" si="63"/>
        <v>0.11104367058067952</v>
      </c>
      <c r="AJ262" s="22">
        <f t="shared" si="63"/>
        <v>0.11168392829219058</v>
      </c>
      <c r="AK262" s="22">
        <f t="shared" si="63"/>
        <v>0.11232074350166987</v>
      </c>
      <c r="AL262" s="22">
        <f t="shared" si="63"/>
        <v>0.11292252611061948</v>
      </c>
      <c r="AM262" s="22">
        <f t="shared" si="63"/>
        <v>0.11351220687490285</v>
      </c>
      <c r="AN262" s="22">
        <f t="shared" si="63"/>
        <v>0.11410873660154547</v>
      </c>
      <c r="AO262" s="22">
        <f t="shared" si="63"/>
        <v>0.11471759991442693</v>
      </c>
      <c r="AP262" s="22">
        <f t="shared" si="63"/>
        <v>0.11528595322242488</v>
      </c>
      <c r="AQ262" s="22">
        <f t="shared" si="63"/>
        <v>0.1158506275777887</v>
      </c>
      <c r="AR262" s="22">
        <f t="shared" si="63"/>
        <v>0.1164124717345221</v>
      </c>
      <c r="AS262" s="22">
        <f t="shared" si="63"/>
        <v>0.11699498737450693</v>
      </c>
      <c r="AT262" s="22">
        <f t="shared" si="63"/>
        <v>0.11757760450671237</v>
      </c>
      <c r="AU262" s="22">
        <f t="shared" si="63"/>
        <v>0.11793906960682159</v>
      </c>
      <c r="AV262" s="22">
        <f t="shared" si="63"/>
        <v>0.11828268342357233</v>
      </c>
      <c r="AW262" s="22">
        <f t="shared" si="63"/>
        <v>0.11865153663672662</v>
      </c>
      <c r="AY262" s="85"/>
    </row>
    <row r="263" spans="1:51" x14ac:dyDescent="0.25">
      <c r="A263" s="102" t="str">
        <f t="shared" si="45"/>
        <v>FA Leaching</v>
      </c>
      <c r="B263" s="102" t="s">
        <v>963</v>
      </c>
      <c r="C263" s="102" t="s">
        <v>1191</v>
      </c>
      <c r="D263" t="s">
        <v>369</v>
      </c>
      <c r="E263" t="s">
        <v>61</v>
      </c>
      <c r="F263" t="s">
        <v>63</v>
      </c>
      <c r="G263" t="s">
        <v>1194</v>
      </c>
      <c r="H263" t="s">
        <v>1195</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85"/>
    </row>
    <row r="264" spans="1:51" x14ac:dyDescent="0.25">
      <c r="A264" s="102" t="str">
        <f t="shared" si="45"/>
        <v>FA Leaching</v>
      </c>
      <c r="B264" s="102" t="s">
        <v>963</v>
      </c>
      <c r="C264" s="102" t="s">
        <v>1191</v>
      </c>
      <c r="D264" t="s">
        <v>369</v>
      </c>
      <c r="E264" t="s">
        <v>61</v>
      </c>
      <c r="F264" t="s">
        <v>63</v>
      </c>
      <c r="G264" t="s">
        <v>1196</v>
      </c>
      <c r="H264" t="s">
        <v>1197</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85"/>
    </row>
    <row r="265" spans="1:51" x14ac:dyDescent="0.25">
      <c r="A265" s="102" t="str">
        <f t="shared" si="45"/>
        <v>FA Leaching</v>
      </c>
      <c r="B265" s="102" t="s">
        <v>963</v>
      </c>
      <c r="C265" s="102" t="s">
        <v>1191</v>
      </c>
      <c r="D265" t="s">
        <v>369</v>
      </c>
      <c r="E265" t="s">
        <v>61</v>
      </c>
      <c r="F265" t="s">
        <v>63</v>
      </c>
      <c r="G265" t="s">
        <v>1198</v>
      </c>
      <c r="H265" t="s">
        <v>1199</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85"/>
    </row>
    <row r="266" spans="1:51" x14ac:dyDescent="0.25">
      <c r="A266" s="102" t="str">
        <f t="shared" si="45"/>
        <v>FA Leaching</v>
      </c>
      <c r="B266" s="102" t="s">
        <v>963</v>
      </c>
      <c r="C266" s="102" t="s">
        <v>1191</v>
      </c>
      <c r="D266" t="s">
        <v>369</v>
      </c>
      <c r="E266" t="s">
        <v>61</v>
      </c>
      <c r="F266" t="s">
        <v>63</v>
      </c>
      <c r="G266" t="s">
        <v>1200</v>
      </c>
      <c r="H266" t="s">
        <v>1201</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85"/>
    </row>
    <row r="267" spans="1:51" x14ac:dyDescent="0.25">
      <c r="A267" s="102" t="str">
        <f t="shared" si="45"/>
        <v>FA Leaching</v>
      </c>
      <c r="B267" s="102" t="s">
        <v>963</v>
      </c>
      <c r="C267" s="102" t="s">
        <v>1191</v>
      </c>
      <c r="D267" t="s">
        <v>369</v>
      </c>
      <c r="E267" t="s">
        <v>61</v>
      </c>
      <c r="F267" t="s">
        <v>63</v>
      </c>
      <c r="G267" t="s">
        <v>1202</v>
      </c>
      <c r="H267" t="s">
        <v>1203</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85"/>
    </row>
    <row r="268" spans="1:51" x14ac:dyDescent="0.25">
      <c r="A268" s="102" t="str">
        <f t="shared" si="45"/>
        <v>FA Leaching</v>
      </c>
      <c r="B268" s="102" t="s">
        <v>963</v>
      </c>
      <c r="C268" s="102" t="s">
        <v>1191</v>
      </c>
      <c r="D268" t="s">
        <v>369</v>
      </c>
      <c r="E268" t="s">
        <v>61</v>
      </c>
      <c r="F268" t="s">
        <v>63</v>
      </c>
      <c r="G268" t="s">
        <v>1204</v>
      </c>
      <c r="H268" t="s">
        <v>1205</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85"/>
    </row>
    <row r="269" spans="1:51" x14ac:dyDescent="0.25">
      <c r="A269" s="102" t="str">
        <f t="shared" si="45"/>
        <v>FA Leaching</v>
      </c>
      <c r="B269" s="102" t="s">
        <v>963</v>
      </c>
      <c r="C269" s="102" t="s">
        <v>1191</v>
      </c>
      <c r="D269" t="s">
        <v>369</v>
      </c>
      <c r="E269" t="s">
        <v>61</v>
      </c>
      <c r="F269" t="s">
        <v>63</v>
      </c>
      <c r="G269" t="s">
        <v>1206</v>
      </c>
      <c r="H269" t="s">
        <v>1207</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85"/>
    </row>
    <row r="270" spans="1:51" x14ac:dyDescent="0.25">
      <c r="A270" s="102" t="str">
        <f t="shared" si="45"/>
        <v>FA Leaching</v>
      </c>
      <c r="B270" s="102" t="s">
        <v>963</v>
      </c>
      <c r="C270" s="102" t="s">
        <v>1191</v>
      </c>
      <c r="D270" t="s">
        <v>369</v>
      </c>
      <c r="E270" t="s">
        <v>61</v>
      </c>
      <c r="F270" t="s">
        <v>63</v>
      </c>
      <c r="G270" t="s">
        <v>1208</v>
      </c>
      <c r="H270" t="s">
        <v>1209</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85"/>
    </row>
    <row r="271" spans="1:51" x14ac:dyDescent="0.25">
      <c r="A271" s="102" t="str">
        <f t="shared" si="45"/>
        <v>FA Leaching</v>
      </c>
      <c r="B271" s="102" t="s">
        <v>963</v>
      </c>
      <c r="C271" s="102" t="s">
        <v>1191</v>
      </c>
      <c r="D271" t="s">
        <v>369</v>
      </c>
      <c r="E271" t="s">
        <v>61</v>
      </c>
      <c r="F271" t="s">
        <v>63</v>
      </c>
      <c r="G271" t="s">
        <v>1210</v>
      </c>
      <c r="H271" t="s">
        <v>1211</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85"/>
    </row>
    <row r="272" spans="1:51" x14ac:dyDescent="0.25">
      <c r="A272" s="102" t="str">
        <f t="shared" si="45"/>
        <v>FA Leaching</v>
      </c>
      <c r="B272" s="102" t="s">
        <v>963</v>
      </c>
      <c r="C272" s="102" t="s">
        <v>1191</v>
      </c>
      <c r="D272" t="s">
        <v>369</v>
      </c>
      <c r="E272" t="s">
        <v>61</v>
      </c>
      <c r="F272" t="s">
        <v>63</v>
      </c>
      <c r="G272" t="s">
        <v>1212</v>
      </c>
      <c r="H272" t="s">
        <v>1213</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85"/>
    </row>
    <row r="273" spans="1:51" x14ac:dyDescent="0.25">
      <c r="A273" s="102" t="str">
        <f t="shared" si="45"/>
        <v>FA Leaching</v>
      </c>
      <c r="B273" s="102" t="s">
        <v>963</v>
      </c>
      <c r="C273" s="102" t="s">
        <v>1191</v>
      </c>
      <c r="D273" t="s">
        <v>369</v>
      </c>
      <c r="E273" t="s">
        <v>61</v>
      </c>
      <c r="F273" t="s">
        <v>63</v>
      </c>
      <c r="G273" t="s">
        <v>1214</v>
      </c>
      <c r="H273" t="s">
        <v>1215</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85"/>
    </row>
    <row r="274" spans="1:51" x14ac:dyDescent="0.25">
      <c r="A274" s="102" t="str">
        <f t="shared" si="45"/>
        <v xml:space="preserve">FA </v>
      </c>
      <c r="B274" s="102" t="s">
        <v>963</v>
      </c>
      <c r="C274" s="102"/>
      <c r="D274" t="s">
        <v>369</v>
      </c>
      <c r="E274" t="s">
        <v>61</v>
      </c>
      <c r="F274" t="s">
        <v>63</v>
      </c>
      <c r="G274" t="s">
        <v>1216</v>
      </c>
      <c r="H274" t="s">
        <v>1217</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85"/>
    </row>
    <row r="275" spans="1:51" x14ac:dyDescent="0.25">
      <c r="A275" s="102" t="str">
        <f t="shared" si="45"/>
        <v>FA MM Volatilisation</v>
      </c>
      <c r="B275" s="102" t="s">
        <v>963</v>
      </c>
      <c r="C275" s="102" t="s">
        <v>1333</v>
      </c>
      <c r="D275" t="s">
        <v>369</v>
      </c>
      <c r="E275" t="s">
        <v>64</v>
      </c>
      <c r="F275" t="s">
        <v>62</v>
      </c>
      <c r="G275" t="s">
        <v>1153</v>
      </c>
      <c r="H275" t="s">
        <v>1291</v>
      </c>
      <c r="I275" t="s">
        <v>139</v>
      </c>
      <c r="J275" t="s">
        <v>287</v>
      </c>
      <c r="K275" s="22">
        <f t="shared" si="65"/>
        <v>0.39650006889927725</v>
      </c>
      <c r="L275" s="22">
        <f t="shared" si="66"/>
        <v>0.39917725962597483</v>
      </c>
      <c r="M275" s="22">
        <f t="shared" si="66"/>
        <v>0.40151912336157097</v>
      </c>
      <c r="N275" s="22">
        <f t="shared" si="66"/>
        <v>0.40182204834461305</v>
      </c>
      <c r="O275" s="22">
        <f t="shared" si="66"/>
        <v>0.40234380692675509</v>
      </c>
      <c r="P275" s="22">
        <f t="shared" si="66"/>
        <v>0.40533756143141658</v>
      </c>
      <c r="Q275" s="22">
        <f t="shared" si="66"/>
        <v>0.40773146882804268</v>
      </c>
      <c r="R275" s="22">
        <f t="shared" si="66"/>
        <v>0.4077524587520438</v>
      </c>
      <c r="S275" s="22">
        <f t="shared" si="66"/>
        <v>0.39694956601748077</v>
      </c>
      <c r="T275" s="22">
        <f t="shared" si="66"/>
        <v>0.40216838368989699</v>
      </c>
      <c r="U275" s="22">
        <f t="shared" si="66"/>
        <v>0.40611893900122115</v>
      </c>
      <c r="V275" s="22">
        <f t="shared" si="66"/>
        <v>0.40984619445157972</v>
      </c>
      <c r="W275" s="22">
        <f t="shared" si="66"/>
        <v>0.41416805701435672</v>
      </c>
      <c r="X275" s="22">
        <f t="shared" si="66"/>
        <v>0.42036063160455023</v>
      </c>
      <c r="Y275" s="22">
        <f t="shared" si="66"/>
        <v>0.42680782230429931</v>
      </c>
      <c r="Z275" s="22">
        <f t="shared" si="66"/>
        <v>0.43381092675754646</v>
      </c>
      <c r="AA275" s="22">
        <f t="shared" si="66"/>
        <v>0.4401795345291673</v>
      </c>
      <c r="AB275" s="22">
        <f t="shared" si="66"/>
        <v>0.44747640522914289</v>
      </c>
      <c r="AC275" s="22">
        <f t="shared" si="66"/>
        <v>0.45590733118781618</v>
      </c>
      <c r="AD275" s="22">
        <f t="shared" si="66"/>
        <v>0.46402422732384918</v>
      </c>
      <c r="AE275" s="22">
        <f t="shared" si="66"/>
        <v>0.47256428946703954</v>
      </c>
      <c r="AF275" s="22">
        <f t="shared" si="66"/>
        <v>0.48136337732272266</v>
      </c>
      <c r="AG275" s="22">
        <f t="shared" si="66"/>
        <v>0.49115427006051043</v>
      </c>
      <c r="AH275" s="22">
        <f t="shared" si="66"/>
        <v>0.50001868003063199</v>
      </c>
      <c r="AI275" s="22">
        <f t="shared" si="66"/>
        <v>0.50922978725811852</v>
      </c>
      <c r="AJ275" s="22">
        <f t="shared" si="66"/>
        <v>0.51868165497998486</v>
      </c>
      <c r="AK275" s="22">
        <f t="shared" si="66"/>
        <v>0.52785098151313881</v>
      </c>
      <c r="AL275" s="22">
        <f t="shared" si="66"/>
        <v>0.53708980329541955</v>
      </c>
      <c r="AM275" s="22">
        <f t="shared" si="66"/>
        <v>0.54672053409535659</v>
      </c>
      <c r="AN275" s="22">
        <f t="shared" si="66"/>
        <v>0.55667014923331293</v>
      </c>
      <c r="AO275" s="22">
        <f t="shared" si="66"/>
        <v>0.5661730507090722</v>
      </c>
      <c r="AP275" s="22">
        <f t="shared" si="66"/>
        <v>0.57587669150956888</v>
      </c>
      <c r="AQ275" s="22">
        <f t="shared" si="66"/>
        <v>0.5857985598453167</v>
      </c>
      <c r="AR275" s="22">
        <f t="shared" si="66"/>
        <v>0.59640903003350576</v>
      </c>
      <c r="AS275" s="22">
        <f t="shared" si="66"/>
        <v>0.60713627699395989</v>
      </c>
      <c r="AT275" s="22">
        <f t="shared" si="66"/>
        <v>0.61355666329177083</v>
      </c>
      <c r="AU275" s="22">
        <f t="shared" si="66"/>
        <v>0.6197276036819036</v>
      </c>
      <c r="AV275" s="22">
        <f t="shared" si="66"/>
        <v>0.62655501037549211</v>
      </c>
      <c r="AW275" s="22">
        <f t="shared" si="66"/>
        <v>0.63318564946997902</v>
      </c>
      <c r="AY275" s="85"/>
    </row>
    <row r="276" spans="1:51" x14ac:dyDescent="0.25">
      <c r="A276" s="102" t="str">
        <f t="shared" si="45"/>
        <v>FA MM Volatilisation</v>
      </c>
      <c r="B276" s="102" t="s">
        <v>963</v>
      </c>
      <c r="C276" s="102" t="s">
        <v>1333</v>
      </c>
      <c r="D276" t="s">
        <v>369</v>
      </c>
      <c r="E276" t="s">
        <v>64</v>
      </c>
      <c r="F276" t="s">
        <v>62</v>
      </c>
      <c r="G276" t="s">
        <v>1155</v>
      </c>
      <c r="H276" t="s">
        <v>1292</v>
      </c>
      <c r="I276" t="s">
        <v>139</v>
      </c>
      <c r="J276" t="s">
        <v>287</v>
      </c>
      <c r="K276" s="22">
        <f t="shared" si="65"/>
        <v>3.1281584559645491E-2</v>
      </c>
      <c r="L276" s="22">
        <f t="shared" si="66"/>
        <v>3.1492799574896264E-2</v>
      </c>
      <c r="M276" s="22">
        <f t="shared" si="66"/>
        <v>3.1677559211068809E-2</v>
      </c>
      <c r="N276" s="22">
        <f t="shared" si="66"/>
        <v>3.1701458257287304E-2</v>
      </c>
      <c r="O276" s="22">
        <f t="shared" si="66"/>
        <v>3.1742622021148185E-2</v>
      </c>
      <c r="P276" s="22">
        <f t="shared" si="66"/>
        <v>3.1978812105423256E-2</v>
      </c>
      <c r="Q276" s="22">
        <f t="shared" si="66"/>
        <v>3.2167677688381177E-2</v>
      </c>
      <c r="R276" s="22">
        <f t="shared" si="66"/>
        <v>3.2169333673169188E-2</v>
      </c>
      <c r="S276" s="22">
        <f t="shared" si="66"/>
        <v>3.1317047307865033E-2</v>
      </c>
      <c r="T276" s="22">
        <f t="shared" si="66"/>
        <v>3.1728782132462323E-2</v>
      </c>
      <c r="U276" s="22">
        <f t="shared" si="66"/>
        <v>3.2040458320493799E-2</v>
      </c>
      <c r="V276" s="22">
        <f t="shared" si="66"/>
        <v>3.2334517428401308E-2</v>
      </c>
      <c r="W276" s="22">
        <f t="shared" si="66"/>
        <v>3.2675487631982837E-2</v>
      </c>
      <c r="X276" s="22">
        <f t="shared" si="66"/>
        <v>3.316404630039068E-2</v>
      </c>
      <c r="Y276" s="22">
        <f t="shared" si="66"/>
        <v>3.3672692721578558E-2</v>
      </c>
      <c r="Z276" s="22">
        <f t="shared" si="66"/>
        <v>3.4225197554030251E-2</v>
      </c>
      <c r="AA276" s="22">
        <f t="shared" si="66"/>
        <v>3.4727644232257139E-2</v>
      </c>
      <c r="AB276" s="22">
        <f t="shared" si="66"/>
        <v>3.5303325539087042E-2</v>
      </c>
      <c r="AC276" s="22">
        <f t="shared" si="66"/>
        <v>3.5968477310748759E-2</v>
      </c>
      <c r="AD276" s="22">
        <f t="shared" si="66"/>
        <v>3.6608853927948493E-2</v>
      </c>
      <c r="AE276" s="22">
        <f t="shared" si="66"/>
        <v>3.7282615919512485E-2</v>
      </c>
      <c r="AF276" s="22">
        <f t="shared" si="66"/>
        <v>3.7976813556273109E-2</v>
      </c>
      <c r="AG276" s="22">
        <f t="shared" si="66"/>
        <v>3.8749258917863509E-2</v>
      </c>
      <c r="AH276" s="22">
        <f t="shared" si="66"/>
        <v>3.9448610095333729E-2</v>
      </c>
      <c r="AI276" s="22">
        <f t="shared" si="66"/>
        <v>4.0175313700769343E-2</v>
      </c>
      <c r="AJ276" s="22">
        <f t="shared" si="66"/>
        <v>4.0921011930302946E-2</v>
      </c>
      <c r="AK276" s="22">
        <f t="shared" si="66"/>
        <v>4.164441927824649E-2</v>
      </c>
      <c r="AL276" s="22">
        <f t="shared" si="66"/>
        <v>4.2373309403325697E-2</v>
      </c>
      <c r="AM276" s="22">
        <f t="shared" si="66"/>
        <v>4.313311890531582E-2</v>
      </c>
      <c r="AN276" s="22">
        <f t="shared" si="66"/>
        <v>4.3918086555228081E-2</v>
      </c>
      <c r="AO276" s="22">
        <f t="shared" si="66"/>
        <v>4.4667811055658022E-2</v>
      </c>
      <c r="AP276" s="22">
        <f t="shared" si="66"/>
        <v>4.5433372739114561E-2</v>
      </c>
      <c r="AQ276" s="22">
        <f t="shared" si="66"/>
        <v>4.6216151325246931E-2</v>
      </c>
      <c r="AR276" s="22">
        <f t="shared" si="66"/>
        <v>4.705325665370462E-2</v>
      </c>
      <c r="AS276" s="22">
        <f t="shared" si="66"/>
        <v>4.7899575000677964E-2</v>
      </c>
      <c r="AT276" s="22">
        <f t="shared" si="66"/>
        <v>4.8406106708069871E-2</v>
      </c>
      <c r="AU276" s="22">
        <f t="shared" si="66"/>
        <v>4.8892958561998573E-2</v>
      </c>
      <c r="AV276" s="22">
        <f t="shared" si="66"/>
        <v>4.9431601847487718E-2</v>
      </c>
      <c r="AW276" s="22">
        <f t="shared" si="66"/>
        <v>4.9954721296355649E-2</v>
      </c>
      <c r="AY276" s="85"/>
    </row>
    <row r="277" spans="1:51" x14ac:dyDescent="0.25">
      <c r="A277" s="102" t="str">
        <f t="shared" si="45"/>
        <v>FA MM Volatilisation</v>
      </c>
      <c r="B277" s="102" t="s">
        <v>963</v>
      </c>
      <c r="C277" s="102" t="s">
        <v>1333</v>
      </c>
      <c r="D277" t="s">
        <v>369</v>
      </c>
      <c r="E277" t="s">
        <v>64</v>
      </c>
      <c r="F277" t="s">
        <v>62</v>
      </c>
      <c r="G277" t="s">
        <v>1157</v>
      </c>
      <c r="H277" t="s">
        <v>1293</v>
      </c>
      <c r="I277" t="s">
        <v>139</v>
      </c>
      <c r="J277" t="s">
        <v>287</v>
      </c>
      <c r="K277" s="22">
        <f t="shared" si="65"/>
        <v>2.8996787363609876E-4</v>
      </c>
      <c r="L277" s="22">
        <f t="shared" si="66"/>
        <v>2.9192575299913116E-4</v>
      </c>
      <c r="M277" s="22">
        <f t="shared" si="66"/>
        <v>2.9363840149788538E-4</v>
      </c>
      <c r="N277" s="22">
        <f t="shared" si="66"/>
        <v>2.9385993617112721E-4</v>
      </c>
      <c r="O277" s="22">
        <f t="shared" si="66"/>
        <v>2.9424150792478436E-4</v>
      </c>
      <c r="P277" s="22">
        <f t="shared" si="66"/>
        <v>2.964308962654098E-4</v>
      </c>
      <c r="Q277" s="22">
        <f t="shared" si="66"/>
        <v>2.9818160526127053E-4</v>
      </c>
      <c r="R277" s="22">
        <f t="shared" si="66"/>
        <v>2.9819695558301769E-4</v>
      </c>
      <c r="S277" s="22">
        <f t="shared" si="66"/>
        <v>2.9029659923741555E-4</v>
      </c>
      <c r="T277" s="22">
        <f t="shared" si="66"/>
        <v>2.9411321764952843E-4</v>
      </c>
      <c r="U277" s="22">
        <f t="shared" si="66"/>
        <v>2.970023322125765E-4</v>
      </c>
      <c r="V277" s="22">
        <f t="shared" si="66"/>
        <v>2.99728143434853E-4</v>
      </c>
      <c r="W277" s="22">
        <f t="shared" si="66"/>
        <v>3.0288880189565705E-4</v>
      </c>
      <c r="X277" s="22">
        <f t="shared" si="66"/>
        <v>3.0741754684956394E-4</v>
      </c>
      <c r="Y277" s="22">
        <f t="shared" si="66"/>
        <v>3.1213249729918828E-4</v>
      </c>
      <c r="Z277" s="22">
        <f t="shared" si="66"/>
        <v>3.1725399781442622E-4</v>
      </c>
      <c r="AA277" s="22">
        <f t="shared" si="66"/>
        <v>3.2191147910739512E-4</v>
      </c>
      <c r="AB277" s="22">
        <f t="shared" si="66"/>
        <v>3.2724781634169446E-4</v>
      </c>
      <c r="AC277" s="22">
        <f t="shared" si="66"/>
        <v>3.3341350927538441E-4</v>
      </c>
      <c r="AD277" s="22">
        <f t="shared" si="66"/>
        <v>3.3934954636013071E-4</v>
      </c>
      <c r="AE277" s="22">
        <f t="shared" si="66"/>
        <v>3.4559505261503654E-4</v>
      </c>
      <c r="AF277" s="22">
        <f t="shared" si="66"/>
        <v>3.5202998919028807E-4</v>
      </c>
      <c r="AG277" s="22">
        <f t="shared" si="66"/>
        <v>3.5919025111926287E-4</v>
      </c>
      <c r="AH277" s="22">
        <f t="shared" si="66"/>
        <v>3.6567295897152252E-4</v>
      </c>
      <c r="AI277" s="22">
        <f t="shared" si="66"/>
        <v>3.7240921297521811E-4</v>
      </c>
      <c r="AJ277" s="22">
        <f t="shared" si="66"/>
        <v>3.7932153960559638E-4</v>
      </c>
      <c r="AK277" s="22">
        <f t="shared" si="66"/>
        <v>3.8602723861057959E-4</v>
      </c>
      <c r="AL277" s="22">
        <f t="shared" si="66"/>
        <v>3.9278376078357157E-4</v>
      </c>
      <c r="AM277" s="22">
        <f t="shared" si="66"/>
        <v>3.9982689330905129E-4</v>
      </c>
      <c r="AN277" s="22">
        <f t="shared" si="66"/>
        <v>4.0710323188084528E-4</v>
      </c>
      <c r="AO277" s="22">
        <f t="shared" si="66"/>
        <v>4.1405288044446054E-4</v>
      </c>
      <c r="AP277" s="22">
        <f t="shared" si="66"/>
        <v>4.2114933340917202E-4</v>
      </c>
      <c r="AQ277" s="22">
        <f t="shared" si="66"/>
        <v>4.284053802285357E-4</v>
      </c>
      <c r="AR277" s="22">
        <f t="shared" si="66"/>
        <v>4.3616501438771657E-4</v>
      </c>
      <c r="AS277" s="22">
        <f t="shared" si="66"/>
        <v>4.4401004957201647E-4</v>
      </c>
      <c r="AT277" s="22">
        <f t="shared" si="66"/>
        <v>4.4870539746405302E-4</v>
      </c>
      <c r="AU277" s="22">
        <f t="shared" si="66"/>
        <v>4.5321832092514971E-4</v>
      </c>
      <c r="AV277" s="22">
        <f t="shared" si="66"/>
        <v>4.5821133040150263E-4</v>
      </c>
      <c r="AW277" s="22">
        <f t="shared" si="66"/>
        <v>4.630604400735748E-4</v>
      </c>
      <c r="AY277" s="85"/>
    </row>
    <row r="278" spans="1:51" x14ac:dyDescent="0.25">
      <c r="A278" s="102" t="str">
        <f t="shared" si="45"/>
        <v>FA MM Volatilisation</v>
      </c>
      <c r="B278" s="102" t="s">
        <v>963</v>
      </c>
      <c r="C278" s="102" t="s">
        <v>1333</v>
      </c>
      <c r="D278" t="s">
        <v>369</v>
      </c>
      <c r="E278" t="s">
        <v>64</v>
      </c>
      <c r="F278" t="s">
        <v>62</v>
      </c>
      <c r="G278" t="s">
        <v>1159</v>
      </c>
      <c r="H278" t="s">
        <v>1294</v>
      </c>
      <c r="I278" t="s">
        <v>139</v>
      </c>
      <c r="J278" t="s">
        <v>287</v>
      </c>
      <c r="K278" s="22">
        <f t="shared" si="65"/>
        <v>3.2482696422712933E-3</v>
      </c>
      <c r="L278" s="22">
        <f t="shared" si="66"/>
        <v>3.2317319962183351E-3</v>
      </c>
      <c r="M278" s="22">
        <f t="shared" si="66"/>
        <v>3.2015477632972725E-3</v>
      </c>
      <c r="N278" s="22">
        <f t="shared" si="66"/>
        <v>3.1189249893783613E-3</v>
      </c>
      <c r="O278" s="22">
        <f t="shared" si="66"/>
        <v>3.0395993626659438E-3</v>
      </c>
      <c r="P278" s="22">
        <f t="shared" si="66"/>
        <v>3.013633441305081E-3</v>
      </c>
      <c r="Q278" s="22">
        <f t="shared" si="66"/>
        <v>2.9716957157217678E-3</v>
      </c>
      <c r="R278" s="22">
        <f t="shared" si="66"/>
        <v>2.8774698147158886E-3</v>
      </c>
      <c r="S278" s="22">
        <f t="shared" si="66"/>
        <v>2.5613322402579155E-3</v>
      </c>
      <c r="T278" s="22">
        <f t="shared" si="66"/>
        <v>2.623917982066072E-3</v>
      </c>
      <c r="U278" s="22">
        <f t="shared" si="66"/>
        <v>2.6577221861843617E-3</v>
      </c>
      <c r="V278" s="22">
        <f t="shared" si="66"/>
        <v>2.6845906828351748E-3</v>
      </c>
      <c r="W278" s="22">
        <f t="shared" si="66"/>
        <v>2.7207002140253378E-3</v>
      </c>
      <c r="X278" s="22">
        <f t="shared" si="66"/>
        <v>2.7900255688374769E-3</v>
      </c>
      <c r="Y278" s="22">
        <f t="shared" si="66"/>
        <v>2.8659005664794695E-3</v>
      </c>
      <c r="Z278" s="22">
        <f t="shared" si="66"/>
        <v>2.9485743375895451E-3</v>
      </c>
      <c r="AA278" s="22">
        <f t="shared" si="66"/>
        <v>3.0159847657098681E-3</v>
      </c>
      <c r="AB278" s="22">
        <f t="shared" si="66"/>
        <v>3.0969021916471581E-3</v>
      </c>
      <c r="AC278" s="22">
        <f t="shared" si="66"/>
        <v>3.1943690749044406E-3</v>
      </c>
      <c r="AD278" s="22">
        <f t="shared" si="66"/>
        <v>3.2585733035448653E-3</v>
      </c>
      <c r="AE278" s="22">
        <f t="shared" si="66"/>
        <v>3.3241557037935383E-3</v>
      </c>
      <c r="AF278" s="22">
        <f t="shared" si="66"/>
        <v>3.3880596297124936E-3</v>
      </c>
      <c r="AG278" s="22">
        <f t="shared" si="66"/>
        <v>3.4619913814758307E-3</v>
      </c>
      <c r="AH278" s="22">
        <f t="shared" si="66"/>
        <v>3.5146755709245725E-3</v>
      </c>
      <c r="AI278" s="22">
        <f t="shared" si="66"/>
        <v>3.5701775452979248E-3</v>
      </c>
      <c r="AJ278" s="22">
        <f t="shared" si="66"/>
        <v>3.6232879454531405E-3</v>
      </c>
      <c r="AK278" s="22">
        <f t="shared" si="66"/>
        <v>3.6661960797731564E-3</v>
      </c>
      <c r="AL278" s="22">
        <f t="shared" si="66"/>
        <v>3.7043821557080172E-3</v>
      </c>
      <c r="AM278" s="22">
        <f t="shared" si="66"/>
        <v>3.7423967810390727E-3</v>
      </c>
      <c r="AN278" s="22">
        <f t="shared" si="66"/>
        <v>3.8009071788089443E-3</v>
      </c>
      <c r="AO278" s="22">
        <f t="shared" si="66"/>
        <v>3.8485572102327672E-3</v>
      </c>
      <c r="AP278" s="22">
        <f t="shared" si="66"/>
        <v>3.8943125167611257E-3</v>
      </c>
      <c r="AQ278" s="22">
        <f t="shared" si="66"/>
        <v>3.9383232574175748E-3</v>
      </c>
      <c r="AR278" s="22">
        <f t="shared" si="66"/>
        <v>3.9864180340335002E-3</v>
      </c>
      <c r="AS278" s="22">
        <f t="shared" si="66"/>
        <v>4.0335263443460959E-3</v>
      </c>
      <c r="AT278" s="22">
        <f t="shared" si="66"/>
        <v>4.0238206460385395E-3</v>
      </c>
      <c r="AU278" s="22">
        <f t="shared" si="66"/>
        <v>4.0085912060413426E-3</v>
      </c>
      <c r="AV278" s="22">
        <f t="shared" si="66"/>
        <v>3.9985247622409742E-3</v>
      </c>
      <c r="AW278" s="22">
        <f t="shared" si="66"/>
        <v>3.9835451710550415E-3</v>
      </c>
      <c r="AY278" s="85"/>
    </row>
    <row r="279" spans="1:51" x14ac:dyDescent="0.25">
      <c r="A279" s="102" t="str">
        <f t="shared" si="45"/>
        <v>FA MM Volatilisation</v>
      </c>
      <c r="B279" s="102" t="s">
        <v>963</v>
      </c>
      <c r="C279" s="102" t="s">
        <v>1333</v>
      </c>
      <c r="D279" t="s">
        <v>369</v>
      </c>
      <c r="E279" t="s">
        <v>64</v>
      </c>
      <c r="F279" t="s">
        <v>62</v>
      </c>
      <c r="G279" t="s">
        <v>1161</v>
      </c>
      <c r="H279" t="s">
        <v>1295</v>
      </c>
      <c r="I279" t="s">
        <v>139</v>
      </c>
      <c r="J279" t="s">
        <v>287</v>
      </c>
      <c r="K279" s="22">
        <f t="shared" si="65"/>
        <v>1.6169907052996448E-2</v>
      </c>
      <c r="L279" s="22">
        <f t="shared" si="66"/>
        <v>1.6087582545181053E-2</v>
      </c>
      <c r="M279" s="22">
        <f t="shared" si="66"/>
        <v>1.5937325240661746E-2</v>
      </c>
      <c r="N279" s="22">
        <f t="shared" si="66"/>
        <v>1.5526028543693155E-2</v>
      </c>
      <c r="O279" s="22">
        <f t="shared" si="66"/>
        <v>1.5131145066604845E-2</v>
      </c>
      <c r="P279" s="22">
        <f t="shared" si="66"/>
        <v>1.5001886544009729E-2</v>
      </c>
      <c r="Q279" s="22">
        <f t="shared" si="66"/>
        <v>1.4793120277850224E-2</v>
      </c>
      <c r="R279" s="22">
        <f t="shared" si="66"/>
        <v>1.4324063140036831E-2</v>
      </c>
      <c r="S279" s="22">
        <f t="shared" si="66"/>
        <v>1.2750328272579596E-2</v>
      </c>
      <c r="T279" s="22">
        <f t="shared" si="66"/>
        <v>1.3061880495557336E-2</v>
      </c>
      <c r="U279" s="22">
        <f t="shared" si="66"/>
        <v>1.3230158039847359E-2</v>
      </c>
      <c r="V279" s="22">
        <f t="shared" si="66"/>
        <v>1.3363909588008125E-2</v>
      </c>
      <c r="W279" s="22">
        <f t="shared" si="66"/>
        <v>1.3543663065205281E-2</v>
      </c>
      <c r="X279" s="22">
        <f t="shared" si="66"/>
        <v>1.3888765124818915E-2</v>
      </c>
      <c r="Y279" s="22">
        <f t="shared" si="66"/>
        <v>1.4266471348326726E-2</v>
      </c>
      <c r="Z279" s="22">
        <f t="shared" si="66"/>
        <v>1.4678021909639079E-2</v>
      </c>
      <c r="AA279" s="22">
        <f t="shared" si="66"/>
        <v>1.5013591451934262E-2</v>
      </c>
      <c r="AB279" s="22">
        <f t="shared" si="66"/>
        <v>1.5416398915744074E-2</v>
      </c>
      <c r="AC279" s="22">
        <f t="shared" si="66"/>
        <v>1.5901589683932116E-2</v>
      </c>
      <c r="AD279" s="22">
        <f t="shared" si="66"/>
        <v>1.6221198744711653E-2</v>
      </c>
      <c r="AE279" s="22">
        <f t="shared" si="66"/>
        <v>1.6547668352570915E-2</v>
      </c>
      <c r="AF279" s="22">
        <f t="shared" si="66"/>
        <v>1.6865782504482438E-2</v>
      </c>
      <c r="AG279" s="22">
        <f t="shared" si="66"/>
        <v>1.7233815237578592E-2</v>
      </c>
      <c r="AH279" s="22">
        <f t="shared" si="66"/>
        <v>1.7496077469587427E-2</v>
      </c>
      <c r="AI279" s="22">
        <f t="shared" si="66"/>
        <v>1.7772366652971647E-2</v>
      </c>
      <c r="AJ279" s="22">
        <f t="shared" si="66"/>
        <v>1.8036750564603077E-2</v>
      </c>
      <c r="AK279" s="22">
        <f t="shared" si="66"/>
        <v>1.825034753165997E-2</v>
      </c>
      <c r="AL279" s="22">
        <f t="shared" si="66"/>
        <v>1.8440438061876424E-2</v>
      </c>
      <c r="AM279" s="22">
        <f t="shared" si="66"/>
        <v>1.862967510989065E-2</v>
      </c>
      <c r="AN279" s="22">
        <f t="shared" si="66"/>
        <v>1.8920940244182623E-2</v>
      </c>
      <c r="AO279" s="22">
        <f t="shared" si="66"/>
        <v>1.9158142405348286E-2</v>
      </c>
      <c r="AP279" s="22">
        <f t="shared" si="66"/>
        <v>1.9385912613866938E-2</v>
      </c>
      <c r="AQ279" s="22">
        <f t="shared" si="66"/>
        <v>1.9604998362318136E-2</v>
      </c>
      <c r="AR279" s="22">
        <f t="shared" si="66"/>
        <v>1.9844414467894381E-2</v>
      </c>
      <c r="AS279" s="22">
        <f t="shared" si="66"/>
        <v>2.0078919937903877E-2</v>
      </c>
      <c r="AT279" s="22">
        <f t="shared" si="66"/>
        <v>2.0030604909657669E-2</v>
      </c>
      <c r="AU279" s="22">
        <f t="shared" si="66"/>
        <v>1.9954792659954267E-2</v>
      </c>
      <c r="AV279" s="22">
        <f t="shared" si="66"/>
        <v>1.9904681838337764E-2</v>
      </c>
      <c r="AW279" s="22">
        <f t="shared" si="66"/>
        <v>1.9830113337614693E-2</v>
      </c>
      <c r="AY279" s="85"/>
    </row>
    <row r="280" spans="1:51" x14ac:dyDescent="0.25">
      <c r="A280" s="102" t="str">
        <f t="shared" si="45"/>
        <v>FA MM Volatilisation</v>
      </c>
      <c r="B280" s="102" t="s">
        <v>963</v>
      </c>
      <c r="C280" s="102" t="s">
        <v>1333</v>
      </c>
      <c r="D280" t="s">
        <v>369</v>
      </c>
      <c r="E280" t="s">
        <v>64</v>
      </c>
      <c r="F280" t="s">
        <v>62</v>
      </c>
      <c r="G280" t="s">
        <v>1163</v>
      </c>
      <c r="H280" t="s">
        <v>1296</v>
      </c>
      <c r="I280" t="s">
        <v>139</v>
      </c>
      <c r="J280" t="s">
        <v>287</v>
      </c>
      <c r="K280" s="22">
        <f t="shared" si="65"/>
        <v>0.15881310952891459</v>
      </c>
      <c r="L280" s="22">
        <f t="shared" si="66"/>
        <v>0.16473779708525871</v>
      </c>
      <c r="M280" s="22">
        <f t="shared" si="66"/>
        <v>0.17006036536738212</v>
      </c>
      <c r="N280" s="22">
        <f t="shared" si="66"/>
        <v>0.1725581026820969</v>
      </c>
      <c r="O280" s="22">
        <f t="shared" si="66"/>
        <v>0.17509405758016705</v>
      </c>
      <c r="P280" s="22">
        <f t="shared" si="66"/>
        <v>0.18069182253517682</v>
      </c>
      <c r="Q280" s="22">
        <f t="shared" si="66"/>
        <v>0.18541356320951116</v>
      </c>
      <c r="R280" s="22">
        <f t="shared" si="66"/>
        <v>0.18679194415388084</v>
      </c>
      <c r="S280" s="22">
        <f t="shared" si="66"/>
        <v>0.17296868678120739</v>
      </c>
      <c r="T280" s="22">
        <f t="shared" si="66"/>
        <v>0.18144262132443914</v>
      </c>
      <c r="U280" s="22">
        <f t="shared" si="66"/>
        <v>0.18812503294384797</v>
      </c>
      <c r="V280" s="22">
        <f t="shared" si="66"/>
        <v>0.19446239722796549</v>
      </c>
      <c r="W280" s="22">
        <f t="shared" si="66"/>
        <v>0.2016240264907645</v>
      </c>
      <c r="X280" s="22">
        <f t="shared" si="66"/>
        <v>0.21147893804143503</v>
      </c>
      <c r="Y280" s="22">
        <f t="shared" si="66"/>
        <v>0.2221363393242273</v>
      </c>
      <c r="Z280" s="22">
        <f t="shared" si="66"/>
        <v>0.23365788448441194</v>
      </c>
      <c r="AA280" s="22">
        <f t="shared" si="66"/>
        <v>0.24430091045471902</v>
      </c>
      <c r="AB280" s="22">
        <f t="shared" si="66"/>
        <v>0.25637491269914275</v>
      </c>
      <c r="AC280" s="22">
        <f t="shared" si="66"/>
        <v>0.27021906806746643</v>
      </c>
      <c r="AD280" s="22">
        <f t="shared" si="66"/>
        <v>0.28476142142999822</v>
      </c>
      <c r="AE280" s="22">
        <f t="shared" si="66"/>
        <v>0.30011305574638969</v>
      </c>
      <c r="AF280" s="22">
        <f t="shared" si="66"/>
        <v>0.31603885980078922</v>
      </c>
      <c r="AG280" s="22">
        <f t="shared" si="66"/>
        <v>0.33369229141350232</v>
      </c>
      <c r="AH280" s="22">
        <f t="shared" si="66"/>
        <v>0.35009811029288379</v>
      </c>
      <c r="AI280" s="22">
        <f t="shared" si="66"/>
        <v>0.3675707773071587</v>
      </c>
      <c r="AJ280" s="22">
        <f t="shared" si="66"/>
        <v>0.38563080115839554</v>
      </c>
      <c r="AK280" s="22">
        <f t="shared" si="66"/>
        <v>0.4034429737992129</v>
      </c>
      <c r="AL280" s="22">
        <f t="shared" si="66"/>
        <v>0.42156904095031289</v>
      </c>
      <c r="AM280" s="22">
        <f t="shared" si="66"/>
        <v>0.44054187589856841</v>
      </c>
      <c r="AN280" s="22">
        <f t="shared" si="66"/>
        <v>0.4600083648860695</v>
      </c>
      <c r="AO280" s="22">
        <f t="shared" si="66"/>
        <v>0.4789155318145385</v>
      </c>
      <c r="AP280" s="22">
        <f t="shared" si="66"/>
        <v>0.4983346210539078</v>
      </c>
      <c r="AQ280" s="22">
        <f t="shared" si="66"/>
        <v>0.51830220925788251</v>
      </c>
      <c r="AR280" s="22">
        <f t="shared" si="66"/>
        <v>0.53962685269510091</v>
      </c>
      <c r="AS280" s="22">
        <f t="shared" si="66"/>
        <v>0.56169127095769178</v>
      </c>
      <c r="AT280" s="22">
        <f t="shared" si="66"/>
        <v>0.57653019243567449</v>
      </c>
      <c r="AU280" s="22">
        <f t="shared" si="66"/>
        <v>0.59104442540925484</v>
      </c>
      <c r="AV280" s="22">
        <f t="shared" si="66"/>
        <v>0.60681048738089205</v>
      </c>
      <c r="AW280" s="22">
        <f t="shared" si="66"/>
        <v>0.62234884521273104</v>
      </c>
      <c r="AY280" s="85"/>
    </row>
    <row r="281" spans="1:51" x14ac:dyDescent="0.25">
      <c r="A281" s="102" t="str">
        <f t="shared" si="45"/>
        <v>FA MM Volatilisation</v>
      </c>
      <c r="B281" s="102" t="s">
        <v>963</v>
      </c>
      <c r="C281" s="102" t="s">
        <v>1333</v>
      </c>
      <c r="D281" t="s">
        <v>369</v>
      </c>
      <c r="E281" t="s">
        <v>64</v>
      </c>
      <c r="F281" t="s">
        <v>62</v>
      </c>
      <c r="G281" t="s">
        <v>1165</v>
      </c>
      <c r="H281" t="s">
        <v>1297</v>
      </c>
      <c r="I281" t="s">
        <v>139</v>
      </c>
      <c r="J281" t="s">
        <v>287</v>
      </c>
      <c r="K281" s="22">
        <f t="shared" si="65"/>
        <v>1.1717139101759614E-4</v>
      </c>
      <c r="L281" s="22">
        <f t="shared" si="66"/>
        <v>1.1723462618367247E-4</v>
      </c>
      <c r="M281" s="22">
        <f t="shared" si="66"/>
        <v>1.1737999843906114E-4</v>
      </c>
      <c r="N281" s="22">
        <f t="shared" si="66"/>
        <v>1.1759581709566441E-4</v>
      </c>
      <c r="O281" s="22">
        <f t="shared" si="66"/>
        <v>1.178871134646596E-4</v>
      </c>
      <c r="P281" s="22">
        <f t="shared" si="66"/>
        <v>1.182597418054167E-4</v>
      </c>
      <c r="Q281" s="22">
        <f t="shared" si="66"/>
        <v>1.1867033947255795E-4</v>
      </c>
      <c r="R281" s="22">
        <f t="shared" si="66"/>
        <v>1.1911252923744314E-4</v>
      </c>
      <c r="S281" s="22">
        <f t="shared" si="66"/>
        <v>1.1955062486439893E-4</v>
      </c>
      <c r="T281" s="22">
        <f t="shared" si="66"/>
        <v>1.1972991314052751E-4</v>
      </c>
      <c r="U281" s="22">
        <f t="shared" si="66"/>
        <v>1.1993350054454542E-4</v>
      </c>
      <c r="V281" s="22">
        <f t="shared" si="66"/>
        <v>1.2016374349275828E-4</v>
      </c>
      <c r="W281" s="22">
        <f t="shared" si="66"/>
        <v>1.2042231214139446E-4</v>
      </c>
      <c r="X281" s="22">
        <f t="shared" si="66"/>
        <v>1.207128620599027E-4</v>
      </c>
      <c r="Y281" s="22">
        <f t="shared" si="66"/>
        <v>1.2089554719264044E-4</v>
      </c>
      <c r="Z281" s="22">
        <f t="shared" si="66"/>
        <v>1.2110125995232866E-4</v>
      </c>
      <c r="AA281" s="22">
        <f t="shared" si="66"/>
        <v>1.2132427506998271E-4</v>
      </c>
      <c r="AB281" s="22">
        <f t="shared" si="66"/>
        <v>1.2156982110770359E-4</v>
      </c>
      <c r="AC281" s="22">
        <f t="shared" si="66"/>
        <v>1.2183786994920164E-4</v>
      </c>
      <c r="AD281" s="22">
        <f t="shared" si="66"/>
        <v>1.2201528623614288E-4</v>
      </c>
      <c r="AE281" s="22">
        <f t="shared" si="66"/>
        <v>1.2220996410772502E-4</v>
      </c>
      <c r="AF281" s="22">
        <f t="shared" si="66"/>
        <v>1.2242059577670001E-4</v>
      </c>
      <c r="AG281" s="22">
        <f t="shared" si="66"/>
        <v>1.2264946134615736E-4</v>
      </c>
      <c r="AH281" s="22">
        <f t="shared" si="66"/>
        <v>1.2288846185835745E-4</v>
      </c>
      <c r="AI281" s="22">
        <f t="shared" ref="L281:AW288" si="67">AI1537</f>
        <v>1.2304136792276417E-4</v>
      </c>
      <c r="AJ281" s="22">
        <f t="shared" si="67"/>
        <v>1.2320724493915228E-4</v>
      </c>
      <c r="AK281" s="22">
        <f t="shared" si="67"/>
        <v>1.2338358070705196E-4</v>
      </c>
      <c r="AL281" s="22">
        <f t="shared" si="67"/>
        <v>1.2357134049580156E-4</v>
      </c>
      <c r="AM281" s="22">
        <f t="shared" si="67"/>
        <v>1.2377140391233165E-4</v>
      </c>
      <c r="AN281" s="22">
        <f t="shared" si="67"/>
        <v>1.2388931849227042E-4</v>
      </c>
      <c r="AO281" s="22">
        <f t="shared" si="67"/>
        <v>1.2401495917055069E-4</v>
      </c>
      <c r="AP281" s="22">
        <f t="shared" si="67"/>
        <v>1.2415054004629534E-4</v>
      </c>
      <c r="AQ281" s="22">
        <f t="shared" si="67"/>
        <v>1.2429582194532134E-4</v>
      </c>
      <c r="AR281" s="22">
        <f t="shared" si="67"/>
        <v>1.2445236467960286E-4</v>
      </c>
      <c r="AS281" s="22">
        <f t="shared" si="67"/>
        <v>1.2452291839205781E-4</v>
      </c>
      <c r="AT281" s="22">
        <f t="shared" si="67"/>
        <v>1.2458415812408247E-4</v>
      </c>
      <c r="AU281" s="22">
        <f t="shared" si="67"/>
        <v>1.2465176490232825E-4</v>
      </c>
      <c r="AV281" s="22">
        <f t="shared" si="67"/>
        <v>1.2472905780449089E-4</v>
      </c>
      <c r="AW281" s="22">
        <f t="shared" si="67"/>
        <v>1.248124658088483E-4</v>
      </c>
      <c r="AY281" s="85"/>
    </row>
    <row r="282" spans="1:51" x14ac:dyDescent="0.25">
      <c r="A282" s="102" t="str">
        <f t="shared" si="45"/>
        <v>FA MM Volatilisation</v>
      </c>
      <c r="B282" s="102" t="s">
        <v>963</v>
      </c>
      <c r="C282" s="102" t="s">
        <v>1333</v>
      </c>
      <c r="D282" t="s">
        <v>369</v>
      </c>
      <c r="E282" t="s">
        <v>64</v>
      </c>
      <c r="F282" t="s">
        <v>62</v>
      </c>
      <c r="G282" t="s">
        <v>1167</v>
      </c>
      <c r="H282" t="s">
        <v>1298</v>
      </c>
      <c r="I282" t="s">
        <v>139</v>
      </c>
      <c r="J282" t="s">
        <v>287</v>
      </c>
      <c r="K282" s="22">
        <f t="shared" si="65"/>
        <v>8.0409045079441203E-4</v>
      </c>
      <c r="L282" s="22">
        <f t="shared" si="67"/>
        <v>8.0452440308220838E-4</v>
      </c>
      <c r="M282" s="22">
        <f t="shared" si="67"/>
        <v>8.055220223931452E-4</v>
      </c>
      <c r="N282" s="22">
        <f t="shared" si="67"/>
        <v>8.0700308120255969E-4</v>
      </c>
      <c r="O282" s="22">
        <f t="shared" si="67"/>
        <v>8.0900210695983646E-4</v>
      </c>
      <c r="P282" s="22">
        <f t="shared" si="67"/>
        <v>8.1155927460883318E-4</v>
      </c>
      <c r="Q282" s="22">
        <f t="shared" si="67"/>
        <v>8.1437700733692851E-4</v>
      </c>
      <c r="R282" s="22">
        <f t="shared" si="67"/>
        <v>8.1741154131570351E-4</v>
      </c>
      <c r="S282" s="22">
        <f t="shared" si="67"/>
        <v>8.2041797921074454E-4</v>
      </c>
      <c r="T282" s="22">
        <f t="shared" si="67"/>
        <v>8.2164834772922271E-4</v>
      </c>
      <c r="U282" s="22">
        <f t="shared" si="67"/>
        <v>8.2304546938196678E-4</v>
      </c>
      <c r="V282" s="22">
        <f t="shared" si="67"/>
        <v>8.2462551511166995E-4</v>
      </c>
      <c r="W282" s="22">
        <f t="shared" si="67"/>
        <v>8.2639994639082011E-4</v>
      </c>
      <c r="X282" s="22">
        <f t="shared" si="67"/>
        <v>8.2839384962029086E-4</v>
      </c>
      <c r="Y282" s="22">
        <f t="shared" si="67"/>
        <v>8.2964752911885125E-4</v>
      </c>
      <c r="Z282" s="22">
        <f t="shared" si="67"/>
        <v>8.3105923605716848E-4</v>
      </c>
      <c r="AA282" s="22">
        <f t="shared" si="67"/>
        <v>8.3258968068986462E-4</v>
      </c>
      <c r="AB282" s="22">
        <f t="shared" si="67"/>
        <v>8.3427474410378356E-4</v>
      </c>
      <c r="AC282" s="22">
        <f t="shared" si="67"/>
        <v>8.3611423335046113E-4</v>
      </c>
      <c r="AD282" s="22">
        <f t="shared" si="67"/>
        <v>8.373317553147042E-4</v>
      </c>
      <c r="AE282" s="22">
        <f t="shared" si="67"/>
        <v>8.3866773516576396E-4</v>
      </c>
      <c r="AF282" s="22">
        <f t="shared" si="67"/>
        <v>8.4011319819378471E-4</v>
      </c>
      <c r="AG282" s="22">
        <f t="shared" si="67"/>
        <v>8.416837916408544E-4</v>
      </c>
      <c r="AH282" s="22">
        <f t="shared" si="67"/>
        <v>8.4332393628645482E-4</v>
      </c>
      <c r="AI282" s="22">
        <f t="shared" si="67"/>
        <v>8.4437325647622322E-4</v>
      </c>
      <c r="AJ282" s="22">
        <f t="shared" si="67"/>
        <v>8.4551159002100391E-4</v>
      </c>
      <c r="AK282" s="22">
        <f t="shared" si="67"/>
        <v>8.4672169690691037E-4</v>
      </c>
      <c r="AL282" s="22">
        <f t="shared" si="67"/>
        <v>8.4801020130944032E-4</v>
      </c>
      <c r="AM282" s="22">
        <f t="shared" si="67"/>
        <v>8.4938313954451667E-4</v>
      </c>
      <c r="AN282" s="22">
        <f t="shared" si="67"/>
        <v>8.5019233014057226E-4</v>
      </c>
      <c r="AO282" s="22">
        <f t="shared" si="67"/>
        <v>8.5105454120386272E-4</v>
      </c>
      <c r="AP282" s="22">
        <f t="shared" si="67"/>
        <v>8.5198496702325278E-4</v>
      </c>
      <c r="AQ282" s="22">
        <f t="shared" si="67"/>
        <v>8.5298196626227814E-4</v>
      </c>
      <c r="AR282" s="22">
        <f t="shared" si="67"/>
        <v>8.5405624315430654E-4</v>
      </c>
      <c r="AS282" s="22">
        <f t="shared" si="67"/>
        <v>8.545404190778012E-4</v>
      </c>
      <c r="AT282" s="22">
        <f t="shared" si="67"/>
        <v>8.5496067766910582E-4</v>
      </c>
      <c r="AU282" s="22">
        <f t="shared" si="67"/>
        <v>8.5542463021182405E-4</v>
      </c>
      <c r="AV282" s="22">
        <f t="shared" si="67"/>
        <v>8.5595505392706218E-4</v>
      </c>
      <c r="AW282" s="22">
        <f t="shared" si="67"/>
        <v>8.5652744262400531E-4</v>
      </c>
      <c r="AY282" s="85"/>
    </row>
    <row r="283" spans="1:51" x14ac:dyDescent="0.25">
      <c r="A283" s="102" t="str">
        <f t="shared" si="45"/>
        <v>FA MM Volatilisation</v>
      </c>
      <c r="B283" s="102" t="s">
        <v>963</v>
      </c>
      <c r="C283" s="102" t="s">
        <v>1333</v>
      </c>
      <c r="D283" t="s">
        <v>369</v>
      </c>
      <c r="E283" t="s">
        <v>64</v>
      </c>
      <c r="F283" t="s">
        <v>62</v>
      </c>
      <c r="G283" t="s">
        <v>1169</v>
      </c>
      <c r="H283" t="s">
        <v>1299</v>
      </c>
      <c r="I283" t="s">
        <v>139</v>
      </c>
      <c r="J283" t="s">
        <v>287</v>
      </c>
      <c r="K283" s="22">
        <f t="shared" si="65"/>
        <v>1.4482807028187922E-5</v>
      </c>
      <c r="L283" s="22">
        <f t="shared" si="67"/>
        <v>1.4520450251739282E-5</v>
      </c>
      <c r="M283" s="22">
        <f t="shared" si="67"/>
        <v>1.4571212872745464E-5</v>
      </c>
      <c r="N283" s="22">
        <f t="shared" si="67"/>
        <v>1.4633040456364911E-5</v>
      </c>
      <c r="O283" s="22">
        <f t="shared" si="67"/>
        <v>1.4707094987006923E-5</v>
      </c>
      <c r="P283" s="22">
        <f t="shared" si="67"/>
        <v>1.4794644538423194E-5</v>
      </c>
      <c r="Q283" s="22">
        <f t="shared" si="67"/>
        <v>1.4887429784482061E-5</v>
      </c>
      <c r="R283" s="22">
        <f t="shared" si="67"/>
        <v>1.4984365063470914E-5</v>
      </c>
      <c r="S283" s="22">
        <f t="shared" si="67"/>
        <v>1.5078737379247896E-5</v>
      </c>
      <c r="T283" s="22">
        <f t="shared" si="67"/>
        <v>1.5122022085784052E-5</v>
      </c>
      <c r="U283" s="22">
        <f t="shared" si="67"/>
        <v>1.5168700186651053E-5</v>
      </c>
      <c r="V283" s="22">
        <f t="shared" si="67"/>
        <v>1.5219291662698976E-5</v>
      </c>
      <c r="W283" s="22">
        <f t="shared" si="67"/>
        <v>1.5274171031448217E-5</v>
      </c>
      <c r="X283" s="22">
        <f t="shared" si="67"/>
        <v>1.5334076575093776E-5</v>
      </c>
      <c r="Y283" s="22">
        <f t="shared" si="67"/>
        <v>1.5372633836154438E-5</v>
      </c>
      <c r="Z283" s="22">
        <f t="shared" si="67"/>
        <v>1.5414710813994563E-5</v>
      </c>
      <c r="AA283" s="22">
        <f t="shared" si="67"/>
        <v>1.5459260848218299E-5</v>
      </c>
      <c r="AB283" s="22">
        <f t="shared" si="67"/>
        <v>1.550729679110253E-5</v>
      </c>
      <c r="AC283" s="22">
        <f t="shared" si="67"/>
        <v>1.5558834836357002E-5</v>
      </c>
      <c r="AD283" s="22">
        <f t="shared" si="67"/>
        <v>1.5592757830860554E-5</v>
      </c>
      <c r="AE283" s="22">
        <f t="shared" si="67"/>
        <v>1.5629324786279091E-5</v>
      </c>
      <c r="AF283" s="22">
        <f t="shared" si="67"/>
        <v>1.5668308058264363E-5</v>
      </c>
      <c r="AG283" s="22">
        <f t="shared" si="67"/>
        <v>1.5710145809478675E-5</v>
      </c>
      <c r="AH283" s="22">
        <f t="shared" si="67"/>
        <v>1.5753347197297649E-5</v>
      </c>
      <c r="AI283" s="22">
        <f t="shared" si="67"/>
        <v>1.5780128357590142E-5</v>
      </c>
      <c r="AJ283" s="22">
        <f t="shared" si="67"/>
        <v>1.5808895494916665E-5</v>
      </c>
      <c r="AK283" s="22">
        <f t="shared" si="67"/>
        <v>1.5839194459493418E-5</v>
      </c>
      <c r="AL283" s="22">
        <f t="shared" si="67"/>
        <v>1.5871212894447166E-5</v>
      </c>
      <c r="AM283" s="22">
        <f t="shared" si="67"/>
        <v>1.5905120208325659E-5</v>
      </c>
      <c r="AN283" s="22">
        <f t="shared" si="67"/>
        <v>1.5923608440521578E-5</v>
      </c>
      <c r="AO283" s="22">
        <f t="shared" si="67"/>
        <v>1.5943219194385969E-5</v>
      </c>
      <c r="AP283" s="22">
        <f t="shared" si="67"/>
        <v>1.5964364076511548E-5</v>
      </c>
      <c r="AQ283" s="22">
        <f t="shared" si="67"/>
        <v>1.5987003748719161E-5</v>
      </c>
      <c r="AR283" s="22">
        <f t="shared" si="67"/>
        <v>1.6011426014492075E-5</v>
      </c>
      <c r="AS283" s="22">
        <f t="shared" si="67"/>
        <v>1.6019956720470997E-5</v>
      </c>
      <c r="AT283" s="22">
        <f t="shared" si="67"/>
        <v>1.6026597354274649E-5</v>
      </c>
      <c r="AU283" s="22">
        <f t="shared" si="67"/>
        <v>1.6034206571030276E-5</v>
      </c>
      <c r="AV283" s="22">
        <f t="shared" si="67"/>
        <v>1.6043388029308272E-5</v>
      </c>
      <c r="AW283" s="22">
        <f t="shared" si="67"/>
        <v>1.6053496862987396E-5</v>
      </c>
      <c r="AY283" s="85"/>
    </row>
    <row r="284" spans="1:51" x14ac:dyDescent="0.25">
      <c r="A284" s="102" t="str">
        <f t="shared" si="45"/>
        <v>FA MM Volatilisation</v>
      </c>
      <c r="B284" s="102" t="s">
        <v>963</v>
      </c>
      <c r="C284" s="102" t="s">
        <v>1333</v>
      </c>
      <c r="D284" t="s">
        <v>369</v>
      </c>
      <c r="E284" t="s">
        <v>64</v>
      </c>
      <c r="F284" t="s">
        <v>62</v>
      </c>
      <c r="G284" t="s">
        <v>1171</v>
      </c>
      <c r="H284" t="s">
        <v>1300</v>
      </c>
      <c r="I284" t="s">
        <v>139</v>
      </c>
      <c r="J284" t="s">
        <v>287</v>
      </c>
      <c r="K284" s="22">
        <f t="shared" si="65"/>
        <v>1.4734983248944019E-3</v>
      </c>
      <c r="L284" s="22">
        <f t="shared" si="67"/>
        <v>1.4773281920422968E-3</v>
      </c>
      <c r="M284" s="22">
        <f t="shared" si="67"/>
        <v>1.4824928425740808E-3</v>
      </c>
      <c r="N284" s="22">
        <f t="shared" si="67"/>
        <v>1.4887832558011719E-3</v>
      </c>
      <c r="O284" s="22">
        <f t="shared" si="67"/>
        <v>1.4963176534244689E-3</v>
      </c>
      <c r="P284" s="22">
        <f t="shared" si="67"/>
        <v>1.5052250508030326E-3</v>
      </c>
      <c r="Q284" s="22">
        <f t="shared" si="67"/>
        <v>1.5146651340946602E-3</v>
      </c>
      <c r="R284" s="22">
        <f t="shared" si="67"/>
        <v>1.5245274467620346E-3</v>
      </c>
      <c r="S284" s="22">
        <f t="shared" si="67"/>
        <v>1.5341290004486333E-3</v>
      </c>
      <c r="T284" s="22">
        <f t="shared" si="67"/>
        <v>1.5385328389069129E-3</v>
      </c>
      <c r="U284" s="22">
        <f t="shared" si="67"/>
        <v>1.5432819254136169E-3</v>
      </c>
      <c r="V284" s="22">
        <f t="shared" si="67"/>
        <v>1.5484291634501014E-3</v>
      </c>
      <c r="W284" s="22">
        <f t="shared" si="67"/>
        <v>1.5540126568824096E-3</v>
      </c>
      <c r="X284" s="22">
        <f t="shared" si="67"/>
        <v>1.5601075194350781E-3</v>
      </c>
      <c r="Y284" s="22">
        <f t="shared" si="67"/>
        <v>1.5640303818660153E-3</v>
      </c>
      <c r="Z284" s="22">
        <f t="shared" si="67"/>
        <v>1.5683113445442707E-3</v>
      </c>
      <c r="AA284" s="22">
        <f t="shared" si="67"/>
        <v>1.5728439189737231E-3</v>
      </c>
      <c r="AB284" s="22">
        <f t="shared" si="67"/>
        <v>1.5777311539715299E-3</v>
      </c>
      <c r="AC284" s="22">
        <f t="shared" si="67"/>
        <v>1.5829746971053286E-3</v>
      </c>
      <c r="AD284" s="22">
        <f t="shared" si="67"/>
        <v>1.5864260636449165E-3</v>
      </c>
      <c r="AE284" s="22">
        <f t="shared" si="67"/>
        <v>1.5901464299696787E-3</v>
      </c>
      <c r="AF284" s="22">
        <f t="shared" si="67"/>
        <v>1.5941126352679608E-3</v>
      </c>
      <c r="AG284" s="22">
        <f t="shared" si="67"/>
        <v>1.5983692587396162E-3</v>
      </c>
      <c r="AH284" s="22">
        <f t="shared" si="67"/>
        <v>1.6027646202507156E-3</v>
      </c>
      <c r="AI284" s="22">
        <f t="shared" si="67"/>
        <v>1.6054893679293186E-3</v>
      </c>
      <c r="AJ284" s="22">
        <f t="shared" si="67"/>
        <v>1.6084161713162683E-3</v>
      </c>
      <c r="AK284" s="22">
        <f t="shared" si="67"/>
        <v>1.6114988246626113E-3</v>
      </c>
      <c r="AL284" s="22">
        <f t="shared" si="67"/>
        <v>1.6147564190072887E-3</v>
      </c>
      <c r="AM284" s="22">
        <f t="shared" si="67"/>
        <v>1.6182061901810947E-3</v>
      </c>
      <c r="AN284" s="22">
        <f t="shared" si="67"/>
        <v>1.6200872053128935E-3</v>
      </c>
      <c r="AO284" s="22">
        <f t="shared" si="67"/>
        <v>1.6220824271585524E-3</v>
      </c>
      <c r="AP284" s="22">
        <f t="shared" si="67"/>
        <v>1.6242337330712453E-3</v>
      </c>
      <c r="AQ284" s="22">
        <f t="shared" si="67"/>
        <v>1.6265371207369889E-3</v>
      </c>
      <c r="AR284" s="22">
        <f t="shared" si="67"/>
        <v>1.6290218716306845E-3</v>
      </c>
      <c r="AS284" s="22">
        <f t="shared" si="67"/>
        <v>1.6298897959871744E-3</v>
      </c>
      <c r="AT284" s="22">
        <f t="shared" si="67"/>
        <v>1.6305654221117833E-3</v>
      </c>
      <c r="AU284" s="22">
        <f t="shared" si="67"/>
        <v>1.6313395930388258E-3</v>
      </c>
      <c r="AV284" s="22">
        <f t="shared" si="67"/>
        <v>1.6322737257222465E-3</v>
      </c>
      <c r="AW284" s="22">
        <f t="shared" si="67"/>
        <v>1.6333022107019772E-3</v>
      </c>
      <c r="AY284" s="85"/>
    </row>
    <row r="285" spans="1:51" x14ac:dyDescent="0.25">
      <c r="A285" s="102" t="str">
        <f t="shared" si="45"/>
        <v>FA MM Volatilisation</v>
      </c>
      <c r="B285" s="102" t="s">
        <v>963</v>
      </c>
      <c r="C285" s="102" t="s">
        <v>1333</v>
      </c>
      <c r="D285" t="s">
        <v>369</v>
      </c>
      <c r="E285" t="s">
        <v>64</v>
      </c>
      <c r="F285" t="s">
        <v>62</v>
      </c>
      <c r="G285" t="s">
        <v>1173</v>
      </c>
      <c r="H285" t="s">
        <v>1301</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85"/>
    </row>
    <row r="286" spans="1:51" x14ac:dyDescent="0.25">
      <c r="A286" s="102" t="str">
        <f t="shared" si="45"/>
        <v>FA MM Volatilisation</v>
      </c>
      <c r="B286" s="102" t="s">
        <v>963</v>
      </c>
      <c r="C286" s="102" t="s">
        <v>1333</v>
      </c>
      <c r="D286" t="s">
        <v>369</v>
      </c>
      <c r="E286" t="s">
        <v>64</v>
      </c>
      <c r="F286" t="s">
        <v>62</v>
      </c>
      <c r="G286" t="s">
        <v>1175</v>
      </c>
      <c r="H286" t="s">
        <v>1302</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85"/>
    </row>
    <row r="287" spans="1:51" x14ac:dyDescent="0.25">
      <c r="A287" s="102" t="str">
        <f t="shared" si="45"/>
        <v>FA MM Volatilisation</v>
      </c>
      <c r="B287" s="102" t="s">
        <v>963</v>
      </c>
      <c r="C287" s="102" t="s">
        <v>1333</v>
      </c>
      <c r="D287" t="s">
        <v>369</v>
      </c>
      <c r="E287" t="s">
        <v>64</v>
      </c>
      <c r="F287" t="s">
        <v>62</v>
      </c>
      <c r="G287" t="s">
        <v>1177</v>
      </c>
      <c r="H287" t="s">
        <v>1303</v>
      </c>
      <c r="I287" t="s">
        <v>139</v>
      </c>
      <c r="J287" t="s">
        <v>287</v>
      </c>
      <c r="K287" s="22">
        <f t="shared" si="65"/>
        <v>0.13127680408912967</v>
      </c>
      <c r="L287" s="22">
        <f t="shared" si="67"/>
        <v>0.13104478756679175</v>
      </c>
      <c r="M287" s="22">
        <f t="shared" si="67"/>
        <v>0.13030955774266942</v>
      </c>
      <c r="N287" s="22">
        <f t="shared" si="67"/>
        <v>0.12743411073001928</v>
      </c>
      <c r="O287" s="22">
        <f t="shared" si="67"/>
        <v>0.1247149107669546</v>
      </c>
      <c r="P287" s="22">
        <f t="shared" si="67"/>
        <v>0.1242760261027246</v>
      </c>
      <c r="Q287" s="22">
        <f t="shared" si="67"/>
        <v>0.1232106270346093</v>
      </c>
      <c r="R287" s="22">
        <f t="shared" si="67"/>
        <v>0.11992927074804736</v>
      </c>
      <c r="S287" s="22">
        <f t="shared" si="67"/>
        <v>0.10697136059413564</v>
      </c>
      <c r="T287" s="22">
        <f t="shared" si="67"/>
        <v>0.10927238007305687</v>
      </c>
      <c r="U287" s="22">
        <f t="shared" si="67"/>
        <v>0.11033195793154126</v>
      </c>
      <c r="V287" s="22">
        <f t="shared" si="67"/>
        <v>0.11110365742908961</v>
      </c>
      <c r="W287" s="22">
        <f t="shared" si="67"/>
        <v>0.1122884240961687</v>
      </c>
      <c r="X287" s="22">
        <f t="shared" si="67"/>
        <v>0.11491943317032226</v>
      </c>
      <c r="Y287" s="22">
        <f t="shared" si="67"/>
        <v>0.117880487302873</v>
      </c>
      <c r="Z287" s="22">
        <f t="shared" si="67"/>
        <v>0.12113886796014842</v>
      </c>
      <c r="AA287" s="22">
        <f t="shared" si="67"/>
        <v>0.12374440018879811</v>
      </c>
      <c r="AB287" s="22">
        <f t="shared" si="67"/>
        <v>0.12693570858518674</v>
      </c>
      <c r="AC287" s="22">
        <f t="shared" si="67"/>
        <v>0.13084113615278595</v>
      </c>
      <c r="AD287" s="22">
        <f t="shared" si="67"/>
        <v>0.13453780909031221</v>
      </c>
      <c r="AE287" s="22">
        <f t="shared" si="67"/>
        <v>0.13838522984786125</v>
      </c>
      <c r="AF287" s="22">
        <f t="shared" si="67"/>
        <v>0.1422552100509078</v>
      </c>
      <c r="AG287" s="22">
        <f t="shared" si="67"/>
        <v>0.14666883461308858</v>
      </c>
      <c r="AH287" s="22">
        <f t="shared" si="67"/>
        <v>0.15024709495665656</v>
      </c>
      <c r="AI287" s="22">
        <f t="shared" si="67"/>
        <v>0.15408132184002271</v>
      </c>
      <c r="AJ287" s="22">
        <f t="shared" si="67"/>
        <v>0.15791627313476184</v>
      </c>
      <c r="AK287" s="22">
        <f t="shared" si="67"/>
        <v>0.16139685457136538</v>
      </c>
      <c r="AL287" s="22">
        <f t="shared" si="67"/>
        <v>0.16476948346525533</v>
      </c>
      <c r="AM287" s="22">
        <f t="shared" si="67"/>
        <v>0.1682466106779141</v>
      </c>
      <c r="AN287" s="22">
        <f t="shared" si="67"/>
        <v>0.17192264568830376</v>
      </c>
      <c r="AO287" s="22">
        <f t="shared" si="67"/>
        <v>0.17515461564548812</v>
      </c>
      <c r="AP287" s="22">
        <f t="shared" si="67"/>
        <v>0.17836303688392388</v>
      </c>
      <c r="AQ287" s="22">
        <f t="shared" si="67"/>
        <v>0.18155644014490915</v>
      </c>
      <c r="AR287" s="22">
        <f t="shared" si="67"/>
        <v>0.18501677268932123</v>
      </c>
      <c r="AS287" s="22">
        <f t="shared" si="67"/>
        <v>0.1885273047927761</v>
      </c>
      <c r="AT287" s="22">
        <f t="shared" si="67"/>
        <v>0.1893481182412324</v>
      </c>
      <c r="AU287" s="22">
        <f t="shared" si="67"/>
        <v>0.18994311944670875</v>
      </c>
      <c r="AV287" s="22">
        <f t="shared" si="67"/>
        <v>0.19083634950059308</v>
      </c>
      <c r="AW287" s="22">
        <f t="shared" si="67"/>
        <v>0.19153378485504027</v>
      </c>
      <c r="AY287" s="85"/>
    </row>
    <row r="288" spans="1:51" x14ac:dyDescent="0.25">
      <c r="A288" s="102" t="str">
        <f t="shared" si="45"/>
        <v>FA MM Volatilisation</v>
      </c>
      <c r="B288" s="102" t="s">
        <v>963</v>
      </c>
      <c r="C288" s="102" t="s">
        <v>1333</v>
      </c>
      <c r="D288" t="s">
        <v>369</v>
      </c>
      <c r="E288" t="s">
        <v>64</v>
      </c>
      <c r="F288" t="s">
        <v>62</v>
      </c>
      <c r="G288" t="s">
        <v>1179</v>
      </c>
      <c r="H288" t="s">
        <v>1304</v>
      </c>
      <c r="I288" t="s">
        <v>139</v>
      </c>
      <c r="J288" t="s">
        <v>287</v>
      </c>
      <c r="K288" s="22">
        <f t="shared" si="65"/>
        <v>1.2775290998949166E-2</v>
      </c>
      <c r="L288" s="22">
        <f t="shared" si="67"/>
        <v>1.2752712154118219E-2</v>
      </c>
      <c r="M288" s="22">
        <f t="shared" si="67"/>
        <v>1.2681162766399339E-2</v>
      </c>
      <c r="N288" s="22">
        <f t="shared" si="67"/>
        <v>1.2401336695117745E-2</v>
      </c>
      <c r="O288" s="22">
        <f t="shared" si="67"/>
        <v>1.2136715911167996E-2</v>
      </c>
      <c r="P288" s="22">
        <f t="shared" si="67"/>
        <v>1.2094005553162118E-2</v>
      </c>
      <c r="Q288" s="22">
        <f t="shared" si="67"/>
        <v>1.1990325522103915E-2</v>
      </c>
      <c r="R288" s="22">
        <f t="shared" si="67"/>
        <v>1.1670998115233177E-2</v>
      </c>
      <c r="S288" s="22">
        <f t="shared" si="67"/>
        <v>1.0409990322553617E-2</v>
      </c>
      <c r="T288" s="22">
        <f t="shared" si="67"/>
        <v>1.0633915589789026E-2</v>
      </c>
      <c r="U288" s="22">
        <f t="shared" si="67"/>
        <v>1.0737029125893931E-2</v>
      </c>
      <c r="V288" s="22">
        <f t="shared" si="67"/>
        <v>1.0812127584554078E-2</v>
      </c>
      <c r="W288" s="22">
        <f t="shared" si="67"/>
        <v>1.092742395425785E-2</v>
      </c>
      <c r="X288" s="22">
        <f t="shared" ref="L288:AW295" si="68">X1544</f>
        <v>1.1183462382191907E-2</v>
      </c>
      <c r="Y288" s="22">
        <f t="shared" si="68"/>
        <v>1.1471619368260015E-2</v>
      </c>
      <c r="Z288" s="22">
        <f t="shared" si="68"/>
        <v>1.1788710886223677E-2</v>
      </c>
      <c r="AA288" s="22">
        <f t="shared" si="68"/>
        <v>1.2042270017702387E-2</v>
      </c>
      <c r="AB288" s="22">
        <f t="shared" si="68"/>
        <v>1.2352834353223334E-2</v>
      </c>
      <c r="AC288" s="22">
        <f t="shared" si="68"/>
        <v>1.2732893678993665E-2</v>
      </c>
      <c r="AD288" s="22">
        <f t="shared" si="68"/>
        <v>1.3092637906715528E-2</v>
      </c>
      <c r="AE288" s="22">
        <f t="shared" si="68"/>
        <v>1.3467052260524101E-2</v>
      </c>
      <c r="AF288" s="22">
        <f t="shared" si="68"/>
        <v>1.384366200203278E-2</v>
      </c>
      <c r="AG288" s="22">
        <f t="shared" si="68"/>
        <v>1.4273176862127078E-2</v>
      </c>
      <c r="AH288" s="22">
        <f t="shared" si="68"/>
        <v>1.4621397688161536E-2</v>
      </c>
      <c r="AI288" s="22">
        <f t="shared" si="68"/>
        <v>1.4994528071178318E-2</v>
      </c>
      <c r="AJ288" s="22">
        <f t="shared" si="68"/>
        <v>1.5367728950777933E-2</v>
      </c>
      <c r="AK288" s="22">
        <f t="shared" si="68"/>
        <v>1.5706444087901172E-2</v>
      </c>
      <c r="AL288" s="22">
        <f t="shared" si="68"/>
        <v>1.6034653750300141E-2</v>
      </c>
      <c r="AM288" s="22">
        <f t="shared" si="68"/>
        <v>1.6373032737283407E-2</v>
      </c>
      <c r="AN288" s="22">
        <f t="shared" si="68"/>
        <v>1.673076857116438E-2</v>
      </c>
      <c r="AO288" s="22">
        <f t="shared" si="68"/>
        <v>1.7045289913981791E-2</v>
      </c>
      <c r="AP288" s="22">
        <f t="shared" si="68"/>
        <v>1.7357519597303427E-2</v>
      </c>
      <c r="AQ288" s="22">
        <f t="shared" si="68"/>
        <v>1.7668287795989782E-2</v>
      </c>
      <c r="AR288" s="22">
        <f t="shared" si="68"/>
        <v>1.8005032398471E-2</v>
      </c>
      <c r="AS288" s="22">
        <f t="shared" si="68"/>
        <v>1.8346662205000568E-2</v>
      </c>
      <c r="AT288" s="22">
        <f t="shared" si="68"/>
        <v>1.8426540221018993E-2</v>
      </c>
      <c r="AU288" s="22">
        <f t="shared" si="68"/>
        <v>1.8484443165849414E-2</v>
      </c>
      <c r="AV288" s="22">
        <f t="shared" si="68"/>
        <v>1.8571368452815044E-2</v>
      </c>
      <c r="AW288" s="22">
        <f t="shared" si="68"/>
        <v>1.8639239846149461E-2</v>
      </c>
      <c r="AY288" s="85"/>
    </row>
    <row r="289" spans="1:51" x14ac:dyDescent="0.25">
      <c r="A289" s="102" t="str">
        <f t="shared" si="45"/>
        <v>FA MM Volatilisation</v>
      </c>
      <c r="B289" s="102" t="s">
        <v>963</v>
      </c>
      <c r="C289" s="102" t="s">
        <v>1333</v>
      </c>
      <c r="D289" t="s">
        <v>369</v>
      </c>
      <c r="E289" t="s">
        <v>64</v>
      </c>
      <c r="F289" t="s">
        <v>62</v>
      </c>
      <c r="G289" t="s">
        <v>1181</v>
      </c>
      <c r="H289" t="s">
        <v>1305</v>
      </c>
      <c r="I289" t="s">
        <v>139</v>
      </c>
      <c r="J289" t="s">
        <v>287</v>
      </c>
      <c r="K289" s="22">
        <f t="shared" si="65"/>
        <v>6.4639922525530427E-2</v>
      </c>
      <c r="L289" s="22">
        <f t="shared" si="68"/>
        <v>6.6092820241884495E-2</v>
      </c>
      <c r="M289" s="22">
        <f t="shared" si="68"/>
        <v>6.7406950311631311E-2</v>
      </c>
      <c r="N289" s="22">
        <f t="shared" si="68"/>
        <v>6.8085378535523336E-2</v>
      </c>
      <c r="O289" s="22">
        <f t="shared" si="68"/>
        <v>6.8782509933711544E-2</v>
      </c>
      <c r="P289" s="22">
        <f t="shared" si="68"/>
        <v>7.0170496606956442E-2</v>
      </c>
      <c r="Q289" s="22">
        <f t="shared" si="68"/>
        <v>7.1357352719614867E-2</v>
      </c>
      <c r="R289" s="22">
        <f t="shared" si="68"/>
        <v>7.1807853842609945E-2</v>
      </c>
      <c r="S289" s="22">
        <f t="shared" si="68"/>
        <v>6.89560372793145E-2</v>
      </c>
      <c r="T289" s="22">
        <f t="shared" si="68"/>
        <v>7.1008173280929857E-2</v>
      </c>
      <c r="U289" s="22">
        <f t="shared" si="68"/>
        <v>7.2666722437194436E-2</v>
      </c>
      <c r="V289" s="22">
        <f t="shared" si="68"/>
        <v>7.4247222856444403E-2</v>
      </c>
      <c r="W289" s="22">
        <f t="shared" si="68"/>
        <v>7.600218438166105E-2</v>
      </c>
      <c r="X289" s="22">
        <f t="shared" si="68"/>
        <v>7.8331736592242102E-2</v>
      </c>
      <c r="Y289" s="22">
        <f t="shared" si="68"/>
        <v>8.0778487004079483E-2</v>
      </c>
      <c r="Z289" s="22">
        <f t="shared" si="68"/>
        <v>8.3401229369706939E-2</v>
      </c>
      <c r="AA289" s="22">
        <f t="shared" si="68"/>
        <v>8.5827271656106763E-2</v>
      </c>
      <c r="AB289" s="22">
        <f t="shared" si="68"/>
        <v>8.8549064394725929E-2</v>
      </c>
      <c r="AC289" s="22">
        <f t="shared" si="68"/>
        <v>9.1636240743728642E-2</v>
      </c>
      <c r="AD289" s="22">
        <f t="shared" si="68"/>
        <v>9.4662173779080358E-2</v>
      </c>
      <c r="AE289" s="22">
        <f t="shared" si="68"/>
        <v>9.7831321391472395E-2</v>
      </c>
      <c r="AF289" s="22">
        <f t="shared" si="68"/>
        <v>0.1010924495137356</v>
      </c>
      <c r="AG289" s="22">
        <f t="shared" si="68"/>
        <v>0.10468368456707709</v>
      </c>
      <c r="AH289" s="22">
        <f t="shared" si="68"/>
        <v>0.10798542807128246</v>
      </c>
      <c r="AI289" s="22">
        <f t="shared" si="68"/>
        <v>0.11143964262193619</v>
      </c>
      <c r="AJ289" s="22">
        <f t="shared" si="68"/>
        <v>0.11498300476041527</v>
      </c>
      <c r="AK289" s="22">
        <f t="shared" si="68"/>
        <v>0.11844428302751359</v>
      </c>
      <c r="AL289" s="22">
        <f t="shared" si="68"/>
        <v>0.12193846206930534</v>
      </c>
      <c r="AM289" s="22">
        <f t="shared" si="68"/>
        <v>0.12557241914152842</v>
      </c>
      <c r="AN289" s="22">
        <f t="shared" si="68"/>
        <v>0.12935192234708767</v>
      </c>
      <c r="AO289" s="22">
        <f t="shared" si="68"/>
        <v>0.13299431940651141</v>
      </c>
      <c r="AP289" s="22">
        <f t="shared" si="68"/>
        <v>0.13671453058130023</v>
      </c>
      <c r="AQ289" s="22">
        <f t="shared" si="68"/>
        <v>0.14051897664424154</v>
      </c>
      <c r="AR289" s="22">
        <f t="shared" si="68"/>
        <v>0.14456662668799888</v>
      </c>
      <c r="AS289" s="22">
        <f t="shared" si="68"/>
        <v>0.14869599338087189</v>
      </c>
      <c r="AT289" s="22">
        <f t="shared" si="68"/>
        <v>0.15137911693275455</v>
      </c>
      <c r="AU289" s="22">
        <f t="shared" si="68"/>
        <v>0.1539813872955596</v>
      </c>
      <c r="AV289" s="22">
        <f t="shared" si="68"/>
        <v>0.15681091101615385</v>
      </c>
      <c r="AW289" s="22">
        <f t="shared" si="68"/>
        <v>0.15957796848952543</v>
      </c>
      <c r="AY289" s="85"/>
    </row>
    <row r="290" spans="1:51" x14ac:dyDescent="0.25">
      <c r="A290" s="102" t="str">
        <f t="shared" si="45"/>
        <v>FA MM Volatilisation</v>
      </c>
      <c r="B290" s="102" t="s">
        <v>963</v>
      </c>
      <c r="C290" s="102" t="s">
        <v>1333</v>
      </c>
      <c r="D290" t="s">
        <v>369</v>
      </c>
      <c r="E290" t="s">
        <v>64</v>
      </c>
      <c r="F290" t="s">
        <v>62</v>
      </c>
      <c r="G290" t="s">
        <v>1183</v>
      </c>
      <c r="H290" t="s">
        <v>1306</v>
      </c>
      <c r="I290" t="s">
        <v>139</v>
      </c>
      <c r="J290" t="s">
        <v>287</v>
      </c>
      <c r="K290" s="22">
        <f t="shared" si="65"/>
        <v>0.3124157271084777</v>
      </c>
      <c r="L290" s="22">
        <f t="shared" si="68"/>
        <v>0.31821414255231495</v>
      </c>
      <c r="M290" s="22">
        <f t="shared" si="68"/>
        <v>0.32201191440693633</v>
      </c>
      <c r="N290" s="22">
        <f t="shared" si="68"/>
        <v>0.3178348082585094</v>
      </c>
      <c r="O290" s="22">
        <f t="shared" si="68"/>
        <v>0.31378386599173785</v>
      </c>
      <c r="P290" s="22">
        <f t="shared" si="68"/>
        <v>0.31779798966820449</v>
      </c>
      <c r="Q290" s="22">
        <f t="shared" si="68"/>
        <v>0.31934474546532327</v>
      </c>
      <c r="R290" s="22">
        <f t="shared" si="68"/>
        <v>0.3122534460886785</v>
      </c>
      <c r="S290" s="22">
        <f t="shared" si="68"/>
        <v>0.26726842990845273</v>
      </c>
      <c r="T290" s="22">
        <f t="shared" si="68"/>
        <v>0.28155383456320437</v>
      </c>
      <c r="U290" s="22">
        <f t="shared" si="68"/>
        <v>0.29111754321840305</v>
      </c>
      <c r="V290" s="22">
        <f t="shared" si="68"/>
        <v>0.2996184601617527</v>
      </c>
      <c r="W290" s="22">
        <f t="shared" si="68"/>
        <v>0.30988409927740257</v>
      </c>
      <c r="X290" s="22">
        <f t="shared" si="68"/>
        <v>0.32626779257260974</v>
      </c>
      <c r="Y290" s="22">
        <f t="shared" si="68"/>
        <v>0.34459114138127506</v>
      </c>
      <c r="Z290" s="22">
        <f t="shared" si="68"/>
        <v>0.36451721195122694</v>
      </c>
      <c r="AA290" s="22">
        <f t="shared" si="68"/>
        <v>0.38201404405887901</v>
      </c>
      <c r="AB290" s="22">
        <f t="shared" si="68"/>
        <v>0.40238508942677492</v>
      </c>
      <c r="AC290" s="22">
        <f t="shared" si="68"/>
        <v>0.4263053965641187</v>
      </c>
      <c r="AD290" s="22">
        <f t="shared" si="68"/>
        <v>0.44998725989455773</v>
      </c>
      <c r="AE290" s="22">
        <f t="shared" si="68"/>
        <v>0.47482812670868052</v>
      </c>
      <c r="AF290" s="22">
        <f t="shared" si="68"/>
        <v>0.50027841318334143</v>
      </c>
      <c r="AG290" s="22">
        <f t="shared" si="68"/>
        <v>0.52877672683612675</v>
      </c>
      <c r="AH290" s="22">
        <f t="shared" si="68"/>
        <v>0.55394333487777203</v>
      </c>
      <c r="AI290" s="22">
        <f t="shared" si="68"/>
        <v>0.58103945126716949</v>
      </c>
      <c r="AJ290" s="22">
        <f t="shared" si="68"/>
        <v>0.60869953568846558</v>
      </c>
      <c r="AK290" s="22">
        <f t="shared" si="68"/>
        <v>0.6352030919632573</v>
      </c>
      <c r="AL290" s="22">
        <f t="shared" si="68"/>
        <v>0.66171943775292319</v>
      </c>
      <c r="AM290" s="22">
        <f t="shared" si="68"/>
        <v>0.68930855279653469</v>
      </c>
      <c r="AN290" s="22">
        <f t="shared" si="68"/>
        <v>0.71866455371182625</v>
      </c>
      <c r="AO290" s="22">
        <f t="shared" si="68"/>
        <v>0.74635733605458598</v>
      </c>
      <c r="AP290" s="22">
        <f t="shared" si="68"/>
        <v>0.7745069527648214</v>
      </c>
      <c r="AQ290" s="22">
        <f t="shared" si="68"/>
        <v>0.80317067030208755</v>
      </c>
      <c r="AR290" s="22">
        <f t="shared" si="68"/>
        <v>0.83386954359351506</v>
      </c>
      <c r="AS290" s="22">
        <f t="shared" si="68"/>
        <v>0.86568293208899882</v>
      </c>
      <c r="AT290" s="22">
        <f t="shared" si="68"/>
        <v>0.88344012524771687</v>
      </c>
      <c r="AU290" s="22">
        <f t="shared" si="68"/>
        <v>0.90027059680950883</v>
      </c>
      <c r="AV290" s="22">
        <f t="shared" si="68"/>
        <v>0.91908561041712944</v>
      </c>
      <c r="AW290" s="22">
        <f t="shared" si="68"/>
        <v>0.9371463380375723</v>
      </c>
      <c r="AY290" s="85"/>
    </row>
    <row r="291" spans="1:51" x14ac:dyDescent="0.25">
      <c r="A291" s="102" t="str">
        <f t="shared" si="45"/>
        <v>FA MM Leaching</v>
      </c>
      <c r="B291" s="102" t="s">
        <v>963</v>
      </c>
      <c r="C291" s="102" t="s">
        <v>1334</v>
      </c>
      <c r="D291" t="s">
        <v>369</v>
      </c>
      <c r="E291" t="s">
        <v>64</v>
      </c>
      <c r="F291" t="s">
        <v>63</v>
      </c>
      <c r="G291" t="s">
        <v>1153</v>
      </c>
      <c r="H291" t="s">
        <v>1307</v>
      </c>
      <c r="I291" t="s">
        <v>139</v>
      </c>
      <c r="J291" t="s">
        <v>287</v>
      </c>
      <c r="K291" s="22">
        <f t="shared" si="65"/>
        <v>8.9301817319657029E-2</v>
      </c>
      <c r="L291" s="22">
        <f t="shared" si="68"/>
        <v>8.9904788204048389E-2</v>
      </c>
      <c r="M291" s="22">
        <f t="shared" si="68"/>
        <v>9.0432234991344826E-2</v>
      </c>
      <c r="N291" s="22">
        <f t="shared" si="68"/>
        <v>9.0500461338876806E-2</v>
      </c>
      <c r="O291" s="22">
        <f t="shared" si="68"/>
        <v>9.0617974533052939E-2</v>
      </c>
      <c r="P291" s="22">
        <f t="shared" si="68"/>
        <v>9.1292243565634368E-2</v>
      </c>
      <c r="Q291" s="22">
        <f t="shared" si="68"/>
        <v>9.1831411898207801E-2</v>
      </c>
      <c r="R291" s="22">
        <f t="shared" si="68"/>
        <v>9.1836139358568436E-2</v>
      </c>
      <c r="S291" s="22">
        <f t="shared" si="68"/>
        <v>8.9403055409342513E-2</v>
      </c>
      <c r="T291" s="22">
        <f t="shared" si="68"/>
        <v>9.0578464795021837E-2</v>
      </c>
      <c r="U291" s="22">
        <f t="shared" si="68"/>
        <v>9.1468229504779536E-2</v>
      </c>
      <c r="V291" s="22">
        <f t="shared" si="68"/>
        <v>9.2307701453058486E-2</v>
      </c>
      <c r="W291" s="22">
        <f t="shared" si="68"/>
        <v>9.3281093922152392E-2</v>
      </c>
      <c r="X291" s="22">
        <f t="shared" si="68"/>
        <v>9.4675817928952744E-2</v>
      </c>
      <c r="Y291" s="22">
        <f t="shared" si="68"/>
        <v>9.6127887906373721E-2</v>
      </c>
      <c r="Z291" s="22">
        <f t="shared" si="68"/>
        <v>9.7705163684132096E-2</v>
      </c>
      <c r="AA291" s="22">
        <f t="shared" si="68"/>
        <v>9.9139534803866503E-2</v>
      </c>
      <c r="AB291" s="22">
        <f t="shared" si="68"/>
        <v>0.10078297415070787</v>
      </c>
      <c r="AC291" s="22">
        <f t="shared" si="68"/>
        <v>0.10268183134860724</v>
      </c>
      <c r="AD291" s="22">
        <f t="shared" si="68"/>
        <v>0.10450996110897502</v>
      </c>
      <c r="AE291" s="22">
        <f t="shared" si="68"/>
        <v>0.1064333985286125</v>
      </c>
      <c r="AF291" s="22">
        <f t="shared" si="68"/>
        <v>0.10841517507268528</v>
      </c>
      <c r="AG291" s="22">
        <f t="shared" si="68"/>
        <v>0.11062033109470952</v>
      </c>
      <c r="AH291" s="22">
        <f t="shared" si="68"/>
        <v>0.11261681982671894</v>
      </c>
      <c r="AI291" s="22">
        <f t="shared" si="68"/>
        <v>0.11469139352660324</v>
      </c>
      <c r="AJ291" s="22">
        <f t="shared" si="68"/>
        <v>0.11682019256305964</v>
      </c>
      <c r="AK291" s="22">
        <f t="shared" si="68"/>
        <v>0.11888535619665287</v>
      </c>
      <c r="AL291" s="22">
        <f t="shared" si="68"/>
        <v>0.12096617191338277</v>
      </c>
      <c r="AM291" s="22">
        <f t="shared" si="68"/>
        <v>0.12313525542688207</v>
      </c>
      <c r="AN291" s="22">
        <f t="shared" si="68"/>
        <v>0.12537615973723265</v>
      </c>
      <c r="AO291" s="22">
        <f t="shared" si="68"/>
        <v>0.12751645286240365</v>
      </c>
      <c r="AP291" s="22">
        <f t="shared" si="68"/>
        <v>0.12970195754720021</v>
      </c>
      <c r="AQ291" s="22">
        <f t="shared" si="68"/>
        <v>0.131936612577774</v>
      </c>
      <c r="AR291" s="22">
        <f t="shared" si="68"/>
        <v>0.13432635811565444</v>
      </c>
      <c r="AS291" s="22">
        <f t="shared" si="68"/>
        <v>0.13674240472836932</v>
      </c>
      <c r="AT291" s="22">
        <f t="shared" si="68"/>
        <v>0.13818843767832675</v>
      </c>
      <c r="AU291" s="22">
        <f t="shared" si="68"/>
        <v>0.13957828911754586</v>
      </c>
      <c r="AV291" s="22">
        <f t="shared" si="68"/>
        <v>0.14111599332781352</v>
      </c>
      <c r="AW291" s="22">
        <f t="shared" si="68"/>
        <v>0.14260938051125654</v>
      </c>
      <c r="AY291" s="85"/>
    </row>
    <row r="292" spans="1:51" x14ac:dyDescent="0.25">
      <c r="A292" s="102" t="str">
        <f t="shared" si="45"/>
        <v>FA MM Leaching</v>
      </c>
      <c r="B292" s="102" t="s">
        <v>963</v>
      </c>
      <c r="C292" s="102" t="s">
        <v>1334</v>
      </c>
      <c r="D292" t="s">
        <v>369</v>
      </c>
      <c r="E292" t="s">
        <v>64</v>
      </c>
      <c r="F292" t="s">
        <v>63</v>
      </c>
      <c r="G292" t="s">
        <v>1155</v>
      </c>
      <c r="H292" t="s">
        <v>1308</v>
      </c>
      <c r="I292" t="s">
        <v>139</v>
      </c>
      <c r="J292" t="s">
        <v>287</v>
      </c>
      <c r="K292" s="22">
        <f t="shared" si="65"/>
        <v>2.69668832410737E-2</v>
      </c>
      <c r="L292" s="22">
        <f t="shared" si="68"/>
        <v>2.7148965150772641E-2</v>
      </c>
      <c r="M292" s="22">
        <f t="shared" si="68"/>
        <v>2.730824069919725E-2</v>
      </c>
      <c r="N292" s="22">
        <f t="shared" si="68"/>
        <v>2.7328843325247671E-2</v>
      </c>
      <c r="O292" s="22">
        <f t="shared" si="68"/>
        <v>2.7364329328576024E-2</v>
      </c>
      <c r="P292" s="22">
        <f t="shared" si="68"/>
        <v>2.756794147019246E-2</v>
      </c>
      <c r="Q292" s="22">
        <f t="shared" si="68"/>
        <v>2.7730756627914813E-2</v>
      </c>
      <c r="R292" s="22">
        <f t="shared" si="68"/>
        <v>2.7732184201007922E-2</v>
      </c>
      <c r="S292" s="22">
        <f t="shared" si="68"/>
        <v>2.6997454575745719E-2</v>
      </c>
      <c r="T292" s="22">
        <f t="shared" si="68"/>
        <v>2.7352398390053725E-2</v>
      </c>
      <c r="U292" s="22">
        <f t="shared" si="68"/>
        <v>2.7621084759046378E-2</v>
      </c>
      <c r="V292" s="22">
        <f t="shared" si="68"/>
        <v>2.7874583990001138E-2</v>
      </c>
      <c r="W292" s="22">
        <f t="shared" si="68"/>
        <v>2.8168523820674866E-2</v>
      </c>
      <c r="X292" s="22">
        <f t="shared" si="68"/>
        <v>2.8589695086543694E-2</v>
      </c>
      <c r="Y292" s="22">
        <f t="shared" si="68"/>
        <v>2.9028183380671174E-2</v>
      </c>
      <c r="Z292" s="22">
        <f t="shared" si="68"/>
        <v>2.9504480650026085E-2</v>
      </c>
      <c r="AA292" s="22">
        <f t="shared" si="68"/>
        <v>2.9937624338152707E-2</v>
      </c>
      <c r="AB292" s="22">
        <f t="shared" si="68"/>
        <v>3.0433901326799174E-2</v>
      </c>
      <c r="AC292" s="22">
        <f t="shared" si="68"/>
        <v>3.1007308026507561E-2</v>
      </c>
      <c r="AD292" s="22">
        <f t="shared" si="68"/>
        <v>3.1559356834438362E-2</v>
      </c>
      <c r="AE292" s="22">
        <f t="shared" si="68"/>
        <v>3.2140186137510761E-2</v>
      </c>
      <c r="AF292" s="22">
        <f t="shared" si="68"/>
        <v>3.2738632376097511E-2</v>
      </c>
      <c r="AG292" s="22">
        <f t="shared" si="68"/>
        <v>3.3404533549882341E-2</v>
      </c>
      <c r="AH292" s="22">
        <f t="shared" si="68"/>
        <v>3.4007422495977352E-2</v>
      </c>
      <c r="AI292" s="22">
        <f t="shared" si="68"/>
        <v>3.4633891121352886E-2</v>
      </c>
      <c r="AJ292" s="22">
        <f t="shared" si="68"/>
        <v>3.5276734422674962E-2</v>
      </c>
      <c r="AK292" s="22">
        <f t="shared" si="68"/>
        <v>3.5900361446764215E-2</v>
      </c>
      <c r="AL292" s="22">
        <f t="shared" si="68"/>
        <v>3.6528715002866974E-2</v>
      </c>
      <c r="AM292" s="22">
        <f t="shared" si="68"/>
        <v>3.718372319423778E-2</v>
      </c>
      <c r="AN292" s="22">
        <f t="shared" si="68"/>
        <v>3.7860419444162144E-2</v>
      </c>
      <c r="AO292" s="22">
        <f t="shared" si="68"/>
        <v>3.8506733668670703E-2</v>
      </c>
      <c r="AP292" s="22">
        <f t="shared" si="68"/>
        <v>3.9166700637167727E-2</v>
      </c>
      <c r="AQ292" s="22">
        <f t="shared" si="68"/>
        <v>3.9841509763143906E-2</v>
      </c>
      <c r="AR292" s="22">
        <f t="shared" si="68"/>
        <v>4.0563152287676402E-2</v>
      </c>
      <c r="AS292" s="22">
        <f t="shared" si="68"/>
        <v>4.1292737069549959E-2</v>
      </c>
      <c r="AT292" s="22">
        <f t="shared" si="68"/>
        <v>4.1729402334542996E-2</v>
      </c>
      <c r="AU292" s="22">
        <f t="shared" si="68"/>
        <v>4.2149102208619463E-2</v>
      </c>
      <c r="AV292" s="22">
        <f t="shared" si="68"/>
        <v>4.2613449868523889E-2</v>
      </c>
      <c r="AW292" s="22">
        <f t="shared" si="68"/>
        <v>4.3064414910651432E-2</v>
      </c>
      <c r="AY292" s="85"/>
    </row>
    <row r="293" spans="1:51" x14ac:dyDescent="0.25">
      <c r="A293" s="102" t="str">
        <f t="shared" si="45"/>
        <v>FA MM Leaching</v>
      </c>
      <c r="B293" s="102" t="s">
        <v>963</v>
      </c>
      <c r="C293" s="102" t="s">
        <v>1334</v>
      </c>
      <c r="D293" t="s">
        <v>369</v>
      </c>
      <c r="E293" t="s">
        <v>64</v>
      </c>
      <c r="F293" t="s">
        <v>63</v>
      </c>
      <c r="G293" t="s">
        <v>1157</v>
      </c>
      <c r="H293" t="s">
        <v>1309</v>
      </c>
      <c r="I293" t="s">
        <v>139</v>
      </c>
      <c r="J293" t="s">
        <v>287</v>
      </c>
      <c r="K293" s="22">
        <f t="shared" si="65"/>
        <v>1.4498393681804938E-3</v>
      </c>
      <c r="L293" s="22">
        <f t="shared" si="68"/>
        <v>1.4596287649956559E-3</v>
      </c>
      <c r="M293" s="22">
        <f t="shared" si="68"/>
        <v>1.4681920074894272E-3</v>
      </c>
      <c r="N293" s="22">
        <f t="shared" si="68"/>
        <v>1.4692996808556361E-3</v>
      </c>
      <c r="O293" s="22">
        <f t="shared" si="68"/>
        <v>1.4712075396239221E-3</v>
      </c>
      <c r="P293" s="22">
        <f t="shared" si="68"/>
        <v>1.4821544813270488E-3</v>
      </c>
      <c r="Q293" s="22">
        <f t="shared" si="68"/>
        <v>1.4909080263063527E-3</v>
      </c>
      <c r="R293" s="22">
        <f t="shared" si="68"/>
        <v>1.4909847779150886E-3</v>
      </c>
      <c r="S293" s="22">
        <f t="shared" si="68"/>
        <v>1.451482996187078E-3</v>
      </c>
      <c r="T293" s="22">
        <f t="shared" si="68"/>
        <v>1.4705660882476425E-3</v>
      </c>
      <c r="U293" s="22">
        <f t="shared" si="68"/>
        <v>1.4850116610628827E-3</v>
      </c>
      <c r="V293" s="22">
        <f t="shared" si="68"/>
        <v>1.4986407171742647E-3</v>
      </c>
      <c r="W293" s="22">
        <f t="shared" si="68"/>
        <v>1.5144440094782853E-3</v>
      </c>
      <c r="X293" s="22">
        <f t="shared" si="68"/>
        <v>1.5370877342478196E-3</v>
      </c>
      <c r="Y293" s="22">
        <f t="shared" si="68"/>
        <v>1.5606624864959412E-3</v>
      </c>
      <c r="Z293" s="22">
        <f t="shared" si="68"/>
        <v>1.5862699890721308E-3</v>
      </c>
      <c r="AA293" s="22">
        <f t="shared" si="68"/>
        <v>1.6095573955369755E-3</v>
      </c>
      <c r="AB293" s="22">
        <f t="shared" si="68"/>
        <v>1.6362390817084723E-3</v>
      </c>
      <c r="AC293" s="22">
        <f t="shared" si="68"/>
        <v>1.6670675463769219E-3</v>
      </c>
      <c r="AD293" s="22">
        <f t="shared" si="68"/>
        <v>1.6967477318006537E-3</v>
      </c>
      <c r="AE293" s="22">
        <f t="shared" si="68"/>
        <v>1.7279752630751828E-3</v>
      </c>
      <c r="AF293" s="22">
        <f t="shared" si="68"/>
        <v>1.7601499459514404E-3</v>
      </c>
      <c r="AG293" s="22">
        <f t="shared" si="68"/>
        <v>1.7959512555963141E-3</v>
      </c>
      <c r="AH293" s="22">
        <f t="shared" si="68"/>
        <v>1.8283647948576127E-3</v>
      </c>
      <c r="AI293" s="22">
        <f t="shared" si="68"/>
        <v>1.8620460648760904E-3</v>
      </c>
      <c r="AJ293" s="22">
        <f t="shared" si="68"/>
        <v>1.8966076980279822E-3</v>
      </c>
      <c r="AK293" s="22">
        <f t="shared" si="68"/>
        <v>1.9301361930528979E-3</v>
      </c>
      <c r="AL293" s="22">
        <f t="shared" si="68"/>
        <v>1.9639188039178583E-3</v>
      </c>
      <c r="AM293" s="22">
        <f t="shared" si="68"/>
        <v>1.9991344665452565E-3</v>
      </c>
      <c r="AN293" s="22">
        <f t="shared" si="68"/>
        <v>2.0355161594042262E-3</v>
      </c>
      <c r="AO293" s="22">
        <f t="shared" si="68"/>
        <v>2.0702644022223028E-3</v>
      </c>
      <c r="AP293" s="22">
        <f t="shared" si="68"/>
        <v>2.1057466670458603E-3</v>
      </c>
      <c r="AQ293" s="22">
        <f t="shared" si="68"/>
        <v>2.1420269011426783E-3</v>
      </c>
      <c r="AR293" s="22">
        <f t="shared" si="68"/>
        <v>2.1808250719385831E-3</v>
      </c>
      <c r="AS293" s="22">
        <f t="shared" si="68"/>
        <v>2.2200502478600822E-3</v>
      </c>
      <c r="AT293" s="22">
        <f t="shared" si="68"/>
        <v>2.2435269873202655E-3</v>
      </c>
      <c r="AU293" s="22">
        <f t="shared" si="68"/>
        <v>2.2660916046257488E-3</v>
      </c>
      <c r="AV293" s="22">
        <f t="shared" si="68"/>
        <v>2.2910566520075136E-3</v>
      </c>
      <c r="AW293" s="22">
        <f t="shared" si="68"/>
        <v>2.3153022003678742E-3</v>
      </c>
      <c r="AY293" s="85"/>
    </row>
    <row r="294" spans="1:51" x14ac:dyDescent="0.25">
      <c r="A294" s="102" t="str">
        <f t="shared" si="45"/>
        <v>FA MM Leaching</v>
      </c>
      <c r="B294" s="102" t="s">
        <v>963</v>
      </c>
      <c r="C294" s="102" t="s">
        <v>1334</v>
      </c>
      <c r="D294" t="s">
        <v>369</v>
      </c>
      <c r="E294" t="s">
        <v>64</v>
      </c>
      <c r="F294" t="s">
        <v>63</v>
      </c>
      <c r="G294" t="s">
        <v>1159</v>
      </c>
      <c r="H294" t="s">
        <v>1310</v>
      </c>
      <c r="I294" t="s">
        <v>139</v>
      </c>
      <c r="J294" t="s">
        <v>287</v>
      </c>
      <c r="K294" s="22">
        <f t="shared" si="65"/>
        <v>3.0452527896293373E-2</v>
      </c>
      <c r="L294" s="22">
        <f t="shared" si="68"/>
        <v>3.0297487464546878E-2</v>
      </c>
      <c r="M294" s="22">
        <f t="shared" si="68"/>
        <v>3.0014510280911927E-2</v>
      </c>
      <c r="N294" s="22">
        <f t="shared" si="68"/>
        <v>2.9239921775422131E-2</v>
      </c>
      <c r="O294" s="22">
        <f t="shared" si="68"/>
        <v>2.8496244024993216E-2</v>
      </c>
      <c r="P294" s="22">
        <f t="shared" si="68"/>
        <v>2.8252813512235145E-2</v>
      </c>
      <c r="Q294" s="22">
        <f t="shared" si="68"/>
        <v>2.7859647334891578E-2</v>
      </c>
      <c r="R294" s="22">
        <f t="shared" si="68"/>
        <v>2.6976279512961457E-2</v>
      </c>
      <c r="S294" s="22">
        <f t="shared" si="68"/>
        <v>2.4012489752417959E-2</v>
      </c>
      <c r="T294" s="22">
        <f t="shared" si="68"/>
        <v>2.4599231081869424E-2</v>
      </c>
      <c r="U294" s="22">
        <f t="shared" si="68"/>
        <v>2.4916145495478388E-2</v>
      </c>
      <c r="V294" s="22">
        <f t="shared" si="68"/>
        <v>2.5168037651579767E-2</v>
      </c>
      <c r="W294" s="22">
        <f t="shared" si="68"/>
        <v>2.5506564506487542E-2</v>
      </c>
      <c r="X294" s="22">
        <f t="shared" si="68"/>
        <v>2.6156489707851342E-2</v>
      </c>
      <c r="Y294" s="22">
        <f t="shared" si="68"/>
        <v>2.6867817810745018E-2</v>
      </c>
      <c r="Z294" s="22">
        <f t="shared" si="68"/>
        <v>2.7642884414901984E-2</v>
      </c>
      <c r="AA294" s="22">
        <f t="shared" si="68"/>
        <v>2.8274857178530011E-2</v>
      </c>
      <c r="AB294" s="22">
        <f t="shared" si="68"/>
        <v>2.903345804669211E-2</v>
      </c>
      <c r="AC294" s="22">
        <f t="shared" si="68"/>
        <v>2.9947210077229128E-2</v>
      </c>
      <c r="AD294" s="22">
        <f t="shared" si="68"/>
        <v>3.0549124720733112E-2</v>
      </c>
      <c r="AE294" s="22">
        <f t="shared" si="68"/>
        <v>3.1163959723064422E-2</v>
      </c>
      <c r="AF294" s="22">
        <f t="shared" si="68"/>
        <v>3.1763059028554627E-2</v>
      </c>
      <c r="AG294" s="22">
        <f t="shared" si="68"/>
        <v>3.2456169201335913E-2</v>
      </c>
      <c r="AH294" s="22">
        <f t="shared" si="68"/>
        <v>3.2950083477417874E-2</v>
      </c>
      <c r="AI294" s="22">
        <f t="shared" si="68"/>
        <v>3.3470414487168046E-2</v>
      </c>
      <c r="AJ294" s="22">
        <f t="shared" si="68"/>
        <v>3.3968324488623199E-2</v>
      </c>
      <c r="AK294" s="22">
        <f t="shared" si="68"/>
        <v>3.4370588247873347E-2</v>
      </c>
      <c r="AL294" s="22">
        <f t="shared" si="68"/>
        <v>3.4728582709762659E-2</v>
      </c>
      <c r="AM294" s="22">
        <f t="shared" si="68"/>
        <v>3.5084969822241303E-2</v>
      </c>
      <c r="AN294" s="22">
        <f t="shared" si="68"/>
        <v>3.563350480133385E-2</v>
      </c>
      <c r="AO294" s="22">
        <f t="shared" si="68"/>
        <v>3.6080223845932187E-2</v>
      </c>
      <c r="AP294" s="22">
        <f t="shared" si="68"/>
        <v>3.6509179844635559E-2</v>
      </c>
      <c r="AQ294" s="22">
        <f t="shared" si="68"/>
        <v>3.6921780538289761E-2</v>
      </c>
      <c r="AR294" s="22">
        <f t="shared" si="68"/>
        <v>3.7372669069064057E-2</v>
      </c>
      <c r="AS294" s="22">
        <f t="shared" si="68"/>
        <v>3.781430947824465E-2</v>
      </c>
      <c r="AT294" s="22">
        <f t="shared" si="68"/>
        <v>3.7723318556611311E-2</v>
      </c>
      <c r="AU294" s="22">
        <f t="shared" si="68"/>
        <v>3.7580542556637592E-2</v>
      </c>
      <c r="AV294" s="22">
        <f t="shared" si="68"/>
        <v>3.7486169646009135E-2</v>
      </c>
      <c r="AW294" s="22">
        <f t="shared" si="68"/>
        <v>3.7345735978641013E-2</v>
      </c>
      <c r="AY294" s="85"/>
    </row>
    <row r="295" spans="1:51" x14ac:dyDescent="0.25">
      <c r="A295" s="102" t="str">
        <f t="shared" si="45"/>
        <v>FA MM Leaching</v>
      </c>
      <c r="B295" s="102" t="s">
        <v>963</v>
      </c>
      <c r="C295" s="102" t="s">
        <v>1334</v>
      </c>
      <c r="D295" t="s">
        <v>369</v>
      </c>
      <c r="E295" t="s">
        <v>64</v>
      </c>
      <c r="F295" t="s">
        <v>63</v>
      </c>
      <c r="G295" t="s">
        <v>1161</v>
      </c>
      <c r="H295" t="s">
        <v>1311</v>
      </c>
      <c r="I295" t="s">
        <v>139</v>
      </c>
      <c r="J295" t="s">
        <v>287</v>
      </c>
      <c r="K295" s="22">
        <f t="shared" si="65"/>
        <v>4.0424767632491129E-2</v>
      </c>
      <c r="L295" s="22">
        <f t="shared" si="68"/>
        <v>4.0218956362952633E-2</v>
      </c>
      <c r="M295" s="22">
        <f t="shared" ref="L295:AW301" si="69">M1551</f>
        <v>3.9843313101654371E-2</v>
      </c>
      <c r="N295" s="22">
        <f t="shared" si="69"/>
        <v>3.8815071359232893E-2</v>
      </c>
      <c r="O295" s="22">
        <f t="shared" si="69"/>
        <v>3.7827862666512127E-2</v>
      </c>
      <c r="P295" s="22">
        <f t="shared" si="69"/>
        <v>3.7504716360024323E-2</v>
      </c>
      <c r="Q295" s="22">
        <f t="shared" si="69"/>
        <v>3.6982800694625562E-2</v>
      </c>
      <c r="R295" s="22">
        <f t="shared" si="69"/>
        <v>3.5810157850092082E-2</v>
      </c>
      <c r="S295" s="22">
        <f t="shared" si="69"/>
        <v>3.1875820681448994E-2</v>
      </c>
      <c r="T295" s="22">
        <f t="shared" si="69"/>
        <v>3.2654701238893337E-2</v>
      </c>
      <c r="U295" s="22">
        <f t="shared" si="69"/>
        <v>3.307539509961839E-2</v>
      </c>
      <c r="V295" s="22">
        <f t="shared" si="69"/>
        <v>3.3409773970020318E-2</v>
      </c>
      <c r="W295" s="22">
        <f t="shared" si="69"/>
        <v>3.3859157663013208E-2</v>
      </c>
      <c r="X295" s="22">
        <f t="shared" si="69"/>
        <v>3.4721912812047291E-2</v>
      </c>
      <c r="Y295" s="22">
        <f t="shared" si="69"/>
        <v>3.5666178370816821E-2</v>
      </c>
      <c r="Z295" s="22">
        <f t="shared" si="69"/>
        <v>3.6695054774097693E-2</v>
      </c>
      <c r="AA295" s="22">
        <f t="shared" si="69"/>
        <v>3.7533978629835658E-2</v>
      </c>
      <c r="AB295" s="22">
        <f t="shared" si="69"/>
        <v>3.8540997289360182E-2</v>
      </c>
      <c r="AC295" s="22">
        <f t="shared" si="69"/>
        <v>3.9753974209830296E-2</v>
      </c>
      <c r="AD295" s="22">
        <f t="shared" si="69"/>
        <v>4.0552996861779135E-2</v>
      </c>
      <c r="AE295" s="22">
        <f t="shared" si="69"/>
        <v>4.1369170881427282E-2</v>
      </c>
      <c r="AF295" s="22">
        <f t="shared" si="69"/>
        <v>4.2164456261206094E-2</v>
      </c>
      <c r="AG295" s="22">
        <f t="shared" si="69"/>
        <v>4.3084538093946481E-2</v>
      </c>
      <c r="AH295" s="22">
        <f t="shared" si="69"/>
        <v>4.3740193673968565E-2</v>
      </c>
      <c r="AI295" s="22">
        <f t="shared" si="69"/>
        <v>4.4430916632429117E-2</v>
      </c>
      <c r="AJ295" s="22">
        <f t="shared" si="69"/>
        <v>4.5091876411507692E-2</v>
      </c>
      <c r="AK295" s="22">
        <f t="shared" si="69"/>
        <v>4.5625868829149929E-2</v>
      </c>
      <c r="AL295" s="22">
        <f t="shared" si="69"/>
        <v>4.610109515469106E-2</v>
      </c>
      <c r="AM295" s="22">
        <f t="shared" si="69"/>
        <v>4.6574187774726626E-2</v>
      </c>
      <c r="AN295" s="22">
        <f t="shared" si="69"/>
        <v>4.730235061045656E-2</v>
      </c>
      <c r="AO295" s="22">
        <f t="shared" si="69"/>
        <v>4.7895356013370721E-2</v>
      </c>
      <c r="AP295" s="22">
        <f t="shared" si="69"/>
        <v>4.8464781534667351E-2</v>
      </c>
      <c r="AQ295" s="22">
        <f t="shared" si="69"/>
        <v>4.9012495905795345E-2</v>
      </c>
      <c r="AR295" s="22">
        <f t="shared" si="69"/>
        <v>4.9611036169735952E-2</v>
      </c>
      <c r="AS295" s="22">
        <f t="shared" si="69"/>
        <v>5.019729984475968E-2</v>
      </c>
      <c r="AT295" s="22">
        <f t="shared" si="69"/>
        <v>5.0076512274144176E-2</v>
      </c>
      <c r="AU295" s="22">
        <f t="shared" si="69"/>
        <v>4.9886981649885677E-2</v>
      </c>
      <c r="AV295" s="22">
        <f t="shared" si="69"/>
        <v>4.9761704595844405E-2</v>
      </c>
      <c r="AW295" s="22">
        <f t="shared" si="69"/>
        <v>4.9575283344036727E-2</v>
      </c>
      <c r="AY295" s="85"/>
    </row>
    <row r="296" spans="1:51" x14ac:dyDescent="0.25">
      <c r="A296" s="102" t="str">
        <f t="shared" si="45"/>
        <v>FA MM Leaching</v>
      </c>
      <c r="B296" s="102" t="s">
        <v>963</v>
      </c>
      <c r="C296" s="102" t="s">
        <v>1334</v>
      </c>
      <c r="D296" t="s">
        <v>369</v>
      </c>
      <c r="E296" t="s">
        <v>64</v>
      </c>
      <c r="F296" t="s">
        <v>63</v>
      </c>
      <c r="G296" t="s">
        <v>1163</v>
      </c>
      <c r="H296" t="s">
        <v>1312</v>
      </c>
      <c r="I296" t="s">
        <v>139</v>
      </c>
      <c r="J296" t="s">
        <v>287</v>
      </c>
      <c r="K296" s="22">
        <f t="shared" si="65"/>
        <v>4.2088279910489731E-2</v>
      </c>
      <c r="L296" s="22">
        <f t="shared" si="69"/>
        <v>4.3658426789379527E-2</v>
      </c>
      <c r="M296" s="22">
        <f t="shared" si="69"/>
        <v>4.5069001422451092E-2</v>
      </c>
      <c r="N296" s="22">
        <f t="shared" si="69"/>
        <v>4.5730945940485053E-2</v>
      </c>
      <c r="O296" s="22">
        <f t="shared" si="69"/>
        <v>4.6403018793330496E-2</v>
      </c>
      <c r="P296" s="22">
        <f t="shared" si="69"/>
        <v>4.788652540684897E-2</v>
      </c>
      <c r="Q296" s="22">
        <f t="shared" si="69"/>
        <v>4.9137870108527694E-2</v>
      </c>
      <c r="R296" s="22">
        <f t="shared" si="69"/>
        <v>4.9503165411805869E-2</v>
      </c>
      <c r="S296" s="22">
        <f t="shared" si="69"/>
        <v>4.5839757980885354E-2</v>
      </c>
      <c r="T296" s="22">
        <f t="shared" si="69"/>
        <v>4.8085500350999781E-2</v>
      </c>
      <c r="U296" s="22">
        <f t="shared" si="69"/>
        <v>4.9856457493952649E-2</v>
      </c>
      <c r="V296" s="22">
        <f t="shared" si="69"/>
        <v>5.1535970996810648E-2</v>
      </c>
      <c r="W296" s="22">
        <f t="shared" si="69"/>
        <v>5.3433929282004737E-2</v>
      </c>
      <c r="X296" s="22">
        <f t="shared" si="69"/>
        <v>5.6045654957977475E-2</v>
      </c>
      <c r="Y296" s="22">
        <f t="shared" si="69"/>
        <v>5.8870054591226323E-2</v>
      </c>
      <c r="Z296" s="22">
        <f t="shared" si="69"/>
        <v>6.1923467619543808E-2</v>
      </c>
      <c r="AA296" s="22">
        <f t="shared" si="69"/>
        <v>6.4744057541003291E-2</v>
      </c>
      <c r="AB296" s="22">
        <f t="shared" si="69"/>
        <v>6.7943881457369987E-2</v>
      </c>
      <c r="AC296" s="22">
        <f t="shared" si="69"/>
        <v>7.1612827226360365E-2</v>
      </c>
      <c r="AD296" s="22">
        <f t="shared" si="69"/>
        <v>7.5466807799469487E-2</v>
      </c>
      <c r="AE296" s="22">
        <f t="shared" si="69"/>
        <v>7.9535262123601499E-2</v>
      </c>
      <c r="AF296" s="22">
        <f t="shared" si="69"/>
        <v>8.3755881572647323E-2</v>
      </c>
      <c r="AG296" s="22">
        <f t="shared" si="69"/>
        <v>8.8434352848101333E-2</v>
      </c>
      <c r="AH296" s="22">
        <f t="shared" si="69"/>
        <v>9.2782184706594648E-2</v>
      </c>
      <c r="AI296" s="22">
        <f t="shared" si="69"/>
        <v>9.7412750169741713E-2</v>
      </c>
      <c r="AJ296" s="22">
        <f t="shared" si="69"/>
        <v>0.10219897557201296</v>
      </c>
      <c r="AK296" s="22">
        <f t="shared" si="69"/>
        <v>0.10691951602452639</v>
      </c>
      <c r="AL296" s="22">
        <f t="shared" si="69"/>
        <v>0.11172324406810413</v>
      </c>
      <c r="AM296" s="22">
        <f t="shared" si="69"/>
        <v>0.11675138053848984</v>
      </c>
      <c r="AN296" s="22">
        <f t="shared" si="69"/>
        <v>0.12191034405107851</v>
      </c>
      <c r="AO296" s="22">
        <f t="shared" si="69"/>
        <v>0.12692107733600846</v>
      </c>
      <c r="AP296" s="22">
        <f t="shared" si="69"/>
        <v>0.13206747907789079</v>
      </c>
      <c r="AQ296" s="22">
        <f t="shared" si="69"/>
        <v>0.13735924273618794</v>
      </c>
      <c r="AR296" s="22">
        <f t="shared" si="69"/>
        <v>0.14301065000753557</v>
      </c>
      <c r="AS296" s="22">
        <f t="shared" si="69"/>
        <v>0.14885811067783355</v>
      </c>
      <c r="AT296" s="22">
        <f t="shared" si="69"/>
        <v>0.15279068704125651</v>
      </c>
      <c r="AU296" s="22">
        <f t="shared" si="69"/>
        <v>0.15663721521446686</v>
      </c>
      <c r="AV296" s="22">
        <f t="shared" si="69"/>
        <v>0.16081550018928234</v>
      </c>
      <c r="AW296" s="22">
        <f t="shared" si="69"/>
        <v>0.16493343954400999</v>
      </c>
      <c r="AY296" s="85"/>
    </row>
    <row r="297" spans="1:51" x14ac:dyDescent="0.25">
      <c r="A297" s="102" t="str">
        <f t="shared" si="45"/>
        <v>FA MM Leaching</v>
      </c>
      <c r="B297" s="102" t="s">
        <v>963</v>
      </c>
      <c r="C297" s="102" t="s">
        <v>1334</v>
      </c>
      <c r="D297" t="s">
        <v>369</v>
      </c>
      <c r="E297" t="s">
        <v>64</v>
      </c>
      <c r="F297" t="s">
        <v>63</v>
      </c>
      <c r="G297" t="s">
        <v>1165</v>
      </c>
      <c r="H297" t="s">
        <v>1313</v>
      </c>
      <c r="I297" t="s">
        <v>139</v>
      </c>
      <c r="J297" t="s">
        <v>287</v>
      </c>
      <c r="K297" s="22">
        <f t="shared" si="65"/>
        <v>4.3939271631598543E-3</v>
      </c>
      <c r="L297" s="22">
        <f t="shared" si="69"/>
        <v>4.3962984818877171E-3</v>
      </c>
      <c r="M297" s="22">
        <f t="shared" si="69"/>
        <v>4.4017499414647923E-3</v>
      </c>
      <c r="N297" s="22">
        <f t="shared" si="69"/>
        <v>4.4098431410874153E-3</v>
      </c>
      <c r="O297" s="22">
        <f t="shared" si="69"/>
        <v>4.4207667549247352E-3</v>
      </c>
      <c r="P297" s="22">
        <f t="shared" si="69"/>
        <v>4.4347403177031263E-3</v>
      </c>
      <c r="Q297" s="22">
        <f t="shared" si="69"/>
        <v>4.4501377302209226E-3</v>
      </c>
      <c r="R297" s="22">
        <f t="shared" si="69"/>
        <v>4.4667198464041179E-3</v>
      </c>
      <c r="S297" s="22">
        <f t="shared" si="69"/>
        <v>4.4831484324149608E-3</v>
      </c>
      <c r="T297" s="22">
        <f t="shared" si="69"/>
        <v>4.4898717427697809E-3</v>
      </c>
      <c r="U297" s="22">
        <f t="shared" si="69"/>
        <v>4.4975062704204526E-3</v>
      </c>
      <c r="V297" s="22">
        <f t="shared" si="69"/>
        <v>4.5061403809784359E-3</v>
      </c>
      <c r="W297" s="22">
        <f t="shared" si="69"/>
        <v>4.5158367053022919E-3</v>
      </c>
      <c r="X297" s="22">
        <f t="shared" si="69"/>
        <v>4.526732327246351E-3</v>
      </c>
      <c r="Y297" s="22">
        <f t="shared" si="69"/>
        <v>4.5335830197240166E-3</v>
      </c>
      <c r="Z297" s="22">
        <f t="shared" si="69"/>
        <v>4.5412972482123245E-3</v>
      </c>
      <c r="AA297" s="22">
        <f t="shared" si="69"/>
        <v>4.5496603151243516E-3</v>
      </c>
      <c r="AB297" s="22">
        <f t="shared" si="69"/>
        <v>4.558868291538884E-3</v>
      </c>
      <c r="AC297" s="22">
        <f t="shared" si="69"/>
        <v>4.5689201230950608E-3</v>
      </c>
      <c r="AD297" s="22">
        <f t="shared" si="69"/>
        <v>4.5755732338553573E-3</v>
      </c>
      <c r="AE297" s="22">
        <f t="shared" si="69"/>
        <v>4.5828736540396882E-3</v>
      </c>
      <c r="AF297" s="22">
        <f t="shared" si="69"/>
        <v>4.5907723416262498E-3</v>
      </c>
      <c r="AG297" s="22">
        <f t="shared" si="69"/>
        <v>4.5993548004809003E-3</v>
      </c>
      <c r="AH297" s="22">
        <f t="shared" si="69"/>
        <v>4.608317319688404E-3</v>
      </c>
      <c r="AI297" s="22">
        <f t="shared" si="69"/>
        <v>4.614051297103656E-3</v>
      </c>
      <c r="AJ297" s="22">
        <f t="shared" si="69"/>
        <v>4.6202716852182099E-3</v>
      </c>
      <c r="AK297" s="22">
        <f t="shared" si="69"/>
        <v>4.6268842765144489E-3</v>
      </c>
      <c r="AL297" s="22">
        <f t="shared" si="69"/>
        <v>4.6339252685925585E-3</v>
      </c>
      <c r="AM297" s="22">
        <f t="shared" si="69"/>
        <v>4.6414276467124371E-3</v>
      </c>
      <c r="AN297" s="22">
        <f t="shared" si="69"/>
        <v>4.6458494434601398E-3</v>
      </c>
      <c r="AO297" s="22">
        <f t="shared" si="69"/>
        <v>4.650560968895651E-3</v>
      </c>
      <c r="AP297" s="22">
        <f t="shared" si="69"/>
        <v>4.6556452517360746E-3</v>
      </c>
      <c r="AQ297" s="22">
        <f t="shared" si="69"/>
        <v>4.6610933229495489E-3</v>
      </c>
      <c r="AR297" s="22">
        <f t="shared" si="69"/>
        <v>4.6669636754851076E-3</v>
      </c>
      <c r="AS297" s="22">
        <f t="shared" si="69"/>
        <v>4.6696094397021678E-3</v>
      </c>
      <c r="AT297" s="22">
        <f t="shared" si="69"/>
        <v>4.671905929653092E-3</v>
      </c>
      <c r="AU297" s="22">
        <f t="shared" si="69"/>
        <v>4.6744411838373096E-3</v>
      </c>
      <c r="AV297" s="22">
        <f t="shared" si="69"/>
        <v>4.6773396676684084E-3</v>
      </c>
      <c r="AW297" s="22">
        <f t="shared" si="69"/>
        <v>4.6804674678318113E-3</v>
      </c>
      <c r="AY297" s="85"/>
    </row>
    <row r="298" spans="1:51" x14ac:dyDescent="0.25">
      <c r="A298" s="102" t="str">
        <f t="shared" si="45"/>
        <v>FA MM Leaching</v>
      </c>
      <c r="B298" s="102" t="s">
        <v>963</v>
      </c>
      <c r="C298" s="102" t="s">
        <v>1334</v>
      </c>
      <c r="D298" t="s">
        <v>369</v>
      </c>
      <c r="E298" t="s">
        <v>64</v>
      </c>
      <c r="F298" t="s">
        <v>63</v>
      </c>
      <c r="G298" t="s">
        <v>1167</v>
      </c>
      <c r="H298" t="s">
        <v>1314</v>
      </c>
      <c r="I298" t="s">
        <v>139</v>
      </c>
      <c r="J298" t="s">
        <v>287</v>
      </c>
      <c r="K298" s="22">
        <f t="shared" si="65"/>
        <v>3.6549565945200539E-3</v>
      </c>
      <c r="L298" s="22">
        <f t="shared" si="69"/>
        <v>3.6569291049191287E-3</v>
      </c>
      <c r="M298" s="22">
        <f t="shared" si="69"/>
        <v>3.6614637381506597E-3</v>
      </c>
      <c r="N298" s="22">
        <f t="shared" si="69"/>
        <v>3.6681958236479987E-3</v>
      </c>
      <c r="O298" s="22">
        <f t="shared" si="69"/>
        <v>3.677282304362893E-3</v>
      </c>
      <c r="P298" s="22">
        <f t="shared" si="69"/>
        <v>3.6889057936765148E-3</v>
      </c>
      <c r="Q298" s="22">
        <f t="shared" si="69"/>
        <v>3.7017136697133114E-3</v>
      </c>
      <c r="R298" s="22">
        <f t="shared" si="69"/>
        <v>3.7155070059804707E-3</v>
      </c>
      <c r="S298" s="22">
        <f t="shared" si="69"/>
        <v>3.7291726327761108E-3</v>
      </c>
      <c r="T298" s="22">
        <f t="shared" si="69"/>
        <v>3.734765216951012E-3</v>
      </c>
      <c r="U298" s="22">
        <f t="shared" si="69"/>
        <v>3.7411157699180305E-3</v>
      </c>
      <c r="V298" s="22">
        <f t="shared" si="69"/>
        <v>3.7482977959621354E-3</v>
      </c>
      <c r="W298" s="22">
        <f t="shared" si="69"/>
        <v>3.7563633926855455E-3</v>
      </c>
      <c r="X298" s="22">
        <f t="shared" si="69"/>
        <v>3.7654265891831403E-3</v>
      </c>
      <c r="Y298" s="22">
        <f t="shared" si="69"/>
        <v>3.7711251323584139E-3</v>
      </c>
      <c r="Z298" s="22">
        <f t="shared" si="69"/>
        <v>3.7775419820780388E-3</v>
      </c>
      <c r="AA298" s="22">
        <f t="shared" si="69"/>
        <v>3.7844985485902928E-3</v>
      </c>
      <c r="AB298" s="22">
        <f t="shared" si="69"/>
        <v>3.7921579277444711E-3</v>
      </c>
      <c r="AC298" s="22">
        <f t="shared" si="69"/>
        <v>3.8005192425020961E-3</v>
      </c>
      <c r="AD298" s="22">
        <f t="shared" si="69"/>
        <v>3.8060534332486559E-3</v>
      </c>
      <c r="AE298" s="22">
        <f t="shared" si="69"/>
        <v>3.812126068935291E-3</v>
      </c>
      <c r="AF298" s="22">
        <f t="shared" si="69"/>
        <v>3.8186963554262946E-3</v>
      </c>
      <c r="AG298" s="22">
        <f t="shared" si="69"/>
        <v>3.8258354165493381E-3</v>
      </c>
      <c r="AH298" s="22">
        <f t="shared" si="69"/>
        <v>3.8332906194838865E-3</v>
      </c>
      <c r="AI298" s="22">
        <f t="shared" si="69"/>
        <v>3.8380602567101062E-3</v>
      </c>
      <c r="AJ298" s="22">
        <f t="shared" si="69"/>
        <v>3.8432345000954712E-3</v>
      </c>
      <c r="AK298" s="22">
        <f t="shared" si="69"/>
        <v>3.8487349859405015E-3</v>
      </c>
      <c r="AL298" s="22">
        <f t="shared" si="69"/>
        <v>3.854591824133819E-3</v>
      </c>
      <c r="AM298" s="22">
        <f t="shared" si="69"/>
        <v>3.860832452475075E-3</v>
      </c>
      <c r="AN298" s="22">
        <f t="shared" si="69"/>
        <v>3.8645105915480556E-3</v>
      </c>
      <c r="AO298" s="22">
        <f t="shared" si="69"/>
        <v>3.868429732744831E-3</v>
      </c>
      <c r="AP298" s="22">
        <f t="shared" si="69"/>
        <v>3.8726589410147858E-3</v>
      </c>
      <c r="AQ298" s="22">
        <f t="shared" si="69"/>
        <v>3.8771907557376274E-3</v>
      </c>
      <c r="AR298" s="22">
        <f t="shared" si="69"/>
        <v>3.8820738325195756E-3</v>
      </c>
      <c r="AS298" s="22">
        <f t="shared" si="69"/>
        <v>3.8842746321718241E-3</v>
      </c>
      <c r="AT298" s="22">
        <f t="shared" si="69"/>
        <v>3.8861848984959361E-3</v>
      </c>
      <c r="AU298" s="22">
        <f t="shared" si="69"/>
        <v>3.8882937736901091E-3</v>
      </c>
      <c r="AV298" s="22">
        <f t="shared" si="69"/>
        <v>3.8907047905775548E-3</v>
      </c>
      <c r="AW298" s="22">
        <f t="shared" si="69"/>
        <v>3.893306557381843E-3</v>
      </c>
      <c r="AY298" s="85"/>
    </row>
    <row r="299" spans="1:51" x14ac:dyDescent="0.25">
      <c r="A299" s="102" t="str">
        <f t="shared" si="45"/>
        <v>FA MM Leaching</v>
      </c>
      <c r="B299" s="102" t="s">
        <v>963</v>
      </c>
      <c r="C299" s="102" t="s">
        <v>1334</v>
      </c>
      <c r="D299" t="s">
        <v>369</v>
      </c>
      <c r="E299" t="s">
        <v>64</v>
      </c>
      <c r="F299" t="s">
        <v>63</v>
      </c>
      <c r="G299" t="s">
        <v>1169</v>
      </c>
      <c r="H299" t="s">
        <v>1315</v>
      </c>
      <c r="I299" t="s">
        <v>139</v>
      </c>
      <c r="J299" t="s">
        <v>287</v>
      </c>
      <c r="K299" s="22">
        <f t="shared" si="65"/>
        <v>5.4310526355704706E-4</v>
      </c>
      <c r="L299" s="22">
        <f t="shared" si="69"/>
        <v>5.4451688444022309E-4</v>
      </c>
      <c r="M299" s="22">
        <f t="shared" si="69"/>
        <v>5.4642048272795488E-4</v>
      </c>
      <c r="N299" s="22">
        <f t="shared" si="69"/>
        <v>5.4873901711368408E-4</v>
      </c>
      <c r="O299" s="22">
        <f t="shared" si="69"/>
        <v>5.5151606201275956E-4</v>
      </c>
      <c r="P299" s="22">
        <f t="shared" si="69"/>
        <v>5.5479917019086967E-4</v>
      </c>
      <c r="Q299" s="22">
        <f t="shared" si="69"/>
        <v>5.5827861691807733E-4</v>
      </c>
      <c r="R299" s="22">
        <f t="shared" si="69"/>
        <v>5.6191368988015911E-4</v>
      </c>
      <c r="S299" s="22">
        <f t="shared" si="69"/>
        <v>5.6545265172179603E-4</v>
      </c>
      <c r="T299" s="22">
        <f t="shared" si="69"/>
        <v>5.6707582821690196E-4</v>
      </c>
      <c r="U299" s="22">
        <f t="shared" si="69"/>
        <v>5.688262569994144E-4</v>
      </c>
      <c r="V299" s="22">
        <f t="shared" si="69"/>
        <v>5.7072343735121143E-4</v>
      </c>
      <c r="W299" s="22">
        <f t="shared" si="69"/>
        <v>5.7278141367930822E-4</v>
      </c>
      <c r="X299" s="22">
        <f t="shared" si="69"/>
        <v>5.7502787156601661E-4</v>
      </c>
      <c r="Y299" s="22">
        <f t="shared" si="69"/>
        <v>5.7647376885579151E-4</v>
      </c>
      <c r="Z299" s="22">
        <f t="shared" si="69"/>
        <v>5.7805165552479612E-4</v>
      </c>
      <c r="AA299" s="22">
        <f t="shared" si="69"/>
        <v>5.7972228180818623E-4</v>
      </c>
      <c r="AB299" s="22">
        <f t="shared" si="69"/>
        <v>5.8152362966634491E-4</v>
      </c>
      <c r="AC299" s="22">
        <f t="shared" si="69"/>
        <v>5.8345630636338756E-4</v>
      </c>
      <c r="AD299" s="22">
        <f t="shared" si="69"/>
        <v>5.8472841865727081E-4</v>
      </c>
      <c r="AE299" s="22">
        <f t="shared" si="69"/>
        <v>5.8609967948546591E-4</v>
      </c>
      <c r="AF299" s="22">
        <f t="shared" si="69"/>
        <v>5.8756155218491358E-4</v>
      </c>
      <c r="AG299" s="22">
        <f t="shared" si="69"/>
        <v>5.8913046785545045E-4</v>
      </c>
      <c r="AH299" s="22">
        <f t="shared" si="69"/>
        <v>5.907505198986619E-4</v>
      </c>
      <c r="AI299" s="22">
        <f t="shared" si="69"/>
        <v>5.9175481340963034E-4</v>
      </c>
      <c r="AJ299" s="22">
        <f t="shared" si="69"/>
        <v>5.9283358105937484E-4</v>
      </c>
      <c r="AK299" s="22">
        <f t="shared" si="69"/>
        <v>5.9396979223100309E-4</v>
      </c>
      <c r="AL299" s="22">
        <f t="shared" si="69"/>
        <v>5.951704835417687E-4</v>
      </c>
      <c r="AM299" s="22">
        <f t="shared" si="69"/>
        <v>5.9644200781221212E-4</v>
      </c>
      <c r="AN299" s="22">
        <f t="shared" si="69"/>
        <v>5.9713531651955909E-4</v>
      </c>
      <c r="AO299" s="22">
        <f t="shared" si="69"/>
        <v>5.9787071978947392E-4</v>
      </c>
      <c r="AP299" s="22">
        <f t="shared" si="69"/>
        <v>5.9866365286918302E-4</v>
      </c>
      <c r="AQ299" s="22">
        <f t="shared" si="69"/>
        <v>5.995126405769686E-4</v>
      </c>
      <c r="AR299" s="22">
        <f t="shared" si="69"/>
        <v>6.0042847554345289E-4</v>
      </c>
      <c r="AS299" s="22">
        <f t="shared" si="69"/>
        <v>6.0074837701766222E-4</v>
      </c>
      <c r="AT299" s="22">
        <f t="shared" si="69"/>
        <v>6.009974007852993E-4</v>
      </c>
      <c r="AU299" s="22">
        <f t="shared" si="69"/>
        <v>6.0128274641363551E-4</v>
      </c>
      <c r="AV299" s="22">
        <f t="shared" si="69"/>
        <v>6.0162705109906029E-4</v>
      </c>
      <c r="AW299" s="22">
        <f t="shared" si="69"/>
        <v>6.0200613236202735E-4</v>
      </c>
      <c r="AY299" s="85"/>
    </row>
    <row r="300" spans="1:51" x14ac:dyDescent="0.25">
      <c r="A300" s="102" t="str">
        <f t="shared" si="45"/>
        <v>FA MM Leaching</v>
      </c>
      <c r="B300" s="102" t="s">
        <v>963</v>
      </c>
      <c r="C300" s="102" t="s">
        <v>1334</v>
      </c>
      <c r="D300" t="s">
        <v>369</v>
      </c>
      <c r="E300" t="s">
        <v>64</v>
      </c>
      <c r="F300" t="s">
        <v>63</v>
      </c>
      <c r="G300" t="s">
        <v>1171</v>
      </c>
      <c r="H300" t="s">
        <v>1316</v>
      </c>
      <c r="I300" t="s">
        <v>139</v>
      </c>
      <c r="J300" t="s">
        <v>287</v>
      </c>
      <c r="K300" s="22">
        <f t="shared" si="65"/>
        <v>6.697719658610918E-3</v>
      </c>
      <c r="L300" s="22">
        <f t="shared" si="69"/>
        <v>6.7151281456468035E-3</v>
      </c>
      <c r="M300" s="22">
        <f t="shared" si="69"/>
        <v>6.7386038298821848E-3</v>
      </c>
      <c r="N300" s="22">
        <f t="shared" si="69"/>
        <v>6.7671966172780547E-3</v>
      </c>
      <c r="O300" s="22">
        <f t="shared" si="69"/>
        <v>6.801443879202132E-3</v>
      </c>
      <c r="P300" s="22">
        <f t="shared" si="69"/>
        <v>6.8419320491046936E-3</v>
      </c>
      <c r="Q300" s="22">
        <f t="shared" si="69"/>
        <v>6.8848415186120908E-3</v>
      </c>
      <c r="R300" s="22">
        <f t="shared" si="69"/>
        <v>6.9296702125547019E-3</v>
      </c>
      <c r="S300" s="22">
        <f t="shared" si="69"/>
        <v>6.9733136384028775E-3</v>
      </c>
      <c r="T300" s="22">
        <f t="shared" si="69"/>
        <v>6.9933310859405127E-3</v>
      </c>
      <c r="U300" s="22">
        <f t="shared" si="69"/>
        <v>7.0149178427891682E-3</v>
      </c>
      <c r="V300" s="22">
        <f t="shared" si="69"/>
        <v>7.0383143793186411E-3</v>
      </c>
      <c r="W300" s="22">
        <f t="shared" si="69"/>
        <v>7.0636938949200419E-3</v>
      </c>
      <c r="X300" s="22">
        <f t="shared" si="69"/>
        <v>7.0913978156139906E-3</v>
      </c>
      <c r="Y300" s="22">
        <f t="shared" si="69"/>
        <v>7.1092290084818878E-3</v>
      </c>
      <c r="Z300" s="22">
        <f t="shared" si="69"/>
        <v>7.1286879297466866E-3</v>
      </c>
      <c r="AA300" s="22">
        <f t="shared" si="69"/>
        <v>7.1492905407896492E-3</v>
      </c>
      <c r="AB300" s="22">
        <f t="shared" si="69"/>
        <v>7.1715052453251351E-3</v>
      </c>
      <c r="AC300" s="22">
        <f t="shared" si="69"/>
        <v>7.1953395322969481E-3</v>
      </c>
      <c r="AD300" s="22">
        <f t="shared" si="69"/>
        <v>7.2110275620223471E-3</v>
      </c>
      <c r="AE300" s="22">
        <f t="shared" si="69"/>
        <v>7.2279383180439954E-3</v>
      </c>
      <c r="AF300" s="22">
        <f t="shared" si="69"/>
        <v>7.2459665239452764E-3</v>
      </c>
      <c r="AG300" s="22">
        <f t="shared" si="69"/>
        <v>7.2653148124528005E-3</v>
      </c>
      <c r="AH300" s="22">
        <f t="shared" si="69"/>
        <v>7.2852937284123434E-3</v>
      </c>
      <c r="AI300" s="22">
        <f t="shared" si="69"/>
        <v>7.2976789451332669E-3</v>
      </c>
      <c r="AJ300" s="22">
        <f t="shared" si="69"/>
        <v>7.3109825968921283E-3</v>
      </c>
      <c r="AK300" s="22">
        <f t="shared" si="69"/>
        <v>7.3249946575573233E-3</v>
      </c>
      <c r="AL300" s="22">
        <f t="shared" si="69"/>
        <v>7.3398019045785847E-3</v>
      </c>
      <c r="AM300" s="22">
        <f t="shared" si="69"/>
        <v>7.3554826826413384E-3</v>
      </c>
      <c r="AN300" s="22">
        <f t="shared" si="69"/>
        <v>7.3640327514222425E-3</v>
      </c>
      <c r="AO300" s="22">
        <f t="shared" si="69"/>
        <v>7.3731019416297819E-3</v>
      </c>
      <c r="AP300" s="22">
        <f t="shared" si="69"/>
        <v>7.3828806048692958E-3</v>
      </c>
      <c r="AQ300" s="22">
        <f t="shared" si="69"/>
        <v>7.3933505488044948E-3</v>
      </c>
      <c r="AR300" s="22">
        <f t="shared" si="69"/>
        <v>7.4046448710485676E-3</v>
      </c>
      <c r="AS300" s="22">
        <f t="shared" si="69"/>
        <v>7.4085899817598836E-3</v>
      </c>
      <c r="AT300" s="22">
        <f t="shared" si="69"/>
        <v>7.411661009599016E-3</v>
      </c>
      <c r="AU300" s="22">
        <f t="shared" si="69"/>
        <v>7.4151799683582981E-3</v>
      </c>
      <c r="AV300" s="22">
        <f t="shared" si="69"/>
        <v>7.4194260260102111E-3</v>
      </c>
      <c r="AW300" s="22">
        <f t="shared" si="69"/>
        <v>7.4241009577362587E-3</v>
      </c>
      <c r="AY300" s="85"/>
    </row>
    <row r="301" spans="1:51" x14ac:dyDescent="0.25">
      <c r="A301" s="102" t="str">
        <f t="shared" si="45"/>
        <v>FA MM Leaching</v>
      </c>
      <c r="B301" s="102" t="s">
        <v>963</v>
      </c>
      <c r="C301" s="102" t="s">
        <v>1334</v>
      </c>
      <c r="D301" t="s">
        <v>369</v>
      </c>
      <c r="E301" t="s">
        <v>64</v>
      </c>
      <c r="F301" t="s">
        <v>63</v>
      </c>
      <c r="G301" t="s">
        <v>1173</v>
      </c>
      <c r="H301" t="s">
        <v>1317</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85"/>
    </row>
    <row r="302" spans="1:51" x14ac:dyDescent="0.25">
      <c r="A302" s="102" t="str">
        <f t="shared" si="45"/>
        <v>FA MM Leaching</v>
      </c>
      <c r="B302" s="102" t="s">
        <v>963</v>
      </c>
      <c r="C302" s="102" t="s">
        <v>1334</v>
      </c>
      <c r="D302" t="s">
        <v>369</v>
      </c>
      <c r="E302" t="s">
        <v>64</v>
      </c>
      <c r="F302" t="s">
        <v>63</v>
      </c>
      <c r="G302" t="s">
        <v>1175</v>
      </c>
      <c r="H302" t="s">
        <v>1318</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85"/>
    </row>
    <row r="303" spans="1:51" x14ac:dyDescent="0.25">
      <c r="A303" s="102" t="str">
        <f t="shared" si="45"/>
        <v>FA MM Leaching</v>
      </c>
      <c r="B303" s="102" t="s">
        <v>963</v>
      </c>
      <c r="C303" s="102" t="s">
        <v>1334</v>
      </c>
      <c r="D303" t="s">
        <v>369</v>
      </c>
      <c r="E303" t="s">
        <v>64</v>
      </c>
      <c r="F303" t="s">
        <v>63</v>
      </c>
      <c r="G303" t="s">
        <v>1177</v>
      </c>
      <c r="H303" t="s">
        <v>1319</v>
      </c>
      <c r="I303" t="s">
        <v>139</v>
      </c>
      <c r="J303" t="s">
        <v>287</v>
      </c>
      <c r="K303" s="22">
        <f t="shared" si="65"/>
        <v>2.6982078121909357E-2</v>
      </c>
      <c r="L303" s="22">
        <f t="shared" si="70"/>
        <v>2.6934390428910333E-2</v>
      </c>
      <c r="M303" s="22">
        <f t="shared" si="70"/>
        <v>2.6783274405865188E-2</v>
      </c>
      <c r="N303" s="22">
        <f t="shared" si="70"/>
        <v>2.6192267209513419E-2</v>
      </c>
      <c r="O303" s="22">
        <f t="shared" si="70"/>
        <v>2.5633374369749509E-2</v>
      </c>
      <c r="P303" s="22">
        <f t="shared" si="70"/>
        <v>2.5543167875320214E-2</v>
      </c>
      <c r="Q303" s="22">
        <f t="shared" si="70"/>
        <v>2.5324190264718272E-2</v>
      </c>
      <c r="R303" s="22">
        <f t="shared" si="70"/>
        <v>2.4649754195953832E-2</v>
      </c>
      <c r="S303" s="22">
        <f t="shared" si="70"/>
        <v>2.1986440242697105E-2</v>
      </c>
      <c r="T303" s="22">
        <f t="shared" si="70"/>
        <v>2.2459382037487714E-2</v>
      </c>
      <c r="U303" s="22">
        <f t="shared" si="70"/>
        <v>2.2677163181325274E-2</v>
      </c>
      <c r="V303" s="22">
        <f t="shared" si="70"/>
        <v>2.2835775026532532E-2</v>
      </c>
      <c r="W303" s="22">
        <f t="shared" si="70"/>
        <v>2.3079286947691565E-2</v>
      </c>
      <c r="X303" s="22">
        <f t="shared" si="70"/>
        <v>2.3620053405793831E-2</v>
      </c>
      <c r="Y303" s="22">
        <f t="shared" si="70"/>
        <v>2.4228655926871678E-2</v>
      </c>
      <c r="Z303" s="22">
        <f t="shared" si="70"/>
        <v>2.4898369682135196E-2</v>
      </c>
      <c r="AA303" s="22">
        <f t="shared" si="70"/>
        <v>2.5433899737352311E-2</v>
      </c>
      <c r="AB303" s="22">
        <f t="shared" si="70"/>
        <v>2.6089827744283384E-2</v>
      </c>
      <c r="AC303" s="22">
        <f t="shared" si="70"/>
        <v>2.6892532780101251E-2</v>
      </c>
      <c r="AD303" s="22">
        <f t="shared" si="70"/>
        <v>2.765233127370078E-2</v>
      </c>
      <c r="AE303" s="22">
        <f t="shared" si="70"/>
        <v>2.844311383554287E-2</v>
      </c>
      <c r="AF303" s="22">
        <f t="shared" si="70"/>
        <v>2.9238533170233168E-2</v>
      </c>
      <c r="AG303" s="22">
        <f t="shared" si="70"/>
        <v>3.0145690863199903E-2</v>
      </c>
      <c r="AH303" s="22">
        <f t="shared" si="70"/>
        <v>3.0881151333925026E-2</v>
      </c>
      <c r="AI303" s="22">
        <f t="shared" si="70"/>
        <v>3.1669222082767075E-2</v>
      </c>
      <c r="AJ303" s="22">
        <f t="shared" si="70"/>
        <v>3.2457441724053543E-2</v>
      </c>
      <c r="AK303" s="22">
        <f t="shared" si="70"/>
        <v>3.3172825686084956E-2</v>
      </c>
      <c r="AL303" s="22">
        <f t="shared" si="70"/>
        <v>3.3866021539857898E-2</v>
      </c>
      <c r="AM303" s="22">
        <f t="shared" si="70"/>
        <v>3.4580695535334494E-2</v>
      </c>
      <c r="AN303" s="22">
        <f t="shared" si="70"/>
        <v>3.533625219682867E-2</v>
      </c>
      <c r="AO303" s="22">
        <f t="shared" si="70"/>
        <v>3.6000537608691721E-2</v>
      </c>
      <c r="AP303" s="22">
        <f t="shared" si="70"/>
        <v>3.6659982916673862E-2</v>
      </c>
      <c r="AQ303" s="22">
        <f t="shared" si="70"/>
        <v>3.7316341493198645E-2</v>
      </c>
      <c r="AR303" s="22">
        <f t="shared" si="70"/>
        <v>3.8027563583719087E-2</v>
      </c>
      <c r="AS303" s="22">
        <f t="shared" si="70"/>
        <v>3.8749103478920827E-2</v>
      </c>
      <c r="AT303" s="22">
        <f t="shared" si="70"/>
        <v>3.891780999751282E-2</v>
      </c>
      <c r="AU303" s="22">
        <f t="shared" si="70"/>
        <v>3.9040104024398906E-2</v>
      </c>
      <c r="AV303" s="22">
        <f t="shared" si="70"/>
        <v>3.9223694745257554E-2</v>
      </c>
      <c r="AW303" s="22">
        <f t="shared" si="70"/>
        <v>3.9367042653132414E-2</v>
      </c>
      <c r="AY303" s="85"/>
    </row>
    <row r="304" spans="1:51" x14ac:dyDescent="0.25">
      <c r="A304" s="102" t="str">
        <f t="shared" si="45"/>
        <v>FA MM Leaching</v>
      </c>
      <c r="B304" s="102" t="s">
        <v>963</v>
      </c>
      <c r="C304" s="102" t="s">
        <v>1334</v>
      </c>
      <c r="D304" t="s">
        <v>369</v>
      </c>
      <c r="E304" t="s">
        <v>64</v>
      </c>
      <c r="F304" t="s">
        <v>63</v>
      </c>
      <c r="G304" t="s">
        <v>1179</v>
      </c>
      <c r="H304" t="s">
        <v>1320</v>
      </c>
      <c r="I304" t="s">
        <v>139</v>
      </c>
      <c r="J304" t="s">
        <v>287</v>
      </c>
      <c r="K304" s="22">
        <f t="shared" si="65"/>
        <v>4.0326044819915296E-3</v>
      </c>
      <c r="L304" s="22">
        <f t="shared" si="70"/>
        <v>4.0254773213757008E-3</v>
      </c>
      <c r="M304" s="22">
        <f t="shared" si="70"/>
        <v>4.0028922873735296E-3</v>
      </c>
      <c r="N304" s="22">
        <f t="shared" si="70"/>
        <v>3.9145633507316107E-3</v>
      </c>
      <c r="O304" s="22">
        <f t="shared" si="70"/>
        <v>3.8310340628686856E-3</v>
      </c>
      <c r="P304" s="22">
        <f t="shared" si="70"/>
        <v>3.8175522579425875E-3</v>
      </c>
      <c r="Q304" s="22">
        <f t="shared" si="70"/>
        <v>3.7848249754115887E-3</v>
      </c>
      <c r="R304" s="22">
        <f t="shared" si="70"/>
        <v>3.6840271828387553E-3</v>
      </c>
      <c r="S304" s="22">
        <f t="shared" si="70"/>
        <v>3.2859817937353586E-3</v>
      </c>
      <c r="T304" s="22">
        <f t="shared" si="70"/>
        <v>3.3566652745546173E-3</v>
      </c>
      <c r="U304" s="22">
        <f t="shared" si="70"/>
        <v>3.3892137392341954E-3</v>
      </c>
      <c r="V304" s="22">
        <f t="shared" si="70"/>
        <v>3.4129190607809592E-3</v>
      </c>
      <c r="W304" s="22">
        <f t="shared" si="70"/>
        <v>3.4493131168743213E-3</v>
      </c>
      <c r="X304" s="22">
        <f t="shared" si="70"/>
        <v>3.5301333277120909E-3</v>
      </c>
      <c r="Y304" s="22">
        <f t="shared" si="70"/>
        <v>3.6210919723042977E-3</v>
      </c>
      <c r="Z304" s="22">
        <f t="shared" si="70"/>
        <v>3.7211839918635339E-3</v>
      </c>
      <c r="AA304" s="22">
        <f t="shared" si="70"/>
        <v>3.801221596496966E-3</v>
      </c>
      <c r="AB304" s="22">
        <f t="shared" si="70"/>
        <v>3.8992532680629222E-3</v>
      </c>
      <c r="AC304" s="22">
        <f t="shared" si="70"/>
        <v>4.0192214895813328E-3</v>
      </c>
      <c r="AD304" s="22">
        <f t="shared" si="70"/>
        <v>4.1327771170187903E-3</v>
      </c>
      <c r="AE304" s="22">
        <f t="shared" si="70"/>
        <v>4.250963466074527E-3</v>
      </c>
      <c r="AF304" s="22">
        <f t="shared" si="70"/>
        <v>4.3698428036719628E-3</v>
      </c>
      <c r="AG304" s="22">
        <f t="shared" si="70"/>
        <v>4.5054219893077892E-3</v>
      </c>
      <c r="AH304" s="22">
        <f t="shared" si="70"/>
        <v>4.6153401793439189E-3</v>
      </c>
      <c r="AI304" s="22">
        <f t="shared" si="70"/>
        <v>4.7331212345891162E-3</v>
      </c>
      <c r="AJ304" s="22">
        <f t="shared" si="70"/>
        <v>4.8509245425435391E-3</v>
      </c>
      <c r="AK304" s="22">
        <f t="shared" si="70"/>
        <v>4.9578421994637533E-3</v>
      </c>
      <c r="AL304" s="22">
        <f t="shared" si="70"/>
        <v>5.061443734311913E-3</v>
      </c>
      <c r="AM304" s="22">
        <f t="shared" si="70"/>
        <v>5.1682552832333995E-3</v>
      </c>
      <c r="AN304" s="22">
        <f t="shared" si="70"/>
        <v>5.2811769479685538E-3</v>
      </c>
      <c r="AO304" s="22">
        <f t="shared" si="70"/>
        <v>5.3804576748679887E-3</v>
      </c>
      <c r="AP304" s="22">
        <f t="shared" si="70"/>
        <v>5.4790150244013337E-3</v>
      </c>
      <c r="AQ304" s="22">
        <f t="shared" si="70"/>
        <v>5.5771110467139461E-3</v>
      </c>
      <c r="AR304" s="22">
        <f t="shared" si="70"/>
        <v>5.6834066914365532E-3</v>
      </c>
      <c r="AS304" s="22">
        <f t="shared" si="70"/>
        <v>5.7912443828915926E-3</v>
      </c>
      <c r="AT304" s="22">
        <f t="shared" si="70"/>
        <v>5.8164584030994289E-3</v>
      </c>
      <c r="AU304" s="22">
        <f t="shared" si="70"/>
        <v>5.8347358478060014E-3</v>
      </c>
      <c r="AV304" s="22">
        <f t="shared" si="70"/>
        <v>5.8621743853582847E-3</v>
      </c>
      <c r="AW304" s="22">
        <f t="shared" si="70"/>
        <v>5.8835984362845513E-3</v>
      </c>
      <c r="AY304" s="85"/>
    </row>
    <row r="305" spans="1:51" x14ac:dyDescent="0.25">
      <c r="A305" s="102" t="str">
        <f t="shared" si="45"/>
        <v>FA MM Leaching</v>
      </c>
      <c r="B305" s="102" t="s">
        <v>963</v>
      </c>
      <c r="C305" s="102" t="s">
        <v>1334</v>
      </c>
      <c r="D305" t="s">
        <v>369</v>
      </c>
      <c r="E305" t="s">
        <v>64</v>
      </c>
      <c r="F305" t="s">
        <v>63</v>
      </c>
      <c r="G305" t="s">
        <v>1181</v>
      </c>
      <c r="H305" t="s">
        <v>1321</v>
      </c>
      <c r="I305" t="s">
        <v>139</v>
      </c>
      <c r="J305" t="s">
        <v>287</v>
      </c>
      <c r="K305" s="22">
        <f t="shared" si="65"/>
        <v>1.677506639935911E-2</v>
      </c>
      <c r="L305" s="22">
        <f t="shared" si="70"/>
        <v>1.7152115979727815E-2</v>
      </c>
      <c r="M305" s="22">
        <f t="shared" si="70"/>
        <v>1.7493153195060028E-2</v>
      </c>
      <c r="N305" s="22">
        <f t="shared" si="70"/>
        <v>1.7669215882921287E-2</v>
      </c>
      <c r="O305" s="22">
        <f t="shared" si="70"/>
        <v>1.7850132335738296E-2</v>
      </c>
      <c r="P305" s="22">
        <f t="shared" si="70"/>
        <v>1.8210336489694584E-2</v>
      </c>
      <c r="Q305" s="22">
        <f t="shared" si="70"/>
        <v>1.8518344131387941E-2</v>
      </c>
      <c r="R305" s="22">
        <f t="shared" si="70"/>
        <v>1.8635256187528534E-2</v>
      </c>
      <c r="S305" s="22">
        <f t="shared" si="70"/>
        <v>1.7895165383905148E-2</v>
      </c>
      <c r="T305" s="22">
        <f t="shared" si="70"/>
        <v>1.8427726629999096E-2</v>
      </c>
      <c r="U305" s="22">
        <f t="shared" si="70"/>
        <v>1.8858145961209626E-2</v>
      </c>
      <c r="V305" s="22">
        <f t="shared" si="70"/>
        <v>1.926831042987312E-2</v>
      </c>
      <c r="W305" s="22">
        <f t="shared" si="70"/>
        <v>1.9723750272057364E-2</v>
      </c>
      <c r="X305" s="22">
        <f t="shared" si="70"/>
        <v>2.0328305344007466E-2</v>
      </c>
      <c r="Y305" s="22">
        <f t="shared" si="70"/>
        <v>2.0963275174069075E-2</v>
      </c>
      <c r="Z305" s="22">
        <f t="shared" si="70"/>
        <v>2.1643917656498337E-2</v>
      </c>
      <c r="AA305" s="22">
        <f t="shared" si="70"/>
        <v>2.2273513405564039E-2</v>
      </c>
      <c r="AB305" s="22">
        <f t="shared" si="70"/>
        <v>2.2979861002091512E-2</v>
      </c>
      <c r="AC305" s="22">
        <f t="shared" si="70"/>
        <v>2.3781031334877679E-2</v>
      </c>
      <c r="AD305" s="22">
        <f t="shared" si="70"/>
        <v>2.4566308074155798E-2</v>
      </c>
      <c r="AE305" s="22">
        <f t="shared" si="70"/>
        <v>2.5388751226160661E-2</v>
      </c>
      <c r="AF305" s="22">
        <f t="shared" si="70"/>
        <v>2.6235064752699551E-2</v>
      </c>
      <c r="AG305" s="22">
        <f t="shared" si="70"/>
        <v>2.7167046167926586E-2</v>
      </c>
      <c r="AH305" s="22">
        <f t="shared" si="70"/>
        <v>2.8023900018498905E-2</v>
      </c>
      <c r="AI305" s="22">
        <f t="shared" si="70"/>
        <v>2.8920322479741228E-2</v>
      </c>
      <c r="AJ305" s="22">
        <f t="shared" si="70"/>
        <v>2.9839880128135453E-2</v>
      </c>
      <c r="AK305" s="22">
        <f t="shared" si="70"/>
        <v>3.0738135733783801E-2</v>
      </c>
      <c r="AL305" s="22">
        <f t="shared" si="70"/>
        <v>3.1644929602760906E-2</v>
      </c>
      <c r="AM305" s="22">
        <f t="shared" si="70"/>
        <v>3.2587998047109448E-2</v>
      </c>
      <c r="AN305" s="22">
        <f t="shared" si="70"/>
        <v>3.3568837979348017E-2</v>
      </c>
      <c r="AO305" s="22">
        <f t="shared" si="70"/>
        <v>3.451409673179362E-2</v>
      </c>
      <c r="AP305" s="22">
        <f t="shared" si="70"/>
        <v>3.5479549458814943E-2</v>
      </c>
      <c r="AQ305" s="22">
        <f t="shared" si="70"/>
        <v>3.6466862450927735E-2</v>
      </c>
      <c r="AR305" s="22">
        <f t="shared" si="70"/>
        <v>3.7517290662975496E-2</v>
      </c>
      <c r="AS305" s="22">
        <f t="shared" si="70"/>
        <v>3.8588925617873325E-2</v>
      </c>
      <c r="AT305" s="22">
        <f t="shared" si="70"/>
        <v>3.9285237958327314E-2</v>
      </c>
      <c r="AU305" s="22">
        <f t="shared" si="70"/>
        <v>3.9960567637255945E-2</v>
      </c>
      <c r="AV305" s="22">
        <f t="shared" si="70"/>
        <v>4.0694873101077993E-2</v>
      </c>
      <c r="AW305" s="22">
        <f t="shared" si="70"/>
        <v>4.1412967601087917E-2</v>
      </c>
      <c r="AY305" s="85"/>
    </row>
    <row r="306" spans="1:51" x14ac:dyDescent="0.25">
      <c r="A306" s="102" t="str">
        <f t="shared" si="45"/>
        <v>FA MM Leaching</v>
      </c>
      <c r="B306" s="102" t="s">
        <v>963</v>
      </c>
      <c r="C306" s="102" t="s">
        <v>1334</v>
      </c>
      <c r="D306" t="s">
        <v>369</v>
      </c>
      <c r="E306" t="s">
        <v>64</v>
      </c>
      <c r="F306" t="s">
        <v>63</v>
      </c>
      <c r="G306" t="s">
        <v>1183</v>
      </c>
      <c r="H306" t="s">
        <v>1322</v>
      </c>
      <c r="I306" t="s">
        <v>139</v>
      </c>
      <c r="J306" t="s">
        <v>287</v>
      </c>
      <c r="K306" s="22">
        <f t="shared" si="65"/>
        <v>7.810393177711944E-2</v>
      </c>
      <c r="L306" s="22">
        <f t="shared" si="70"/>
        <v>7.9553535638078737E-2</v>
      </c>
      <c r="M306" s="22">
        <f t="shared" si="70"/>
        <v>8.0502978601734096E-2</v>
      </c>
      <c r="N306" s="22">
        <f t="shared" si="70"/>
        <v>7.9458702064627351E-2</v>
      </c>
      <c r="O306" s="22">
        <f t="shared" si="70"/>
        <v>7.8445966497934463E-2</v>
      </c>
      <c r="P306" s="22">
        <f t="shared" si="70"/>
        <v>7.944949741705111E-2</v>
      </c>
      <c r="Q306" s="22">
        <f t="shared" si="70"/>
        <v>7.9836186366330816E-2</v>
      </c>
      <c r="R306" s="22">
        <f t="shared" si="70"/>
        <v>7.8063361522169639E-2</v>
      </c>
      <c r="S306" s="22">
        <f t="shared" si="70"/>
        <v>6.6817107477113183E-2</v>
      </c>
      <c r="T306" s="22">
        <f t="shared" si="70"/>
        <v>7.0388458640801108E-2</v>
      </c>
      <c r="U306" s="22">
        <f t="shared" si="70"/>
        <v>7.2779385804600763E-2</v>
      </c>
      <c r="V306" s="22">
        <f t="shared" si="70"/>
        <v>7.4904615040438174E-2</v>
      </c>
      <c r="W306" s="22">
        <f t="shared" si="70"/>
        <v>7.7471024819350642E-2</v>
      </c>
      <c r="X306" s="22">
        <f t="shared" si="70"/>
        <v>8.1566948143152435E-2</v>
      </c>
      <c r="Y306" s="22">
        <f t="shared" si="70"/>
        <v>8.614778534531875E-2</v>
      </c>
      <c r="Z306" s="22">
        <f t="shared" si="70"/>
        <v>9.1129302987806735E-2</v>
      </c>
      <c r="AA306" s="22">
        <f t="shared" si="70"/>
        <v>9.5503511014719752E-2</v>
      </c>
      <c r="AB306" s="22">
        <f t="shared" si="70"/>
        <v>0.10059627235669374</v>
      </c>
      <c r="AC306" s="22">
        <f t="shared" si="70"/>
        <v>0.10657634914102967</v>
      </c>
      <c r="AD306" s="22">
        <f t="shared" si="70"/>
        <v>0.11249681497363943</v>
      </c>
      <c r="AE306" s="22">
        <f t="shared" si="70"/>
        <v>0.11870703167717016</v>
      </c>
      <c r="AF306" s="22">
        <f t="shared" si="70"/>
        <v>0.12506960329583536</v>
      </c>
      <c r="AG306" s="22">
        <f t="shared" si="70"/>
        <v>0.13219418170903169</v>
      </c>
      <c r="AH306" s="22">
        <f t="shared" si="70"/>
        <v>0.13848583371944298</v>
      </c>
      <c r="AI306" s="22">
        <f t="shared" si="70"/>
        <v>0.1452598628167924</v>
      </c>
      <c r="AJ306" s="22">
        <f t="shared" si="70"/>
        <v>0.15217488392211642</v>
      </c>
      <c r="AK306" s="22">
        <f t="shared" si="70"/>
        <v>0.15880077299081433</v>
      </c>
      <c r="AL306" s="22">
        <f t="shared" si="70"/>
        <v>0.16542985943823083</v>
      </c>
      <c r="AM306" s="22">
        <f t="shared" si="70"/>
        <v>0.17232713819913364</v>
      </c>
      <c r="AN306" s="22">
        <f t="shared" si="70"/>
        <v>0.17966613842795656</v>
      </c>
      <c r="AO306" s="22">
        <f t="shared" si="70"/>
        <v>0.1865893340136465</v>
      </c>
      <c r="AP306" s="22">
        <f t="shared" si="70"/>
        <v>0.19362673819120535</v>
      </c>
      <c r="AQ306" s="22">
        <f t="shared" si="70"/>
        <v>0.20079266757552186</v>
      </c>
      <c r="AR306" s="22">
        <f t="shared" si="70"/>
        <v>0.20846738589837877</v>
      </c>
      <c r="AS306" s="22">
        <f t="shared" si="70"/>
        <v>0.21642073302224971</v>
      </c>
      <c r="AT306" s="22">
        <f t="shared" si="70"/>
        <v>0.22086003131192922</v>
      </c>
      <c r="AU306" s="22">
        <f t="shared" si="70"/>
        <v>0.22506764920237721</v>
      </c>
      <c r="AV306" s="22">
        <f t="shared" si="70"/>
        <v>0.22977140260428236</v>
      </c>
      <c r="AW306" s="22">
        <f t="shared" si="70"/>
        <v>0.23428658450939308</v>
      </c>
      <c r="AY306" s="85"/>
    </row>
    <row r="307" spans="1:51" x14ac:dyDescent="0.25">
      <c r="B307" s="109"/>
    </row>
    <row r="308" spans="1:51" x14ac:dyDescent="0.25">
      <c r="B308" s="109"/>
    </row>
    <row r="309" spans="1:51" x14ac:dyDescent="0.25">
      <c r="B309" s="109"/>
    </row>
    <row r="310" spans="1:51" x14ac:dyDescent="0.25">
      <c r="A310" s="102" t="str">
        <f t="shared" ref="A310:A373" si="71">B310&amp;" "&amp;C310</f>
        <v>GS Cattle</v>
      </c>
      <c r="B310" s="102" t="s">
        <v>1022</v>
      </c>
      <c r="C310" s="102" t="s">
        <v>1109</v>
      </c>
      <c r="D310" t="s">
        <v>15</v>
      </c>
      <c r="E310" t="s">
        <v>16</v>
      </c>
      <c r="F310" t="s">
        <v>6</v>
      </c>
      <c r="G310" t="s">
        <v>136</v>
      </c>
      <c r="H310" t="s">
        <v>1021</v>
      </c>
      <c r="I310" t="s">
        <v>121</v>
      </c>
      <c r="J310" t="s">
        <v>286</v>
      </c>
      <c r="K310" s="100">
        <f>IF('Net zero activities &amp; levers'!$C$7="Off",(('Activity data'!AD5*EF!$H4)*kgtoGg),IF('Net zero activities &amp; levers'!$C$7="On",((('Net zero supporting data'!B76*EF!$H4)+('Net zero supporting data'!B71*'Net zero supporting data'!B56))*kgtoGg),"ERROR"))</f>
        <v>72.319515891788683</v>
      </c>
      <c r="L310" s="100">
        <f>IF('Net zero activities &amp; levers'!$C$7="Off",(('Activity data'!AE5*EF!$H4)*kgtoGg),IF('Net zero activities &amp; levers'!$C$7="On",((('Net zero supporting data'!C76*EF!$H4)+('Net zero supporting data'!C71*'Net zero supporting data'!C56))*kgtoGg),"ERROR"))</f>
        <v>72.807821323468076</v>
      </c>
      <c r="M310" s="100">
        <f>IF('Net zero activities &amp; levers'!$C$7="Off",(('Activity data'!AF5*EF!$H4)*kgtoGg),IF('Net zero activities &amp; levers'!$C$7="On",((('Net zero supporting data'!D76*EF!$H4)+('Net zero supporting data'!D71*'Net zero supporting data'!D56))*kgtoGg),"ERROR"))</f>
        <v>73.234964885165326</v>
      </c>
      <c r="N310" s="100">
        <f>IF('Net zero activities &amp; levers'!$C$7="Off",(('Activity data'!AG5*EF!$H4)*kgtoGg),IF('Net zero activities &amp; levers'!$C$7="On",((('Net zero supporting data'!E76*EF!$H4)+('Net zero supporting data'!E71*'Net zero supporting data'!E56))*kgtoGg),"ERROR"))</f>
        <v>73.290216800217806</v>
      </c>
      <c r="O310" s="100">
        <f>IF('Net zero activities &amp; levers'!$C$7="Off",(('Activity data'!AH5*EF!$H4)*kgtoGg),IF('Net zero activities &amp; levers'!$C$7="On",((('Net zero supporting data'!F76*EF!$H4)+('Net zero supporting data'!F71*'Net zero supporting data'!F56))*kgtoGg),"ERROR"))</f>
        <v>73.385382806563399</v>
      </c>
      <c r="P310" s="100">
        <f>IF('Net zero activities &amp; levers'!$C$7="Off",(('Activity data'!AI5*EF!$H4)*kgtoGg),IF('Net zero activities &amp; levers'!$C$7="On",((('Net zero supporting data'!G76*EF!$H4)+('Net zero supporting data'!G71*'Net zero supporting data'!G56))*kgtoGg),"ERROR"))</f>
        <v>73.931427797367633</v>
      </c>
      <c r="Q310" s="100">
        <f>IF('Net zero activities &amp; levers'!$C$7="Off",(('Activity data'!AJ5*EF!$H4)*kgtoGg),IF('Net zero activities &amp; levers'!$C$7="On",((('Net zero supporting data'!H76*EF!$H4)+('Net zero supporting data'!H71*'Net zero supporting data'!H56))*kgtoGg),"ERROR"))</f>
        <v>74.368063847632101</v>
      </c>
      <c r="R310" s="100">
        <f>IF('Net zero activities &amp; levers'!$C$7="Off",(('Activity data'!AK5*EF!$H4)*kgtoGg),IF('Net zero activities &amp; levers'!$C$7="On",((('Net zero supporting data'!I76*EF!$H4)+('Net zero supporting data'!I71*'Net zero supporting data'!I56))*kgtoGg),"ERROR"))</f>
        <v>74.371892298776103</v>
      </c>
      <c r="S310" s="100">
        <f>IF('Net zero activities &amp; levers'!$C$7="Off",(('Activity data'!AL5*EF!$H4)*kgtoGg),IF('Net zero activities &amp; levers'!$C$7="On",((('Net zero supporting data'!J76*EF!$H4)+('Net zero supporting data'!J71*'Net zero supporting data'!J56))*kgtoGg),"ERROR"))</f>
        <v>72.401501789227453</v>
      </c>
      <c r="T310" s="100">
        <f>IF('Net zero activities &amp; levers'!$C$7="Off",(('Activity data'!AM5*EF!$H4)*kgtoGg),IF('Net zero activities &amp; levers'!$C$7="On",((('Net zero supporting data'!K76*EF!$H4)+('Net zero supporting data'!K71*'Net zero supporting data'!K56))*kgtoGg),"ERROR"))</f>
        <v>72.737467111072036</v>
      </c>
      <c r="U310" s="100">
        <f>IF('Net zero activities &amp; levers'!$C$7="Off",(('Activity data'!AN5*EF!$H4)*kgtoGg),IF('Net zero activities &amp; levers'!$C$7="On",((('Net zero supporting data'!L76*EF!$H4)+('Net zero supporting data'!L71*'Net zero supporting data'!L56))*kgtoGg),"ERROR"))</f>
        <v>72.772170102700514</v>
      </c>
      <c r="V310" s="100">
        <f>IF('Net zero activities &amp; levers'!$C$7="Off",(('Activity data'!AO5*EF!$H4)*kgtoGg),IF('Net zero activities &amp; levers'!$C$7="On",((('Net zero supporting data'!M76*EF!$H4)+('Net zero supporting data'!M71*'Net zero supporting data'!M56))*kgtoGg),"ERROR"))</f>
        <v>72.697075174765018</v>
      </c>
      <c r="W310" s="100">
        <f>IF('Net zero activities &amp; levers'!$C$7="Off",(('Activity data'!AP5*EF!$H4)*kgtoGg),IF('Net zero activities &amp; levers'!$C$7="On",((('Net zero supporting data'!N76*EF!$H4)+('Net zero supporting data'!N71*'Net zero supporting data'!N56))*kgtoGg),"ERROR"))</f>
        <v>72.656774978691104</v>
      </c>
      <c r="X310" s="100">
        <f>IF('Net zero activities &amp; levers'!$C$7="Off",(('Activity data'!AQ5*EF!$H4)*kgtoGg),IF('Net zero activities &amp; levers'!$C$7="On",((('Net zero supporting data'!O76*EF!$H4)+('Net zero supporting data'!O71*'Net zero supporting data'!O56))*kgtoGg),"ERROR"))</f>
        <v>72.868716519732473</v>
      </c>
      <c r="Y310" s="100">
        <f>IF('Net zero activities &amp; levers'!$C$7="Off",(('Activity data'!AR5*EF!$H4)*kgtoGg),IF('Net zero activities &amp; levers'!$C$7="On",((('Net zero supporting data'!P76*EF!$H4)+('Net zero supporting data'!P71*'Net zero supporting data'!P56))*kgtoGg),"ERROR"))</f>
        <v>73.043697586721649</v>
      </c>
      <c r="Z310" s="100">
        <f>IF('Net zero activities &amp; levers'!$C$7="Off",(('Activity data'!AS5*EF!$H4)*kgtoGg),IF('Net zero activities &amp; levers'!$C$7="On",((('Net zero supporting data'!Q76*EF!$H4)+('Net zero supporting data'!Q71*'Net zero supporting data'!Q56))*kgtoGg),"ERROR"))</f>
        <v>73.229926612307366</v>
      </c>
      <c r="AA310" s="100">
        <f>IF('Net zero activities &amp; levers'!$C$7="Off",(('Activity data'!AT5*EF!$H4)*kgtoGg),IF('Net zero activities &amp; levers'!$C$7="On",((('Net zero supporting data'!R76*EF!$H4)+('Net zero supporting data'!R71*'Net zero supporting data'!R56))*kgtoGg),"ERROR"))</f>
        <v>73.224407258700523</v>
      </c>
      <c r="AB310" s="100">
        <f>IF('Net zero activities &amp; levers'!$C$7="Off",(('Activity data'!AU5*EF!$H4)*kgtoGg),IF('Net zero activities &amp; levers'!$C$7="On",((('Net zero supporting data'!S76*EF!$H4)+('Net zero supporting data'!S71*'Net zero supporting data'!S56))*kgtoGg),"ERROR"))</f>
        <v>73.287000786128687</v>
      </c>
      <c r="AC310" s="100">
        <f>IF('Net zero activities &amp; levers'!$C$7="Off",(('Activity data'!AV5*EF!$H4)*kgtoGg),IF('Net zero activities &amp; levers'!$C$7="On",((('Net zero supporting data'!T76*EF!$H4)+('Net zero supporting data'!T71*'Net zero supporting data'!T56))*kgtoGg),"ERROR"))</f>
        <v>73.442708891765847</v>
      </c>
      <c r="AD310" s="100">
        <f>IF('Net zero activities &amp; levers'!$C$7="Off",(('Activity data'!AW5*EF!$H4)*kgtoGg),IF('Net zero activities &amp; levers'!$C$7="On",((('Net zero supporting data'!U76*EF!$H4)+('Net zero supporting data'!U71*'Net zero supporting data'!U56))*kgtoGg),"ERROR"))</f>
        <v>74.309676163415389</v>
      </c>
      <c r="AE310" s="100">
        <f>IF('Net zero activities &amp; levers'!$C$7="Off",(('Activity data'!AX5*EF!$H4)*kgtoGg),IF('Net zero activities &amp; levers'!$C$7="On",((('Net zero supporting data'!V76*EF!$H4)+('Net zero supporting data'!V71*'Net zero supporting data'!V56))*kgtoGg),"ERROR"))</f>
        <v>75.213846347214087</v>
      </c>
      <c r="AF310" s="100">
        <f>IF('Net zero activities &amp; levers'!$C$7="Off",(('Activity data'!AY5*EF!$H4)*kgtoGg),IF('Net zero activities &amp; levers'!$C$7="On",((('Net zero supporting data'!W76*EF!$H4)+('Net zero supporting data'!W71*'Net zero supporting data'!W56))*kgtoGg),"ERROR"))</f>
        <v>76.127295242553402</v>
      </c>
      <c r="AG310" s="100">
        <f>IF('Net zero activities &amp; levers'!$C$7="Off",(('Activity data'!AZ5*EF!$H4)*kgtoGg),IF('Net zero activities &amp; levers'!$C$7="On",((('Net zero supporting data'!X76*EF!$H4)+('Net zero supporting data'!X71*'Net zero supporting data'!X56))*kgtoGg),"ERROR"))</f>
        <v>77.163622180246435</v>
      </c>
      <c r="AH310" s="100">
        <f>IF('Net zero activities &amp; levers'!$C$7="Off",(('Activity data'!BA5*EF!$H4)*kgtoGg),IF('Net zero activities &amp; levers'!$C$7="On",((('Net zero supporting data'!Y76*EF!$H4)+('Net zero supporting data'!Y71*'Net zero supporting data'!Y56))*kgtoGg),"ERROR"))</f>
        <v>78.019583433765106</v>
      </c>
      <c r="AI310" s="100">
        <f>IF('Net zero activities &amp; levers'!$C$7="Off",(('Activity data'!BB5*EF!$H4)*kgtoGg),IF('Net zero activities &amp; levers'!$C$7="On",((('Net zero supporting data'!Z76*EF!$H4)+('Net zero supporting data'!Z71*'Net zero supporting data'!Z56))*kgtoGg),"ERROR"))</f>
        <v>78.894681953220626</v>
      </c>
      <c r="AJ310" s="100">
        <f>IF('Net zero activities &amp; levers'!$C$7="Off",(('Activity data'!BC5*EF!$H4)*kgtoGg),IF('Net zero activities &amp; levers'!$C$7="On",((('Net zero supporting data'!AA76*EF!$H4)+('Net zero supporting data'!AA71*'Net zero supporting data'!AA56))*kgtoGg),"ERROR"))</f>
        <v>79.770717944491111</v>
      </c>
      <c r="AK310" s="100">
        <f>IF('Net zero activities &amp; levers'!$C$7="Off",(('Activity data'!BD5*EF!$H4)*kgtoGg),IF('Net zero activities &amp; levers'!$C$7="On",((('Net zero supporting data'!AB76*EF!$H4)+('Net zero supporting data'!AB71*'Net zero supporting data'!AB56))*kgtoGg),"ERROR"))</f>
        <v>80.566225355766576</v>
      </c>
      <c r="AL310" s="100">
        <f>IF('Net zero activities &amp; levers'!$C$7="Off",(('Activity data'!BE5*EF!$H4)*kgtoGg),IF('Net zero activities &amp; levers'!$C$7="On",((('Net zero supporting data'!AC76*EF!$H4)+('Net zero supporting data'!AC71*'Net zero supporting data'!AC56))*kgtoGg),"ERROR"))</f>
        <v>81.334759000433209</v>
      </c>
      <c r="AM310" s="100">
        <f>IF('Net zero activities &amp; levers'!$C$7="Off",(('Activity data'!BF5*EF!$H4)*kgtoGg),IF('Net zero activities &amp; levers'!$C$7="On",((('Net zero supporting data'!AD76*EF!$H4)+('Net zero supporting data'!AD71*'Net zero supporting data'!AD56))*kgtoGg),"ERROR"))</f>
        <v>82.12375667870613</v>
      </c>
      <c r="AN310" s="100">
        <f>IF('Net zero activities &amp; levers'!$C$7="Off",(('Activity data'!BG5*EF!$H4)*kgtoGg),IF('Net zero activities &amp; levers'!$C$7="On",((('Net zero supporting data'!AE76*EF!$H4)+('Net zero supporting data'!AE71*'Net zero supporting data'!AE56))*kgtoGg),"ERROR"))</f>
        <v>82.92012885390055</v>
      </c>
      <c r="AO310" s="100">
        <f>IF('Net zero activities &amp; levers'!$C$7="Off",(('Activity data'!BH5*EF!$H4)*kgtoGg),IF('Net zero activities &amp; levers'!$C$7="On",((('Net zero supporting data'!AF76*EF!$H4)+('Net zero supporting data'!AF71*'Net zero supporting data'!AF56))*kgtoGg),"ERROR"))</f>
        <v>83.608822710200613</v>
      </c>
      <c r="AP310" s="100">
        <f>IF('Net zero activities &amp; levers'!$C$7="Off",(('Activity data'!BI5*EF!$H4)*kgtoGg),IF('Net zero activities &amp; levers'!$C$7="On",((('Net zero supporting data'!AG76*EF!$H4)+('Net zero supporting data'!AG71*'Net zero supporting data'!AG56))*kgtoGg),"ERROR"))</f>
        <v>84.285571713083442</v>
      </c>
      <c r="AQ310" s="100">
        <f>IF('Net zero activities &amp; levers'!$C$7="Off",(('Activity data'!BJ5*EF!$H4)*kgtoGg),IF('Net zero activities &amp; levers'!$C$7="On",((('Net zero supporting data'!AH76*EF!$H4)+('Net zero supporting data'!AH71*'Net zero supporting data'!AH56))*kgtoGg),"ERROR"))</f>
        <v>84.951361388909092</v>
      </c>
      <c r="AR310" s="100">
        <f>IF('Net zero activities &amp; levers'!$C$7="Off",(('Activity data'!BK5*EF!$H4)*kgtoGg),IF('Net zero activities &amp; levers'!$C$7="On",((('Net zero supporting data'!AI76*EF!$H4)+('Net zero supporting data'!AI71*'Net zero supporting data'!AI56))*kgtoGg),"ERROR"))</f>
        <v>85.672108080535693</v>
      </c>
      <c r="AS310" s="100">
        <f>IF('Net zero activities &amp; levers'!$C$7="Off",(('Activity data'!BL5*EF!$H4)*kgtoGg),IF('Net zero activities &amp; levers'!$C$7="On",((('Net zero supporting data'!AJ76*EF!$H4)+('Net zero supporting data'!AJ71*'Net zero supporting data'!AJ56))*kgtoGg),"ERROR"))</f>
        <v>86.362812942305354</v>
      </c>
      <c r="AT310" s="100">
        <f>IF('Net zero activities &amp; levers'!$C$7="Off",(('Activity data'!BM5*EF!$H4)*kgtoGg),IF('Net zero activities &amp; levers'!$C$7="On",((('Net zero supporting data'!AK76*EF!$H4)+('Net zero supporting data'!AK71*'Net zero supporting data'!AK56))*kgtoGg),"ERROR"))</f>
        <v>86.399232926449585</v>
      </c>
      <c r="AU310" s="100">
        <f>IF('Net zero activities &amp; levers'!$C$7="Off",(('Activity data'!BN5*EF!$H4)*kgtoGg),IF('Net zero activities &amp; levers'!$C$7="On",((('Net zero supporting data'!AL76*EF!$H4)+('Net zero supporting data'!AL71*'Net zero supporting data'!AL56))*kgtoGg),"ERROR"))</f>
        <v>86.364819256613245</v>
      </c>
      <c r="AV310" s="100">
        <f>IF('Net zero activities &amp; levers'!$C$7="Off",(('Activity data'!BO5*EF!$H4)*kgtoGg),IF('Net zero activities &amp; levers'!$C$7="On",((('Net zero supporting data'!AM76*EF!$H4)+('Net zero supporting data'!AM71*'Net zero supporting data'!AM56))*kgtoGg),"ERROR"))</f>
        <v>86.385137383525489</v>
      </c>
      <c r="AW310" s="100">
        <f>IF('Net zero activities &amp; levers'!$C$7="Off",(('Activity data'!BP5*EF!$H4)*kgtoGg),IF('Net zero activities &amp; levers'!$C$7="On",((('Net zero supporting data'!AN76*EF!$H4)+('Net zero supporting data'!AN71*'Net zero supporting data'!AN56))*kgtoGg),"ERROR"))</f>
        <v>86.340436596023721</v>
      </c>
      <c r="AY310" s="85"/>
    </row>
    <row r="311" spans="1:51" x14ac:dyDescent="0.25">
      <c r="A311" s="102" t="str">
        <f t="shared" si="71"/>
        <v>GS Cattle</v>
      </c>
      <c r="B311" s="102" t="s">
        <v>1022</v>
      </c>
      <c r="C311" s="102" t="s">
        <v>1109</v>
      </c>
      <c r="D311" t="s">
        <v>15</v>
      </c>
      <c r="E311" t="s">
        <v>16</v>
      </c>
      <c r="F311" t="s">
        <v>6</v>
      </c>
      <c r="G311" t="s">
        <v>137</v>
      </c>
      <c r="H311" t="s">
        <v>1021</v>
      </c>
      <c r="I311" t="s">
        <v>121</v>
      </c>
      <c r="J311" t="s">
        <v>286</v>
      </c>
      <c r="K311" s="100">
        <f>IF('Net zero activities &amp; levers'!$C$7="Off",(('Activity data'!AD6*EF!$H5)*kgtoGg),IF('Net zero activities &amp; levers'!$C$7="On",((('Net zero supporting data'!B77*EF!$H5)+('Net zero supporting data'!B72*'Net zero supporting data'!B52))*kgtoGg),"ERROR"))</f>
        <v>57.842346035228502</v>
      </c>
      <c r="L311" s="100">
        <f>IF('Net zero activities &amp; levers'!$C$7="Off",(('Activity data'!AE6*EF!$H5)*kgtoGg),IF('Net zero activities &amp; levers'!$C$7="On",((('Net zero supporting data'!C77*EF!$H5)+('Net zero supporting data'!C72*'Net zero supporting data'!C52))*kgtoGg),"ERROR"))</f>
        <v>58.232900803215919</v>
      </c>
      <c r="M311" s="100">
        <f>IF('Net zero activities &amp; levers'!$C$7="Off",(('Activity data'!AF6*EF!$H5)*kgtoGg),IF('Net zero activities &amp; levers'!$C$7="On",((('Net zero supporting data'!D77*EF!$H5)+('Net zero supporting data'!D72*'Net zero supporting data'!D52))*kgtoGg),"ERROR"))</f>
        <v>58.574537295077718</v>
      </c>
      <c r="N311" s="100">
        <f>IF('Net zero activities &amp; levers'!$C$7="Off",(('Activity data'!AG6*EF!$H5)*kgtoGg),IF('Net zero activities &amp; levers'!$C$7="On",((('Net zero supporting data'!E77*EF!$H5)+('Net zero supporting data'!E72*'Net zero supporting data'!E52))*kgtoGg),"ERROR"))</f>
        <v>58.618728691413338</v>
      </c>
      <c r="O311" s="100">
        <f>IF('Net zero activities &amp; levers'!$C$7="Off",(('Activity data'!AH6*EF!$H5)*kgtoGg),IF('Net zero activities &amp; levers'!$C$7="On",((('Net zero supporting data'!F77*EF!$H5)+('Net zero supporting data'!F72*'Net zero supporting data'!F52))*kgtoGg),"ERROR"))</f>
        <v>58.6948440387294</v>
      </c>
      <c r="P311" s="100">
        <f>IF('Net zero activities &amp; levers'!$C$7="Off",(('Activity data'!AI6*EF!$H5)*kgtoGg),IF('Net zero activities &amp; levers'!$C$7="On",((('Net zero supporting data'!G77*EF!$H5)+('Net zero supporting data'!G72*'Net zero supporting data'!G52))*kgtoGg),"ERROR"))</f>
        <v>59.13157986196363</v>
      </c>
      <c r="Q311" s="100">
        <f>IF('Net zero activities &amp; levers'!$C$7="Off",(('Activity data'!AJ6*EF!$H5)*kgtoGg),IF('Net zero activities &amp; levers'!$C$7="On",((('Net zero supporting data'!H77*EF!$H5)+('Net zero supporting data'!H72*'Net zero supporting data'!H52))*kgtoGg),"ERROR"))</f>
        <v>59.480808603326388</v>
      </c>
      <c r="R311" s="100">
        <f>IF('Net zero activities &amp; levers'!$C$7="Off",(('Activity data'!AK6*EF!$H5)*kgtoGg),IF('Net zero activities &amp; levers'!$C$7="On",((('Net zero supporting data'!I77*EF!$H5)+('Net zero supporting data'!I72*'Net zero supporting data'!I52))*kgtoGg),"ERROR"))</f>
        <v>59.483870661930055</v>
      </c>
      <c r="S311" s="100">
        <f>IF('Net zero activities &amp; levers'!$C$7="Off",(('Activity data'!AL6*EF!$H5)*kgtoGg),IF('Net zero activities &amp; levers'!$C$7="On",((('Net zero supporting data'!J77*EF!$H5)+('Net zero supporting data'!J72*'Net zero supporting data'!J52))*kgtoGg),"ERROR"))</f>
        <v>57.907919713248667</v>
      </c>
      <c r="T311" s="100">
        <f>IF('Net zero activities &amp; levers'!$C$7="Off",(('Activity data'!AM6*EF!$H5)*kgtoGg),IF('Net zero activities &amp; levers'!$C$7="On",((('Net zero supporting data'!K77*EF!$H5)+('Net zero supporting data'!K72*'Net zero supporting data'!K52))*kgtoGg),"ERROR"))</f>
        <v>56.279234526417952</v>
      </c>
      <c r="U311" s="100">
        <f>IF('Net zero activities &amp; levers'!$C$7="Off",(('Activity data'!AN6*EF!$H5)*kgtoGg),IF('Net zero activities &amp; levers'!$C$7="On",((('Net zero supporting data'!L77*EF!$H5)+('Net zero supporting data'!L72*'Net zero supporting data'!L52))*kgtoGg),"ERROR"))</f>
        <v>54.441617360256267</v>
      </c>
      <c r="V311" s="100">
        <f>IF('Net zero activities &amp; levers'!$C$7="Off",(('Activity data'!AO6*EF!$H5)*kgtoGg),IF('Net zero activities &amp; levers'!$C$7="On",((('Net zero supporting data'!M77*EF!$H5)+('Net zero supporting data'!M72*'Net zero supporting data'!M52))*kgtoGg),"ERROR"))</f>
        <v>52.552328111523963</v>
      </c>
      <c r="W311" s="100">
        <f>IF('Net zero activities &amp; levers'!$C$7="Off",(('Activity data'!AP6*EF!$H5)*kgtoGg),IF('Net zero activities &amp; levers'!$C$7="On",((('Net zero supporting data'!N77*EF!$H5)+('Net zero supporting data'!N72*'Net zero supporting data'!N52))*kgtoGg),"ERROR"))</f>
        <v>50.716271521657788</v>
      </c>
      <c r="X311" s="100">
        <f>IF('Net zero activities &amp; levers'!$C$7="Off",(('Activity data'!AQ6*EF!$H5)*kgtoGg),IF('Net zero activities &amp; levers'!$C$7="On",((('Net zero supporting data'!O77*EF!$H5)+('Net zero supporting data'!O72*'Net zero supporting data'!O52))*kgtoGg),"ERROR"))</f>
        <v>49.073081796321361</v>
      </c>
      <c r="Y311" s="100">
        <f>IF('Net zero activities &amp; levers'!$C$7="Off",(('Activity data'!AR6*EF!$H5)*kgtoGg),IF('Net zero activities &amp; levers'!$C$7="On",((('Net zero supporting data'!P77*EF!$H5)+('Net zero supporting data'!P72*'Net zero supporting data'!P52))*kgtoGg),"ERROR"))</f>
        <v>47.412464842031568</v>
      </c>
      <c r="Z311" s="100">
        <f>IF('Net zero activities &amp; levers'!$C$7="Off",(('Activity data'!AS6*EF!$H5)*kgtoGg),IF('Net zero activities &amp; levers'!$C$7="On",((('Net zero supporting data'!Q77*EF!$H5)+('Net zero supporting data'!Q72*'Net zero supporting data'!Q52))*kgtoGg),"ERROR"))</f>
        <v>45.763236134552301</v>
      </c>
      <c r="AA311" s="100">
        <f>IF('Net zero activities &amp; levers'!$C$7="Off",(('Activity data'!AT6*EF!$H5)*kgtoGg),IF('Net zero activities &amp; levers'!$C$7="On",((('Net zero supporting data'!R77*EF!$H5)+('Net zero supporting data'!R72*'Net zero supporting data'!R52))*kgtoGg),"ERROR"))</f>
        <v>43.998538503440159</v>
      </c>
      <c r="AB311" s="100">
        <f>IF('Net zero activities &amp; levers'!$C$7="Off",(('Activity data'!AU6*EF!$H5)*kgtoGg),IF('Net zero activities &amp; levers'!$C$7="On",((('Net zero supporting data'!S77*EF!$H5)+('Net zero supporting data'!S72*'Net zero supporting data'!S52))*kgtoGg),"ERROR"))</f>
        <v>42.277920509315926</v>
      </c>
      <c r="AC311" s="100">
        <f>IF('Net zero activities &amp; levers'!$C$7="Off",(('Activity data'!AV6*EF!$H5)*kgtoGg),IF('Net zero activities &amp; levers'!$C$7="On",((('Net zero supporting data'!T77*EF!$H5)+('Net zero supporting data'!T72*'Net zero supporting data'!T52))*kgtoGg),"ERROR"))</f>
        <v>40.606007643557064</v>
      </c>
      <c r="AD311" s="100">
        <f>IF('Net zero activities &amp; levers'!$C$7="Off",(('Activity data'!AW6*EF!$H5)*kgtoGg),IF('Net zero activities &amp; levers'!$C$7="On",((('Net zero supporting data'!U77*EF!$H5)+('Net zero supporting data'!U72*'Net zero supporting data'!U52))*kgtoGg),"ERROR"))</f>
        <v>40.192769923291628</v>
      </c>
      <c r="AE311" s="100">
        <f>IF('Net zero activities &amp; levers'!$C$7="Off",(('Activity data'!AX6*EF!$H5)*kgtoGg),IF('Net zero activities &amp; levers'!$C$7="On",((('Net zero supporting data'!V77*EF!$H5)+('Net zero supporting data'!V72*'Net zero supporting data'!V52))*kgtoGg),"ERROR"))</f>
        <v>39.776721332493032</v>
      </c>
      <c r="AF311" s="100">
        <f>IF('Net zero activities &amp; levers'!$C$7="Off",(('Activity data'!AY6*EF!$H5)*kgtoGg),IF('Net zero activities &amp; levers'!$C$7="On",((('Net zero supporting data'!W77*EF!$H5)+('Net zero supporting data'!W72*'Net zero supporting data'!W52))*kgtoGg),"ERROR"))</f>
        <v>39.341424727391349</v>
      </c>
      <c r="AG311" s="100">
        <f>IF('Net zero activities &amp; levers'!$C$7="Off",(('Activity data'!AZ6*EF!$H5)*kgtoGg),IF('Net zero activities &amp; levers'!$C$7="On",((('Net zero supporting data'!X77*EF!$H5)+('Net zero supporting data'!X72*'Net zero supporting data'!X52))*kgtoGg),"ERROR"))</f>
        <v>38.943168911300575</v>
      </c>
      <c r="AH311" s="100">
        <f>IF('Net zero activities &amp; levers'!$C$7="Off",(('Activity data'!BA6*EF!$H5)*kgtoGg),IF('Net zero activities &amp; levers'!$C$7="On",((('Net zero supporting data'!Y77*EF!$H5)+('Net zero supporting data'!Y72*'Net zero supporting data'!Y52))*kgtoGg),"ERROR"))</f>
        <v>38.427364746508054</v>
      </c>
      <c r="AI311" s="100">
        <f>IF('Net zero activities &amp; levers'!$C$7="Off",(('Activity data'!BB6*EF!$H5)*kgtoGg),IF('Net zero activities &amp; levers'!$C$7="On",((('Net zero supporting data'!Z77*EF!$H5)+('Net zero supporting data'!Z72*'Net zero supporting data'!Z52))*kgtoGg),"ERROR"))</f>
        <v>37.895621218422804</v>
      </c>
      <c r="AJ311" s="100">
        <f>IF('Net zero activities &amp; levers'!$C$7="Off",(('Activity data'!BC6*EF!$H5)*kgtoGg),IF('Net zero activities &amp; levers'!$C$7="On",((('Net zero supporting data'!AA77*EF!$H5)+('Net zero supporting data'!AA72*'Net zero supporting data'!AA52))*kgtoGg),"ERROR"))</f>
        <v>37.337872247859089</v>
      </c>
      <c r="AK311" s="100">
        <f>IF('Net zero activities &amp; levers'!$C$7="Off",(('Activity data'!BD6*EF!$H5)*kgtoGg),IF('Net zero activities &amp; levers'!$C$7="On",((('Net zero supporting data'!AB77*EF!$H5)+('Net zero supporting data'!AB72*'Net zero supporting data'!AB52))*kgtoGg),"ERROR"))</f>
        <v>36.7160568359065</v>
      </c>
      <c r="AL311" s="100">
        <f>IF('Net zero activities &amp; levers'!$C$7="Off",(('Activity data'!BE6*EF!$H5)*kgtoGg),IF('Net zero activities &amp; levers'!$C$7="On",((('Net zero supporting data'!AC77*EF!$H5)+('Net zero supporting data'!AC72*'Net zero supporting data'!AC52))*kgtoGg),"ERROR"))</f>
        <v>36.05595952212736</v>
      </c>
      <c r="AM311" s="100">
        <f>IF('Net zero activities &amp; levers'!$C$7="Off",(('Activity data'!BF6*EF!$H5)*kgtoGg),IF('Net zero activities &amp; levers'!$C$7="On",((('Net zero supporting data'!AD77*EF!$H5)+('Net zero supporting data'!AD72*'Net zero supporting data'!AD52))*kgtoGg),"ERROR"))</f>
        <v>35.378032497990219</v>
      </c>
      <c r="AN311" s="100">
        <f>IF('Net zero activities &amp; levers'!$C$7="Off",(('Activity data'!BG6*EF!$H5)*kgtoGg),IF('Net zero activities &amp; levers'!$C$7="On",((('Net zero supporting data'!AE77*EF!$H5)+('Net zero supporting data'!AE72*'Net zero supporting data'!AE52))*kgtoGg),"ERROR"))</f>
        <v>34.67497782028061</v>
      </c>
      <c r="AO311" s="100">
        <f>IF('Net zero activities &amp; levers'!$C$7="Off",(('Activity data'!BH6*EF!$H5)*kgtoGg),IF('Net zero activities &amp; levers'!$C$7="On",((('Net zero supporting data'!AF77*EF!$H5)+('Net zero supporting data'!AF72*'Net zero supporting data'!AF52))*kgtoGg),"ERROR"))</f>
        <v>33.898744615391948</v>
      </c>
      <c r="AP311" s="100">
        <f>IF('Net zero activities &amp; levers'!$C$7="Off",(('Activity data'!BI6*EF!$H5)*kgtoGg),IF('Net zero activities &amp; levers'!$C$7="On",((('Net zero supporting data'!AG77*EF!$H5)+('Net zero supporting data'!AG72*'Net zero supporting data'!AG52))*kgtoGg),"ERROR"))</f>
        <v>33.08987363970067</v>
      </c>
      <c r="AQ311" s="100">
        <f>IF('Net zero activities &amp; levers'!$C$7="Off",(('Activity data'!BJ6*EF!$H5)*kgtoGg),IF('Net zero activities &amp; levers'!$C$7="On",((('Net zero supporting data'!AH77*EF!$H5)+('Net zero supporting data'!AH72*'Net zero supporting data'!AH52))*kgtoGg),"ERROR"))</f>
        <v>32.247976550304351</v>
      </c>
      <c r="AR311" s="100">
        <f>IF('Net zero activities &amp; levers'!$C$7="Off",(('Activity data'!BK6*EF!$H5)*kgtoGg),IF('Net zero activities &amp; levers'!$C$7="On",((('Net zero supporting data'!AI77*EF!$H5)+('Net zero supporting data'!AI72*'Net zero supporting data'!AI52))*kgtoGg),"ERROR"))</f>
        <v>31.396342183473934</v>
      </c>
      <c r="AS311" s="100">
        <f>IF('Net zero activities &amp; levers'!$C$7="Off",(('Activity data'!BL6*EF!$H5)*kgtoGg),IF('Net zero activities &amp; levers'!$C$7="On",((('Net zero supporting data'!AJ77*EF!$H5)+('Net zero supporting data'!AJ72*'Net zero supporting data'!AJ52))*kgtoGg),"ERROR"))</f>
        <v>30.501382763591071</v>
      </c>
      <c r="AT311" s="100">
        <f>IF('Net zero activities &amp; levers'!$C$7="Off",(('Activity data'!BM6*EF!$H5)*kgtoGg),IF('Net zero activities &amp; levers'!$C$7="On",((('Net zero supporting data'!AK77*EF!$H5)+('Net zero supporting data'!AK72*'Net zero supporting data'!AK52))*kgtoGg),"ERROR"))</f>
        <v>29.35075687775705</v>
      </c>
      <c r="AU311" s="100">
        <f>IF('Net zero activities &amp; levers'!$C$7="Off",(('Activity data'!BN6*EF!$H5)*kgtoGg),IF('Net zero activities &amp; levers'!$C$7="On",((('Net zero supporting data'!AL77*EF!$H5)+('Net zero supporting data'!AL72*'Net zero supporting data'!AL52))*kgtoGg),"ERROR"))</f>
        <v>28.15992786323293</v>
      </c>
      <c r="AV311" s="100">
        <f>IF('Net zero activities &amp; levers'!$C$7="Off",(('Activity data'!BO6*EF!$H5)*kgtoGg),IF('Net zero activities &amp; levers'!$C$7="On",((('Net zero supporting data'!AM77*EF!$H5)+('Net zero supporting data'!AM72*'Net zero supporting data'!AM52))*kgtoGg),"ERROR"))</f>
        <v>26.969757818475738</v>
      </c>
      <c r="AW311" s="100">
        <f>IF('Net zero activities &amp; levers'!$C$7="Off",(('Activity data'!BP6*EF!$H5)*kgtoGg),IF('Net zero activities &amp; levers'!$C$7="On",((('Net zero supporting data'!AN77*EF!$H5)+('Net zero supporting data'!AN72*'Net zero supporting data'!AN52))*kgtoGg),"ERROR"))</f>
        <v>25.740924127601026</v>
      </c>
      <c r="AY311" s="85"/>
    </row>
    <row r="312" spans="1:51" x14ac:dyDescent="0.25">
      <c r="A312" s="102" t="str">
        <f t="shared" si="71"/>
        <v>GS Cattle</v>
      </c>
      <c r="B312" s="102" t="s">
        <v>1022</v>
      </c>
      <c r="C312" s="102" t="s">
        <v>1109</v>
      </c>
      <c r="D312" t="s">
        <v>15</v>
      </c>
      <c r="E312" t="s">
        <v>16</v>
      </c>
      <c r="F312" t="s">
        <v>67</v>
      </c>
      <c r="G312" t="s">
        <v>307</v>
      </c>
      <c r="H312" t="s">
        <v>1021</v>
      </c>
      <c r="I312" t="s">
        <v>121</v>
      </c>
      <c r="J312" t="s">
        <v>286</v>
      </c>
      <c r="K312" s="100">
        <f>IF('Net zero activities &amp; levers'!$C$7="Off",(('Activity data'!AD7*EF!$H6)*kgtoGg),IF('Net zero activities &amp; levers'!$C$7="On",((('Net zero supporting data'!B78*EF!$H6)+('Net zero supporting data'!B73*'Net zero supporting data'!B58))*kgtoGg),"ERROR"))</f>
        <v>26.152753652516633</v>
      </c>
      <c r="L312" s="100">
        <f>IF('Net zero activities &amp; levers'!$C$7="Off",(('Activity data'!AE7*EF!$H6)*kgtoGg),IF('Net zero activities &amp; levers'!$C$7="On",((('Net zero supporting data'!C78*EF!$H6)+('Net zero supporting data'!C73*'Net zero supporting data'!C58))*kgtoGg),"ERROR"))</f>
        <v>26.329338513524345</v>
      </c>
      <c r="M312" s="100">
        <f>IF('Net zero activities &amp; levers'!$C$7="Off",(('Activity data'!AF7*EF!$H6)*kgtoGg),IF('Net zero activities &amp; levers'!$C$7="On",((('Net zero supporting data'!D78*EF!$H6)+('Net zero supporting data'!D73*'Net zero supporting data'!D58))*kgtoGg),"ERROR"))</f>
        <v>26.483805536783215</v>
      </c>
      <c r="N312" s="100">
        <f>IF('Net zero activities &amp; levers'!$C$7="Off",(('Activity data'!AG7*EF!$H6)*kgtoGg),IF('Net zero activities &amp; levers'!$C$7="On",((('Net zero supporting data'!E78*EF!$H6)+('Net zero supporting data'!E73*'Net zero supporting data'!E58))*kgtoGg),"ERROR"))</f>
        <v>26.503786170024174</v>
      </c>
      <c r="O312" s="100">
        <f>IF('Net zero activities &amp; levers'!$C$7="Off",(('Activity data'!AH7*EF!$H6)*kgtoGg),IF('Net zero activities &amp; levers'!$C$7="On",((('Net zero supporting data'!F78*EF!$H6)+('Net zero supporting data'!F73*'Net zero supporting data'!F58))*kgtoGg),"ERROR"))</f>
        <v>26.538200851723289</v>
      </c>
      <c r="P312" s="100">
        <f>IF('Net zero activities &amp; levers'!$C$7="Off",(('Activity data'!AI7*EF!$H6)*kgtoGg),IF('Net zero activities &amp; levers'!$C$7="On",((('Net zero supporting data'!G78*EF!$H6)+('Net zero supporting data'!G73*'Net zero supporting data'!G58))*kgtoGg),"ERROR"))</f>
        <v>26.735665947439109</v>
      </c>
      <c r="Q312" s="100">
        <f>IF('Net zero activities &amp; levers'!$C$7="Off",(('Activity data'!AJ7*EF!$H6)*kgtoGg),IF('Net zero activities &amp; levers'!$C$7="On",((('Net zero supporting data'!H78*EF!$H6)+('Net zero supporting data'!H73*'Net zero supporting data'!H58))*kgtoGg),"ERROR"))</f>
        <v>26.893565719271944</v>
      </c>
      <c r="R312" s="100">
        <f>IF('Net zero activities &amp; levers'!$C$7="Off",(('Activity data'!AK7*EF!$H6)*kgtoGg),IF('Net zero activities &amp; levers'!$C$7="On",((('Net zero supporting data'!I78*EF!$H6)+('Net zero supporting data'!I73*'Net zero supporting data'!I58))*kgtoGg),"ERROR"))</f>
        <v>26.894950193966014</v>
      </c>
      <c r="S312" s="100">
        <f>IF('Net zero activities &amp; levers'!$C$7="Off",(('Activity data'!AL7*EF!$H6)*kgtoGg),IF('Net zero activities &amp; levers'!$C$7="On",((('Net zero supporting data'!J78*EF!$H6)+('Net zero supporting data'!J73*'Net zero supporting data'!J58))*kgtoGg),"ERROR"))</f>
        <v>26.182402039293791</v>
      </c>
      <c r="T312" s="100">
        <f>IF('Net zero activities &amp; levers'!$C$7="Off",(('Activity data'!AM7*EF!$H6)*kgtoGg),IF('Net zero activities &amp; levers'!$C$7="On",((('Net zero supporting data'!K78*EF!$H6)+('Net zero supporting data'!K73*'Net zero supporting data'!K58))*kgtoGg),"ERROR"))</f>
        <v>26.303896468420465</v>
      </c>
      <c r="U312" s="100">
        <f>IF('Net zero activities &amp; levers'!$C$7="Off",(('Activity data'!AN7*EF!$H6)*kgtoGg),IF('Net zero activities &amp; levers'!$C$7="On",((('Net zero supporting data'!L78*EF!$H6)+('Net zero supporting data'!L73*'Net zero supporting data'!L58))*kgtoGg),"ERROR"))</f>
        <v>26.31644603792288</v>
      </c>
      <c r="V312" s="100">
        <f>IF('Net zero activities &amp; levers'!$C$7="Off",(('Activity data'!AO7*EF!$H6)*kgtoGg),IF('Net zero activities &amp; levers'!$C$7="On",((('Net zero supporting data'!M78*EF!$H6)+('Net zero supporting data'!M73*'Net zero supporting data'!M58))*kgtoGg),"ERROR"))</f>
        <v>26.289289617880058</v>
      </c>
      <c r="W312" s="100">
        <f>IF('Net zero activities &amp; levers'!$C$7="Off",(('Activity data'!AP7*EF!$H6)*kgtoGg),IF('Net zero activities &amp; levers'!$C$7="On",((('Net zero supporting data'!N78*EF!$H6)+('Net zero supporting data'!N73*'Net zero supporting data'!N58))*kgtoGg),"ERROR"))</f>
        <v>26.274715943166218</v>
      </c>
      <c r="X312" s="100">
        <f>IF('Net zero activities &amp; levers'!$C$7="Off",(('Activity data'!AQ7*EF!$H6)*kgtoGg),IF('Net zero activities &amp; levers'!$C$7="On",((('Net zero supporting data'!O78*EF!$H6)+('Net zero supporting data'!O73*'Net zero supporting data'!O58))*kgtoGg),"ERROR"))</f>
        <v>26.351359914620392</v>
      </c>
      <c r="Y312" s="100">
        <f>IF('Net zero activities &amp; levers'!$C$7="Off",(('Activity data'!AR7*EF!$H6)*kgtoGg),IF('Net zero activities &amp; levers'!$C$7="On",((('Net zero supporting data'!P78*EF!$H6)+('Net zero supporting data'!P73*'Net zero supporting data'!P58))*kgtoGg),"ERROR"))</f>
        <v>26.41463794797545</v>
      </c>
      <c r="Z312" s="100">
        <f>IF('Net zero activities &amp; levers'!$C$7="Off",(('Activity data'!AS7*EF!$H6)*kgtoGg),IF('Net zero activities &amp; levers'!$C$7="On",((('Net zero supporting data'!Q78*EF!$H6)+('Net zero supporting data'!Q73*'Net zero supporting data'!Q58))*kgtoGg),"ERROR"))</f>
        <v>26.481983556820218</v>
      </c>
      <c r="AA312" s="100">
        <f>IF('Net zero activities &amp; levers'!$C$7="Off",(('Activity data'!AT7*EF!$H6)*kgtoGg),IF('Net zero activities &amp; levers'!$C$7="On",((('Net zero supporting data'!R78*EF!$H6)+('Net zero supporting data'!R73*'Net zero supporting data'!R58))*kgtoGg),"ERROR"))</f>
        <v>26.479987604642979</v>
      </c>
      <c r="AB312" s="100">
        <f>IF('Net zero activities &amp; levers'!$C$7="Off",(('Activity data'!AU7*EF!$H6)*kgtoGg),IF('Net zero activities &amp; levers'!$C$7="On",((('Net zero supporting data'!S78*EF!$H6)+('Net zero supporting data'!S73*'Net zero supporting data'!S58))*kgtoGg),"ERROR"))</f>
        <v>26.502623169647592</v>
      </c>
      <c r="AC312" s="100">
        <f>IF('Net zero activities &amp; levers'!$C$7="Off",(('Activity data'!AV7*EF!$H6)*kgtoGg),IF('Net zero activities &amp; levers'!$C$7="On",((('Net zero supporting data'!T78*EF!$H6)+('Net zero supporting data'!T73*'Net zero supporting data'!T58))*kgtoGg),"ERROR"))</f>
        <v>26.558931562730891</v>
      </c>
      <c r="AD312" s="100">
        <f>IF('Net zero activities &amp; levers'!$C$7="Off",(('Activity data'!AW7*EF!$H6)*kgtoGg),IF('Net zero activities &amp; levers'!$C$7="On",((('Net zero supporting data'!U78*EF!$H6)+('Net zero supporting data'!U73*'Net zero supporting data'!U58))*kgtoGg),"ERROR"))</f>
        <v>26.872451104456953</v>
      </c>
      <c r="AE312" s="100">
        <f>IF('Net zero activities &amp; levers'!$C$7="Off",(('Activity data'!AX7*EF!$H6)*kgtoGg),IF('Net zero activities &amp; levers'!$C$7="On",((('Net zero supporting data'!V78*EF!$H6)+('Net zero supporting data'!V73*'Net zero supporting data'!V58))*kgtoGg),"ERROR"))</f>
        <v>27.199424256658649</v>
      </c>
      <c r="AF312" s="100">
        <f>IF('Net zero activities &amp; levers'!$C$7="Off",(('Activity data'!AY7*EF!$H6)*kgtoGg),IF('Net zero activities &amp; levers'!$C$7="On",((('Net zero supporting data'!W78*EF!$H6)+('Net zero supporting data'!W73*'Net zero supporting data'!W58))*kgtoGg),"ERROR"))</f>
        <v>27.529752849700081</v>
      </c>
      <c r="AG312" s="100">
        <f>IF('Net zero activities &amp; levers'!$C$7="Off",(('Activity data'!AZ7*EF!$H6)*kgtoGg),IF('Net zero activities &amp; levers'!$C$7="On",((('Net zero supporting data'!X78*EF!$H6)+('Net zero supporting data'!X73*'Net zero supporting data'!X58))*kgtoGg),"ERROR"))</f>
        <v>27.904517569440561</v>
      </c>
      <c r="AH312" s="100">
        <f>IF('Net zero activities &amp; levers'!$C$7="Off",(('Activity data'!BA7*EF!$H6)*kgtoGg),IF('Net zero activities &amp; levers'!$C$7="On",((('Net zero supporting data'!Y78*EF!$H6)+('Net zero supporting data'!Y73*'Net zero supporting data'!Y58))*kgtoGg),"ERROR"))</f>
        <v>28.214057028096075</v>
      </c>
      <c r="AI312" s="100">
        <f>IF('Net zero activities &amp; levers'!$C$7="Off",(('Activity data'!BB7*EF!$H6)*kgtoGg),IF('Net zero activities &amp; levers'!$C$7="On",((('Net zero supporting data'!Z78*EF!$H6)+('Net zero supporting data'!Z73*'Net zero supporting data'!Z58))*kgtoGg),"ERROR"))</f>
        <v>28.530517055777214</v>
      </c>
      <c r="AJ312" s="100">
        <f>IF('Net zero activities &amp; levers'!$C$7="Off",(('Activity data'!BC7*EF!$H6)*kgtoGg),IF('Net zero activities &amp; levers'!$C$7="On",((('Net zero supporting data'!AA78*EF!$H6)+('Net zero supporting data'!AA73*'Net zero supporting data'!AA58))*kgtoGg),"ERROR"))</f>
        <v>28.847316099409035</v>
      </c>
      <c r="AK312" s="100">
        <f>IF('Net zero activities &amp; levers'!$C$7="Off",(('Activity data'!BD7*EF!$H6)*kgtoGg),IF('Net zero activities &amp; levers'!$C$7="On",((('Net zero supporting data'!AB78*EF!$H6)+('Net zero supporting data'!AB73*'Net zero supporting data'!AB58))*kgtoGg),"ERROR"))</f>
        <v>29.134993762890204</v>
      </c>
      <c r="AL312" s="100">
        <f>IF('Net zero activities &amp; levers'!$C$7="Off",(('Activity data'!BE7*EF!$H6)*kgtoGg),IF('Net zero activities &amp; levers'!$C$7="On",((('Net zero supporting data'!AC78*EF!$H6)+('Net zero supporting data'!AC73*'Net zero supporting data'!AC58))*kgtoGg),"ERROR"))</f>
        <v>29.41291696017365</v>
      </c>
      <c r="AM312" s="100">
        <f>IF('Net zero activities &amp; levers'!$C$7="Off",(('Activity data'!BF7*EF!$H6)*kgtoGg),IF('Net zero activities &amp; levers'!$C$7="On",((('Net zero supporting data'!AD78*EF!$H6)+('Net zero supporting data'!AD73*'Net zero supporting data'!AD58))*kgtoGg),"ERROR"))</f>
        <v>29.698240522670311</v>
      </c>
      <c r="AN312" s="100">
        <f>IF('Net zero activities &amp; levers'!$C$7="Off",(('Activity data'!BG7*EF!$H6)*kgtoGg),IF('Net zero activities &amp; levers'!$C$7="On",((('Net zero supporting data'!AE78*EF!$H6)+('Net zero supporting data'!AE73*'Net zero supporting data'!AE58))*kgtoGg),"ERROR"))</f>
        <v>29.986230908899426</v>
      </c>
      <c r="AO312" s="100">
        <f>IF('Net zero activities &amp; levers'!$C$7="Off",(('Activity data'!BH7*EF!$H6)*kgtoGg),IF('Net zero activities &amp; levers'!$C$7="On",((('Net zero supporting data'!AF78*EF!$H6)+('Net zero supporting data'!AF73*'Net zero supporting data'!AF58))*kgtoGg),"ERROR"))</f>
        <v>30.235281812292737</v>
      </c>
      <c r="AP312" s="100">
        <f>IF('Net zero activities &amp; levers'!$C$7="Off",(('Activity data'!BI7*EF!$H6)*kgtoGg),IF('Net zero activities &amp; levers'!$C$7="On",((('Net zero supporting data'!AG78*EF!$H6)+('Net zero supporting data'!AG73*'Net zero supporting data'!AG58))*kgtoGg),"ERROR"))</f>
        <v>30.480013123595537</v>
      </c>
      <c r="AQ312" s="100">
        <f>IF('Net zero activities &amp; levers'!$C$7="Off",(('Activity data'!BJ7*EF!$H6)*kgtoGg),IF('Net zero activities &amp; levers'!$C$7="On",((('Net zero supporting data'!AH78*EF!$H6)+('Net zero supporting data'!AH73*'Net zero supporting data'!AH58))*kgtoGg),"ERROR"))</f>
        <v>30.720781236622056</v>
      </c>
      <c r="AR312" s="100">
        <f>IF('Net zero activities &amp; levers'!$C$7="Off",(('Activity data'!BK7*EF!$H6)*kgtoGg),IF('Net zero activities &amp; levers'!$C$7="On",((('Net zero supporting data'!AI78*EF!$H6)+('Net zero supporting data'!AI73*'Net zero supporting data'!AI58))*kgtoGg),"ERROR"))</f>
        <v>30.981423339096597</v>
      </c>
      <c r="AS312" s="100">
        <f>IF('Net zero activities &amp; levers'!$C$7="Off",(('Activity data'!BL7*EF!$H6)*kgtoGg),IF('Net zero activities &amp; levers'!$C$7="On",((('Net zero supporting data'!AJ78*EF!$H6)+('Net zero supporting data'!AJ73*'Net zero supporting data'!AJ58))*kgtoGg),"ERROR"))</f>
        <v>31.231201478146733</v>
      </c>
      <c r="AT312" s="100">
        <f>IF('Net zero activities &amp; levers'!$C$7="Off",(('Activity data'!BM7*EF!$H6)*kgtoGg),IF('Net zero activities &amp; levers'!$C$7="On",((('Net zero supporting data'!AK78*EF!$H6)+('Net zero supporting data'!AK73*'Net zero supporting data'!AK58))*kgtoGg),"ERROR"))</f>
        <v>31.244371960022978</v>
      </c>
      <c r="AU312" s="100">
        <f>IF('Net zero activities &amp; levers'!$C$7="Off",(('Activity data'!BN7*EF!$H6)*kgtoGg),IF('Net zero activities &amp; levers'!$C$7="On",((('Net zero supporting data'!AL78*EF!$H6)+('Net zero supporting data'!AL73*'Net zero supporting data'!AL58))*kgtoGg),"ERROR"))</f>
        <v>31.231927017348657</v>
      </c>
      <c r="AV312" s="100">
        <f>IF('Net zero activities &amp; levers'!$C$7="Off",(('Activity data'!BO7*EF!$H6)*kgtoGg),IF('Net zero activities &amp; levers'!$C$7="On",((('Net zero supporting data'!AM78*EF!$H6)+('Net zero supporting data'!AM73*'Net zero supporting data'!AM58))*kgtoGg),"ERROR"))</f>
        <v>31.239274618632532</v>
      </c>
      <c r="AW312" s="100">
        <f>IF('Net zero activities &amp; levers'!$C$7="Off",(('Activity data'!BP7*EF!$H6)*kgtoGg),IF('Net zero activities &amp; levers'!$C$7="On",((('Net zero supporting data'!AN78*EF!$H6)+('Net zero supporting data'!AN73*'Net zero supporting data'!AN58))*kgtoGg),"ERROR"))</f>
        <v>31.223109567343247</v>
      </c>
      <c r="AY312" s="85"/>
    </row>
    <row r="313" spans="1:51" x14ac:dyDescent="0.25">
      <c r="A313" s="102" t="str">
        <f t="shared" si="71"/>
        <v>GS Cattle</v>
      </c>
      <c r="B313" s="102" t="s">
        <v>1022</v>
      </c>
      <c r="C313" s="102" t="s">
        <v>1109</v>
      </c>
      <c r="D313" t="s">
        <v>15</v>
      </c>
      <c r="E313" t="s">
        <v>16</v>
      </c>
      <c r="F313" t="s">
        <v>67</v>
      </c>
      <c r="G313" t="s">
        <v>122</v>
      </c>
      <c r="H313" t="s">
        <v>1021</v>
      </c>
      <c r="I313" t="s">
        <v>121</v>
      </c>
      <c r="J313" t="s">
        <v>286</v>
      </c>
      <c r="K313" s="100">
        <f>IF('Net zero activities &amp; levers'!$C$7="Off",(('Activity data'!AD8*EF!$H7)*kgtoGg),IF('Net zero activities &amp; levers'!$C$7="On",((('Net zero supporting data'!B79*EF!$H7)+('Net zero supporting data'!B74*'Net zero supporting data'!B59))*kgtoGg),"ERROR"))</f>
        <v>465.52056336079949</v>
      </c>
      <c r="L313" s="100">
        <f>IF('Net zero activities &amp; levers'!$C$7="Off",(('Activity data'!AE8*EF!$H7)*kgtoGg),IF('Net zero activities &amp; levers'!$C$7="On",((('Net zero supporting data'!C79*EF!$H7)+('Net zero supporting data'!C74*'Net zero supporting data'!C59))*kgtoGg),"ERROR"))</f>
        <v>463.15049709319385</v>
      </c>
      <c r="M313" s="100">
        <f>IF('Net zero activities &amp; levers'!$C$7="Off",(('Activity data'!AF8*EF!$H7)*kgtoGg),IF('Net zero activities &amp; levers'!$C$7="On",((('Net zero supporting data'!D79*EF!$H7)+('Net zero supporting data'!D74*'Net zero supporting data'!D59))*kgtoGg),"ERROR"))</f>
        <v>458.82469207652616</v>
      </c>
      <c r="N313" s="100">
        <f>IF('Net zero activities &amp; levers'!$C$7="Off",(('Activity data'!AG8*EF!$H7)*kgtoGg),IF('Net zero activities &amp; levers'!$C$7="On",((('Net zero supporting data'!E79*EF!$H7)+('Net zero supporting data'!E74*'Net zero supporting data'!E59))*kgtoGg),"ERROR"))</f>
        <v>446.98374150991339</v>
      </c>
      <c r="O313" s="100">
        <f>IF('Net zero activities &amp; levers'!$C$7="Off",(('Activity data'!AH8*EF!$H7)*kgtoGg),IF('Net zero activities &amp; levers'!$C$7="On",((('Net zero supporting data'!F79*EF!$H7)+('Net zero supporting data'!F74*'Net zero supporting data'!F59))*kgtoGg),"ERROR"))</f>
        <v>435.61531631652565</v>
      </c>
      <c r="P313" s="100">
        <f>IF('Net zero activities &amp; levers'!$C$7="Off",(('Activity data'!AI8*EF!$H7)*kgtoGg),IF('Net zero activities &amp; levers'!$C$7="On",((('Net zero supporting data'!G79*EF!$H7)+('Net zero supporting data'!G74*'Net zero supporting data'!G59))*kgtoGg),"ERROR"))</f>
        <v>431.8940518676672</v>
      </c>
      <c r="Q313" s="100">
        <f>IF('Net zero activities &amp; levers'!$C$7="Off",(('Activity data'!AJ8*EF!$H7)*kgtoGg),IF('Net zero activities &amp; levers'!$C$7="On",((('Net zero supporting data'!H79*EF!$H7)+('Net zero supporting data'!H74*'Net zero supporting data'!H59))*kgtoGg),"ERROR"))</f>
        <v>425.88381386723944</v>
      </c>
      <c r="R313" s="100">
        <f>IF('Net zero activities &amp; levers'!$C$7="Off",(('Activity data'!AK8*EF!$H7)*kgtoGg),IF('Net zero activities &amp; levers'!$C$7="On",((('Net zero supporting data'!I79*EF!$H7)+('Net zero supporting data'!I74*'Net zero supporting data'!I59))*kgtoGg),"ERROR"))</f>
        <v>412.37997971855566</v>
      </c>
      <c r="S313" s="100">
        <f>IF('Net zero activities &amp; levers'!$C$7="Off",(('Activity data'!AL8*EF!$H7)*kgtoGg),IF('Net zero activities &amp; levers'!$C$7="On",((('Net zero supporting data'!J79*EF!$H7)+('Net zero supporting data'!J74*'Net zero supporting data'!J59))*kgtoGg),"ERROR"))</f>
        <v>367.07322936568551</v>
      </c>
      <c r="T313" s="100">
        <f>IF('Net zero activities &amp; levers'!$C$7="Off",(('Activity data'!AM8*EF!$H7)*kgtoGg),IF('Net zero activities &amp; levers'!$C$7="On",((('Net zero supporting data'!K79*EF!$H7)+('Net zero supporting data'!K74*'Net zero supporting data'!K59))*kgtoGg),"ERROR"))</f>
        <v>366.36754868786971</v>
      </c>
      <c r="U313" s="100">
        <f>IF('Net zero activities &amp; levers'!$C$7="Off",(('Activity data'!AN8*EF!$H7)*kgtoGg),IF('Net zero activities &amp; levers'!$C$7="On",((('Net zero supporting data'!L79*EF!$H7)+('Net zero supporting data'!L74*'Net zero supporting data'!L59))*kgtoGg),"ERROR"))</f>
        <v>361.16786511672393</v>
      </c>
      <c r="V313" s="100">
        <f>IF('Net zero activities &amp; levers'!$C$7="Off",(('Activity data'!AO8*EF!$H7)*kgtoGg),IF('Net zero activities &amp; levers'!$C$7="On",((('Net zero supporting data'!M79*EF!$H7)+('Net zero supporting data'!M74*'Net zero supporting data'!M59))*kgtoGg),"ERROR"))</f>
        <v>354.69031534585588</v>
      </c>
      <c r="W313" s="100">
        <f>IF('Net zero activities &amp; levers'!$C$7="Off",(('Activity data'!AP8*EF!$H7)*kgtoGg),IF('Net zero activities &amp; levers'!$C$7="On",((('Net zero supporting data'!N79*EF!$H7)+('Net zero supporting data'!N74*'Net zero supporting data'!N59))*kgtoGg),"ERROR"))</f>
        <v>349.11507094707707</v>
      </c>
      <c r="X313" s="100">
        <f>IF('Net zero activities &amp; levers'!$C$7="Off",(('Activity data'!AQ8*EF!$H7)*kgtoGg),IF('Net zero activities &amp; levers'!$C$7="On",((('Net zero supporting data'!O79*EF!$H7)+('Net zero supporting data'!O74*'Net zero supporting data'!O59))*kgtoGg),"ERROR"))</f>
        <v>347.36955383825358</v>
      </c>
      <c r="Y313" s="100">
        <f>IF('Net zero activities &amp; levers'!$C$7="Off",(('Activity data'!AR8*EF!$H7)*kgtoGg),IF('Net zero activities &amp; levers'!$C$7="On",((('Net zero supporting data'!P79*EF!$H7)+('Net zero supporting data'!P74*'Net zero supporting data'!P59))*kgtoGg),"ERROR"))</f>
        <v>345.84872705588208</v>
      </c>
      <c r="Z313" s="100">
        <f>IF('Net zero activities &amp; levers'!$C$7="Off",(('Activity data'!AS8*EF!$H7)*kgtoGg),IF('Net zero activities &amp; levers'!$C$7="On",((('Net zero supporting data'!Q79*EF!$H7)+('Net zero supporting data'!Q74*'Net zero supporting data'!Q59))*kgtoGg),"ERROR"))</f>
        <v>344.5209618470426</v>
      </c>
      <c r="AA313" s="100">
        <f>IF('Net zero activities &amp; levers'!$C$7="Off",(('Activity data'!AT8*EF!$H7)*kgtoGg),IF('Net zero activities &amp; levers'!$C$7="On",((('Net zero supporting data'!R79*EF!$H7)+('Net zero supporting data'!R74*'Net zero supporting data'!R59))*kgtoGg),"ERROR"))</f>
        <v>340.7952948786243</v>
      </c>
      <c r="AB313" s="100">
        <f>IF('Net zero activities &amp; levers'!$C$7="Off",(('Activity data'!AU8*EF!$H7)*kgtoGg),IF('Net zero activities &amp; levers'!$C$7="On",((('Net zero supporting data'!S79*EF!$H7)+('Net zero supporting data'!S74*'Net zero supporting data'!S59))*kgtoGg),"ERROR"))</f>
        <v>338.04533234281604</v>
      </c>
      <c r="AC313" s="100">
        <f>IF('Net zero activities &amp; levers'!$C$7="Off",(('Activity data'!AV8*EF!$H7)*kgtoGg),IF('Net zero activities &amp; levers'!$C$7="On",((('Net zero supporting data'!T79*EF!$H7)+('Net zero supporting data'!T74*'Net zero supporting data'!T59))*kgtoGg),"ERROR"))</f>
        <v>336.46028418805469</v>
      </c>
      <c r="AD313" s="100">
        <f>IF('Net zero activities &amp; levers'!$C$7="Off",(('Activity data'!AW8*EF!$H7)*kgtoGg),IF('Net zero activities &amp; levers'!$C$7="On",((('Net zero supporting data'!U79*EF!$H7)+('Net zero supporting data'!U74*'Net zero supporting data'!U59))*kgtoGg),"ERROR"))</f>
        <v>336.92080824646257</v>
      </c>
      <c r="AE313" s="100">
        <f>IF('Net zero activities &amp; levers'!$C$7="Off",(('Activity data'!AX8*EF!$H7)*kgtoGg),IF('Net zero activities &amp; levers'!$C$7="On",((('Net zero supporting data'!V79*EF!$H7)+('Net zero supporting data'!V74*'Net zero supporting data'!V59))*kgtoGg),"ERROR"))</f>
        <v>337.2828037897699</v>
      </c>
      <c r="AF313" s="100">
        <f>IF('Net zero activities &amp; levers'!$C$7="Off",(('Activity data'!AY8*EF!$H7)*kgtoGg),IF('Net zero activities &amp; levers'!$C$7="On",((('Net zero supporting data'!W79*EF!$H7)+('Net zero supporting data'!W74*'Net zero supporting data'!W59))*kgtoGg),"ERROR"))</f>
        <v>337.23004397853384</v>
      </c>
      <c r="AG313" s="100">
        <f>IF('Net zero activities &amp; levers'!$C$7="Off",(('Activity data'!AZ8*EF!$H7)*kgtoGg),IF('Net zero activities &amp; levers'!$C$7="On",((('Net zero supporting data'!X79*EF!$H7)+('Net zero supporting data'!X74*'Net zero supporting data'!X59))*kgtoGg),"ERROR"))</f>
        <v>337.93702096823409</v>
      </c>
      <c r="AH313" s="100">
        <f>IF('Net zero activities &amp; levers'!$C$7="Off",(('Activity data'!BA8*EF!$H7)*kgtoGg),IF('Net zero activities &amp; levers'!$C$7="On",((('Net zero supporting data'!Y79*EF!$H7)+('Net zero supporting data'!Y74*'Net zero supporting data'!Y59))*kgtoGg),"ERROR"))</f>
        <v>336.29998686889235</v>
      </c>
      <c r="AI313" s="100">
        <f>IF('Net zero activities &amp; levers'!$C$7="Off",(('Activity data'!BB8*EF!$H7)*kgtoGg),IF('Net zero activities &amp; levers'!$C$7="On",((('Net zero supporting data'!Z79*EF!$H7)+('Net zero supporting data'!Z74*'Net zero supporting data'!Z59))*kgtoGg),"ERROR"))</f>
        <v>334.74237751410044</v>
      </c>
      <c r="AJ313" s="100">
        <f>IF('Net zero activities &amp; levers'!$C$7="Off",(('Activity data'!BC8*EF!$H7)*kgtoGg),IF('Net zero activities &amp; levers'!$C$7="On",((('Net zero supporting data'!AA79*EF!$H7)+('Net zero supporting data'!AA74*'Net zero supporting data'!AA59))*kgtoGg),"ERROR"))</f>
        <v>332.76256780537136</v>
      </c>
      <c r="AK313" s="100">
        <f>IF('Net zero activities &amp; levers'!$C$7="Off",(('Activity data'!BD8*EF!$H7)*kgtoGg),IF('Net zero activities &amp; levers'!$C$7="On",((('Net zero supporting data'!AB79*EF!$H7)+('Net zero supporting data'!AB74*'Net zero supporting data'!AB59))*kgtoGg),"ERROR"))</f>
        <v>329.66082551855732</v>
      </c>
      <c r="AL313" s="100">
        <f>IF('Net zero activities &amp; levers'!$C$7="Off",(('Activity data'!BE8*EF!$H7)*kgtoGg),IF('Net zero activities &amp; levers'!$C$7="On",((('Net zero supporting data'!AC79*EF!$H7)+('Net zero supporting data'!AC74*'Net zero supporting data'!AC59))*kgtoGg),"ERROR"))</f>
        <v>325.99038324952539</v>
      </c>
      <c r="AM313" s="100">
        <f>IF('Net zero activities &amp; levers'!$C$7="Off",(('Activity data'!BF8*EF!$H7)*kgtoGg),IF('Net zero activities &amp; levers'!$C$7="On",((('Net zero supporting data'!AD79*EF!$H7)+('Net zero supporting data'!AD74*'Net zero supporting data'!AD59))*kgtoGg),"ERROR"))</f>
        <v>322.18070355512521</v>
      </c>
      <c r="AN313" s="100">
        <f>IF('Net zero activities &amp; levers'!$C$7="Off",(('Activity data'!BG8*EF!$H7)*kgtoGg),IF('Net zero activities &amp; levers'!$C$7="On",((('Net zero supporting data'!AE79*EF!$H7)+('Net zero supporting data'!AE74*'Net zero supporting data'!AE59))*kgtoGg),"ERROR"))</f>
        <v>322.34076846665693</v>
      </c>
      <c r="AO313" s="100">
        <f>IF('Net zero activities &amp; levers'!$C$7="Off",(('Activity data'!BH8*EF!$H7)*kgtoGg),IF('Net zero activities &amp; levers'!$C$7="On",((('Net zero supporting data'!AF79*EF!$H7)+('Net zero supporting data'!AF74*'Net zero supporting data'!AF59))*kgtoGg),"ERROR"))</f>
        <v>321.39811876634661</v>
      </c>
      <c r="AP313" s="100">
        <f>IF('Net zero activities &amp; levers'!$C$7="Off",(('Activity data'!BI8*EF!$H7)*kgtoGg),IF('Net zero activities &amp; levers'!$C$7="On",((('Net zero supporting data'!AG79*EF!$H7)+('Net zero supporting data'!AG74*'Net zero supporting data'!AG59))*kgtoGg),"ERROR"))</f>
        <v>320.14824684986905</v>
      </c>
      <c r="AQ313" s="100">
        <f>IF('Net zero activities &amp; levers'!$C$7="Off",(('Activity data'!BJ8*EF!$H7)*kgtoGg),IF('Net zero activities &amp; levers'!$C$7="On",((('Net zero supporting data'!AH79*EF!$H7)+('Net zero supporting data'!AH74*'Net zero supporting data'!AH59))*kgtoGg),"ERROR"))</f>
        <v>318.61188330220438</v>
      </c>
      <c r="AR313" s="100">
        <f>IF('Net zero activities &amp; levers'!$C$7="Off",(('Activity data'!BK8*EF!$H7)*kgtoGg),IF('Net zero activities &amp; levers'!$C$7="On",((('Net zero supporting data'!AI79*EF!$H7)+('Net zero supporting data'!AI74*'Net zero supporting data'!AI59))*kgtoGg),"ERROR"))</f>
        <v>317.26955890316174</v>
      </c>
      <c r="AS313" s="100">
        <f>IF('Net zero activities &amp; levers'!$C$7="Off",(('Activity data'!BL8*EF!$H7)*kgtoGg),IF('Net zero activities &amp; levers'!$C$7="On",((('Net zero supporting data'!AJ79*EF!$H7)+('Net zero supporting data'!AJ74*'Net zero supporting data'!AJ59))*kgtoGg),"ERROR"))</f>
        <v>315.70119771316763</v>
      </c>
      <c r="AT313" s="100">
        <f>IF('Net zero activities &amp; levers'!$C$7="Off",(('Activity data'!BM8*EF!$H7)*kgtoGg),IF('Net zero activities &amp; levers'!$C$7="On",((('Net zero supporting data'!AK79*EF!$H7)+('Net zero supporting data'!AK74*'Net zero supporting data'!AK59))*kgtoGg),"ERROR"))</f>
        <v>309.53667734409532</v>
      </c>
      <c r="AU313" s="100">
        <f>IF('Net zero activities &amp; levers'!$C$7="Off",(('Activity data'!BN8*EF!$H7)*kgtoGg),IF('Net zero activities &amp; levers'!$C$7="On",((('Net zero supporting data'!AL79*EF!$H7)+('Net zero supporting data'!AL74*'Net zero supporting data'!AL59))*kgtoGg),"ERROR"))</f>
        <v>302.95957419536904</v>
      </c>
      <c r="AV313" s="100">
        <f>IF('Net zero activities &amp; levers'!$C$7="Off",(('Activity data'!BO8*EF!$H7)*kgtoGg),IF('Net zero activities &amp; levers'!$C$7="On",((('Net zero supporting data'!AM79*EF!$H7)+('Net zero supporting data'!AM74*'Net zero supporting data'!AM59))*kgtoGg),"ERROR"))</f>
        <v>296.80249194633421</v>
      </c>
      <c r="AW313" s="100">
        <f>IF('Net zero activities &amp; levers'!$C$7="Off",(('Activity data'!BP8*EF!$H7)*kgtoGg),IF('Net zero activities &amp; levers'!$C$7="On",((('Net zero supporting data'!AN79*EF!$H7)+('Net zero supporting data'!AN74*'Net zero supporting data'!AN59))*kgtoGg),"ERROR"))</f>
        <v>290.29766582530641</v>
      </c>
      <c r="AY313" s="85"/>
    </row>
    <row r="314" spans="1:51" x14ac:dyDescent="0.25">
      <c r="A314" s="102" t="str">
        <f t="shared" si="71"/>
        <v>GS Cattle</v>
      </c>
      <c r="B314" s="102" t="s">
        <v>1022</v>
      </c>
      <c r="C314" s="102" t="s">
        <v>1109</v>
      </c>
      <c r="D314" t="s">
        <v>15</v>
      </c>
      <c r="E314" t="s">
        <v>16</v>
      </c>
      <c r="F314" t="s">
        <v>67</v>
      </c>
      <c r="G314" t="s">
        <v>123</v>
      </c>
      <c r="H314" t="s">
        <v>1021</v>
      </c>
      <c r="I314" t="s">
        <v>121</v>
      </c>
      <c r="J314" t="s">
        <v>286</v>
      </c>
      <c r="K314" s="28">
        <f t="shared" ref="K314:Z323" si="72">K1383</f>
        <v>327.80986528142375</v>
      </c>
      <c r="L314" s="28">
        <f t="shared" si="72"/>
        <v>326.14091407917653</v>
      </c>
      <c r="M314" s="28">
        <f t="shared" si="72"/>
        <v>323.0947724662044</v>
      </c>
      <c r="N314" s="28">
        <f t="shared" si="72"/>
        <v>314.75662219842133</v>
      </c>
      <c r="O314" s="28">
        <f t="shared" si="72"/>
        <v>306.75121443683565</v>
      </c>
      <c r="P314" s="28">
        <f t="shared" si="72"/>
        <v>304.13077767492297</v>
      </c>
      <c r="Q314" s="28">
        <f t="shared" si="72"/>
        <v>299.89849350898703</v>
      </c>
      <c r="R314" s="28">
        <f t="shared" si="72"/>
        <v>290.38937532717256</v>
      </c>
      <c r="S314" s="28">
        <f t="shared" si="72"/>
        <v>258.48530728280883</v>
      </c>
      <c r="T314" s="28">
        <f t="shared" si="72"/>
        <v>264.80135424014338</v>
      </c>
      <c r="U314" s="28">
        <f t="shared" si="72"/>
        <v>268.21281720915158</v>
      </c>
      <c r="V314" s="28">
        <f t="shared" si="72"/>
        <v>270.92434033912764</v>
      </c>
      <c r="W314" s="28">
        <f t="shared" si="72"/>
        <v>274.56845300784875</v>
      </c>
      <c r="X314" s="28">
        <f t="shared" si="72"/>
        <v>281.56465028341216</v>
      </c>
      <c r="Y314" s="28">
        <f t="shared" si="72"/>
        <v>289.22182640930129</v>
      </c>
      <c r="Z314" s="28">
        <f t="shared" si="72"/>
        <v>297.56512322715759</v>
      </c>
      <c r="AA314" s="28">
        <f t="shared" ref="AA314:AW314" si="73">AA1383</f>
        <v>304.36806934749092</v>
      </c>
      <c r="AB314" s="28">
        <f t="shared" si="73"/>
        <v>312.53411878816331</v>
      </c>
      <c r="AC314" s="28">
        <f t="shared" si="73"/>
        <v>322.37031140412756</v>
      </c>
      <c r="AD314" s="28">
        <f t="shared" si="73"/>
        <v>328.8496933086418</v>
      </c>
      <c r="AE314" s="28">
        <f t="shared" si="73"/>
        <v>335.46815795535053</v>
      </c>
      <c r="AF314" s="28">
        <f t="shared" si="73"/>
        <v>341.91723381833816</v>
      </c>
      <c r="AG314" s="28">
        <f t="shared" si="73"/>
        <v>349.37830086467267</v>
      </c>
      <c r="AH314" s="28">
        <f t="shared" si="73"/>
        <v>354.6950999446828</v>
      </c>
      <c r="AI314" s="28">
        <f t="shared" si="73"/>
        <v>360.29626510209863</v>
      </c>
      <c r="AJ314" s="28">
        <f t="shared" si="73"/>
        <v>365.65607664402177</v>
      </c>
      <c r="AK314" s="28">
        <f t="shared" si="73"/>
        <v>369.98629281446455</v>
      </c>
      <c r="AL314" s="28">
        <f t="shared" si="73"/>
        <v>373.83996685831022</v>
      </c>
      <c r="AM314" s="28">
        <f t="shared" si="73"/>
        <v>377.67633839789198</v>
      </c>
      <c r="AN314" s="28">
        <f t="shared" si="73"/>
        <v>383.58110854409597</v>
      </c>
      <c r="AO314" s="28">
        <f t="shared" si="73"/>
        <v>388.38986893098826</v>
      </c>
      <c r="AP314" s="28">
        <f t="shared" si="73"/>
        <v>393.00741689368874</v>
      </c>
      <c r="AQ314" s="28">
        <f t="shared" si="73"/>
        <v>397.44890622627946</v>
      </c>
      <c r="AR314" s="28">
        <f t="shared" si="73"/>
        <v>402.30254954395133</v>
      </c>
      <c r="AS314" s="28">
        <f t="shared" si="73"/>
        <v>407.05664035471597</v>
      </c>
      <c r="AT314" s="28">
        <f t="shared" si="73"/>
        <v>406.07715773626023</v>
      </c>
      <c r="AU314" s="28">
        <f t="shared" si="73"/>
        <v>404.54022847126805</v>
      </c>
      <c r="AV314" s="28">
        <f t="shared" si="73"/>
        <v>403.52434002927453</v>
      </c>
      <c r="AW314" s="28">
        <f t="shared" si="73"/>
        <v>402.01262508272896</v>
      </c>
      <c r="AY314" s="85"/>
    </row>
    <row r="315" spans="1:51" x14ac:dyDescent="0.25">
      <c r="A315" s="102" t="str">
        <f t="shared" si="71"/>
        <v>GS Cattle</v>
      </c>
      <c r="B315" s="102" t="s">
        <v>1022</v>
      </c>
      <c r="C315" s="102" t="s">
        <v>1109</v>
      </c>
      <c r="D315" t="s">
        <v>15</v>
      </c>
      <c r="E315" t="s">
        <v>16</v>
      </c>
      <c r="F315" t="s">
        <v>67</v>
      </c>
      <c r="G315" t="s">
        <v>135</v>
      </c>
      <c r="H315" t="s">
        <v>1021</v>
      </c>
      <c r="I315" t="s">
        <v>121</v>
      </c>
      <c r="J315" t="s">
        <v>286</v>
      </c>
      <c r="K315" s="100">
        <f>IF('Net zero activities &amp; levers'!$C$7="Off",(('Activity data'!AD10*EF!$H9)*kgtoGg),IF('Net zero activities &amp; levers'!$C$7="On",((('Net zero supporting data'!B80*EF!$H9)+('Net zero supporting data'!B75*'Net zero supporting data'!B60))*kgtoGg),"ERROR"))</f>
        <v>31.983141266454435</v>
      </c>
      <c r="L315" s="100">
        <f>IF('Net zero activities &amp; levers'!$C$7="Off",(('Activity data'!AE10*EF!$H9)*kgtoGg),IF('Net zero activities &amp; levers'!$C$7="On",((('Net zero supporting data'!C80*EF!$H9)+('Net zero supporting data'!C75*'Net zero supporting data'!C60))*kgtoGg),"ERROR"))</f>
        <v>33.176305480896438</v>
      </c>
      <c r="M315" s="100">
        <f>IF('Net zero activities &amp; levers'!$C$7="Off",(('Activity data'!AF10*EF!$H9)*kgtoGg),IF('Net zero activities &amp; levers'!$C$7="On",((('Net zero supporting data'!D80*EF!$H9)+('Net zero supporting data'!D75*'Net zero supporting data'!D60))*kgtoGg),"ERROR"))</f>
        <v>34.248209769984797</v>
      </c>
      <c r="N315" s="100">
        <f>IF('Net zero activities &amp; levers'!$C$7="Off",(('Activity data'!AG10*EF!$H9)*kgtoGg),IF('Net zero activities &amp; levers'!$C$7="On",((('Net zero supporting data'!E80*EF!$H9)+('Net zero supporting data'!E75*'Net zero supporting data'!E60))*kgtoGg),"ERROR"))</f>
        <v>34.751225456913808</v>
      </c>
      <c r="O315" s="100">
        <f>IF('Net zero activities &amp; levers'!$C$7="Off",(('Activity data'!AH10*EF!$H9)*kgtoGg),IF('Net zero activities &amp; levers'!$C$7="On",((('Net zero supporting data'!F80*EF!$H9)+('Net zero supporting data'!F75*'Net zero supporting data'!F60))*kgtoGg),"ERROR"))</f>
        <v>35.261937727399058</v>
      </c>
      <c r="P315" s="100">
        <f>IF('Net zero activities &amp; levers'!$C$7="Off",(('Activity data'!AI10*EF!$H9)*kgtoGg),IF('Net zero activities &amp; levers'!$C$7="On",((('Net zero supporting data'!G80*EF!$H9)+('Net zero supporting data'!G75*'Net zero supporting data'!G60))*kgtoGg),"ERROR"))</f>
        <v>36.389263474395328</v>
      </c>
      <c r="Q315" s="100">
        <f>IF('Net zero activities &amp; levers'!$C$7="Off",(('Activity data'!AJ10*EF!$H9)*kgtoGg),IF('Net zero activities &amp; levers'!$C$7="On",((('Net zero supporting data'!H80*EF!$H9)+('Net zero supporting data'!H75*'Net zero supporting data'!H60))*kgtoGg),"ERROR"))</f>
        <v>37.34016796495505</v>
      </c>
      <c r="R315" s="100">
        <f>IF('Net zero activities &amp; levers'!$C$7="Off",(('Activity data'!AK10*EF!$H9)*kgtoGg),IF('Net zero activities &amp; levers'!$C$7="On",((('Net zero supporting data'!I80*EF!$H9)+('Net zero supporting data'!I75*'Net zero supporting data'!I60))*kgtoGg),"ERROR"))</f>
        <v>37.617758099633058</v>
      </c>
      <c r="S315" s="100">
        <f>IF('Net zero activities &amp; levers'!$C$7="Off",(('Activity data'!AL10*EF!$H9)*kgtoGg),IF('Net zero activities &amp; levers'!$C$7="On",((('Net zero supporting data'!J80*EF!$H9)+('Net zero supporting data'!J75*'Net zero supporting data'!J60))*kgtoGg),"ERROR"))</f>
        <v>34.833912391780601</v>
      </c>
      <c r="T315" s="100">
        <f>IF('Net zero activities &amp; levers'!$C$7="Off",(('Activity data'!AM10*EF!$H9)*kgtoGg),IF('Net zero activities &amp; levers'!$C$7="On",((('Net zero supporting data'!K80*EF!$H9)+('Net zero supporting data'!K75*'Net zero supporting data'!K60))*kgtoGg),"ERROR"))</f>
        <v>35.985649201967313</v>
      </c>
      <c r="U315" s="100">
        <f>IF('Net zero activities &amp; levers'!$C$7="Off",(('Activity data'!AN10*EF!$H9)*kgtoGg),IF('Net zero activities &amp; levers'!$C$7="On",((('Net zero supporting data'!L80*EF!$H9)+('Net zero supporting data'!L75*'Net zero supporting data'!L60))*kgtoGg),"ERROR"))</f>
        <v>36.709309260812645</v>
      </c>
      <c r="V315" s="100">
        <f>IF('Net zero activities &amp; levers'!$C$7="Off",(('Activity data'!AO10*EF!$H9)*kgtoGg),IF('Net zero activities &amp; levers'!$C$7="On",((('Net zero supporting data'!M80*EF!$H9)+('Net zero supporting data'!M75*'Net zero supporting data'!M60))*kgtoGg),"ERROR"))</f>
        <v>37.297161791303232</v>
      </c>
      <c r="W315" s="100">
        <f>IF('Net zero activities &amp; levers'!$C$7="Off",(('Activity data'!AP10*EF!$H9)*kgtoGg),IF('Net zero activities &amp; levers'!$C$7="On",((('Net zero supporting data'!N80*EF!$H9)+('Net zero supporting data'!N75*'Net zero supporting data'!N60))*kgtoGg),"ERROR"))</f>
        <v>37.972601354846411</v>
      </c>
      <c r="X315" s="100">
        <f>IF('Net zero activities &amp; levers'!$C$7="Off",(('Activity data'!AQ10*EF!$H9)*kgtoGg),IF('Net zero activities &amp; levers'!$C$7="On",((('Net zero supporting data'!O80*EF!$H9)+('Net zero supporting data'!O75*'Net zero supporting data'!O60))*kgtoGg),"ERROR"))</f>
        <v>39.074648689177501</v>
      </c>
      <c r="Y315" s="100">
        <f>IF('Net zero activities &amp; levers'!$C$7="Off",(('Activity data'!AR10*EF!$H9)*kgtoGg),IF('Net zero activities &amp; levers'!$C$7="On",((('Net zero supporting data'!P80*EF!$H9)+('Net zero supporting data'!P75*'Net zero supporting data'!P60))*kgtoGg),"ERROR"))</f>
        <v>40.227846762573037</v>
      </c>
      <c r="Z315" s="100">
        <f>IF('Net zero activities &amp; levers'!$C$7="Off",(('Activity data'!AS10*EF!$H9)*kgtoGg),IF('Net zero activities &amp; levers'!$C$7="On",((('Net zero supporting data'!Q80*EF!$H9)+('Net zero supporting data'!Q75*'Net zero supporting data'!Q60))*kgtoGg),"ERROR"))</f>
        <v>41.432186808781445</v>
      </c>
      <c r="AA315" s="100">
        <f>IF('Net zero activities &amp; levers'!$C$7="Off",(('Activity data'!AT10*EF!$H9)*kgtoGg),IF('Net zero activities &amp; levers'!$C$7="On",((('Net zero supporting data'!R80*EF!$H9)+('Net zero supporting data'!R75*'Net zero supporting data'!R60))*kgtoGg),"ERROR"))</f>
        <v>42.369141617938872</v>
      </c>
      <c r="AB315" s="100">
        <f>IF('Net zero activities &amp; levers'!$C$7="Off",(('Activity data'!AU10*EF!$H9)*kgtoGg),IF('Net zero activities &amp; levers'!$C$7="On",((('Net zero supporting data'!S80*EF!$H9)+('Net zero supporting data'!S75*'Net zero supporting data'!S60))*kgtoGg),"ERROR"))</f>
        <v>43.443470180515192</v>
      </c>
      <c r="AC315" s="100">
        <f>IF('Net zero activities &amp; levers'!$C$7="Off",(('Activity data'!AV10*EF!$H9)*kgtoGg),IF('Net zero activities &amp; levers'!$C$7="On",((('Net zero supporting data'!T80*EF!$H9)+('Net zero supporting data'!T75*'Net zero supporting data'!T60))*kgtoGg),"ERROR"))</f>
        <v>44.693391065421686</v>
      </c>
      <c r="AD315" s="100">
        <f>IF('Net zero activities &amp; levers'!$C$7="Off",(('Activity data'!AW10*EF!$H9)*kgtoGg),IF('Net zero activities &amp; levers'!$C$7="On",((('Net zero supporting data'!U80*EF!$H9)+('Net zero supporting data'!U75*'Net zero supporting data'!U60))*kgtoGg),"ERROR"))</f>
        <v>46.26068003302661</v>
      </c>
      <c r="AE315" s="100">
        <f>IF('Net zero activities &amp; levers'!$C$7="Off",(('Activity data'!AX10*EF!$H9)*kgtoGg),IF('Net zero activities &amp; levers'!$C$7="On",((('Net zero supporting data'!V80*EF!$H9)+('Net zero supporting data'!V75*'Net zero supporting data'!V60))*kgtoGg),"ERROR"))</f>
        <v>47.872026359414619</v>
      </c>
      <c r="AF315" s="100">
        <f>IF('Net zero activities &amp; levers'!$C$7="Off",(('Activity data'!AY10*EF!$H9)*kgtoGg),IF('Net zero activities &amp; levers'!$C$7="On",((('Net zero supporting data'!W80*EF!$H9)+('Net zero supporting data'!W75*'Net zero supporting data'!W60))*kgtoGg),"ERROR"))</f>
        <v>49.482881384176672</v>
      </c>
      <c r="AG315" s="100">
        <f>IF('Net zero activities &amp; levers'!$C$7="Off",(('Activity data'!AZ10*EF!$H9)*kgtoGg),IF('Net zero activities &amp; levers'!$C$7="On",((('Net zero supporting data'!X80*EF!$H9)+('Net zero supporting data'!X75*'Net zero supporting data'!X60))*kgtoGg),"ERROR"))</f>
        <v>51.26867423158599</v>
      </c>
      <c r="AH315" s="100">
        <f>IF('Net zero activities &amp; levers'!$C$7="Off",(('Activity data'!BA10*EF!$H9)*kgtoGg),IF('Net zero activities &amp; levers'!$C$7="On",((('Net zero supporting data'!Y80*EF!$H9)+('Net zero supporting data'!Y75*'Net zero supporting data'!Y60))*kgtoGg),"ERROR"))</f>
        <v>52.757716299355891</v>
      </c>
      <c r="AI315" s="100">
        <f>IF('Net zero activities &amp; levers'!$C$7="Off",(('Activity data'!BB10*EF!$H9)*kgtoGg),IF('Net zero activities &amp; levers'!$C$7="On",((('Net zero supporting data'!Z80*EF!$H9)+('Net zero supporting data'!Z75*'Net zero supporting data'!Z60))*kgtoGg),"ERROR"))</f>
        <v>54.309601028957694</v>
      </c>
      <c r="AJ315" s="100">
        <f>IF('Net zero activities &amp; levers'!$C$7="Off",(('Activity data'!BC10*EF!$H9)*kgtoGg),IF('Net zero activities &amp; levers'!$C$7="On",((('Net zero supporting data'!AA80*EF!$H9)+('Net zero supporting data'!AA75*'Net zero supporting data'!AA60))*kgtoGg),"ERROR"))</f>
        <v>55.844431942395552</v>
      </c>
      <c r="AK315" s="100">
        <f>IF('Net zero activities &amp; levers'!$C$7="Off",(('Activity data'!BD10*EF!$H9)*kgtoGg),IF('Net zero activities &amp; levers'!$C$7="On",((('Net zero supporting data'!AB80*EF!$H9)+('Net zero supporting data'!AB75*'Net zero supporting data'!AB60))*kgtoGg),"ERROR"))</f>
        <v>57.2365965540451</v>
      </c>
      <c r="AL315" s="100">
        <f>IF('Net zero activities &amp; levers'!$C$7="Off",(('Activity data'!BE10*EF!$H9)*kgtoGg),IF('Net zero activities &amp; levers'!$C$7="On",((('Net zero supporting data'!AC80*EF!$H9)+('Net zero supporting data'!AC75*'Net zero supporting data'!AC60))*kgtoGg),"ERROR"))</f>
        <v>58.568326075757902</v>
      </c>
      <c r="AM315" s="100">
        <f>IF('Net zero activities &amp; levers'!$C$7="Off",(('Activity data'!BF10*EF!$H9)*kgtoGg),IF('Net zero activities &amp; levers'!$C$7="On",((('Net zero supporting data'!AD80*EF!$H9)+('Net zero supporting data'!AD75*'Net zero supporting data'!AD60))*kgtoGg),"ERROR"))</f>
        <v>59.911301514256841</v>
      </c>
      <c r="AN315" s="100">
        <f>IF('Net zero activities &amp; levers'!$C$7="Off",(('Activity data'!BG10*EF!$H9)*kgtoGg),IF('Net zero activities &amp; levers'!$C$7="On",((('Net zero supporting data'!AE80*EF!$H9)+('Net zero supporting data'!AE75*'Net zero supporting data'!AE60))*kgtoGg),"ERROR"))</f>
        <v>61.66432684888337</v>
      </c>
      <c r="AO315" s="100">
        <f>IF('Net zero activities &amp; levers'!$C$7="Off",(('Activity data'!BH10*EF!$H9)*kgtoGg),IF('Net zero activities &amp; levers'!$C$7="On",((('Net zero supporting data'!AF80*EF!$H9)+('Net zero supporting data'!AF75*'Net zero supporting data'!AF60))*kgtoGg),"ERROR"))</f>
        <v>63.257889058676398</v>
      </c>
      <c r="AP315" s="100">
        <f>IF('Net zero activities &amp; levers'!$C$7="Off",(('Activity data'!BI10*EF!$H9)*kgtoGg),IF('Net zero activities &amp; levers'!$C$7="On",((('Net zero supporting data'!AG80*EF!$H9)+('Net zero supporting data'!AG75*'Net zero supporting data'!AG60))*kgtoGg),"ERROR"))</f>
        <v>64.837094411793203</v>
      </c>
      <c r="AQ315" s="100">
        <f>IF('Net zero activities &amp; levers'!$C$7="Off",(('Activity data'!BJ10*EF!$H9)*kgtoGg),IF('Net zero activities &amp; levers'!$C$7="On",((('Net zero supporting data'!AH80*EF!$H9)+('Net zero supporting data'!AH75*'Net zero supporting data'!AH60))*kgtoGg),"ERROR"))</f>
        <v>66.403239361031851</v>
      </c>
      <c r="AR315" s="100">
        <f>IF('Net zero activities &amp; levers'!$C$7="Off",(('Activity data'!BK10*EF!$H9)*kgtoGg),IF('Net zero activities &amp; levers'!$C$7="On",((('Net zero supporting data'!AI80*EF!$H9)+('Net zero supporting data'!AI75*'Net zero supporting data'!AI60))*kgtoGg),"ERROR"))</f>
        <v>68.056534586337889</v>
      </c>
      <c r="AS315" s="100">
        <f>IF('Net zero activities &amp; levers'!$C$7="Off",(('Activity data'!BL10*EF!$H9)*kgtoGg),IF('Net zero activities &amp; levers'!$C$7="On",((('Net zero supporting data'!AJ80*EF!$H9)+('Net zero supporting data'!AJ75*'Net zero supporting data'!AJ60))*kgtoGg),"ERROR"))</f>
        <v>69.710229750007173</v>
      </c>
      <c r="AT315" s="100">
        <f>IF('Net zero activities &amp; levers'!$C$7="Off",(('Activity data'!BM10*EF!$H9)*kgtoGg),IF('Net zero activities &amp; levers'!$C$7="On",((('Net zero supporting data'!AK80*EF!$H9)+('Net zero supporting data'!AK75*'Net zero supporting data'!AK60))*kgtoGg),"ERROR"))</f>
        <v>70.369026457179984</v>
      </c>
      <c r="AU315" s="100">
        <f>IF('Net zero activities &amp; levers'!$C$7="Off",(('Activity data'!BN10*EF!$H9)*kgtoGg),IF('Net zero activities &amp; levers'!$C$7="On",((('Net zero supporting data'!AL80*EF!$H9)+('Net zero supporting data'!AL75*'Net zero supporting data'!AL60))*kgtoGg),"ERROR"))</f>
        <v>70.921707910608944</v>
      </c>
      <c r="AV315" s="100">
        <f>IF('Net zero activities &amp; levers'!$C$7="Off",(('Activity data'!BO10*EF!$H9)*kgtoGg),IF('Net zero activities &amp; levers'!$C$7="On",((('Net zero supporting data'!AM80*EF!$H9)+('Net zero supporting data'!AM75*'Net zero supporting data'!AM60))*kgtoGg),"ERROR"))</f>
        <v>71.559752533198065</v>
      </c>
      <c r="AW315" s="100">
        <f>IF('Net zero activities &amp; levers'!$C$7="Off",(('Activity data'!BP10*EF!$H9)*kgtoGg),IF('Net zero activities &amp; levers'!$C$7="On",((('Net zero supporting data'!AN80*EF!$H9)+('Net zero supporting data'!AN75*'Net zero supporting data'!AN60))*kgtoGg),"ERROR"))</f>
        <v>72.100657904737702</v>
      </c>
      <c r="AY315" s="85"/>
    </row>
    <row r="316" spans="1:51" x14ac:dyDescent="0.25">
      <c r="A316" s="102" t="str">
        <f t="shared" si="71"/>
        <v>GS Sheep</v>
      </c>
      <c r="B316" s="102" t="s">
        <v>1022</v>
      </c>
      <c r="C316" s="102" t="s">
        <v>152</v>
      </c>
      <c r="D316" t="s">
        <v>15</v>
      </c>
      <c r="E316" t="s">
        <v>16</v>
      </c>
      <c r="F316" t="s">
        <v>18</v>
      </c>
      <c r="G316" t="s">
        <v>122</v>
      </c>
      <c r="H316" t="s">
        <v>1021</v>
      </c>
      <c r="I316" t="s">
        <v>121</v>
      </c>
      <c r="J316" t="s">
        <v>286</v>
      </c>
      <c r="K316" s="28">
        <f t="shared" si="72"/>
        <v>132.57119038642557</v>
      </c>
      <c r="L316" s="28">
        <f t="shared" ref="L316:AW316" si="74">L1385</f>
        <v>132.64273653065254</v>
      </c>
      <c r="M316" s="28">
        <f t="shared" si="74"/>
        <v>132.80721501621684</v>
      </c>
      <c r="N316" s="28">
        <f t="shared" si="74"/>
        <v>133.051398651531</v>
      </c>
      <c r="O316" s="28">
        <f t="shared" si="74"/>
        <v>133.38098001143086</v>
      </c>
      <c r="P316" s="28">
        <f t="shared" si="74"/>
        <v>133.80258277876908</v>
      </c>
      <c r="Q316" s="28">
        <f t="shared" si="74"/>
        <v>134.26714516921325</v>
      </c>
      <c r="R316" s="28">
        <f t="shared" si="74"/>
        <v>134.76745179695249</v>
      </c>
      <c r="S316" s="28">
        <f t="shared" si="74"/>
        <v>135.2631261954914</v>
      </c>
      <c r="T316" s="28">
        <f t="shared" si="74"/>
        <v>135.46597827382104</v>
      </c>
      <c r="U316" s="28">
        <f t="shared" si="74"/>
        <v>135.69632310683818</v>
      </c>
      <c r="V316" s="28">
        <f t="shared" si="74"/>
        <v>135.95682681390846</v>
      </c>
      <c r="W316" s="28">
        <f t="shared" si="74"/>
        <v>136.24937905937216</v>
      </c>
      <c r="X316" s="28">
        <f t="shared" si="74"/>
        <v>136.57811586303043</v>
      </c>
      <c r="Y316" s="28">
        <f t="shared" si="74"/>
        <v>136.78481124577374</v>
      </c>
      <c r="Z316" s="28">
        <f t="shared" si="74"/>
        <v>137.01756076929394</v>
      </c>
      <c r="AA316" s="28">
        <f t="shared" si="74"/>
        <v>137.26988669428977</v>
      </c>
      <c r="AB316" s="28">
        <f t="shared" si="74"/>
        <v>137.54770477114812</v>
      </c>
      <c r="AC316" s="28">
        <f t="shared" si="74"/>
        <v>137.85098318826414</v>
      </c>
      <c r="AD316" s="28">
        <f t="shared" si="74"/>
        <v>138.0517172424515</v>
      </c>
      <c r="AE316" s="28">
        <f t="shared" si="74"/>
        <v>138.27198156596427</v>
      </c>
      <c r="AF316" s="28">
        <f t="shared" si="74"/>
        <v>138.51029648948435</v>
      </c>
      <c r="AG316" s="28">
        <f t="shared" si="74"/>
        <v>138.76924178933888</v>
      </c>
      <c r="AH316" s="28">
        <f t="shared" si="74"/>
        <v>139.03965406429921</v>
      </c>
      <c r="AI316" s="28">
        <f t="shared" si="74"/>
        <v>139.21265652505053</v>
      </c>
      <c r="AJ316" s="28">
        <f t="shared" si="74"/>
        <v>139.40033470595577</v>
      </c>
      <c r="AK316" s="28">
        <f t="shared" si="74"/>
        <v>139.59984622882109</v>
      </c>
      <c r="AL316" s="28">
        <f t="shared" si="74"/>
        <v>139.81228322803275</v>
      </c>
      <c r="AM316" s="28">
        <f t="shared" si="74"/>
        <v>140.03864091698591</v>
      </c>
      <c r="AN316" s="28">
        <f t="shared" si="74"/>
        <v>140.17205297338157</v>
      </c>
      <c r="AO316" s="28">
        <f t="shared" si="74"/>
        <v>140.3142065668136</v>
      </c>
      <c r="AP316" s="28">
        <f t="shared" si="74"/>
        <v>140.46760679476171</v>
      </c>
      <c r="AQ316" s="28">
        <f t="shared" si="74"/>
        <v>140.63198304845474</v>
      </c>
      <c r="AR316" s="28">
        <f t="shared" si="74"/>
        <v>140.80910014546811</v>
      </c>
      <c r="AS316" s="28">
        <f t="shared" si="74"/>
        <v>140.88892671034117</v>
      </c>
      <c r="AT316" s="28">
        <f t="shared" si="74"/>
        <v>140.95821516124155</v>
      </c>
      <c r="AU316" s="28">
        <f t="shared" si="74"/>
        <v>141.03470747726172</v>
      </c>
      <c r="AV316" s="28">
        <f t="shared" si="74"/>
        <v>141.12215896144338</v>
      </c>
      <c r="AW316" s="28">
        <f t="shared" si="74"/>
        <v>141.21652925379365</v>
      </c>
      <c r="AY316" s="85"/>
    </row>
    <row r="317" spans="1:51" x14ac:dyDescent="0.25">
      <c r="A317" s="102" t="str">
        <f t="shared" si="71"/>
        <v>GS Sheep</v>
      </c>
      <c r="B317" s="102" t="s">
        <v>1022</v>
      </c>
      <c r="C317" s="102" t="s">
        <v>152</v>
      </c>
      <c r="D317" t="s">
        <v>15</v>
      </c>
      <c r="E317" t="s">
        <v>16</v>
      </c>
      <c r="F317" t="s">
        <v>18</v>
      </c>
      <c r="G317" t="s">
        <v>123</v>
      </c>
      <c r="H317" t="s">
        <v>1021</v>
      </c>
      <c r="I317" t="s">
        <v>121</v>
      </c>
      <c r="J317" t="s">
        <v>286</v>
      </c>
      <c r="K317" s="28">
        <f t="shared" si="72"/>
        <v>14.367245816070934</v>
      </c>
      <c r="L317" s="28">
        <f t="shared" ref="L317:AW317" si="75">L1386</f>
        <v>14.374999544752898</v>
      </c>
      <c r="M317" s="28">
        <f t="shared" si="75"/>
        <v>14.392824705910984</v>
      </c>
      <c r="N317" s="28">
        <f t="shared" si="75"/>
        <v>14.419287818315681</v>
      </c>
      <c r="O317" s="28">
        <f t="shared" si="75"/>
        <v>14.455005808025765</v>
      </c>
      <c r="P317" s="28">
        <f t="shared" si="75"/>
        <v>14.500696508829069</v>
      </c>
      <c r="Q317" s="28">
        <f t="shared" si="75"/>
        <v>14.551042907929491</v>
      </c>
      <c r="R317" s="28">
        <f t="shared" si="75"/>
        <v>14.605263046431578</v>
      </c>
      <c r="S317" s="28">
        <f t="shared" si="75"/>
        <v>14.658981172577873</v>
      </c>
      <c r="T317" s="28">
        <f t="shared" si="75"/>
        <v>14.680965026424001</v>
      </c>
      <c r="U317" s="28">
        <f t="shared" si="75"/>
        <v>14.705928375012579</v>
      </c>
      <c r="V317" s="28">
        <f t="shared" si="75"/>
        <v>14.734160155873615</v>
      </c>
      <c r="W317" s="28">
        <f t="shared" si="75"/>
        <v>14.765865159142944</v>
      </c>
      <c r="X317" s="28">
        <f t="shared" si="75"/>
        <v>14.801491621070163</v>
      </c>
      <c r="Y317" s="28">
        <f t="shared" si="75"/>
        <v>14.823891988482297</v>
      </c>
      <c r="Z317" s="28">
        <f t="shared" si="75"/>
        <v>14.84911594255739</v>
      </c>
      <c r="AA317" s="28">
        <f t="shared" si="75"/>
        <v>14.876461465967234</v>
      </c>
      <c r="AB317" s="28">
        <f t="shared" si="75"/>
        <v>14.906569671156744</v>
      </c>
      <c r="AC317" s="28">
        <f t="shared" si="75"/>
        <v>14.939437110580908</v>
      </c>
      <c r="AD317" s="28">
        <f t="shared" si="75"/>
        <v>14.961191426068007</v>
      </c>
      <c r="AE317" s="28">
        <f t="shared" si="75"/>
        <v>14.985062311372678</v>
      </c>
      <c r="AF317" s="28">
        <f t="shared" si="75"/>
        <v>15.01088940908426</v>
      </c>
      <c r="AG317" s="28">
        <f t="shared" si="75"/>
        <v>15.038952299408185</v>
      </c>
      <c r="AH317" s="28">
        <f t="shared" si="75"/>
        <v>15.068257909584224</v>
      </c>
      <c r="AI317" s="28">
        <f t="shared" si="75"/>
        <v>15.087006846462247</v>
      </c>
      <c r="AJ317" s="28">
        <f t="shared" si="75"/>
        <v>15.107346247138357</v>
      </c>
      <c r="AK317" s="28">
        <f t="shared" si="75"/>
        <v>15.128968072240701</v>
      </c>
      <c r="AL317" s="28">
        <f t="shared" si="75"/>
        <v>15.151990680540484</v>
      </c>
      <c r="AM317" s="28">
        <f t="shared" si="75"/>
        <v>15.176521927111235</v>
      </c>
      <c r="AN317" s="28">
        <f t="shared" si="75"/>
        <v>15.190980300785611</v>
      </c>
      <c r="AO317" s="28">
        <f t="shared" si="75"/>
        <v>15.206386028187788</v>
      </c>
      <c r="AP317" s="28">
        <f t="shared" si="75"/>
        <v>15.223010596291525</v>
      </c>
      <c r="AQ317" s="28">
        <f t="shared" si="75"/>
        <v>15.240824678191588</v>
      </c>
      <c r="AR317" s="28">
        <f t="shared" si="75"/>
        <v>15.260019533903467</v>
      </c>
      <c r="AS317" s="28">
        <f t="shared" si="75"/>
        <v>15.268670643370319</v>
      </c>
      <c r="AT317" s="28">
        <f t="shared" si="75"/>
        <v>15.276179697210745</v>
      </c>
      <c r="AU317" s="28">
        <f t="shared" si="75"/>
        <v>15.284469461405354</v>
      </c>
      <c r="AV317" s="28">
        <f t="shared" si="75"/>
        <v>15.293946912475652</v>
      </c>
      <c r="AW317" s="28">
        <f t="shared" si="75"/>
        <v>15.304174181190511</v>
      </c>
      <c r="AY317" s="85"/>
    </row>
    <row r="318" spans="1:51" x14ac:dyDescent="0.25">
      <c r="A318" s="102" t="str">
        <f t="shared" si="71"/>
        <v>GS Goats</v>
      </c>
      <c r="B318" s="102" t="s">
        <v>1022</v>
      </c>
      <c r="C318" s="102" t="s">
        <v>153</v>
      </c>
      <c r="D318" t="s">
        <v>15</v>
      </c>
      <c r="E318" t="s">
        <v>16</v>
      </c>
      <c r="F318" t="s">
        <v>19</v>
      </c>
      <c r="G318" t="s">
        <v>122</v>
      </c>
      <c r="H318" t="s">
        <v>1021</v>
      </c>
      <c r="I318" t="s">
        <v>121</v>
      </c>
      <c r="J318" t="s">
        <v>286</v>
      </c>
      <c r="K318" s="28">
        <f t="shared" si="72"/>
        <v>15.11994504352057</v>
      </c>
      <c r="L318" s="28">
        <f t="shared" ref="L318:AW318" si="76">L1387</f>
        <v>15.159244294711982</v>
      </c>
      <c r="M318" s="28">
        <f t="shared" si="76"/>
        <v>15.212240101283504</v>
      </c>
      <c r="N318" s="28">
        <f t="shared" si="76"/>
        <v>15.276787648225215</v>
      </c>
      <c r="O318" s="28">
        <f t="shared" si="76"/>
        <v>15.354100038796439</v>
      </c>
      <c r="P318" s="28">
        <f t="shared" si="76"/>
        <v>15.445501132757192</v>
      </c>
      <c r="Q318" s="28">
        <f t="shared" si="76"/>
        <v>15.542368253787608</v>
      </c>
      <c r="R318" s="28">
        <f t="shared" si="76"/>
        <v>15.643567978967758</v>
      </c>
      <c r="S318" s="28">
        <f t="shared" si="76"/>
        <v>15.742091989223546</v>
      </c>
      <c r="T318" s="28">
        <f t="shared" si="76"/>
        <v>15.787280907558081</v>
      </c>
      <c r="U318" s="28">
        <f t="shared" si="76"/>
        <v>15.836012504856258</v>
      </c>
      <c r="V318" s="28">
        <f t="shared" si="76"/>
        <v>15.888829637337995</v>
      </c>
      <c r="W318" s="28">
        <f t="shared" si="76"/>
        <v>15.946123298566558</v>
      </c>
      <c r="X318" s="28">
        <f t="shared" si="76"/>
        <v>16.008664249775823</v>
      </c>
      <c r="Y318" s="28">
        <f t="shared" si="76"/>
        <v>16.048917749469023</v>
      </c>
      <c r="Z318" s="28">
        <f t="shared" si="76"/>
        <v>16.092845807842092</v>
      </c>
      <c r="AA318" s="28">
        <f t="shared" si="76"/>
        <v>16.139355719065712</v>
      </c>
      <c r="AB318" s="28">
        <f t="shared" si="76"/>
        <v>16.189504893539258</v>
      </c>
      <c r="AC318" s="28">
        <f t="shared" si="76"/>
        <v>16.243310237377745</v>
      </c>
      <c r="AD318" s="28">
        <f t="shared" si="76"/>
        <v>16.27872559654169</v>
      </c>
      <c r="AE318" s="28">
        <f t="shared" si="76"/>
        <v>16.316901231642056</v>
      </c>
      <c r="AF318" s="28">
        <f t="shared" si="76"/>
        <v>16.357599483637454</v>
      </c>
      <c r="AG318" s="28">
        <f t="shared" si="76"/>
        <v>16.401277791155717</v>
      </c>
      <c r="AH318" s="28">
        <f t="shared" si="76"/>
        <v>16.446379725356415</v>
      </c>
      <c r="AI318" s="28">
        <f t="shared" si="76"/>
        <v>16.474339061625695</v>
      </c>
      <c r="AJ318" s="28">
        <f t="shared" si="76"/>
        <v>16.504371743452488</v>
      </c>
      <c r="AK318" s="28">
        <f t="shared" si="76"/>
        <v>16.53600364177057</v>
      </c>
      <c r="AL318" s="28">
        <f t="shared" si="76"/>
        <v>16.569430654637483</v>
      </c>
      <c r="AM318" s="28">
        <f t="shared" si="76"/>
        <v>16.604829643343088</v>
      </c>
      <c r="AN318" s="28">
        <f t="shared" si="76"/>
        <v>16.624131223085882</v>
      </c>
      <c r="AO318" s="28">
        <f t="shared" si="76"/>
        <v>16.644604707274034</v>
      </c>
      <c r="AP318" s="28">
        <f t="shared" si="76"/>
        <v>16.66667981019215</v>
      </c>
      <c r="AQ318" s="28">
        <f t="shared" si="76"/>
        <v>16.690315463067741</v>
      </c>
      <c r="AR318" s="28">
        <f t="shared" si="76"/>
        <v>16.715812130640956</v>
      </c>
      <c r="AS318" s="28">
        <f t="shared" si="76"/>
        <v>16.724718125544612</v>
      </c>
      <c r="AT318" s="28">
        <f t="shared" si="76"/>
        <v>16.731650898864725</v>
      </c>
      <c r="AU318" s="28">
        <f t="shared" si="76"/>
        <v>16.739594865731469</v>
      </c>
      <c r="AV318" s="28">
        <f t="shared" si="76"/>
        <v>16.749180241295228</v>
      </c>
      <c r="AW318" s="28">
        <f t="shared" si="76"/>
        <v>16.759733790022693</v>
      </c>
      <c r="AY318" s="85"/>
    </row>
    <row r="319" spans="1:51" x14ac:dyDescent="0.25">
      <c r="A319" s="102" t="str">
        <f t="shared" si="71"/>
        <v>GS Goats</v>
      </c>
      <c r="B319" s="102" t="s">
        <v>1022</v>
      </c>
      <c r="C319" s="102" t="s">
        <v>153</v>
      </c>
      <c r="D319" t="s">
        <v>15</v>
      </c>
      <c r="E319" t="s">
        <v>16</v>
      </c>
      <c r="F319" t="s">
        <v>19</v>
      </c>
      <c r="G319" t="s">
        <v>123</v>
      </c>
      <c r="H319" t="s">
        <v>1021</v>
      </c>
      <c r="I319" t="s">
        <v>121</v>
      </c>
      <c r="J319" t="s">
        <v>286</v>
      </c>
      <c r="K319" s="28">
        <f t="shared" si="72"/>
        <v>22.375967695369447</v>
      </c>
      <c r="L319" s="28">
        <f t="shared" ref="L319:AW319" si="77">L1388</f>
        <v>22.434126555906317</v>
      </c>
      <c r="M319" s="28">
        <f t="shared" si="77"/>
        <v>22.512554913444735</v>
      </c>
      <c r="N319" s="28">
        <f t="shared" si="77"/>
        <v>22.60807866178018</v>
      </c>
      <c r="O319" s="28">
        <f t="shared" si="77"/>
        <v>22.722493069299134</v>
      </c>
      <c r="P319" s="28">
        <f t="shared" si="77"/>
        <v>22.85775731264793</v>
      </c>
      <c r="Q319" s="28">
        <f t="shared" si="77"/>
        <v>23.001110715367403</v>
      </c>
      <c r="R319" s="28">
        <f t="shared" si="77"/>
        <v>23.150875927799948</v>
      </c>
      <c r="S319" s="28">
        <f t="shared" si="77"/>
        <v>23.296681356613096</v>
      </c>
      <c r="T319" s="28">
        <f t="shared" si="77"/>
        <v>23.363556320373338</v>
      </c>
      <c r="U319" s="28">
        <f t="shared" si="77"/>
        <v>23.435674085599938</v>
      </c>
      <c r="V319" s="28">
        <f t="shared" si="77"/>
        <v>23.513838023813449</v>
      </c>
      <c r="W319" s="28">
        <f t="shared" si="77"/>
        <v>23.598626765380281</v>
      </c>
      <c r="X319" s="28">
        <f t="shared" si="77"/>
        <v>23.691180957863665</v>
      </c>
      <c r="Y319" s="28">
        <f t="shared" si="77"/>
        <v>23.750752008298576</v>
      </c>
      <c r="Z319" s="28">
        <f t="shared" si="77"/>
        <v>23.815761028651949</v>
      </c>
      <c r="AA319" s="28">
        <f t="shared" si="77"/>
        <v>23.884590926383627</v>
      </c>
      <c r="AB319" s="28">
        <f t="shared" si="77"/>
        <v>23.958806560417987</v>
      </c>
      <c r="AC319" s="28">
        <f t="shared" si="77"/>
        <v>24.038432950071041</v>
      </c>
      <c r="AD319" s="28">
        <f t="shared" si="77"/>
        <v>24.090844048807938</v>
      </c>
      <c r="AE319" s="28">
        <f t="shared" si="77"/>
        <v>24.147340072788001</v>
      </c>
      <c r="AF319" s="28">
        <f t="shared" si="77"/>
        <v>24.207569311008498</v>
      </c>
      <c r="AG319" s="28">
        <f t="shared" si="77"/>
        <v>24.272208725715629</v>
      </c>
      <c r="AH319" s="28">
        <f t="shared" si="77"/>
        <v>24.338954961880422</v>
      </c>
      <c r="AI319" s="28">
        <f t="shared" si="77"/>
        <v>24.380331911554812</v>
      </c>
      <c r="AJ319" s="28">
        <f t="shared" si="77"/>
        <v>24.424777199975328</v>
      </c>
      <c r="AK319" s="28">
        <f t="shared" si="77"/>
        <v>24.471589164759028</v>
      </c>
      <c r="AL319" s="28">
        <f t="shared" si="77"/>
        <v>24.521057714936269</v>
      </c>
      <c r="AM319" s="28">
        <f t="shared" si="77"/>
        <v>24.573444587074068</v>
      </c>
      <c r="AN319" s="28">
        <f t="shared" si="77"/>
        <v>24.602008945181939</v>
      </c>
      <c r="AO319" s="28">
        <f t="shared" si="77"/>
        <v>24.632307601657676</v>
      </c>
      <c r="AP319" s="28">
        <f t="shared" si="77"/>
        <v>24.664976489563418</v>
      </c>
      <c r="AQ319" s="28">
        <f t="shared" si="77"/>
        <v>24.699954831328611</v>
      </c>
      <c r="AR319" s="28">
        <f t="shared" si="77"/>
        <v>24.737687283947693</v>
      </c>
      <c r="AS319" s="28">
        <f t="shared" si="77"/>
        <v>24.75086724284872</v>
      </c>
      <c r="AT319" s="28">
        <f t="shared" si="77"/>
        <v>24.76112703621461</v>
      </c>
      <c r="AU319" s="28">
        <f t="shared" si="77"/>
        <v>24.772883292303622</v>
      </c>
      <c r="AV319" s="28">
        <f t="shared" si="77"/>
        <v>24.787068664892292</v>
      </c>
      <c r="AW319" s="28">
        <f t="shared" si="77"/>
        <v>24.802686834450295</v>
      </c>
      <c r="AY319" s="85"/>
    </row>
    <row r="320" spans="1:51" x14ac:dyDescent="0.25">
      <c r="A320" s="102" t="str">
        <f t="shared" si="71"/>
        <v>GS Horses</v>
      </c>
      <c r="B320" s="102" t="s">
        <v>1022</v>
      </c>
      <c r="C320" s="102" t="s">
        <v>3</v>
      </c>
      <c r="D320" t="s">
        <v>15</v>
      </c>
      <c r="E320" t="s">
        <v>16</v>
      </c>
      <c r="F320" t="s">
        <v>20</v>
      </c>
      <c r="G320" t="s">
        <v>3</v>
      </c>
      <c r="H320" t="s">
        <v>1021</v>
      </c>
      <c r="I320" t="s">
        <v>121</v>
      </c>
      <c r="J320" t="s">
        <v>286</v>
      </c>
      <c r="K320" s="28">
        <f t="shared" si="72"/>
        <v>5.5625078668475236</v>
      </c>
      <c r="L320" s="28">
        <f t="shared" ref="L320:AW320" si="78">L1389</f>
        <v>5.5999708339814545</v>
      </c>
      <c r="M320" s="28">
        <f t="shared" si="78"/>
        <v>5.6226370840776179</v>
      </c>
      <c r="N320" s="28">
        <f t="shared" si="78"/>
        <v>5.5928142970106265</v>
      </c>
      <c r="O320" s="28">
        <f t="shared" si="78"/>
        <v>5.5623376589201499</v>
      </c>
      <c r="P320" s="28">
        <f t="shared" si="78"/>
        <v>5.5812216853376206</v>
      </c>
      <c r="Q320" s="28">
        <f t="shared" si="78"/>
        <v>5.5836612172513842</v>
      </c>
      <c r="R320" s="28">
        <f t="shared" si="78"/>
        <v>5.5315877353552168</v>
      </c>
      <c r="S320" s="28">
        <f t="shared" si="78"/>
        <v>5.2455147526194601</v>
      </c>
      <c r="T320" s="28">
        <f t="shared" si="78"/>
        <v>5.332808287437901</v>
      </c>
      <c r="U320" s="28">
        <f t="shared" si="78"/>
        <v>5.3901753132609427</v>
      </c>
      <c r="V320" s="28">
        <f t="shared" si="78"/>
        <v>5.440230309739654</v>
      </c>
      <c r="W320" s="28">
        <f t="shared" si="78"/>
        <v>5.5003068027462358</v>
      </c>
      <c r="X320" s="28">
        <f t="shared" si="78"/>
        <v>5.5968430891840955</v>
      </c>
      <c r="Y320" s="28">
        <f t="shared" si="78"/>
        <v>5.7072120457799942</v>
      </c>
      <c r="Z320" s="28">
        <f t="shared" si="78"/>
        <v>5.8264820494807026</v>
      </c>
      <c r="AA320" s="28">
        <f t="shared" si="78"/>
        <v>5.9301104930204529</v>
      </c>
      <c r="AB320" s="28">
        <f t="shared" si="78"/>
        <v>6.0502396904604057</v>
      </c>
      <c r="AC320" s="28">
        <f t="shared" si="78"/>
        <v>6.1907930019013007</v>
      </c>
      <c r="AD320" s="28">
        <f t="shared" si="78"/>
        <v>6.3320471664105931</v>
      </c>
      <c r="AE320" s="28">
        <f t="shared" si="78"/>
        <v>6.4794646415598249</v>
      </c>
      <c r="AF320" s="28">
        <f t="shared" si="78"/>
        <v>6.6296689370175557</v>
      </c>
      <c r="AG320" s="28">
        <f t="shared" si="78"/>
        <v>6.7972348352901832</v>
      </c>
      <c r="AH320" s="28">
        <f t="shared" si="78"/>
        <v>6.9438088425470355</v>
      </c>
      <c r="AI320" s="28">
        <f t="shared" si="78"/>
        <v>7.1048815884414847</v>
      </c>
      <c r="AJ320" s="28">
        <f t="shared" si="78"/>
        <v>7.268627225560472</v>
      </c>
      <c r="AK320" s="28">
        <f t="shared" si="78"/>
        <v>7.42471904610154</v>
      </c>
      <c r="AL320" s="28">
        <f t="shared" si="78"/>
        <v>7.5801220888649867</v>
      </c>
      <c r="AM320" s="28">
        <f t="shared" si="78"/>
        <v>7.7411228012577773</v>
      </c>
      <c r="AN320" s="28">
        <f t="shared" si="78"/>
        <v>7.9163247577118536</v>
      </c>
      <c r="AO320" s="28">
        <f t="shared" si="78"/>
        <v>8.0810947340099517</v>
      </c>
      <c r="AP320" s="28">
        <f t="shared" si="78"/>
        <v>8.2480372843312519</v>
      </c>
      <c r="AQ320" s="28">
        <f t="shared" si="78"/>
        <v>8.4174605770969908</v>
      </c>
      <c r="AR320" s="28">
        <f t="shared" si="78"/>
        <v>8.5983802423376101</v>
      </c>
      <c r="AS320" s="28">
        <f t="shared" si="78"/>
        <v>8.7907471853609671</v>
      </c>
      <c r="AT320" s="28">
        <f t="shared" si="78"/>
        <v>8.8991507547228217</v>
      </c>
      <c r="AU320" s="28">
        <f t="shared" si="78"/>
        <v>9.0016825973480952</v>
      </c>
      <c r="AV320" s="28">
        <f t="shared" si="78"/>
        <v>9.1156705075973274</v>
      </c>
      <c r="AW320" s="28">
        <f t="shared" si="78"/>
        <v>9.2247946500114306</v>
      </c>
      <c r="AY320" s="85"/>
    </row>
    <row r="321" spans="1:51" x14ac:dyDescent="0.25">
      <c r="A321" s="102" t="str">
        <f t="shared" si="71"/>
        <v>GS Mules&amp;Asses</v>
      </c>
      <c r="B321" s="102" t="s">
        <v>1022</v>
      </c>
      <c r="C321" s="102" t="s">
        <v>1324</v>
      </c>
      <c r="D321" t="s">
        <v>15</v>
      </c>
      <c r="E321" t="s">
        <v>16</v>
      </c>
      <c r="F321" t="s">
        <v>140</v>
      </c>
      <c r="G321" t="s">
        <v>124</v>
      </c>
      <c r="H321" t="s">
        <v>1021</v>
      </c>
      <c r="I321" t="s">
        <v>121</v>
      </c>
      <c r="J321" t="s">
        <v>286</v>
      </c>
      <c r="K321" s="28">
        <f t="shared" si="72"/>
        <v>1.67</v>
      </c>
      <c r="L321" s="28">
        <f t="shared" ref="L321:AW321" si="79">L1390</f>
        <v>1.67</v>
      </c>
      <c r="M321" s="28">
        <f t="shared" si="79"/>
        <v>1.67</v>
      </c>
      <c r="N321" s="28">
        <f t="shared" si="79"/>
        <v>1.67</v>
      </c>
      <c r="O321" s="28">
        <f t="shared" si="79"/>
        <v>1.67</v>
      </c>
      <c r="P321" s="28">
        <f t="shared" si="79"/>
        <v>1.67</v>
      </c>
      <c r="Q321" s="28">
        <f t="shared" si="79"/>
        <v>1.67</v>
      </c>
      <c r="R321" s="28">
        <f t="shared" si="79"/>
        <v>1.67</v>
      </c>
      <c r="S321" s="28">
        <f t="shared" si="79"/>
        <v>1.67</v>
      </c>
      <c r="T321" s="28">
        <f t="shared" si="79"/>
        <v>1.67</v>
      </c>
      <c r="U321" s="28">
        <f t="shared" si="79"/>
        <v>1.67</v>
      </c>
      <c r="V321" s="28">
        <f t="shared" si="79"/>
        <v>1.67</v>
      </c>
      <c r="W321" s="28">
        <f t="shared" si="79"/>
        <v>1.67</v>
      </c>
      <c r="X321" s="28">
        <f t="shared" si="79"/>
        <v>1.67</v>
      </c>
      <c r="Y321" s="28">
        <f t="shared" si="79"/>
        <v>1.67</v>
      </c>
      <c r="Z321" s="28">
        <f t="shared" si="79"/>
        <v>1.67</v>
      </c>
      <c r="AA321" s="28">
        <f t="shared" si="79"/>
        <v>1.67</v>
      </c>
      <c r="AB321" s="28">
        <f t="shared" si="79"/>
        <v>1.67</v>
      </c>
      <c r="AC321" s="28">
        <f t="shared" si="79"/>
        <v>1.67</v>
      </c>
      <c r="AD321" s="28">
        <f t="shared" si="79"/>
        <v>1.67</v>
      </c>
      <c r="AE321" s="28">
        <f t="shared" si="79"/>
        <v>1.67</v>
      </c>
      <c r="AF321" s="28">
        <f t="shared" si="79"/>
        <v>1.67</v>
      </c>
      <c r="AG321" s="28">
        <f t="shared" si="79"/>
        <v>1.67</v>
      </c>
      <c r="AH321" s="28">
        <f t="shared" si="79"/>
        <v>1.67</v>
      </c>
      <c r="AI321" s="28">
        <f t="shared" si="79"/>
        <v>1.67</v>
      </c>
      <c r="AJ321" s="28">
        <f t="shared" si="79"/>
        <v>1.67</v>
      </c>
      <c r="AK321" s="28">
        <f t="shared" si="79"/>
        <v>1.67</v>
      </c>
      <c r="AL321" s="28">
        <f t="shared" si="79"/>
        <v>1.67</v>
      </c>
      <c r="AM321" s="28">
        <f t="shared" si="79"/>
        <v>1.67</v>
      </c>
      <c r="AN321" s="28">
        <f t="shared" si="79"/>
        <v>1.67</v>
      </c>
      <c r="AO321" s="28">
        <f t="shared" si="79"/>
        <v>1.67</v>
      </c>
      <c r="AP321" s="28">
        <f t="shared" si="79"/>
        <v>1.67</v>
      </c>
      <c r="AQ321" s="28">
        <f t="shared" si="79"/>
        <v>1.67</v>
      </c>
      <c r="AR321" s="28">
        <f t="shared" si="79"/>
        <v>1.67</v>
      </c>
      <c r="AS321" s="28">
        <f t="shared" si="79"/>
        <v>1.67</v>
      </c>
      <c r="AT321" s="28">
        <f t="shared" si="79"/>
        <v>1.67</v>
      </c>
      <c r="AU321" s="28">
        <f t="shared" si="79"/>
        <v>1.67</v>
      </c>
      <c r="AV321" s="28">
        <f t="shared" si="79"/>
        <v>1.67</v>
      </c>
      <c r="AW321" s="28">
        <f t="shared" si="79"/>
        <v>1.67</v>
      </c>
      <c r="AY321" s="85"/>
    </row>
    <row r="322" spans="1:51" x14ac:dyDescent="0.25">
      <c r="A322" s="102" t="str">
        <f t="shared" si="71"/>
        <v>GS Swine</v>
      </c>
      <c r="B322" s="102" t="s">
        <v>1022</v>
      </c>
      <c r="C322" s="102" t="s">
        <v>155</v>
      </c>
      <c r="D322" t="s">
        <v>15</v>
      </c>
      <c r="E322" t="s">
        <v>16</v>
      </c>
      <c r="F322" t="s">
        <v>21</v>
      </c>
      <c r="G322" t="s">
        <v>122</v>
      </c>
      <c r="H322" t="s">
        <v>1021</v>
      </c>
      <c r="I322" t="s">
        <v>121</v>
      </c>
      <c r="J322" t="s">
        <v>286</v>
      </c>
      <c r="K322" s="28">
        <f t="shared" si="72"/>
        <v>1.8474255451679995</v>
      </c>
      <c r="L322" s="28">
        <f t="shared" ref="L322:AW322" si="80">L1391</f>
        <v>1.8441604348292597</v>
      </c>
      <c r="M322" s="28">
        <f t="shared" si="80"/>
        <v>1.8338137298795358</v>
      </c>
      <c r="N322" s="28">
        <f t="shared" si="80"/>
        <v>1.7933482851133742</v>
      </c>
      <c r="O322" s="28">
        <f t="shared" si="80"/>
        <v>1.7550816658957487</v>
      </c>
      <c r="P322" s="28">
        <f t="shared" si="80"/>
        <v>1.7489053520701128</v>
      </c>
      <c r="Q322" s="28">
        <f t="shared" si="80"/>
        <v>1.7339122581424293</v>
      </c>
      <c r="R322" s="28">
        <f t="shared" si="80"/>
        <v>1.6877345539497199</v>
      </c>
      <c r="S322" s="28">
        <f t="shared" si="80"/>
        <v>1.5053811336602128</v>
      </c>
      <c r="T322" s="28">
        <f t="shared" si="80"/>
        <v>1.5377628037868112</v>
      </c>
      <c r="U322" s="28">
        <f t="shared" si="80"/>
        <v>1.552673977291076</v>
      </c>
      <c r="V322" s="28">
        <f t="shared" si="80"/>
        <v>1.5635339108098432</v>
      </c>
      <c r="W322" s="28">
        <f t="shared" si="80"/>
        <v>1.5802068350253002</v>
      </c>
      <c r="X322" s="28">
        <f t="shared" si="80"/>
        <v>1.6172323659778973</v>
      </c>
      <c r="Y322" s="28">
        <f t="shared" si="80"/>
        <v>1.6589025382757046</v>
      </c>
      <c r="Z322" s="28">
        <f t="shared" si="80"/>
        <v>1.7047569121988</v>
      </c>
      <c r="AA322" s="28">
        <f t="shared" si="80"/>
        <v>1.7414239138931573</v>
      </c>
      <c r="AB322" s="28">
        <f t="shared" si="80"/>
        <v>1.7863343967077348</v>
      </c>
      <c r="AC322" s="28">
        <f t="shared" si="80"/>
        <v>1.8412944995472851</v>
      </c>
      <c r="AD322" s="28">
        <f t="shared" si="80"/>
        <v>1.8933168508248233</v>
      </c>
      <c r="AE322" s="28">
        <f t="shared" si="80"/>
        <v>1.9474606383722404</v>
      </c>
      <c r="AF322" s="28">
        <f t="shared" si="80"/>
        <v>2.0019218993391705</v>
      </c>
      <c r="AG322" s="28">
        <f t="shared" si="80"/>
        <v>2.0640337310487364</v>
      </c>
      <c r="AH322" s="28">
        <f t="shared" si="80"/>
        <v>2.1143896915844675</v>
      </c>
      <c r="AI322" s="28">
        <f t="shared" si="80"/>
        <v>2.1683478050489855</v>
      </c>
      <c r="AJ322" s="28">
        <f t="shared" si="80"/>
        <v>2.2223161129731017</v>
      </c>
      <c r="AK322" s="28">
        <f t="shared" si="80"/>
        <v>2.2712974627449407</v>
      </c>
      <c r="AL322" s="28">
        <f t="shared" si="80"/>
        <v>2.3187596234531931</v>
      </c>
      <c r="AM322" s="28">
        <f t="shared" si="80"/>
        <v>2.3676923627976345</v>
      </c>
      <c r="AN322" s="28">
        <f t="shared" si="80"/>
        <v>2.4194242817017155</v>
      </c>
      <c r="AO322" s="28">
        <f t="shared" si="80"/>
        <v>2.4649069844651375</v>
      </c>
      <c r="AP322" s="28">
        <f t="shared" si="80"/>
        <v>2.5100582920146528</v>
      </c>
      <c r="AQ322" s="28">
        <f t="shared" si="80"/>
        <v>2.5549982553333939</v>
      </c>
      <c r="AR322" s="28">
        <f t="shared" si="80"/>
        <v>2.6036946475230054</v>
      </c>
      <c r="AS322" s="28">
        <f t="shared" si="80"/>
        <v>2.653097485519059</v>
      </c>
      <c r="AT322" s="28">
        <f t="shared" si="80"/>
        <v>2.6646485873532106</v>
      </c>
      <c r="AU322" s="28">
        <f t="shared" si="80"/>
        <v>2.6730218901162521</v>
      </c>
      <c r="AV322" s="28">
        <f t="shared" si="80"/>
        <v>2.6855920926795118</v>
      </c>
      <c r="AW322" s="28">
        <f t="shared" si="80"/>
        <v>2.6954069255347832</v>
      </c>
      <c r="AY322" s="85"/>
    </row>
    <row r="323" spans="1:51" x14ac:dyDescent="0.25">
      <c r="A323" s="102" t="str">
        <f t="shared" si="71"/>
        <v>GS Swine</v>
      </c>
      <c r="B323" s="102" t="s">
        <v>1022</v>
      </c>
      <c r="C323" s="102" t="s">
        <v>155</v>
      </c>
      <c r="D323" t="s">
        <v>15</v>
      </c>
      <c r="E323" t="s">
        <v>16</v>
      </c>
      <c r="F323" t="s">
        <v>21</v>
      </c>
      <c r="G323" t="s">
        <v>123</v>
      </c>
      <c r="H323" t="s">
        <v>1021</v>
      </c>
      <c r="I323" t="s">
        <v>121</v>
      </c>
      <c r="J323" t="s">
        <v>286</v>
      </c>
      <c r="K323" s="28">
        <f t="shared" si="72"/>
        <v>0.25598228499623599</v>
      </c>
      <c r="L323" s="28">
        <f t="shared" ref="L323:AW323" si="81">L1392</f>
        <v>0.25552986600297178</v>
      </c>
      <c r="M323" s="28">
        <f t="shared" si="81"/>
        <v>0.2540962097551519</v>
      </c>
      <c r="N323" s="28">
        <f t="shared" si="81"/>
        <v>0.24848925198533875</v>
      </c>
      <c r="O323" s="28">
        <f t="shared" si="81"/>
        <v>0.24318696705589768</v>
      </c>
      <c r="P323" s="28">
        <f t="shared" si="81"/>
        <v>0.24233116697774282</v>
      </c>
      <c r="Q323" s="28">
        <f t="shared" si="81"/>
        <v>0.24025369952428582</v>
      </c>
      <c r="R323" s="28">
        <f t="shared" si="81"/>
        <v>0.23385524180779091</v>
      </c>
      <c r="S323" s="28">
        <f t="shared" si="81"/>
        <v>0.20858805562825686</v>
      </c>
      <c r="T323" s="28">
        <f t="shared" si="81"/>
        <v>0.21307491245054205</v>
      </c>
      <c r="U323" s="28">
        <f t="shared" si="81"/>
        <v>0.21514102887703648</v>
      </c>
      <c r="V323" s="28">
        <f t="shared" si="81"/>
        <v>0.21664579890921035</v>
      </c>
      <c r="W323" s="28">
        <f t="shared" si="81"/>
        <v>0.21895602637651193</v>
      </c>
      <c r="X323" s="28">
        <f t="shared" si="81"/>
        <v>0.22408634409959116</v>
      </c>
      <c r="Y323" s="28">
        <f t="shared" si="81"/>
        <v>0.22986023087347443</v>
      </c>
      <c r="Z323" s="28">
        <f t="shared" si="81"/>
        <v>0.23621388742250649</v>
      </c>
      <c r="AA323" s="28">
        <f t="shared" si="81"/>
        <v>0.24129452674907209</v>
      </c>
      <c r="AB323" s="28">
        <f t="shared" si="81"/>
        <v>0.24751739621259586</v>
      </c>
      <c r="AC323" s="28">
        <f t="shared" si="81"/>
        <v>0.25513275735410096</v>
      </c>
      <c r="AD323" s="28">
        <f t="shared" si="81"/>
        <v>0.26234105886629538</v>
      </c>
      <c r="AE323" s="28">
        <f t="shared" si="81"/>
        <v>0.26984331003467904</v>
      </c>
      <c r="AF323" s="28">
        <f t="shared" si="81"/>
        <v>0.27738955083586025</v>
      </c>
      <c r="AG323" s="28">
        <f t="shared" si="81"/>
        <v>0.28599586714879749</v>
      </c>
      <c r="AH323" s="28">
        <f t="shared" si="81"/>
        <v>0.29297327085247121</v>
      </c>
      <c r="AI323" s="28">
        <f t="shared" si="81"/>
        <v>0.30044979471826921</v>
      </c>
      <c r="AJ323" s="28">
        <f t="shared" si="81"/>
        <v>0.30792773114495187</v>
      </c>
      <c r="AK323" s="28">
        <f t="shared" si="81"/>
        <v>0.31471466654789126</v>
      </c>
      <c r="AL323" s="28">
        <f t="shared" si="81"/>
        <v>0.32129110064599836</v>
      </c>
      <c r="AM323" s="28">
        <f t="shared" si="81"/>
        <v>0.32807130050914157</v>
      </c>
      <c r="AN323" s="28">
        <f t="shared" si="81"/>
        <v>0.33523935923981285</v>
      </c>
      <c r="AO323" s="28">
        <f t="shared" si="81"/>
        <v>0.3415415164291174</v>
      </c>
      <c r="AP323" s="28">
        <f t="shared" si="81"/>
        <v>0.34779775495917498</v>
      </c>
      <c r="AQ323" s="28">
        <f t="shared" si="81"/>
        <v>0.35402470928925173</v>
      </c>
      <c r="AR323" s="28">
        <f t="shared" si="81"/>
        <v>0.36077216050663552</v>
      </c>
      <c r="AS323" s="28">
        <f t="shared" si="81"/>
        <v>0.36761749800270155</v>
      </c>
      <c r="AT323" s="28">
        <f t="shared" si="81"/>
        <v>0.36921803743957582</v>
      </c>
      <c r="AU323" s="28">
        <f t="shared" si="81"/>
        <v>0.37037825587428075</v>
      </c>
      <c r="AV323" s="28">
        <f t="shared" si="81"/>
        <v>0.37212000356388308</v>
      </c>
      <c r="AW323" s="28">
        <f t="shared" si="81"/>
        <v>0.37347996275017875</v>
      </c>
      <c r="AY323" s="85"/>
    </row>
    <row r="324" spans="1:51" x14ac:dyDescent="0.25">
      <c r="A324" s="102" t="str">
        <f t="shared" si="71"/>
        <v>GS Cattle MMCH4</v>
      </c>
      <c r="B324" s="102" t="s">
        <v>1022</v>
      </c>
      <c r="C324" s="102" t="s">
        <v>1230</v>
      </c>
      <c r="D324" t="s">
        <v>15</v>
      </c>
      <c r="E324" t="s">
        <v>22</v>
      </c>
      <c r="F324" t="s">
        <v>6</v>
      </c>
      <c r="G324" t="s">
        <v>136</v>
      </c>
      <c r="H324" t="s">
        <v>1228</v>
      </c>
      <c r="I324" t="s">
        <v>121</v>
      </c>
      <c r="J324" t="s">
        <v>286</v>
      </c>
      <c r="K324" s="28">
        <f>K1393</f>
        <v>7.3588045650103595</v>
      </c>
      <c r="L324" s="28">
        <f t="shared" ref="L324:AW331" si="82">L1393</f>
        <v>7.4084916265932694</v>
      </c>
      <c r="M324" s="28">
        <f t="shared" si="82"/>
        <v>7.4519552194142697</v>
      </c>
      <c r="N324" s="28">
        <f t="shared" si="82"/>
        <v>7.4575773262508553</v>
      </c>
      <c r="O324" s="28">
        <f t="shared" si="82"/>
        <v>7.4672608540413012</v>
      </c>
      <c r="P324" s="28">
        <f t="shared" si="82"/>
        <v>7.5228231503520746</v>
      </c>
      <c r="Q324" s="28">
        <f t="shared" si="82"/>
        <v>7.5672526424513036</v>
      </c>
      <c r="R324" s="28">
        <f t="shared" si="82"/>
        <v>7.5676422029096111</v>
      </c>
      <c r="S324" s="28">
        <f t="shared" si="82"/>
        <v>7.3671469631707884</v>
      </c>
      <c r="T324" s="28">
        <f t="shared" si="82"/>
        <v>7.4640051034943111</v>
      </c>
      <c r="U324" s="28">
        <f t="shared" si="82"/>
        <v>7.5373250515588941</v>
      </c>
      <c r="V324" s="28">
        <f t="shared" si="82"/>
        <v>7.6065006875157843</v>
      </c>
      <c r="W324" s="28">
        <f t="shared" si="82"/>
        <v>7.686711876493888</v>
      </c>
      <c r="X324" s="28">
        <f t="shared" si="82"/>
        <v>7.801642363870573</v>
      </c>
      <c r="Y324" s="28">
        <f t="shared" si="82"/>
        <v>7.9212983742327268</v>
      </c>
      <c r="Z324" s="28">
        <f t="shared" si="82"/>
        <v>8.051271811974777</v>
      </c>
      <c r="AA324" s="28">
        <f t="shared" si="82"/>
        <v>8.1694693701055154</v>
      </c>
      <c r="AB324" s="28">
        <f t="shared" si="82"/>
        <v>8.304894934006013</v>
      </c>
      <c r="AC324" s="28">
        <f t="shared" si="82"/>
        <v>8.4613678864677428</v>
      </c>
      <c r="AD324" s="28">
        <f t="shared" si="82"/>
        <v>8.6120126328996225</v>
      </c>
      <c r="AE324" s="28">
        <f t="shared" si="82"/>
        <v>8.7705110877908012</v>
      </c>
      <c r="AF324" s="28">
        <f t="shared" si="82"/>
        <v>8.9338169052653935</v>
      </c>
      <c r="AG324" s="28">
        <f t="shared" si="82"/>
        <v>9.1155300292362771</v>
      </c>
      <c r="AH324" s="28">
        <f t="shared" si="82"/>
        <v>9.2800481861570177</v>
      </c>
      <c r="AI324" s="28">
        <f t="shared" si="82"/>
        <v>9.4510008371933658</v>
      </c>
      <c r="AJ324" s="28">
        <f t="shared" si="82"/>
        <v>9.6264218592694402</v>
      </c>
      <c r="AK324" s="28">
        <f t="shared" si="82"/>
        <v>9.7965990855623915</v>
      </c>
      <c r="AL324" s="28">
        <f t="shared" si="82"/>
        <v>9.9680661021899084</v>
      </c>
      <c r="AM324" s="28">
        <f t="shared" si="82"/>
        <v>10.146806716212263</v>
      </c>
      <c r="AN324" s="28">
        <f t="shared" si="82"/>
        <v>10.331465633171717</v>
      </c>
      <c r="AO324" s="28">
        <f t="shared" si="82"/>
        <v>10.50783381125248</v>
      </c>
      <c r="AP324" s="28">
        <f t="shared" si="82"/>
        <v>10.68792759135736</v>
      </c>
      <c r="AQ324" s="28">
        <f t="shared" si="82"/>
        <v>10.872071544232886</v>
      </c>
      <c r="AR324" s="28">
        <f t="shared" si="82"/>
        <v>11.068995536388829</v>
      </c>
      <c r="AS324" s="28">
        <f t="shared" si="82"/>
        <v>11.268086835721329</v>
      </c>
      <c r="AT324" s="28">
        <f t="shared" si="82"/>
        <v>11.387245372385955</v>
      </c>
      <c r="AU324" s="28">
        <f t="shared" si="82"/>
        <v>11.501774341925307</v>
      </c>
      <c r="AV324" s="28">
        <f t="shared" si="82"/>
        <v>11.628486934141081</v>
      </c>
      <c r="AW324" s="28">
        <f t="shared" si="82"/>
        <v>11.75154763718939</v>
      </c>
      <c r="AY324" s="85"/>
    </row>
    <row r="325" spans="1:51" x14ac:dyDescent="0.25">
      <c r="A325" s="102" t="str">
        <f t="shared" si="71"/>
        <v>GS Cattle MMCH4</v>
      </c>
      <c r="B325" s="102" t="s">
        <v>1022</v>
      </c>
      <c r="C325" s="102" t="s">
        <v>1230</v>
      </c>
      <c r="D325" t="s">
        <v>15</v>
      </c>
      <c r="E325" t="s">
        <v>22</v>
      </c>
      <c r="F325" t="s">
        <v>6</v>
      </c>
      <c r="G325" t="s">
        <v>137</v>
      </c>
      <c r="H325" t="s">
        <v>1228</v>
      </c>
      <c r="I325" t="s">
        <v>121</v>
      </c>
      <c r="J325" t="s">
        <v>286</v>
      </c>
      <c r="K325" s="28">
        <f t="shared" ref="K325:Z359" si="83">K1394</f>
        <v>2.0965784624729791</v>
      </c>
      <c r="L325" s="28">
        <f t="shared" si="83"/>
        <v>2.11073467796396</v>
      </c>
      <c r="M325" s="28">
        <f t="shared" si="83"/>
        <v>2.123117780654781</v>
      </c>
      <c r="N325" s="28">
        <f t="shared" si="83"/>
        <v>2.1247195609443885</v>
      </c>
      <c r="O325" s="28">
        <f t="shared" si="83"/>
        <v>2.1274784704420999</v>
      </c>
      <c r="P325" s="28">
        <f t="shared" si="83"/>
        <v>2.1433085842522419</v>
      </c>
      <c r="Q325" s="28">
        <f t="shared" si="83"/>
        <v>2.1559668788721003</v>
      </c>
      <c r="R325" s="28">
        <f t="shared" si="83"/>
        <v>2.1560778675604801</v>
      </c>
      <c r="S325" s="28">
        <f t="shared" si="83"/>
        <v>2.0989552741078059</v>
      </c>
      <c r="T325" s="28">
        <f t="shared" si="83"/>
        <v>2.1265508827591137</v>
      </c>
      <c r="U325" s="28">
        <f t="shared" si="83"/>
        <v>2.14744028437643</v>
      </c>
      <c r="V325" s="28">
        <f t="shared" si="83"/>
        <v>2.1671489404759119</v>
      </c>
      <c r="W325" s="28">
        <f t="shared" si="83"/>
        <v>2.1900017081741403</v>
      </c>
      <c r="X325" s="28">
        <f t="shared" si="83"/>
        <v>2.2227462636772444</v>
      </c>
      <c r="Y325" s="28">
        <f t="shared" si="83"/>
        <v>2.2568371560245644</v>
      </c>
      <c r="Z325" s="28">
        <f t="shared" si="83"/>
        <v>2.2938675606040304</v>
      </c>
      <c r="AA325" s="28">
        <f t="shared" si="82"/>
        <v>2.3275429290017851</v>
      </c>
      <c r="AB325" s="28">
        <f t="shared" si="82"/>
        <v>2.3661266851042466</v>
      </c>
      <c r="AC325" s="28">
        <f t="shared" si="82"/>
        <v>2.4107069996366737</v>
      </c>
      <c r="AD325" s="28">
        <f t="shared" si="82"/>
        <v>2.4536268146777656</v>
      </c>
      <c r="AE325" s="28">
        <f t="shared" si="82"/>
        <v>2.4987842100025621</v>
      </c>
      <c r="AF325" s="28">
        <f t="shared" si="82"/>
        <v>2.545311258885167</v>
      </c>
      <c r="AG325" s="28">
        <f t="shared" si="82"/>
        <v>2.5970826870703236</v>
      </c>
      <c r="AH325" s="28">
        <f t="shared" si="82"/>
        <v>2.6439551405291128</v>
      </c>
      <c r="AI325" s="28">
        <f t="shared" si="82"/>
        <v>2.6926608294897441</v>
      </c>
      <c r="AJ325" s="28">
        <f t="shared" si="82"/>
        <v>2.74263959078182</v>
      </c>
      <c r="AK325" s="28">
        <f t="shared" si="82"/>
        <v>2.7911243554330865</v>
      </c>
      <c r="AL325" s="28">
        <f t="shared" si="82"/>
        <v>2.83997659099796</v>
      </c>
      <c r="AM325" s="28">
        <f t="shared" si="82"/>
        <v>2.8909011288651962</v>
      </c>
      <c r="AN325" s="28">
        <f t="shared" si="82"/>
        <v>2.9435118355065453</v>
      </c>
      <c r="AO325" s="28">
        <f t="shared" si="82"/>
        <v>2.9937604486288318</v>
      </c>
      <c r="AP325" s="28">
        <f t="shared" si="82"/>
        <v>3.045070513634303</v>
      </c>
      <c r="AQ325" s="28">
        <f t="shared" si="82"/>
        <v>3.0975345031563459</v>
      </c>
      <c r="AR325" s="28">
        <f t="shared" si="82"/>
        <v>3.1536396214606754</v>
      </c>
      <c r="AS325" s="28">
        <f t="shared" si="82"/>
        <v>3.2103622217904881</v>
      </c>
      <c r="AT325" s="28">
        <f t="shared" si="82"/>
        <v>3.2443113801604118</v>
      </c>
      <c r="AU325" s="28">
        <f t="shared" si="82"/>
        <v>3.2769415402284139</v>
      </c>
      <c r="AV325" s="28">
        <f t="shared" si="82"/>
        <v>3.3130429055271864</v>
      </c>
      <c r="AW325" s="28">
        <f t="shared" si="82"/>
        <v>3.3481038202869873</v>
      </c>
      <c r="AY325" s="85"/>
    </row>
    <row r="326" spans="1:51" x14ac:dyDescent="0.25">
      <c r="A326" s="102" t="str">
        <f t="shared" si="71"/>
        <v>GS Cattle MMCH4</v>
      </c>
      <c r="B326" s="102" t="s">
        <v>1022</v>
      </c>
      <c r="C326" s="102" t="s">
        <v>1230</v>
      </c>
      <c r="D326" t="s">
        <v>15</v>
      </c>
      <c r="E326" t="s">
        <v>22</v>
      </c>
      <c r="F326" t="s">
        <v>67</v>
      </c>
      <c r="G326" t="s">
        <v>307</v>
      </c>
      <c r="H326" t="s">
        <v>1228</v>
      </c>
      <c r="I326" t="s">
        <v>121</v>
      </c>
      <c r="J326" t="s">
        <v>286</v>
      </c>
      <c r="K326" s="28">
        <f t="shared" si="83"/>
        <v>0.43302356896670435</v>
      </c>
      <c r="L326" s="28">
        <f t="shared" si="82"/>
        <v>0.43594736841646864</v>
      </c>
      <c r="M326" s="28">
        <f t="shared" si="82"/>
        <v>0.43850495231711395</v>
      </c>
      <c r="N326" s="28">
        <f t="shared" si="82"/>
        <v>0.43883578115568184</v>
      </c>
      <c r="O326" s="28">
        <f t="shared" si="82"/>
        <v>0.43940560139305368</v>
      </c>
      <c r="P326" s="28">
        <f t="shared" si="82"/>
        <v>0.44267512481033205</v>
      </c>
      <c r="Q326" s="28">
        <f t="shared" si="82"/>
        <v>0.44528954636022133</v>
      </c>
      <c r="R326" s="28">
        <f t="shared" si="82"/>
        <v>0.44531246976557798</v>
      </c>
      <c r="S326" s="28">
        <f t="shared" si="82"/>
        <v>0.43351447139430072</v>
      </c>
      <c r="T326" s="28">
        <f t="shared" si="82"/>
        <v>0.43921401909064739</v>
      </c>
      <c r="U326" s="28">
        <f t="shared" si="82"/>
        <v>0.44352847877046275</v>
      </c>
      <c r="V326" s="28">
        <f t="shared" si="82"/>
        <v>0.44759906938106581</v>
      </c>
      <c r="W326" s="28">
        <f t="shared" si="82"/>
        <v>0.45231903918261634</v>
      </c>
      <c r="X326" s="28">
        <f t="shared" si="82"/>
        <v>0.45908204116035195</v>
      </c>
      <c r="Y326" s="28">
        <f t="shared" si="82"/>
        <v>0.46612311314393218</v>
      </c>
      <c r="Z326" s="28">
        <f t="shared" si="82"/>
        <v>0.47377130673090989</v>
      </c>
      <c r="AA326" s="28">
        <f t="shared" si="82"/>
        <v>0.48072655714050544</v>
      </c>
      <c r="AB326" s="28">
        <f t="shared" si="82"/>
        <v>0.48869557717513923</v>
      </c>
      <c r="AC326" s="28">
        <f t="shared" si="82"/>
        <v>0.4979031156717999</v>
      </c>
      <c r="AD326" s="28">
        <f t="shared" si="82"/>
        <v>0.50676769757090157</v>
      </c>
      <c r="AE326" s="28">
        <f t="shared" si="82"/>
        <v>0.51609442530315108</v>
      </c>
      <c r="AF326" s="28">
        <f t="shared" si="82"/>
        <v>0.52570403883360262</v>
      </c>
      <c r="AG326" s="28">
        <f t="shared" si="82"/>
        <v>0.53639681709328069</v>
      </c>
      <c r="AH326" s="28">
        <f t="shared" si="82"/>
        <v>0.54607776986764511</v>
      </c>
      <c r="AI326" s="28">
        <f t="shared" si="82"/>
        <v>0.55613735582649237</v>
      </c>
      <c r="AJ326" s="28">
        <f t="shared" si="82"/>
        <v>0.5664598798696433</v>
      </c>
      <c r="AK326" s="28">
        <f t="shared" si="82"/>
        <v>0.57647383651643525</v>
      </c>
      <c r="AL326" s="28">
        <f t="shared" si="82"/>
        <v>0.58656368994903785</v>
      </c>
      <c r="AM326" s="28">
        <f t="shared" si="82"/>
        <v>0.5970815529958805</v>
      </c>
      <c r="AN326" s="28">
        <f t="shared" si="82"/>
        <v>0.60794767432807506</v>
      </c>
      <c r="AO326" s="28">
        <f t="shared" si="82"/>
        <v>0.61832593308600126</v>
      </c>
      <c r="AP326" s="28">
        <f t="shared" si="82"/>
        <v>0.62892342221902187</v>
      </c>
      <c r="AQ326" s="28">
        <f t="shared" si="82"/>
        <v>0.63975924085958458</v>
      </c>
      <c r="AR326" s="28">
        <f t="shared" si="82"/>
        <v>0.65134709173199301</v>
      </c>
      <c r="AS326" s="28">
        <f t="shared" si="82"/>
        <v>0.66306247623847858</v>
      </c>
      <c r="AT326" s="28">
        <f t="shared" si="82"/>
        <v>0.67007427473965175</v>
      </c>
      <c r="AU326" s="28">
        <f t="shared" si="82"/>
        <v>0.67681364968865065</v>
      </c>
      <c r="AV326" s="28">
        <f t="shared" si="82"/>
        <v>0.68426996116282568</v>
      </c>
      <c r="AW326" s="28">
        <f t="shared" si="82"/>
        <v>0.6915113798420095</v>
      </c>
      <c r="AY326" s="85"/>
    </row>
    <row r="327" spans="1:51" x14ac:dyDescent="0.25">
      <c r="A327" s="102" t="str">
        <f t="shared" si="71"/>
        <v>GS Cattle MMCH4</v>
      </c>
      <c r="B327" s="102" t="s">
        <v>1022</v>
      </c>
      <c r="C327" s="102" t="s">
        <v>1230</v>
      </c>
      <c r="D327" t="s">
        <v>15</v>
      </c>
      <c r="E327" t="s">
        <v>22</v>
      </c>
      <c r="F327" t="s">
        <v>67</v>
      </c>
      <c r="G327" t="s">
        <v>122</v>
      </c>
      <c r="H327" t="s">
        <v>1228</v>
      </c>
      <c r="I327" t="s">
        <v>121</v>
      </c>
      <c r="J327" t="s">
        <v>286</v>
      </c>
      <c r="K327" s="28">
        <f t="shared" si="83"/>
        <v>9.5339728940472587E-2</v>
      </c>
      <c r="L327" s="28">
        <f t="shared" si="82"/>
        <v>9.4854333679105063E-2</v>
      </c>
      <c r="M327" s="28">
        <f t="shared" si="82"/>
        <v>9.3968398426833952E-2</v>
      </c>
      <c r="N327" s="28">
        <f t="shared" si="82"/>
        <v>9.1543343324502313E-2</v>
      </c>
      <c r="O327" s="28">
        <f t="shared" si="82"/>
        <v>8.9215062552987667E-2</v>
      </c>
      <c r="P327" s="28">
        <f t="shared" si="82"/>
        <v>8.8452938660310093E-2</v>
      </c>
      <c r="Q327" s="28">
        <f t="shared" si="82"/>
        <v>8.7222027489186615E-2</v>
      </c>
      <c r="R327" s="28">
        <f t="shared" si="82"/>
        <v>8.4456409837201651E-2</v>
      </c>
      <c r="S327" s="28">
        <f t="shared" si="82"/>
        <v>7.5177478598092318E-2</v>
      </c>
      <c r="T327" s="28">
        <f t="shared" si="82"/>
        <v>7.7014428210242056E-2</v>
      </c>
      <c r="U327" s="28">
        <f t="shared" si="82"/>
        <v>7.8006612977093048E-2</v>
      </c>
      <c r="V327" s="28">
        <f t="shared" si="82"/>
        <v>7.8795228292272187E-2</v>
      </c>
      <c r="W327" s="28">
        <f t="shared" si="82"/>
        <v>7.9855076548413395E-2</v>
      </c>
      <c r="X327" s="28">
        <f t="shared" si="82"/>
        <v>8.1889840057722874E-2</v>
      </c>
      <c r="Y327" s="28">
        <f t="shared" si="82"/>
        <v>8.4116841663257197E-2</v>
      </c>
      <c r="Z327" s="28">
        <f t="shared" si="82"/>
        <v>8.6543393580483491E-2</v>
      </c>
      <c r="AA327" s="28">
        <f t="shared" si="82"/>
        <v>8.8521952214014571E-2</v>
      </c>
      <c r="AB327" s="28">
        <f t="shared" si="82"/>
        <v>9.0896953770236252E-2</v>
      </c>
      <c r="AC327" s="28">
        <f t="shared" si="82"/>
        <v>9.3757697259475761E-2</v>
      </c>
      <c r="AD327" s="28">
        <f t="shared" si="82"/>
        <v>9.5642150962380226E-2</v>
      </c>
      <c r="AE327" s="28">
        <f t="shared" si="82"/>
        <v>9.7567055281161469E-2</v>
      </c>
      <c r="AF327" s="28">
        <f t="shared" si="82"/>
        <v>9.9442694820459449E-2</v>
      </c>
      <c r="AG327" s="28">
        <f t="shared" si="82"/>
        <v>0.10161266035579665</v>
      </c>
      <c r="AH327" s="28">
        <f t="shared" si="82"/>
        <v>0.10315899021589392</v>
      </c>
      <c r="AI327" s="28">
        <f t="shared" si="82"/>
        <v>0.10478802467890617</v>
      </c>
      <c r="AJ327" s="28">
        <f t="shared" si="82"/>
        <v>0.10634686421883358</v>
      </c>
      <c r="AK327" s="28">
        <f t="shared" si="82"/>
        <v>0.10760625778708158</v>
      </c>
      <c r="AL327" s="28">
        <f t="shared" si="82"/>
        <v>0.10872705455886196</v>
      </c>
      <c r="AM327" s="28">
        <f t="shared" si="82"/>
        <v>0.10984281909628571</v>
      </c>
      <c r="AN327" s="28">
        <f t="shared" si="82"/>
        <v>0.11156015357830804</v>
      </c>
      <c r="AO327" s="28">
        <f t="shared" si="82"/>
        <v>0.11295872622782972</v>
      </c>
      <c r="AP327" s="28">
        <f t="shared" si="82"/>
        <v>0.11430168694304664</v>
      </c>
      <c r="AQ327" s="28">
        <f t="shared" si="82"/>
        <v>0.11559344303067282</v>
      </c>
      <c r="AR327" s="28">
        <f t="shared" si="82"/>
        <v>0.11700506936438095</v>
      </c>
      <c r="AS327" s="28">
        <f t="shared" si="82"/>
        <v>0.11838774199647999</v>
      </c>
      <c r="AT327" s="28">
        <f t="shared" si="82"/>
        <v>0.11810287074263501</v>
      </c>
      <c r="AU327" s="28">
        <f t="shared" si="82"/>
        <v>0.117655872543239</v>
      </c>
      <c r="AV327" s="28">
        <f t="shared" si="82"/>
        <v>0.11736041307434758</v>
      </c>
      <c r="AW327" s="28">
        <f t="shared" si="82"/>
        <v>0.11692074816946382</v>
      </c>
      <c r="AY327" s="85"/>
    </row>
    <row r="328" spans="1:51" x14ac:dyDescent="0.25">
      <c r="A328" s="102" t="str">
        <f t="shared" si="71"/>
        <v>GS Cattle MMCH4</v>
      </c>
      <c r="B328" s="102" t="s">
        <v>1022</v>
      </c>
      <c r="C328" s="102" t="s">
        <v>1230</v>
      </c>
      <c r="D328" t="s">
        <v>15</v>
      </c>
      <c r="E328" t="s">
        <v>22</v>
      </c>
      <c r="F328" t="s">
        <v>67</v>
      </c>
      <c r="G328" t="s">
        <v>123</v>
      </c>
      <c r="H328" t="s">
        <v>1228</v>
      </c>
      <c r="I328" t="s">
        <v>121</v>
      </c>
      <c r="J328" t="s">
        <v>286</v>
      </c>
      <c r="K328" s="28">
        <f t="shared" si="83"/>
        <v>7.0033293869835936E-2</v>
      </c>
      <c r="L328" s="28">
        <f t="shared" si="82"/>
        <v>6.9676739164256679E-2</v>
      </c>
      <c r="M328" s="28">
        <f t="shared" si="82"/>
        <v>6.9025961523482296E-2</v>
      </c>
      <c r="N328" s="28">
        <f t="shared" si="82"/>
        <v>6.724459924650146E-2</v>
      </c>
      <c r="O328" s="28">
        <f t="shared" si="82"/>
        <v>6.5534324072709205E-2</v>
      </c>
      <c r="P328" s="28">
        <f t="shared" si="82"/>
        <v>6.4974494008849484E-2</v>
      </c>
      <c r="Q328" s="28">
        <f t="shared" si="82"/>
        <v>6.4070308893861602E-2</v>
      </c>
      <c r="R328" s="28">
        <f t="shared" si="82"/>
        <v>6.2038781052262654E-2</v>
      </c>
      <c r="S328" s="28">
        <f t="shared" si="82"/>
        <v>5.5222796514774769E-2</v>
      </c>
      <c r="T328" s="28">
        <f t="shared" si="82"/>
        <v>5.657215667597356E-2</v>
      </c>
      <c r="U328" s="28">
        <f t="shared" si="82"/>
        <v>5.7300981564844748E-2</v>
      </c>
      <c r="V328" s="28">
        <f t="shared" si="82"/>
        <v>5.7880271318780145E-2</v>
      </c>
      <c r="W328" s="28">
        <f t="shared" si="82"/>
        <v>5.865879948541796E-2</v>
      </c>
      <c r="X328" s="28">
        <f t="shared" si="82"/>
        <v>6.0153466948675183E-2</v>
      </c>
      <c r="Y328" s="28">
        <f t="shared" si="82"/>
        <v>6.1789345921924234E-2</v>
      </c>
      <c r="Z328" s="28">
        <f t="shared" si="82"/>
        <v>6.3571807707772474E-2</v>
      </c>
      <c r="AA328" s="28">
        <f t="shared" si="82"/>
        <v>6.5025188997615446E-2</v>
      </c>
      <c r="AB328" s="28">
        <f t="shared" si="82"/>
        <v>6.6769783656910539E-2</v>
      </c>
      <c r="AC328" s="28">
        <f t="shared" si="82"/>
        <v>6.8871187674885259E-2</v>
      </c>
      <c r="AD328" s="28">
        <f t="shared" si="82"/>
        <v>7.0255442711335062E-2</v>
      </c>
      <c r="AE328" s="28">
        <f t="shared" si="82"/>
        <v>7.1669411382388193E-2</v>
      </c>
      <c r="AF328" s="28">
        <f t="shared" si="82"/>
        <v>7.3047191836657727E-2</v>
      </c>
      <c r="AG328" s="28">
        <f t="shared" si="82"/>
        <v>7.4641174069589936E-2</v>
      </c>
      <c r="AH328" s="28">
        <f t="shared" si="82"/>
        <v>7.5777054931801216E-2</v>
      </c>
      <c r="AI328" s="28">
        <f t="shared" si="82"/>
        <v>7.6973687757802431E-2</v>
      </c>
      <c r="AJ328" s="28">
        <f t="shared" si="82"/>
        <v>7.8118757801622474E-2</v>
      </c>
      <c r="AK328" s="28">
        <f t="shared" si="82"/>
        <v>7.904386510833572E-2</v>
      </c>
      <c r="AL328" s="28">
        <f t="shared" si="82"/>
        <v>7.9867163963480023E-2</v>
      </c>
      <c r="AM328" s="28">
        <f t="shared" si="82"/>
        <v>8.0686766311916805E-2</v>
      </c>
      <c r="AN328" s="28">
        <f t="shared" si="82"/>
        <v>8.1948261302398337E-2</v>
      </c>
      <c r="AO328" s="28">
        <f t="shared" si="82"/>
        <v>8.2975604787121515E-2</v>
      </c>
      <c r="AP328" s="28">
        <f t="shared" si="82"/>
        <v>8.3962097652893697E-2</v>
      </c>
      <c r="AQ328" s="28">
        <f t="shared" si="82"/>
        <v>8.491097735601684E-2</v>
      </c>
      <c r="AR328" s="28">
        <f t="shared" si="82"/>
        <v>8.5947909629284627E-2</v>
      </c>
      <c r="AS328" s="28">
        <f t="shared" si="82"/>
        <v>8.6963573506722666E-2</v>
      </c>
      <c r="AT328" s="28">
        <f t="shared" si="82"/>
        <v>8.6754316857293221E-2</v>
      </c>
      <c r="AU328" s="28">
        <f t="shared" si="82"/>
        <v>8.6425967316073798E-2</v>
      </c>
      <c r="AV328" s="28">
        <f t="shared" si="82"/>
        <v>8.6208932927142212E-2</v>
      </c>
      <c r="AW328" s="28">
        <f t="shared" si="82"/>
        <v>8.5885970172473555E-2</v>
      </c>
      <c r="AY328" s="85"/>
    </row>
    <row r="329" spans="1:51" x14ac:dyDescent="0.25">
      <c r="A329" s="102" t="str">
        <f t="shared" si="71"/>
        <v>GS Cattle MMCH4</v>
      </c>
      <c r="B329" s="102" t="s">
        <v>1022</v>
      </c>
      <c r="C329" s="102" t="s">
        <v>1230</v>
      </c>
      <c r="D329" t="s">
        <v>15</v>
      </c>
      <c r="E329" t="s">
        <v>22</v>
      </c>
      <c r="F329" t="s">
        <v>67</v>
      </c>
      <c r="G329" t="s">
        <v>135</v>
      </c>
      <c r="H329" t="s">
        <v>1228</v>
      </c>
      <c r="I329" t="s">
        <v>121</v>
      </c>
      <c r="J329" t="s">
        <v>286</v>
      </c>
      <c r="K329" s="28">
        <f t="shared" si="83"/>
        <v>0.47241651785764616</v>
      </c>
      <c r="L329" s="28">
        <f t="shared" si="82"/>
        <v>0.49004050540543137</v>
      </c>
      <c r="M329" s="28">
        <f t="shared" si="82"/>
        <v>0.50587338709485186</v>
      </c>
      <c r="N329" s="28">
        <f t="shared" si="82"/>
        <v>0.51330333017852303</v>
      </c>
      <c r="O329" s="28">
        <f t="shared" si="82"/>
        <v>0.52084695794290625</v>
      </c>
      <c r="P329" s="28">
        <f t="shared" si="82"/>
        <v>0.53749845878988001</v>
      </c>
      <c r="Q329" s="28">
        <f t="shared" si="82"/>
        <v>0.55154407690171303</v>
      </c>
      <c r="R329" s="28">
        <f t="shared" si="82"/>
        <v>0.55564430469746628</v>
      </c>
      <c r="S329" s="28">
        <f t="shared" si="82"/>
        <v>0.51452468218759118</v>
      </c>
      <c r="T329" s="28">
        <f t="shared" si="82"/>
        <v>0.53973183707135297</v>
      </c>
      <c r="U329" s="28">
        <f t="shared" si="82"/>
        <v>0.55960980330157661</v>
      </c>
      <c r="V329" s="28">
        <f t="shared" si="82"/>
        <v>0.57846136773715073</v>
      </c>
      <c r="W329" s="28">
        <f t="shared" si="82"/>
        <v>0.59976484808933772</v>
      </c>
      <c r="X329" s="28">
        <f t="shared" si="82"/>
        <v>0.6290799531985618</v>
      </c>
      <c r="Y329" s="28">
        <f t="shared" si="82"/>
        <v>0.66078220006195243</v>
      </c>
      <c r="Z329" s="28">
        <f t="shared" si="82"/>
        <v>0.6950549893868353</v>
      </c>
      <c r="AA329" s="28">
        <f t="shared" si="82"/>
        <v>0.72671447444619408</v>
      </c>
      <c r="AB329" s="28">
        <f t="shared" si="82"/>
        <v>0.76263064102611711</v>
      </c>
      <c r="AC329" s="28">
        <f t="shared" si="82"/>
        <v>0.80381242816688792</v>
      </c>
      <c r="AD329" s="28">
        <f t="shared" si="82"/>
        <v>0.84707112360683778</v>
      </c>
      <c r="AE329" s="28">
        <f t="shared" si="82"/>
        <v>0.89273716244132828</v>
      </c>
      <c r="AF329" s="28">
        <f t="shared" si="82"/>
        <v>0.94011116650043791</v>
      </c>
      <c r="AG329" s="28">
        <f t="shared" si="82"/>
        <v>0.99262429161620569</v>
      </c>
      <c r="AH329" s="28">
        <f t="shared" si="82"/>
        <v>1.0414261811490693</v>
      </c>
      <c r="AI329" s="28">
        <f t="shared" si="82"/>
        <v>1.0934015913217856</v>
      </c>
      <c r="AJ329" s="28">
        <f t="shared" si="82"/>
        <v>1.1471241939805665</v>
      </c>
      <c r="AK329" s="28">
        <f t="shared" si="82"/>
        <v>1.2001095211957744</v>
      </c>
      <c r="AL329" s="28">
        <f t="shared" si="82"/>
        <v>1.2540285808463096</v>
      </c>
      <c r="AM329" s="28">
        <f t="shared" si="82"/>
        <v>1.310466494861908</v>
      </c>
      <c r="AN329" s="28">
        <f t="shared" si="82"/>
        <v>1.3683728665063422</v>
      </c>
      <c r="AO329" s="28">
        <f t="shared" si="82"/>
        <v>1.4246154398643955</v>
      </c>
      <c r="AP329" s="28">
        <f t="shared" si="82"/>
        <v>1.482380812922339</v>
      </c>
      <c r="AQ329" s="28">
        <f t="shared" si="82"/>
        <v>1.541777789137452</v>
      </c>
      <c r="AR329" s="28">
        <f t="shared" si="82"/>
        <v>1.6052115562052296</v>
      </c>
      <c r="AS329" s="28">
        <f t="shared" si="82"/>
        <v>1.670845908904999</v>
      </c>
      <c r="AT329" s="28">
        <f t="shared" si="82"/>
        <v>1.7149867964815078</v>
      </c>
      <c r="AU329" s="28">
        <f t="shared" si="82"/>
        <v>1.7581618430572761</v>
      </c>
      <c r="AV329" s="28">
        <f t="shared" si="82"/>
        <v>1.8050606672101563</v>
      </c>
      <c r="AW329" s="28">
        <f t="shared" si="82"/>
        <v>1.8512821467965566</v>
      </c>
      <c r="AY329" s="85"/>
    </row>
    <row r="330" spans="1:51" x14ac:dyDescent="0.25">
      <c r="A330" s="102" t="str">
        <f t="shared" si="71"/>
        <v>GS Sheep MMCH4</v>
      </c>
      <c r="B330" s="102" t="s">
        <v>1022</v>
      </c>
      <c r="C330" s="102" t="s">
        <v>1325</v>
      </c>
      <c r="D330" t="s">
        <v>15</v>
      </c>
      <c r="E330" t="s">
        <v>22</v>
      </c>
      <c r="F330" t="s">
        <v>18</v>
      </c>
      <c r="G330" t="s">
        <v>122</v>
      </c>
      <c r="H330" t="s">
        <v>1228</v>
      </c>
      <c r="I330" t="s">
        <v>121</v>
      </c>
      <c r="J330" t="s">
        <v>286</v>
      </c>
      <c r="K330" s="28">
        <f t="shared" si="83"/>
        <v>3.6049467288640238E-2</v>
      </c>
      <c r="L330" s="28">
        <f t="shared" si="82"/>
        <v>3.6068922498919492E-2</v>
      </c>
      <c r="M330" s="28">
        <f t="shared" si="82"/>
        <v>3.6113648368603188E-2</v>
      </c>
      <c r="N330" s="28">
        <f t="shared" si="82"/>
        <v>3.6180048088995075E-2</v>
      </c>
      <c r="O330" s="28">
        <f t="shared" si="82"/>
        <v>3.6269669615497352E-2</v>
      </c>
      <c r="P330" s="28">
        <f t="shared" si="82"/>
        <v>3.6384314095385159E-2</v>
      </c>
      <c r="Q330" s="28">
        <f t="shared" si="82"/>
        <v>3.6510640385803414E-2</v>
      </c>
      <c r="R330" s="28">
        <f t="shared" si="82"/>
        <v>3.6646686440443228E-2</v>
      </c>
      <c r="S330" s="28">
        <f t="shared" si="82"/>
        <v>3.6781472874538444E-2</v>
      </c>
      <c r="T330" s="28">
        <f t="shared" si="82"/>
        <v>3.6836633496849083E-2</v>
      </c>
      <c r="U330" s="28">
        <f t="shared" si="82"/>
        <v>3.6899270096088746E-2</v>
      </c>
      <c r="V330" s="28">
        <f t="shared" si="82"/>
        <v>3.6970107657697912E-2</v>
      </c>
      <c r="W330" s="28">
        <f t="shared" si="82"/>
        <v>3.7049660029312891E-2</v>
      </c>
      <c r="X330" s="28">
        <f t="shared" si="82"/>
        <v>3.7139051899563943E-2</v>
      </c>
      <c r="Y330" s="28">
        <f t="shared" si="82"/>
        <v>3.7195257613770766E-2</v>
      </c>
      <c r="Z330" s="28">
        <f t="shared" si="82"/>
        <v>3.7258548109316066E-2</v>
      </c>
      <c r="AA330" s="28">
        <f t="shared" si="82"/>
        <v>3.7327161924675951E-2</v>
      </c>
      <c r="AB330" s="28">
        <f t="shared" si="82"/>
        <v>3.740270770234231E-2</v>
      </c>
      <c r="AC330" s="28">
        <f t="shared" si="82"/>
        <v>3.7485176791933403E-2</v>
      </c>
      <c r="AD330" s="28">
        <f t="shared" si="82"/>
        <v>3.7539761469788754E-2</v>
      </c>
      <c r="AE330" s="28">
        <f t="shared" si="82"/>
        <v>3.7599656922957594E-2</v>
      </c>
      <c r="AF330" s="28">
        <f t="shared" si="82"/>
        <v>3.7664460791843352E-2</v>
      </c>
      <c r="AG330" s="28">
        <f t="shared" si="82"/>
        <v>3.7734874583025615E-2</v>
      </c>
      <c r="AH330" s="28">
        <f t="shared" si="82"/>
        <v>3.7808406535422022E-2</v>
      </c>
      <c r="AI330" s="28">
        <f t="shared" si="82"/>
        <v>3.7855450290038166E-2</v>
      </c>
      <c r="AJ330" s="28">
        <f t="shared" si="82"/>
        <v>3.790648474498734E-2</v>
      </c>
      <c r="AK330" s="28">
        <f t="shared" si="82"/>
        <v>3.7960736985585587E-2</v>
      </c>
      <c r="AL330" s="28">
        <f t="shared" si="82"/>
        <v>3.8018503990857662E-2</v>
      </c>
      <c r="AM330" s="28">
        <f t="shared" si="82"/>
        <v>3.8080056384553931E-2</v>
      </c>
      <c r="AN330" s="28">
        <f t="shared" si="82"/>
        <v>3.8116334504626079E-2</v>
      </c>
      <c r="AO330" s="28">
        <f t="shared" si="82"/>
        <v>3.8154989670212594E-2</v>
      </c>
      <c r="AP330" s="28">
        <f t="shared" si="82"/>
        <v>3.8196703080821404E-2</v>
      </c>
      <c r="AQ330" s="28">
        <f t="shared" si="82"/>
        <v>3.8241401151067764E-2</v>
      </c>
      <c r="AR330" s="28">
        <f t="shared" si="82"/>
        <v>3.828956377958781E-2</v>
      </c>
      <c r="AS330" s="28">
        <f t="shared" si="82"/>
        <v>3.8311270646145826E-2</v>
      </c>
      <c r="AT330" s="28">
        <f t="shared" si="82"/>
        <v>3.8330111932378036E-2</v>
      </c>
      <c r="AU330" s="28">
        <f t="shared" si="82"/>
        <v>3.8350912132151166E-2</v>
      </c>
      <c r="AV330" s="28">
        <f t="shared" si="82"/>
        <v>3.8374692407557622E-2</v>
      </c>
      <c r="AW330" s="28">
        <f t="shared" si="82"/>
        <v>3.8400354082293926E-2</v>
      </c>
      <c r="AY330" s="85"/>
    </row>
    <row r="331" spans="1:51" x14ac:dyDescent="0.25">
      <c r="A331" s="102" t="str">
        <f t="shared" si="71"/>
        <v>GS Sheep MMCH4</v>
      </c>
      <c r="B331" s="102" t="s">
        <v>1022</v>
      </c>
      <c r="C331" s="102" t="s">
        <v>1325</v>
      </c>
      <c r="D331" t="s">
        <v>15</v>
      </c>
      <c r="E331" t="s">
        <v>22</v>
      </c>
      <c r="F331" t="s">
        <v>18</v>
      </c>
      <c r="G331" t="s">
        <v>123</v>
      </c>
      <c r="H331" t="s">
        <v>1228</v>
      </c>
      <c r="I331" t="s">
        <v>121</v>
      </c>
      <c r="J331" t="s">
        <v>286</v>
      </c>
      <c r="K331" s="28">
        <f t="shared" si="83"/>
        <v>4.1170209951421942E-3</v>
      </c>
      <c r="L331" s="28">
        <f t="shared" si="82"/>
        <v>4.1192428728898823E-3</v>
      </c>
      <c r="M331" s="28">
        <f t="shared" si="82"/>
        <v>4.12435078039485E-3</v>
      </c>
      <c r="N331" s="28">
        <f t="shared" si="82"/>
        <v>4.1319339449597016E-3</v>
      </c>
      <c r="O331" s="28">
        <f t="shared" si="82"/>
        <v>4.1421691504697385E-3</v>
      </c>
      <c r="P331" s="28">
        <f t="shared" ref="L331:AW337" si="84">P1400</f>
        <v>4.1552620965289999E-3</v>
      </c>
      <c r="Q331" s="28">
        <f t="shared" si="84"/>
        <v>4.1696891610325101E-3</v>
      </c>
      <c r="R331" s="28">
        <f t="shared" si="84"/>
        <v>4.1852262689396433E-3</v>
      </c>
      <c r="S331" s="28">
        <f t="shared" si="84"/>
        <v>4.2006195221765729E-3</v>
      </c>
      <c r="T331" s="28">
        <f t="shared" si="84"/>
        <v>4.2069191281690734E-3</v>
      </c>
      <c r="U331" s="28">
        <f t="shared" si="84"/>
        <v>4.2140725263613192E-3</v>
      </c>
      <c r="V331" s="28">
        <f t="shared" si="84"/>
        <v>4.2221625135462756E-3</v>
      </c>
      <c r="W331" s="28">
        <f t="shared" si="84"/>
        <v>4.2312477735732788E-3</v>
      </c>
      <c r="X331" s="28">
        <f t="shared" si="84"/>
        <v>4.2414567512447637E-3</v>
      </c>
      <c r="Y331" s="28">
        <f t="shared" si="84"/>
        <v>4.2478757117132681E-3</v>
      </c>
      <c r="Z331" s="28">
        <f t="shared" si="84"/>
        <v>4.2551037879804332E-3</v>
      </c>
      <c r="AA331" s="28">
        <f t="shared" si="84"/>
        <v>4.2629398127441735E-3</v>
      </c>
      <c r="AB331" s="28">
        <f t="shared" si="84"/>
        <v>4.2715675006447032E-3</v>
      </c>
      <c r="AC331" s="28">
        <f t="shared" si="84"/>
        <v>4.2809858637671951E-3</v>
      </c>
      <c r="AD331" s="28">
        <f t="shared" si="84"/>
        <v>4.2872196941576481E-3</v>
      </c>
      <c r="AE331" s="28">
        <f t="shared" si="84"/>
        <v>4.294060040402857E-3</v>
      </c>
      <c r="AF331" s="28">
        <f t="shared" si="84"/>
        <v>4.3014609511190394E-3</v>
      </c>
      <c r="AG331" s="28">
        <f t="shared" si="84"/>
        <v>4.3095025417013294E-3</v>
      </c>
      <c r="AH331" s="28">
        <f t="shared" si="84"/>
        <v>4.3179002411570773E-3</v>
      </c>
      <c r="AI331" s="28">
        <f t="shared" si="84"/>
        <v>4.3232728621695939E-3</v>
      </c>
      <c r="AJ331" s="28">
        <f t="shared" si="84"/>
        <v>4.3291012401819257E-3</v>
      </c>
      <c r="AK331" s="28">
        <f t="shared" si="84"/>
        <v>4.335297104653045E-3</v>
      </c>
      <c r="AL331" s="28">
        <f t="shared" si="84"/>
        <v>4.3418943720031399E-3</v>
      </c>
      <c r="AM331" s="28">
        <f t="shared" si="84"/>
        <v>4.3489239487544346E-3</v>
      </c>
      <c r="AN331" s="28">
        <f t="shared" si="84"/>
        <v>4.3530670829873327E-3</v>
      </c>
      <c r="AO331" s="28">
        <f t="shared" si="84"/>
        <v>4.3574816871482253E-3</v>
      </c>
      <c r="AP331" s="28">
        <f t="shared" si="84"/>
        <v>4.362245557467872E-3</v>
      </c>
      <c r="AQ331" s="28">
        <f t="shared" si="84"/>
        <v>4.3673502901445905E-3</v>
      </c>
      <c r="AR331" s="28">
        <f t="shared" si="84"/>
        <v>4.3728506918900767E-3</v>
      </c>
      <c r="AS331" s="28">
        <f t="shared" si="84"/>
        <v>4.3753297195173796E-3</v>
      </c>
      <c r="AT331" s="28">
        <f t="shared" si="84"/>
        <v>4.3774814842126074E-3</v>
      </c>
      <c r="AU331" s="28">
        <f t="shared" si="84"/>
        <v>4.3798569661714264E-3</v>
      </c>
      <c r="AV331" s="28">
        <f t="shared" si="84"/>
        <v>4.3825727869721814E-3</v>
      </c>
      <c r="AW331" s="28">
        <f t="shared" si="84"/>
        <v>4.385503472544146E-3</v>
      </c>
      <c r="AY331" s="85"/>
    </row>
    <row r="332" spans="1:51" x14ac:dyDescent="0.25">
      <c r="A332" s="102" t="str">
        <f t="shared" si="71"/>
        <v>GS Goats MMCH4</v>
      </c>
      <c r="B332" s="102" t="s">
        <v>1022</v>
      </c>
      <c r="C332" s="102" t="s">
        <v>1326</v>
      </c>
      <c r="D332" t="s">
        <v>15</v>
      </c>
      <c r="E332" t="s">
        <v>22</v>
      </c>
      <c r="F332" t="s">
        <v>19</v>
      </c>
      <c r="G332" t="s">
        <v>122</v>
      </c>
      <c r="H332" t="s">
        <v>1228</v>
      </c>
      <c r="I332" t="s">
        <v>121</v>
      </c>
      <c r="J332" t="s">
        <v>286</v>
      </c>
      <c r="K332" s="28">
        <f t="shared" si="83"/>
        <v>1.5786050776084536E-2</v>
      </c>
      <c r="L332" s="28">
        <f t="shared" si="84"/>
        <v>1.5827081346829606E-2</v>
      </c>
      <c r="M332" s="28">
        <f t="shared" si="84"/>
        <v>1.5882411871580165E-2</v>
      </c>
      <c r="N332" s="28">
        <f t="shared" si="84"/>
        <v>1.5949803045989901E-2</v>
      </c>
      <c r="O332" s="28">
        <f t="shared" si="84"/>
        <v>1.6030521416305728E-2</v>
      </c>
      <c r="P332" s="28">
        <f t="shared" si="84"/>
        <v>1.6125949164627635E-2</v>
      </c>
      <c r="Q332" s="28">
        <f t="shared" si="84"/>
        <v>1.6227083744595871E-2</v>
      </c>
      <c r="R332" s="28">
        <f t="shared" si="84"/>
        <v>1.6332741800602117E-2</v>
      </c>
      <c r="S332" s="28">
        <f t="shared" si="84"/>
        <v>1.6435606263672888E-2</v>
      </c>
      <c r="T332" s="28">
        <f t="shared" si="84"/>
        <v>1.6482785969504622E-2</v>
      </c>
      <c r="U332" s="28">
        <f t="shared" si="84"/>
        <v>1.6533664426214255E-2</v>
      </c>
      <c r="V332" s="28">
        <f t="shared" si="84"/>
        <v>1.6588808405428729E-2</v>
      </c>
      <c r="W332" s="28">
        <f t="shared" si="84"/>
        <v>1.6648626125843623E-2</v>
      </c>
      <c r="X332" s="28">
        <f t="shared" si="84"/>
        <v>1.671392230440329E-2</v>
      </c>
      <c r="Y332" s="28">
        <f t="shared" si="84"/>
        <v>1.6755949162850392E-2</v>
      </c>
      <c r="Z332" s="28">
        <f t="shared" si="84"/>
        <v>1.6801812461822448E-2</v>
      </c>
      <c r="AA332" s="28">
        <f t="shared" si="84"/>
        <v>1.6850371356583897E-2</v>
      </c>
      <c r="AB332" s="28">
        <f t="shared" si="84"/>
        <v>1.6902729841508243E-2</v>
      </c>
      <c r="AC332" s="28">
        <f t="shared" si="84"/>
        <v>1.6958905567505546E-2</v>
      </c>
      <c r="AD332" s="28">
        <f t="shared" si="84"/>
        <v>1.6995881142245144E-2</v>
      </c>
      <c r="AE332" s="28">
        <f t="shared" si="84"/>
        <v>1.7035738596248386E-2</v>
      </c>
      <c r="AF332" s="28">
        <f t="shared" si="84"/>
        <v>1.7078229800458981E-2</v>
      </c>
      <c r="AG332" s="28">
        <f t="shared" si="84"/>
        <v>1.7123832345859253E-2</v>
      </c>
      <c r="AH332" s="28">
        <f t="shared" si="84"/>
        <v>1.7170921235490962E-2</v>
      </c>
      <c r="AI332" s="28">
        <f t="shared" si="84"/>
        <v>1.720011231394674E-2</v>
      </c>
      <c r="AJ332" s="28">
        <f t="shared" si="84"/>
        <v>1.7231468078725984E-2</v>
      </c>
      <c r="AK332" s="28">
        <f t="shared" si="84"/>
        <v>1.7264493513114532E-2</v>
      </c>
      <c r="AL332" s="28">
        <f t="shared" si="84"/>
        <v>1.7299393145414187E-2</v>
      </c>
      <c r="AM332" s="28">
        <f t="shared" si="84"/>
        <v>1.7336351628498631E-2</v>
      </c>
      <c r="AN332" s="28">
        <f t="shared" si="84"/>
        <v>1.7356503534937538E-2</v>
      </c>
      <c r="AO332" s="28">
        <f t="shared" si="84"/>
        <v>1.7377878973805026E-2</v>
      </c>
      <c r="AP332" s="28">
        <f t="shared" si="84"/>
        <v>1.7400926590350561E-2</v>
      </c>
      <c r="AQ332" s="28">
        <f t="shared" si="84"/>
        <v>1.7425603506526253E-2</v>
      </c>
      <c r="AR332" s="28">
        <f t="shared" si="84"/>
        <v>1.7452223423977883E-2</v>
      </c>
      <c r="AS332" s="28">
        <f t="shared" si="84"/>
        <v>1.7461521770457056E-2</v>
      </c>
      <c r="AT332" s="28">
        <f t="shared" si="84"/>
        <v>1.7468759965525583E-2</v>
      </c>
      <c r="AU332" s="28">
        <f t="shared" si="84"/>
        <v>1.7477053902041951E-2</v>
      </c>
      <c r="AV332" s="28">
        <f t="shared" si="84"/>
        <v>1.7487061559141349E-2</v>
      </c>
      <c r="AW332" s="28">
        <f t="shared" si="84"/>
        <v>1.7498080042052506E-2</v>
      </c>
      <c r="AY332" s="85"/>
    </row>
    <row r="333" spans="1:51" x14ac:dyDescent="0.25">
      <c r="A333" s="102" t="str">
        <f t="shared" si="71"/>
        <v>GS Goats MMCH4</v>
      </c>
      <c r="B333" s="102" t="s">
        <v>1022</v>
      </c>
      <c r="C333" s="102" t="s">
        <v>1326</v>
      </c>
      <c r="D333" t="s">
        <v>15</v>
      </c>
      <c r="E333" t="s">
        <v>22</v>
      </c>
      <c r="F333" t="s">
        <v>19</v>
      </c>
      <c r="G333" t="s">
        <v>123</v>
      </c>
      <c r="H333" t="s">
        <v>1228</v>
      </c>
      <c r="I333" t="s">
        <v>121</v>
      </c>
      <c r="J333" t="s">
        <v>286</v>
      </c>
      <c r="K333" s="28">
        <f t="shared" si="83"/>
        <v>2.6586118821625565E-2</v>
      </c>
      <c r="L333" s="28">
        <f t="shared" si="84"/>
        <v>2.6655220564969766E-2</v>
      </c>
      <c r="M333" s="28">
        <f t="shared" si="84"/>
        <v>2.674840561336134E-2</v>
      </c>
      <c r="N333" s="28">
        <f t="shared" si="84"/>
        <v>2.6861902636511708E-2</v>
      </c>
      <c r="O333" s="28">
        <f t="shared" si="84"/>
        <v>2.6997844691604787E-2</v>
      </c>
      <c r="P333" s="28">
        <f t="shared" si="84"/>
        <v>2.7158559584249745E-2</v>
      </c>
      <c r="Q333" s="28">
        <f t="shared" si="84"/>
        <v>2.7328885652380994E-2</v>
      </c>
      <c r="R333" s="28">
        <f t="shared" si="84"/>
        <v>2.7506829944546809E-2</v>
      </c>
      <c r="S333" s="28">
        <f t="shared" si="84"/>
        <v>2.7680069399842709E-2</v>
      </c>
      <c r="T333" s="28">
        <f t="shared" si="84"/>
        <v>2.7759527225172408E-2</v>
      </c>
      <c r="U333" s="28">
        <f t="shared" si="84"/>
        <v>2.7845214311494997E-2</v>
      </c>
      <c r="V333" s="28">
        <f t="shared" si="84"/>
        <v>2.7938085188732656E-2</v>
      </c>
      <c r="W333" s="28">
        <f t="shared" si="84"/>
        <v>2.8038827359472312E-2</v>
      </c>
      <c r="X333" s="28">
        <f t="shared" si="84"/>
        <v>2.814879608986658E-2</v>
      </c>
      <c r="Y333" s="28">
        <f t="shared" si="84"/>
        <v>2.821957573375743E-2</v>
      </c>
      <c r="Z333" s="28">
        <f t="shared" si="84"/>
        <v>2.8296816529021451E-2</v>
      </c>
      <c r="AA333" s="28">
        <f t="shared" si="84"/>
        <v>2.8378597119004759E-2</v>
      </c>
      <c r="AB333" s="28">
        <f t="shared" si="84"/>
        <v>2.8466776798727306E-2</v>
      </c>
      <c r="AC333" s="28">
        <f t="shared" si="84"/>
        <v>2.8561385295015548E-2</v>
      </c>
      <c r="AD333" s="28">
        <f t="shared" si="84"/>
        <v>2.8623657806200815E-2</v>
      </c>
      <c r="AE333" s="28">
        <f t="shared" si="84"/>
        <v>2.8690783841907163E-2</v>
      </c>
      <c r="AF333" s="28">
        <f t="shared" si="84"/>
        <v>2.876234551493359E-2</v>
      </c>
      <c r="AG333" s="28">
        <f t="shared" si="84"/>
        <v>2.8839147161385727E-2</v>
      </c>
      <c r="AH333" s="28">
        <f t="shared" si="84"/>
        <v>2.891845203837394E-2</v>
      </c>
      <c r="AI333" s="28">
        <f t="shared" si="84"/>
        <v>2.8967614269723933E-2</v>
      </c>
      <c r="AJ333" s="28">
        <f t="shared" si="84"/>
        <v>2.9020422163223609E-2</v>
      </c>
      <c r="AK333" s="28">
        <f t="shared" si="84"/>
        <v>2.9076042035175369E-2</v>
      </c>
      <c r="AL333" s="28">
        <f t="shared" si="84"/>
        <v>2.9134818342455165E-2</v>
      </c>
      <c r="AM333" s="28">
        <f t="shared" si="84"/>
        <v>2.9197062068684575E-2</v>
      </c>
      <c r="AN333" s="28">
        <f t="shared" si="84"/>
        <v>2.9231000954772463E-2</v>
      </c>
      <c r="AO333" s="28">
        <f t="shared" si="84"/>
        <v>2.926700045620928E-2</v>
      </c>
      <c r="AP333" s="28">
        <f t="shared" si="84"/>
        <v>2.9305816160068741E-2</v>
      </c>
      <c r="AQ333" s="28">
        <f t="shared" si="84"/>
        <v>2.9347375853174006E-2</v>
      </c>
      <c r="AR333" s="28">
        <f t="shared" si="84"/>
        <v>2.9392207856974665E-2</v>
      </c>
      <c r="AS333" s="28">
        <f t="shared" si="84"/>
        <v>2.9407867691587285E-2</v>
      </c>
      <c r="AT333" s="28">
        <f t="shared" si="84"/>
        <v>2.9420057916797852E-2</v>
      </c>
      <c r="AU333" s="28">
        <f t="shared" si="84"/>
        <v>2.9434026171737036E-2</v>
      </c>
      <c r="AV333" s="28">
        <f t="shared" si="84"/>
        <v>2.9450880593691244E-2</v>
      </c>
      <c r="AW333" s="28">
        <f t="shared" si="84"/>
        <v>2.9469437400587745E-2</v>
      </c>
      <c r="AY333" s="85"/>
    </row>
    <row r="334" spans="1:51" x14ac:dyDescent="0.25">
      <c r="A334" s="102" t="str">
        <f t="shared" si="71"/>
        <v>GS Horses MMCH4</v>
      </c>
      <c r="B334" s="102" t="s">
        <v>1022</v>
      </c>
      <c r="C334" s="102" t="s">
        <v>1327</v>
      </c>
      <c r="D334" t="s">
        <v>15</v>
      </c>
      <c r="E334" t="s">
        <v>22</v>
      </c>
      <c r="F334" t="s">
        <v>20</v>
      </c>
      <c r="G334" t="s">
        <v>3</v>
      </c>
      <c r="H334" t="s">
        <v>1228</v>
      </c>
      <c r="I334" t="s">
        <v>121</v>
      </c>
      <c r="J334" t="s">
        <v>286</v>
      </c>
      <c r="K334" s="28">
        <f t="shared" si="83"/>
        <v>4.1409780786531561E-3</v>
      </c>
      <c r="L334" s="28">
        <f t="shared" si="84"/>
        <v>4.1688671764084162E-3</v>
      </c>
      <c r="M334" s="28">
        <f t="shared" si="84"/>
        <v>4.1857409403688933E-3</v>
      </c>
      <c r="N334" s="28">
        <f t="shared" si="84"/>
        <v>4.1635395322190223E-3</v>
      </c>
      <c r="O334" s="28">
        <f t="shared" si="84"/>
        <v>4.1408513683072233E-3</v>
      </c>
      <c r="P334" s="28">
        <f t="shared" si="84"/>
        <v>4.1549094768624506E-3</v>
      </c>
      <c r="Q334" s="28">
        <f t="shared" si="84"/>
        <v>4.1567255728426969E-3</v>
      </c>
      <c r="R334" s="28">
        <f t="shared" si="84"/>
        <v>4.1179597585422178E-3</v>
      </c>
      <c r="S334" s="28">
        <f t="shared" si="84"/>
        <v>3.9049943158389311E-3</v>
      </c>
      <c r="T334" s="28">
        <f t="shared" si="84"/>
        <v>3.9699795028704365E-3</v>
      </c>
      <c r="U334" s="28">
        <f t="shared" si="84"/>
        <v>4.0126860665387013E-3</v>
      </c>
      <c r="V334" s="28">
        <f t="shared" si="84"/>
        <v>4.0499492305839649E-3</v>
      </c>
      <c r="W334" s="28">
        <f t="shared" si="84"/>
        <v>4.09467284204442E-3</v>
      </c>
      <c r="X334" s="28">
        <f t="shared" si="84"/>
        <v>4.1665387441703824E-3</v>
      </c>
      <c r="Y334" s="28">
        <f t="shared" si="84"/>
        <v>4.248702300747329E-3</v>
      </c>
      <c r="Z334" s="28">
        <f t="shared" si="84"/>
        <v>4.3374921923911899E-3</v>
      </c>
      <c r="AA334" s="28">
        <f t="shared" si="84"/>
        <v>4.414637811470782E-3</v>
      </c>
      <c r="AB334" s="28">
        <f t="shared" si="84"/>
        <v>4.5040673251205239E-3</v>
      </c>
      <c r="AC334" s="28">
        <f t="shared" si="84"/>
        <v>4.6087014569709678E-3</v>
      </c>
      <c r="AD334" s="28">
        <f t="shared" si="84"/>
        <v>4.7138573349945522E-3</v>
      </c>
      <c r="AE334" s="28">
        <f t="shared" si="84"/>
        <v>4.8236014553834257E-3</v>
      </c>
      <c r="AF334" s="28">
        <f t="shared" si="84"/>
        <v>4.9354202086686252E-3</v>
      </c>
      <c r="AG334" s="28">
        <f t="shared" si="84"/>
        <v>5.0601637107160246E-3</v>
      </c>
      <c r="AH334" s="28">
        <f t="shared" si="84"/>
        <v>5.1692799161183493E-3</v>
      </c>
      <c r="AI334" s="28">
        <f t="shared" si="84"/>
        <v>5.2891896269508833E-3</v>
      </c>
      <c r="AJ334" s="28">
        <f t="shared" si="84"/>
        <v>5.4110891568061297E-3</v>
      </c>
      <c r="AK334" s="28">
        <f t="shared" si="84"/>
        <v>5.5272908454311459E-3</v>
      </c>
      <c r="AL334" s="28">
        <f t="shared" si="84"/>
        <v>5.6429797772661562E-3</v>
      </c>
      <c r="AM334" s="28">
        <f t="shared" si="84"/>
        <v>5.7628358631585681E-3</v>
      </c>
      <c r="AN334" s="28">
        <f t="shared" si="84"/>
        <v>5.8932639862966018E-3</v>
      </c>
      <c r="AO334" s="28">
        <f t="shared" si="84"/>
        <v>6.015926079762964E-3</v>
      </c>
      <c r="AP334" s="28">
        <f t="shared" si="84"/>
        <v>6.1402055338910435E-3</v>
      </c>
      <c r="AQ334" s="28">
        <f t="shared" si="84"/>
        <v>6.266331762949981E-3</v>
      </c>
      <c r="AR334" s="28">
        <f t="shared" si="84"/>
        <v>6.4010164026291104E-3</v>
      </c>
      <c r="AS334" s="28">
        <f t="shared" si="84"/>
        <v>6.544222904657609E-3</v>
      </c>
      <c r="AT334" s="28">
        <f t="shared" si="84"/>
        <v>6.6249233396269902E-3</v>
      </c>
      <c r="AU334" s="28">
        <f t="shared" si="84"/>
        <v>6.7012526002480271E-3</v>
      </c>
      <c r="AV334" s="28">
        <f t="shared" si="84"/>
        <v>6.7861102667668991E-3</v>
      </c>
      <c r="AW334" s="28">
        <f t="shared" si="84"/>
        <v>6.8673471283418426E-3</v>
      </c>
      <c r="AY334" s="85"/>
    </row>
    <row r="335" spans="1:51" x14ac:dyDescent="0.25">
      <c r="A335" s="102" t="str">
        <f t="shared" si="71"/>
        <v>GS Mules MMCH4</v>
      </c>
      <c r="B335" s="102" t="s">
        <v>1022</v>
      </c>
      <c r="C335" s="102" t="s">
        <v>1328</v>
      </c>
      <c r="D335" t="s">
        <v>15</v>
      </c>
      <c r="E335" t="s">
        <v>22</v>
      </c>
      <c r="F335" t="s">
        <v>140</v>
      </c>
      <c r="G335" t="s">
        <v>124</v>
      </c>
      <c r="H335" t="s">
        <v>1228</v>
      </c>
      <c r="I335" t="s">
        <v>121</v>
      </c>
      <c r="J335" t="s">
        <v>286</v>
      </c>
      <c r="K335" s="28">
        <f t="shared" si="83"/>
        <v>7.515E-4</v>
      </c>
      <c r="L335" s="28">
        <f t="shared" si="84"/>
        <v>7.515E-4</v>
      </c>
      <c r="M335" s="28">
        <f t="shared" si="84"/>
        <v>7.515E-4</v>
      </c>
      <c r="N335" s="28">
        <f t="shared" si="84"/>
        <v>7.515E-4</v>
      </c>
      <c r="O335" s="28">
        <f t="shared" si="84"/>
        <v>7.515E-4</v>
      </c>
      <c r="P335" s="28">
        <f t="shared" si="84"/>
        <v>7.515E-4</v>
      </c>
      <c r="Q335" s="28">
        <f t="shared" si="84"/>
        <v>7.515E-4</v>
      </c>
      <c r="R335" s="28">
        <f t="shared" si="84"/>
        <v>7.515E-4</v>
      </c>
      <c r="S335" s="28">
        <f t="shared" si="84"/>
        <v>7.515E-4</v>
      </c>
      <c r="T335" s="28">
        <f t="shared" si="84"/>
        <v>7.515E-4</v>
      </c>
      <c r="U335" s="28">
        <f t="shared" si="84"/>
        <v>7.515E-4</v>
      </c>
      <c r="V335" s="28">
        <f t="shared" si="84"/>
        <v>7.515E-4</v>
      </c>
      <c r="W335" s="28">
        <f t="shared" si="84"/>
        <v>7.515E-4</v>
      </c>
      <c r="X335" s="28">
        <f t="shared" si="84"/>
        <v>7.515E-4</v>
      </c>
      <c r="Y335" s="28">
        <f t="shared" si="84"/>
        <v>7.515E-4</v>
      </c>
      <c r="Z335" s="28">
        <f t="shared" si="84"/>
        <v>7.515E-4</v>
      </c>
      <c r="AA335" s="28">
        <f t="shared" si="84"/>
        <v>7.515E-4</v>
      </c>
      <c r="AB335" s="28">
        <f t="shared" si="84"/>
        <v>7.515E-4</v>
      </c>
      <c r="AC335" s="28">
        <f t="shared" si="84"/>
        <v>7.515E-4</v>
      </c>
      <c r="AD335" s="28">
        <f t="shared" si="84"/>
        <v>7.515E-4</v>
      </c>
      <c r="AE335" s="28">
        <f t="shared" si="84"/>
        <v>7.515E-4</v>
      </c>
      <c r="AF335" s="28">
        <f t="shared" si="84"/>
        <v>7.515E-4</v>
      </c>
      <c r="AG335" s="28">
        <f t="shared" si="84"/>
        <v>7.515E-4</v>
      </c>
      <c r="AH335" s="28">
        <f t="shared" si="84"/>
        <v>7.515E-4</v>
      </c>
      <c r="AI335" s="28">
        <f t="shared" si="84"/>
        <v>7.515E-4</v>
      </c>
      <c r="AJ335" s="28">
        <f t="shared" si="84"/>
        <v>7.515E-4</v>
      </c>
      <c r="AK335" s="28">
        <f t="shared" si="84"/>
        <v>7.515E-4</v>
      </c>
      <c r="AL335" s="28">
        <f t="shared" si="84"/>
        <v>7.515E-4</v>
      </c>
      <c r="AM335" s="28">
        <f t="shared" si="84"/>
        <v>7.515E-4</v>
      </c>
      <c r="AN335" s="28">
        <f t="shared" si="84"/>
        <v>7.515E-4</v>
      </c>
      <c r="AO335" s="28">
        <f t="shared" si="84"/>
        <v>7.515E-4</v>
      </c>
      <c r="AP335" s="28">
        <f t="shared" si="84"/>
        <v>7.515E-4</v>
      </c>
      <c r="AQ335" s="28">
        <f t="shared" si="84"/>
        <v>7.515E-4</v>
      </c>
      <c r="AR335" s="28">
        <f t="shared" si="84"/>
        <v>7.515E-4</v>
      </c>
      <c r="AS335" s="28">
        <f t="shared" si="84"/>
        <v>7.515E-4</v>
      </c>
      <c r="AT335" s="28">
        <f t="shared" si="84"/>
        <v>7.515E-4</v>
      </c>
      <c r="AU335" s="28">
        <f t="shared" si="84"/>
        <v>7.515E-4</v>
      </c>
      <c r="AV335" s="28">
        <f t="shared" si="84"/>
        <v>7.515E-4</v>
      </c>
      <c r="AW335" s="28">
        <f t="shared" si="84"/>
        <v>7.515E-4</v>
      </c>
      <c r="AY335" s="85"/>
    </row>
    <row r="336" spans="1:51" x14ac:dyDescent="0.25">
      <c r="A336" s="102" t="str">
        <f t="shared" si="71"/>
        <v>GS Swine MMCH4</v>
      </c>
      <c r="B336" s="102" t="s">
        <v>1022</v>
      </c>
      <c r="C336" s="102" t="s">
        <v>1231</v>
      </c>
      <c r="D336" t="s">
        <v>15</v>
      </c>
      <c r="E336" t="s">
        <v>22</v>
      </c>
      <c r="F336" t="s">
        <v>21</v>
      </c>
      <c r="G336" t="s">
        <v>122</v>
      </c>
      <c r="H336" t="s">
        <v>1228</v>
      </c>
      <c r="I336" t="s">
        <v>121</v>
      </c>
      <c r="J336" t="s">
        <v>286</v>
      </c>
      <c r="K336" s="28">
        <f t="shared" si="83"/>
        <v>23.371743761076022</v>
      </c>
      <c r="L336" s="28">
        <f t="shared" si="84"/>
        <v>23.330436915239524</v>
      </c>
      <c r="M336" s="28">
        <f t="shared" si="84"/>
        <v>23.199540957083649</v>
      </c>
      <c r="N336" s="28">
        <f t="shared" si="84"/>
        <v>22.687613421640428</v>
      </c>
      <c r="O336" s="28">
        <f t="shared" si="84"/>
        <v>22.203503184399075</v>
      </c>
      <c r="P336" s="28">
        <f t="shared" si="84"/>
        <v>22.125366761256988</v>
      </c>
      <c r="Q336" s="28">
        <f t="shared" si="84"/>
        <v>21.935689428722483</v>
      </c>
      <c r="R336" s="28">
        <f t="shared" si="84"/>
        <v>21.35149621309353</v>
      </c>
      <c r="S336" s="28">
        <f t="shared" si="84"/>
        <v>19.044546726490758</v>
      </c>
      <c r="T336" s="28">
        <f t="shared" si="84"/>
        <v>19.454206590041967</v>
      </c>
      <c r="U336" s="28">
        <f t="shared" si="84"/>
        <v>19.642847548932107</v>
      </c>
      <c r="V336" s="28">
        <f t="shared" si="84"/>
        <v>19.780236351488622</v>
      </c>
      <c r="W336" s="28">
        <f t="shared" si="84"/>
        <v>19.991165183522316</v>
      </c>
      <c r="X336" s="28">
        <f t="shared" si="84"/>
        <v>20.459574437852073</v>
      </c>
      <c r="Y336" s="28">
        <f t="shared" si="84"/>
        <v>20.986742957293373</v>
      </c>
      <c r="Z336" s="28">
        <f t="shared" si="84"/>
        <v>21.566845728123951</v>
      </c>
      <c r="AA336" s="28">
        <f t="shared" si="84"/>
        <v>22.030719235951583</v>
      </c>
      <c r="AB336" s="28">
        <f t="shared" si="84"/>
        <v>22.598880859175789</v>
      </c>
      <c r="AC336" s="28">
        <f t="shared" si="84"/>
        <v>23.294180025092402</v>
      </c>
      <c r="AD336" s="28">
        <f t="shared" si="84"/>
        <v>23.952313754534117</v>
      </c>
      <c r="AE336" s="28">
        <f t="shared" si="84"/>
        <v>24.63728573195543</v>
      </c>
      <c r="AF336" s="28">
        <f t="shared" si="84"/>
        <v>25.326274059281189</v>
      </c>
      <c r="AG336" s="28">
        <f t="shared" si="84"/>
        <v>26.11204960463073</v>
      </c>
      <c r="AH336" s="28">
        <f t="shared" si="84"/>
        <v>26.749101858001481</v>
      </c>
      <c r="AI336" s="28">
        <f t="shared" si="84"/>
        <v>27.431724876299679</v>
      </c>
      <c r="AJ336" s="28">
        <f t="shared" si="84"/>
        <v>28.114476864503132</v>
      </c>
      <c r="AK336" s="28">
        <f t="shared" si="84"/>
        <v>28.734138944489672</v>
      </c>
      <c r="AL336" s="28">
        <f t="shared" si="84"/>
        <v>29.334581793903347</v>
      </c>
      <c r="AM336" s="28">
        <f t="shared" si="84"/>
        <v>29.953628904341453</v>
      </c>
      <c r="AN336" s="28">
        <f t="shared" si="84"/>
        <v>30.608088379613569</v>
      </c>
      <c r="AO336" s="28">
        <f t="shared" si="84"/>
        <v>31.183489146008849</v>
      </c>
      <c r="AP336" s="28">
        <f t="shared" si="84"/>
        <v>31.754697438156203</v>
      </c>
      <c r="AQ336" s="28">
        <f t="shared" si="84"/>
        <v>32.323232018651169</v>
      </c>
      <c r="AR336" s="28">
        <f t="shared" si="84"/>
        <v>32.939289105942862</v>
      </c>
      <c r="AS336" s="28">
        <f t="shared" si="84"/>
        <v>33.564283425055578</v>
      </c>
      <c r="AT336" s="28">
        <f t="shared" si="84"/>
        <v>33.710416184198159</v>
      </c>
      <c r="AU336" s="28">
        <f t="shared" si="84"/>
        <v>33.816346670611303</v>
      </c>
      <c r="AV336" s="28">
        <f t="shared" si="84"/>
        <v>33.97537205277176</v>
      </c>
      <c r="AW336" s="28">
        <f t="shared" si="84"/>
        <v>34.099539307658524</v>
      </c>
      <c r="AY336" s="85"/>
    </row>
    <row r="337" spans="1:51" x14ac:dyDescent="0.25">
      <c r="A337" s="102" t="str">
        <f t="shared" si="71"/>
        <v>GS Swine MMCH4</v>
      </c>
      <c r="B337" s="102" t="s">
        <v>1022</v>
      </c>
      <c r="C337" s="102" t="s">
        <v>1231</v>
      </c>
      <c r="D337" t="s">
        <v>15</v>
      </c>
      <c r="E337" t="s">
        <v>22</v>
      </c>
      <c r="F337" t="s">
        <v>21</v>
      </c>
      <c r="G337" t="s">
        <v>123</v>
      </c>
      <c r="H337" t="s">
        <v>1228</v>
      </c>
      <c r="I337" t="s">
        <v>121</v>
      </c>
      <c r="J337" t="s">
        <v>286</v>
      </c>
      <c r="K337" s="28">
        <f t="shared" si="83"/>
        <v>7.8242315709845453E-2</v>
      </c>
      <c r="L337" s="28">
        <f t="shared" si="84"/>
        <v>7.8104031493402004E-2</v>
      </c>
      <c r="M337" s="28">
        <f t="shared" si="84"/>
        <v>7.7665827010763841E-2</v>
      </c>
      <c r="N337" s="28">
        <f t="shared" si="84"/>
        <v>7.5952031229919295E-2</v>
      </c>
      <c r="O337" s="28">
        <f t="shared" si="84"/>
        <v>7.4331360286072609E-2</v>
      </c>
      <c r="P337" s="28">
        <f t="shared" si="84"/>
        <v>7.4069780544722574E-2</v>
      </c>
      <c r="Q337" s="28">
        <f t="shared" si="84"/>
        <v>7.343479182129313E-2</v>
      </c>
      <c r="R337" s="28">
        <f t="shared" si="84"/>
        <v>7.1479069968441278E-2</v>
      </c>
      <c r="S337" s="28">
        <f t="shared" si="84"/>
        <v>6.3756023202968359E-2</v>
      </c>
      <c r="T337" s="28">
        <f t="shared" si="84"/>
        <v>6.5127454308207822E-2</v>
      </c>
      <c r="U337" s="28">
        <f t="shared" si="84"/>
        <v>6.5758973531256606E-2</v>
      </c>
      <c r="V337" s="28">
        <f t="shared" si="84"/>
        <v>6.6218914311650043E-2</v>
      </c>
      <c r="W337" s="28">
        <f t="shared" si="84"/>
        <v>6.6925047342929228E-2</v>
      </c>
      <c r="X337" s="28">
        <f t="shared" si="84"/>
        <v>6.8493155616464185E-2</v>
      </c>
      <c r="Y337" s="28">
        <f t="shared" si="84"/>
        <v>7.0257974114907237E-2</v>
      </c>
      <c r="Z337" s="28">
        <f t="shared" si="84"/>
        <v>7.2200002258099263E-2</v>
      </c>
      <c r="AA337" s="28">
        <f t="shared" si="84"/>
        <v>7.3752926071568817E-2</v>
      </c>
      <c r="AB337" s="28">
        <f t="shared" si="84"/>
        <v>7.5654978462394759E-2</v>
      </c>
      <c r="AC337" s="28">
        <f t="shared" si="84"/>
        <v>7.7982653171161778E-2</v>
      </c>
      <c r="AD337" s="28">
        <f t="shared" si="84"/>
        <v>8.0185907988803429E-2</v>
      </c>
      <c r="AE337" s="28">
        <f t="shared" si="84"/>
        <v>8.247901004647068E-2</v>
      </c>
      <c r="AF337" s="28">
        <f t="shared" si="84"/>
        <v>8.4785557764009881E-2</v>
      </c>
      <c r="AG337" s="28">
        <f t="shared" si="84"/>
        <v>8.7416123070767446E-2</v>
      </c>
      <c r="AH337" s="28">
        <f t="shared" si="84"/>
        <v>8.9548802773294175E-2</v>
      </c>
      <c r="AI337" s="28">
        <f t="shared" si="84"/>
        <v>9.1834041147225251E-2</v>
      </c>
      <c r="AJ337" s="28">
        <f t="shared" si="84"/>
        <v>9.4119711277731624E-2</v>
      </c>
      <c r="AK337" s="28">
        <f t="shared" si="84"/>
        <v>9.6194173354304288E-2</v>
      </c>
      <c r="AL337" s="28">
        <f t="shared" si="84"/>
        <v>9.820429461311192E-2</v>
      </c>
      <c r="AM337" s="28">
        <f t="shared" si="84"/>
        <v>0.10027669793694233</v>
      </c>
      <c r="AN337" s="28">
        <f t="shared" si="84"/>
        <v>0.10246765233927585</v>
      </c>
      <c r="AO337" s="28">
        <f t="shared" si="84"/>
        <v>0.10439393943553288</v>
      </c>
      <c r="AP337" s="28">
        <f t="shared" si="84"/>
        <v>0.10630619125495884</v>
      </c>
      <c r="AQ337" s="28">
        <f t="shared" ref="L337:AW344" si="85">AQ1406</f>
        <v>0.10820949220647513</v>
      </c>
      <c r="AR337" s="28">
        <f t="shared" si="85"/>
        <v>0.1102718857365395</v>
      </c>
      <c r="AS337" s="28">
        <f t="shared" si="85"/>
        <v>0.11236419871638305</v>
      </c>
      <c r="AT337" s="28">
        <f t="shared" si="85"/>
        <v>0.11285341191302209</v>
      </c>
      <c r="AU337" s="28">
        <f t="shared" si="85"/>
        <v>0.11320803870706722</v>
      </c>
      <c r="AV337" s="28">
        <f t="shared" si="85"/>
        <v>0.11374041293999027</v>
      </c>
      <c r="AW337" s="28">
        <f t="shared" si="85"/>
        <v>0.11415609153278124</v>
      </c>
      <c r="AY337" s="85"/>
    </row>
    <row r="338" spans="1:51" x14ac:dyDescent="0.25">
      <c r="A338" s="102" t="str">
        <f t="shared" si="71"/>
        <v>GS Poultry MMCH4</v>
      </c>
      <c r="B338" s="102" t="s">
        <v>1022</v>
      </c>
      <c r="C338" s="102" t="s">
        <v>1232</v>
      </c>
      <c r="D338" t="s">
        <v>15</v>
      </c>
      <c r="E338" t="s">
        <v>22</v>
      </c>
      <c r="F338" t="s">
        <v>28</v>
      </c>
      <c r="G338" t="s">
        <v>131</v>
      </c>
      <c r="H338" t="s">
        <v>1228</v>
      </c>
      <c r="I338" t="s">
        <v>121</v>
      </c>
      <c r="J338" t="s">
        <v>286</v>
      </c>
      <c r="K338" s="28">
        <f t="shared" si="83"/>
        <v>0.55747442882718667</v>
      </c>
      <c r="L338" s="28">
        <f t="shared" si="85"/>
        <v>0.57000466235661118</v>
      </c>
      <c r="M338" s="28">
        <f t="shared" si="85"/>
        <v>0.58133812133078289</v>
      </c>
      <c r="N338" s="28">
        <f t="shared" si="85"/>
        <v>0.58718909348293968</v>
      </c>
      <c r="O338" s="28">
        <f t="shared" si="85"/>
        <v>0.59320136752099994</v>
      </c>
      <c r="P338" s="28">
        <f t="shared" si="85"/>
        <v>0.60517178839490071</v>
      </c>
      <c r="Q338" s="28">
        <f t="shared" si="85"/>
        <v>0.61540759790167998</v>
      </c>
      <c r="R338" s="28">
        <f t="shared" si="85"/>
        <v>0.61929285714109983</v>
      </c>
      <c r="S338" s="28">
        <f t="shared" si="85"/>
        <v>0.59469792033381752</v>
      </c>
      <c r="T338" s="28">
        <f t="shared" si="85"/>
        <v>0.6123961678050206</v>
      </c>
      <c r="U338" s="28">
        <f t="shared" si="85"/>
        <v>0.62670000214524924</v>
      </c>
      <c r="V338" s="28">
        <f t="shared" si="85"/>
        <v>0.64033072034628857</v>
      </c>
      <c r="W338" s="28">
        <f t="shared" si="85"/>
        <v>0.65546604439463374</v>
      </c>
      <c r="X338" s="28">
        <f t="shared" si="85"/>
        <v>0.67555681395741984</v>
      </c>
      <c r="Y338" s="28">
        <f t="shared" si="85"/>
        <v>0.69665833659280063</v>
      </c>
      <c r="Z338" s="28">
        <f t="shared" si="85"/>
        <v>0.7192776675745407</v>
      </c>
      <c r="AA338" s="28">
        <f t="shared" si="85"/>
        <v>0.74020059701318874</v>
      </c>
      <c r="AB338" s="28">
        <f t="shared" si="85"/>
        <v>0.7636741686553643</v>
      </c>
      <c r="AC338" s="28">
        <f t="shared" si="85"/>
        <v>0.79029892011866243</v>
      </c>
      <c r="AD338" s="28">
        <f t="shared" si="85"/>
        <v>0.81639549054517768</v>
      </c>
      <c r="AE338" s="28">
        <f t="shared" si="85"/>
        <v>0.84372718721281392</v>
      </c>
      <c r="AF338" s="28">
        <f t="shared" si="85"/>
        <v>0.87185215188264154</v>
      </c>
      <c r="AG338" s="28">
        <f t="shared" si="85"/>
        <v>0.90282405951998446</v>
      </c>
      <c r="AH338" s="28">
        <f t="shared" si="85"/>
        <v>0.93129930364506475</v>
      </c>
      <c r="AI338" s="28">
        <f t="shared" si="85"/>
        <v>0.96108950462978437</v>
      </c>
      <c r="AJ338" s="28">
        <f t="shared" si="85"/>
        <v>0.99164854163197635</v>
      </c>
      <c r="AK338" s="28">
        <f t="shared" si="85"/>
        <v>1.0214996622641284</v>
      </c>
      <c r="AL338" s="28">
        <f t="shared" si="85"/>
        <v>1.0516345292230644</v>
      </c>
      <c r="AM338" s="28">
        <f t="shared" si="85"/>
        <v>1.0829748845958596</v>
      </c>
      <c r="AN338" s="28">
        <f t="shared" si="85"/>
        <v>1.1155704742631816</v>
      </c>
      <c r="AO338" s="28">
        <f t="shared" si="85"/>
        <v>1.1469836186626363</v>
      </c>
      <c r="AP338" s="28">
        <f t="shared" si="85"/>
        <v>1.1790678557525369</v>
      </c>
      <c r="AQ338" s="28">
        <f t="shared" si="85"/>
        <v>1.2118785602379014</v>
      </c>
      <c r="AR338" s="28">
        <f t="shared" si="85"/>
        <v>1.246786730113024</v>
      </c>
      <c r="AS338" s="28">
        <f t="shared" si="85"/>
        <v>1.2823996493212451</v>
      </c>
      <c r="AT338" s="28">
        <f t="shared" si="85"/>
        <v>1.3055397260898673</v>
      </c>
      <c r="AU338" s="28">
        <f t="shared" si="85"/>
        <v>1.3279825002684047</v>
      </c>
      <c r="AV338" s="28">
        <f t="shared" si="85"/>
        <v>1.3523851767933999</v>
      </c>
      <c r="AW338" s="28">
        <f t="shared" si="85"/>
        <v>1.3762491253290834</v>
      </c>
      <c r="AY338" s="85"/>
    </row>
    <row r="339" spans="1:51" x14ac:dyDescent="0.25">
      <c r="A339" s="102" t="str">
        <f t="shared" si="71"/>
        <v>GS Poultry MMCH4</v>
      </c>
      <c r="B339" s="102" t="s">
        <v>1022</v>
      </c>
      <c r="C339" s="102" t="s">
        <v>1232</v>
      </c>
      <c r="D339" t="s">
        <v>15</v>
      </c>
      <c r="E339" t="s">
        <v>22</v>
      </c>
      <c r="F339" t="s">
        <v>28</v>
      </c>
      <c r="G339" t="s">
        <v>132</v>
      </c>
      <c r="H339" t="s">
        <v>1228</v>
      </c>
      <c r="I339" t="s">
        <v>121</v>
      </c>
      <c r="J339" t="s">
        <v>286</v>
      </c>
      <c r="K339" s="28">
        <f t="shared" si="83"/>
        <v>2.2247786627421906</v>
      </c>
      <c r="L339" s="28">
        <f t="shared" si="85"/>
        <v>2.2660704090846675</v>
      </c>
      <c r="M339" s="28">
        <f t="shared" si="85"/>
        <v>2.2931151480493956</v>
      </c>
      <c r="N339" s="28">
        <f t="shared" si="85"/>
        <v>2.263369089113628</v>
      </c>
      <c r="O339" s="28">
        <f t="shared" si="85"/>
        <v>2.2345214699411633</v>
      </c>
      <c r="P339" s="28">
        <f t="shared" si="85"/>
        <v>2.2631068961220624</v>
      </c>
      <c r="Q339" s="28">
        <f t="shared" si="85"/>
        <v>2.2741216722530595</v>
      </c>
      <c r="R339" s="28">
        <f t="shared" si="85"/>
        <v>2.2236230251769533</v>
      </c>
      <c r="S339" s="28">
        <f t="shared" si="85"/>
        <v>1.9032751826814061</v>
      </c>
      <c r="T339" s="28">
        <f t="shared" si="85"/>
        <v>2.0050045794652438</v>
      </c>
      <c r="U339" s="28">
        <f t="shared" si="85"/>
        <v>2.0731097774643854</v>
      </c>
      <c r="V339" s="28">
        <f t="shared" si="85"/>
        <v>2.1336466102427849</v>
      </c>
      <c r="W339" s="28">
        <f t="shared" si="85"/>
        <v>2.2067504039451395</v>
      </c>
      <c r="X339" s="28">
        <f t="shared" si="85"/>
        <v>2.3234221592291906</v>
      </c>
      <c r="Y339" s="28">
        <f t="shared" si="85"/>
        <v>2.453906612866656</v>
      </c>
      <c r="Z339" s="28">
        <f t="shared" si="85"/>
        <v>2.5958043881375255</v>
      </c>
      <c r="AA339" s="28">
        <f t="shared" si="85"/>
        <v>2.7204030410253512</v>
      </c>
      <c r="AB339" s="28">
        <f t="shared" si="85"/>
        <v>2.8654695762209732</v>
      </c>
      <c r="AC339" s="28">
        <f t="shared" si="85"/>
        <v>3.0358111573505431</v>
      </c>
      <c r="AD339" s="28">
        <f t="shared" si="85"/>
        <v>3.2044547295521539</v>
      </c>
      <c r="AE339" s="28">
        <f t="shared" si="85"/>
        <v>3.3813518114103016</v>
      </c>
      <c r="AF339" s="28">
        <f t="shared" si="85"/>
        <v>3.5625886999419771</v>
      </c>
      <c r="AG339" s="28">
        <f t="shared" si="85"/>
        <v>3.7655312365602969</v>
      </c>
      <c r="AH339" s="28">
        <f t="shared" si="85"/>
        <v>3.9447479907962553</v>
      </c>
      <c r="AI339" s="28">
        <f t="shared" si="85"/>
        <v>4.137705183266208</v>
      </c>
      <c r="AJ339" s="28">
        <f t="shared" si="85"/>
        <v>4.3346785117208917</v>
      </c>
      <c r="AK339" s="28">
        <f t="shared" si="85"/>
        <v>4.5234159579201654</v>
      </c>
      <c r="AL339" s="28">
        <f t="shared" si="85"/>
        <v>4.7122444809677875</v>
      </c>
      <c r="AM339" s="28">
        <f t="shared" si="85"/>
        <v>4.9087124214298683</v>
      </c>
      <c r="AN339" s="28">
        <f t="shared" si="85"/>
        <v>5.1177627309781579</v>
      </c>
      <c r="AO339" s="28">
        <f t="shared" si="85"/>
        <v>5.3149689082675069</v>
      </c>
      <c r="AP339" s="28">
        <f t="shared" si="85"/>
        <v>5.5154282999919104</v>
      </c>
      <c r="AQ339" s="28">
        <f t="shared" si="85"/>
        <v>5.7195487127572893</v>
      </c>
      <c r="AR339" s="28">
        <f t="shared" si="85"/>
        <v>5.93816190134776</v>
      </c>
      <c r="AS339" s="28">
        <f t="shared" si="85"/>
        <v>6.1647117891186287</v>
      </c>
      <c r="AT339" s="28">
        <f t="shared" si="85"/>
        <v>6.2911645282791966</v>
      </c>
      <c r="AU339" s="28">
        <f t="shared" si="85"/>
        <v>6.4110178863707459</v>
      </c>
      <c r="AV339" s="28">
        <f t="shared" si="85"/>
        <v>6.5450035893341036</v>
      </c>
      <c r="AW339" s="28">
        <f t="shared" si="85"/>
        <v>6.6736178617827129</v>
      </c>
      <c r="AY339" s="85"/>
    </row>
    <row r="340" spans="1:51" x14ac:dyDescent="0.25">
      <c r="A340" s="102" t="str">
        <f t="shared" si="71"/>
        <v>GS Poultry MMCH4</v>
      </c>
      <c r="B340" s="102" t="s">
        <v>1022</v>
      </c>
      <c r="C340" s="102" t="s">
        <v>1232</v>
      </c>
      <c r="D340" t="s">
        <v>15</v>
      </c>
      <c r="E340" t="s">
        <v>22</v>
      </c>
      <c r="F340" t="s">
        <v>28</v>
      </c>
      <c r="G340" t="s">
        <v>134</v>
      </c>
      <c r="H340" t="s">
        <v>1228</v>
      </c>
      <c r="I340" t="s">
        <v>121</v>
      </c>
      <c r="J340" t="s">
        <v>286</v>
      </c>
      <c r="K340" s="28">
        <f t="shared" si="83"/>
        <v>2.3228101201132799E-2</v>
      </c>
      <c r="L340" s="28">
        <f t="shared" si="85"/>
        <v>2.3750194264858821E-2</v>
      </c>
      <c r="M340" s="28">
        <f t="shared" si="85"/>
        <v>2.4222421722115972E-2</v>
      </c>
      <c r="N340" s="28">
        <f t="shared" si="85"/>
        <v>2.4466212228455842E-2</v>
      </c>
      <c r="O340" s="28">
        <f t="shared" si="85"/>
        <v>2.4716723646708353E-2</v>
      </c>
      <c r="P340" s="28">
        <f t="shared" si="85"/>
        <v>2.5215491183120883E-2</v>
      </c>
      <c r="Q340" s="28">
        <f t="shared" si="85"/>
        <v>2.564198324590336E-2</v>
      </c>
      <c r="R340" s="28">
        <f t="shared" si="85"/>
        <v>2.5803869047545849E-2</v>
      </c>
      <c r="S340" s="28">
        <f t="shared" si="85"/>
        <v>2.4779080013909088E-2</v>
      </c>
      <c r="T340" s="28">
        <f t="shared" si="85"/>
        <v>2.5516506991875881E-2</v>
      </c>
      <c r="U340" s="28">
        <f t="shared" si="85"/>
        <v>2.6112500089385413E-2</v>
      </c>
      <c r="V340" s="28">
        <f t="shared" si="85"/>
        <v>2.6680446681095382E-2</v>
      </c>
      <c r="W340" s="28">
        <f t="shared" si="85"/>
        <v>2.7311085183109759E-2</v>
      </c>
      <c r="X340" s="28">
        <f t="shared" si="85"/>
        <v>2.8148200581559191E-2</v>
      </c>
      <c r="Y340" s="28">
        <f t="shared" si="85"/>
        <v>2.9027430691366724E-2</v>
      </c>
      <c r="Z340" s="28">
        <f t="shared" si="85"/>
        <v>2.9969902815605892E-2</v>
      </c>
      <c r="AA340" s="28">
        <f t="shared" si="85"/>
        <v>3.0841691542216221E-2</v>
      </c>
      <c r="AB340" s="28">
        <f t="shared" si="85"/>
        <v>3.1819757027306869E-2</v>
      </c>
      <c r="AC340" s="28">
        <f t="shared" si="85"/>
        <v>3.292912167161096E-2</v>
      </c>
      <c r="AD340" s="28">
        <f t="shared" si="85"/>
        <v>3.4016478772715769E-2</v>
      </c>
      <c r="AE340" s="28">
        <f t="shared" si="85"/>
        <v>3.5155299467200612E-2</v>
      </c>
      <c r="AF340" s="28">
        <f t="shared" si="85"/>
        <v>3.6327172995110089E-2</v>
      </c>
      <c r="AG340" s="28">
        <f t="shared" si="85"/>
        <v>3.7617669146666054E-2</v>
      </c>
      <c r="AH340" s="28">
        <f t="shared" si="85"/>
        <v>3.8804137651877735E-2</v>
      </c>
      <c r="AI340" s="28">
        <f t="shared" si="85"/>
        <v>4.0045396026241048E-2</v>
      </c>
      <c r="AJ340" s="28">
        <f t="shared" si="85"/>
        <v>4.1318689234665709E-2</v>
      </c>
      <c r="AK340" s="28">
        <f t="shared" si="85"/>
        <v>4.2562485927672068E-2</v>
      </c>
      <c r="AL340" s="28">
        <f t="shared" si="85"/>
        <v>4.3818105384294391E-2</v>
      </c>
      <c r="AM340" s="28">
        <f t="shared" si="85"/>
        <v>4.5123953524827516E-2</v>
      </c>
      <c r="AN340" s="28">
        <f t="shared" si="85"/>
        <v>4.6482103094299274E-2</v>
      </c>
      <c r="AO340" s="28">
        <f t="shared" si="85"/>
        <v>4.7790984110943228E-2</v>
      </c>
      <c r="AP340" s="28">
        <f t="shared" si="85"/>
        <v>4.912782732302242E-2</v>
      </c>
      <c r="AQ340" s="28">
        <f t="shared" si="85"/>
        <v>5.0494940009912614E-2</v>
      </c>
      <c r="AR340" s="28">
        <f t="shared" si="85"/>
        <v>5.1949447088042722E-2</v>
      </c>
      <c r="AS340" s="28">
        <f t="shared" si="85"/>
        <v>5.3433318721718588E-2</v>
      </c>
      <c r="AT340" s="28">
        <f t="shared" si="85"/>
        <v>5.4397488587077859E-2</v>
      </c>
      <c r="AU340" s="28">
        <f t="shared" si="85"/>
        <v>5.5332604177850256E-2</v>
      </c>
      <c r="AV340" s="28">
        <f t="shared" si="85"/>
        <v>5.6349382366391719E-2</v>
      </c>
      <c r="AW340" s="28">
        <f t="shared" si="85"/>
        <v>5.7343713555378532E-2</v>
      </c>
      <c r="AY340" s="85"/>
    </row>
    <row r="341" spans="1:51" x14ac:dyDescent="0.25">
      <c r="A341" s="102" t="str">
        <f t="shared" si="71"/>
        <v>GS Poultry MMCH4</v>
      </c>
      <c r="B341" s="102" t="s">
        <v>1022</v>
      </c>
      <c r="C341" s="102" t="s">
        <v>1232</v>
      </c>
      <c r="D341" t="s">
        <v>15</v>
      </c>
      <c r="E341" t="s">
        <v>22</v>
      </c>
      <c r="F341" t="s">
        <v>28</v>
      </c>
      <c r="G341" t="s">
        <v>133</v>
      </c>
      <c r="H341" t="s">
        <v>1228</v>
      </c>
      <c r="I341" t="s">
        <v>121</v>
      </c>
      <c r="J341" t="s">
        <v>286</v>
      </c>
      <c r="K341" s="28">
        <f t="shared" si="83"/>
        <v>9.2699110947591354E-2</v>
      </c>
      <c r="L341" s="28">
        <f t="shared" si="85"/>
        <v>9.4419600378527896E-2</v>
      </c>
      <c r="M341" s="28">
        <f t="shared" si="85"/>
        <v>9.554646450205824E-2</v>
      </c>
      <c r="N341" s="28">
        <f t="shared" si="85"/>
        <v>9.4307045379734583E-2</v>
      </c>
      <c r="O341" s="28">
        <f t="shared" si="85"/>
        <v>9.3105061247548568E-2</v>
      </c>
      <c r="P341" s="28">
        <f t="shared" si="85"/>
        <v>9.4296120671752692E-2</v>
      </c>
      <c r="Q341" s="28">
        <f t="shared" si="85"/>
        <v>9.4755069677210882E-2</v>
      </c>
      <c r="R341" s="28">
        <f t="shared" si="85"/>
        <v>9.2650959382373138E-2</v>
      </c>
      <c r="S341" s="28">
        <f t="shared" si="85"/>
        <v>7.9303132611725335E-2</v>
      </c>
      <c r="T341" s="28">
        <f t="shared" si="85"/>
        <v>8.354185747771857E-2</v>
      </c>
      <c r="U341" s="28">
        <f t="shared" si="85"/>
        <v>8.6379574061016151E-2</v>
      </c>
      <c r="V341" s="28">
        <f t="shared" si="85"/>
        <v>8.8901942093449454E-2</v>
      </c>
      <c r="W341" s="28">
        <f t="shared" si="85"/>
        <v>9.1947933497714227E-2</v>
      </c>
      <c r="X341" s="28">
        <f t="shared" si="85"/>
        <v>9.6809256634549701E-2</v>
      </c>
      <c r="Y341" s="28">
        <f t="shared" si="85"/>
        <v>0.10224610886944407</v>
      </c>
      <c r="Z341" s="28">
        <f t="shared" si="85"/>
        <v>0.108158516172397</v>
      </c>
      <c r="AA341" s="28">
        <f t="shared" si="85"/>
        <v>0.11335012670938974</v>
      </c>
      <c r="AB341" s="28">
        <f t="shared" si="85"/>
        <v>0.11939456567587402</v>
      </c>
      <c r="AC341" s="28">
        <f t="shared" si="85"/>
        <v>0.12649213155627276</v>
      </c>
      <c r="AD341" s="28">
        <f t="shared" si="85"/>
        <v>0.13351894706467321</v>
      </c>
      <c r="AE341" s="28">
        <f t="shared" si="85"/>
        <v>0.14088965880876272</v>
      </c>
      <c r="AF341" s="28">
        <f t="shared" si="85"/>
        <v>0.14844119583091583</v>
      </c>
      <c r="AG341" s="28">
        <f t="shared" si="85"/>
        <v>0.15689713485667917</v>
      </c>
      <c r="AH341" s="28">
        <f t="shared" si="85"/>
        <v>0.16436449961651078</v>
      </c>
      <c r="AI341" s="28">
        <f t="shared" si="85"/>
        <v>0.1724043826360922</v>
      </c>
      <c r="AJ341" s="28">
        <f t="shared" si="85"/>
        <v>0.18061160465503734</v>
      </c>
      <c r="AK341" s="28">
        <f t="shared" si="85"/>
        <v>0.18847566491334045</v>
      </c>
      <c r="AL341" s="28">
        <f t="shared" si="85"/>
        <v>0.19634352004032468</v>
      </c>
      <c r="AM341" s="28">
        <f t="shared" si="85"/>
        <v>0.20452968422624468</v>
      </c>
      <c r="AN341" s="28">
        <f t="shared" si="85"/>
        <v>0.21324011379075677</v>
      </c>
      <c r="AO341" s="28">
        <f t="shared" si="85"/>
        <v>0.22145703784447965</v>
      </c>
      <c r="AP341" s="28">
        <f t="shared" si="85"/>
        <v>0.22980951249966317</v>
      </c>
      <c r="AQ341" s="28">
        <f t="shared" si="85"/>
        <v>0.23831452969822062</v>
      </c>
      <c r="AR341" s="28">
        <f t="shared" si="85"/>
        <v>0.24742341255615688</v>
      </c>
      <c r="AS341" s="28">
        <f t="shared" si="85"/>
        <v>0.25686299121327644</v>
      </c>
      <c r="AT341" s="28">
        <f t="shared" si="85"/>
        <v>0.26213185534496675</v>
      </c>
      <c r="AU341" s="28">
        <f t="shared" si="85"/>
        <v>0.26712574526544797</v>
      </c>
      <c r="AV341" s="28">
        <f t="shared" si="85"/>
        <v>0.27270848288892124</v>
      </c>
      <c r="AW341" s="28">
        <f t="shared" si="85"/>
        <v>0.27806741090761328</v>
      </c>
      <c r="AY341" s="85"/>
    </row>
    <row r="342" spans="1:51" x14ac:dyDescent="0.25">
      <c r="A342" s="102" t="str">
        <f t="shared" si="71"/>
        <v>GS Cattle MMN2O</v>
      </c>
      <c r="B342" s="102" t="s">
        <v>1022</v>
      </c>
      <c r="C342" s="102" t="s">
        <v>1233</v>
      </c>
      <c r="D342" t="s">
        <v>15</v>
      </c>
      <c r="E342" t="s">
        <v>657</v>
      </c>
      <c r="F342" t="s">
        <v>6</v>
      </c>
      <c r="G342" t="s">
        <v>136</v>
      </c>
      <c r="H342" t="s">
        <v>1228</v>
      </c>
      <c r="I342" t="s">
        <v>139</v>
      </c>
      <c r="J342" t="s">
        <v>287</v>
      </c>
      <c r="K342" s="28">
        <f t="shared" si="83"/>
        <v>5.9534544879771355E-2</v>
      </c>
      <c r="L342" s="28">
        <f t="shared" si="85"/>
        <v>5.9936525469365599E-2</v>
      </c>
      <c r="M342" s="28">
        <f t="shared" si="85"/>
        <v>6.0288156660896548E-2</v>
      </c>
      <c r="N342" s="28">
        <f t="shared" si="85"/>
        <v>6.0333640892584528E-2</v>
      </c>
      <c r="O342" s="28">
        <f t="shared" si="85"/>
        <v>6.0411983022035293E-2</v>
      </c>
      <c r="P342" s="28">
        <f t="shared" si="85"/>
        <v>6.086149571042291E-2</v>
      </c>
      <c r="Q342" s="28">
        <f t="shared" si="85"/>
        <v>6.1220941265471868E-2</v>
      </c>
      <c r="R342" s="28">
        <f t="shared" si="85"/>
        <v>6.1224092905712291E-2</v>
      </c>
      <c r="S342" s="28">
        <f t="shared" si="85"/>
        <v>5.9602036939561669E-2</v>
      </c>
      <c r="T342" s="28">
        <f t="shared" si="85"/>
        <v>6.0385643196681223E-2</v>
      </c>
      <c r="U342" s="28">
        <f t="shared" si="85"/>
        <v>6.0978819669853017E-2</v>
      </c>
      <c r="V342" s="28">
        <f t="shared" si="85"/>
        <v>6.1538467635372317E-2</v>
      </c>
      <c r="W342" s="28">
        <f t="shared" si="85"/>
        <v>6.2187395948101611E-2</v>
      </c>
      <c r="X342" s="28">
        <f t="shared" si="85"/>
        <v>6.3117211952635158E-2</v>
      </c>
      <c r="Y342" s="28">
        <f t="shared" si="85"/>
        <v>6.4085258604249157E-2</v>
      </c>
      <c r="Z342" s="28">
        <f t="shared" si="85"/>
        <v>6.5136775789421397E-2</v>
      </c>
      <c r="AA342" s="28">
        <f t="shared" si="85"/>
        <v>6.6093023202577678E-2</v>
      </c>
      <c r="AB342" s="28">
        <f t="shared" si="85"/>
        <v>6.7188649433805245E-2</v>
      </c>
      <c r="AC342" s="28">
        <f t="shared" si="85"/>
        <v>6.8454554232404832E-2</v>
      </c>
      <c r="AD342" s="28">
        <f t="shared" si="85"/>
        <v>6.9673307405983362E-2</v>
      </c>
      <c r="AE342" s="28">
        <f t="shared" si="85"/>
        <v>7.0955599019075E-2</v>
      </c>
      <c r="AF342" s="28">
        <f t="shared" si="85"/>
        <v>7.2276783381790194E-2</v>
      </c>
      <c r="AG342" s="28">
        <f t="shared" si="85"/>
        <v>7.3746887396473032E-2</v>
      </c>
      <c r="AH342" s="28">
        <f t="shared" si="85"/>
        <v>7.5077879884479282E-2</v>
      </c>
      <c r="AI342" s="28">
        <f t="shared" si="85"/>
        <v>7.6460929017735491E-2</v>
      </c>
      <c r="AJ342" s="28">
        <f t="shared" si="85"/>
        <v>7.7880128375373087E-2</v>
      </c>
      <c r="AK342" s="28">
        <f t="shared" si="85"/>
        <v>7.925690413110191E-2</v>
      </c>
      <c r="AL342" s="28">
        <f t="shared" si="85"/>
        <v>8.0644114608921846E-2</v>
      </c>
      <c r="AM342" s="28">
        <f t="shared" si="85"/>
        <v>8.2090170284588052E-2</v>
      </c>
      <c r="AN342" s="28">
        <f t="shared" si="85"/>
        <v>8.3584106491488411E-2</v>
      </c>
      <c r="AO342" s="28">
        <f t="shared" si="85"/>
        <v>8.5010968574935772E-2</v>
      </c>
      <c r="AP342" s="28">
        <f t="shared" si="85"/>
        <v>8.6467971698133472E-2</v>
      </c>
      <c r="AQ342" s="28">
        <f t="shared" si="85"/>
        <v>8.7957741718516017E-2</v>
      </c>
      <c r="AR342" s="28">
        <f t="shared" si="85"/>
        <v>8.9550905410436282E-2</v>
      </c>
      <c r="AS342" s="28">
        <f t="shared" si="85"/>
        <v>9.1161603152246209E-2</v>
      </c>
      <c r="AT342" s="28">
        <f t="shared" si="85"/>
        <v>9.2125625118884502E-2</v>
      </c>
      <c r="AU342" s="28">
        <f t="shared" si="85"/>
        <v>9.3052192745030571E-2</v>
      </c>
      <c r="AV342" s="28">
        <f t="shared" si="85"/>
        <v>9.4077328885209005E-2</v>
      </c>
      <c r="AW342" s="28">
        <f t="shared" si="85"/>
        <v>9.5072920340837683E-2</v>
      </c>
      <c r="AY342" s="85"/>
    </row>
    <row r="343" spans="1:51" x14ac:dyDescent="0.25">
      <c r="A343" s="102" t="str">
        <f t="shared" si="71"/>
        <v>GS Cattle MMN2O</v>
      </c>
      <c r="B343" s="102" t="s">
        <v>1022</v>
      </c>
      <c r="C343" s="102" t="s">
        <v>1233</v>
      </c>
      <c r="D343" t="s">
        <v>15</v>
      </c>
      <c r="E343" t="s">
        <v>657</v>
      </c>
      <c r="F343" t="s">
        <v>6</v>
      </c>
      <c r="G343" t="s">
        <v>137</v>
      </c>
      <c r="H343" t="s">
        <v>1228</v>
      </c>
      <c r="I343" t="s">
        <v>139</v>
      </c>
      <c r="J343" t="s">
        <v>287</v>
      </c>
      <c r="K343" s="28">
        <f t="shared" si="83"/>
        <v>0.26067987133037912</v>
      </c>
      <c r="L343" s="28">
        <f t="shared" si="85"/>
        <v>0.2624399964574689</v>
      </c>
      <c r="M343" s="28">
        <f t="shared" si="85"/>
        <v>0.26397966009224005</v>
      </c>
      <c r="N343" s="28">
        <f t="shared" si="85"/>
        <v>0.26417881881072747</v>
      </c>
      <c r="O343" s="28">
        <f t="shared" si="85"/>
        <v>0.26452185017623492</v>
      </c>
      <c r="P343" s="28">
        <f t="shared" si="85"/>
        <v>0.26649010087852709</v>
      </c>
      <c r="Q343" s="28">
        <f t="shared" si="85"/>
        <v>0.26806398073650983</v>
      </c>
      <c r="R343" s="28">
        <f t="shared" si="85"/>
        <v>0.26807778060974324</v>
      </c>
      <c r="S343" s="28">
        <f t="shared" si="85"/>
        <v>0.26097539423220861</v>
      </c>
      <c r="T343" s="28">
        <f t="shared" si="85"/>
        <v>0.26440651777051938</v>
      </c>
      <c r="U343" s="28">
        <f t="shared" si="85"/>
        <v>0.26700381933744832</v>
      </c>
      <c r="V343" s="28">
        <f t="shared" si="85"/>
        <v>0.26945431190334429</v>
      </c>
      <c r="W343" s="28">
        <f t="shared" si="85"/>
        <v>0.27229573026652365</v>
      </c>
      <c r="X343" s="28">
        <f t="shared" si="85"/>
        <v>0.27636705250325572</v>
      </c>
      <c r="Y343" s="28">
        <f t="shared" si="85"/>
        <v>0.28060577267982134</v>
      </c>
      <c r="Z343" s="28">
        <f t="shared" si="85"/>
        <v>0.28520997961691874</v>
      </c>
      <c r="AA343" s="28">
        <f t="shared" si="85"/>
        <v>0.2893970352688095</v>
      </c>
      <c r="AB343" s="28">
        <f t="shared" si="85"/>
        <v>0.29419437949239208</v>
      </c>
      <c r="AC343" s="28">
        <f t="shared" si="85"/>
        <v>0.2997373109229064</v>
      </c>
      <c r="AD343" s="28">
        <f t="shared" si="85"/>
        <v>0.3050737827329042</v>
      </c>
      <c r="AE343" s="28">
        <f t="shared" si="85"/>
        <v>0.31068846599593736</v>
      </c>
      <c r="AF343" s="28">
        <f t="shared" si="85"/>
        <v>0.31647344630227597</v>
      </c>
      <c r="AG343" s="28">
        <f t="shared" si="85"/>
        <v>0.32291049098219599</v>
      </c>
      <c r="AH343" s="28">
        <f t="shared" si="85"/>
        <v>0.32873841746111437</v>
      </c>
      <c r="AI343" s="28">
        <f t="shared" si="85"/>
        <v>0.33479428083974455</v>
      </c>
      <c r="AJ343" s="28">
        <f t="shared" si="85"/>
        <v>0.34100843275252468</v>
      </c>
      <c r="AK343" s="28">
        <f t="shared" si="85"/>
        <v>0.34703682731872076</v>
      </c>
      <c r="AL343" s="28">
        <f t="shared" si="85"/>
        <v>0.35311091169438086</v>
      </c>
      <c r="AM343" s="28">
        <f t="shared" si="85"/>
        <v>0.35944265754429855</v>
      </c>
      <c r="AN343" s="28">
        <f t="shared" si="85"/>
        <v>0.3659840546269007</v>
      </c>
      <c r="AO343" s="28">
        <f t="shared" si="85"/>
        <v>0.3722317587971502</v>
      </c>
      <c r="AP343" s="28">
        <f t="shared" si="85"/>
        <v>0.37861143949262133</v>
      </c>
      <c r="AQ343" s="28">
        <f t="shared" si="85"/>
        <v>0.38513459437705777</v>
      </c>
      <c r="AR343" s="28">
        <f t="shared" si="85"/>
        <v>0.39211047211420524</v>
      </c>
      <c r="AS343" s="28">
        <f t="shared" si="85"/>
        <v>0.3991631250056496</v>
      </c>
      <c r="AT343" s="28">
        <f t="shared" si="85"/>
        <v>0.40338422256724893</v>
      </c>
      <c r="AU343" s="28">
        <f t="shared" si="85"/>
        <v>0.40744132134998817</v>
      </c>
      <c r="AV343" s="28">
        <f t="shared" si="85"/>
        <v>0.41193001539573099</v>
      </c>
      <c r="AW343" s="28">
        <f t="shared" si="85"/>
        <v>0.41628934413629709</v>
      </c>
      <c r="AY343" s="85"/>
    </row>
    <row r="344" spans="1:51" x14ac:dyDescent="0.25">
      <c r="A344" s="102" t="str">
        <f t="shared" si="71"/>
        <v>GS Cattle MMN2O</v>
      </c>
      <c r="B344" s="102" t="s">
        <v>1022</v>
      </c>
      <c r="C344" s="102" t="s">
        <v>1233</v>
      </c>
      <c r="D344" t="s">
        <v>15</v>
      </c>
      <c r="E344" t="s">
        <v>657</v>
      </c>
      <c r="F344" t="s">
        <v>67</v>
      </c>
      <c r="G344" t="s">
        <v>307</v>
      </c>
      <c r="H344" t="s">
        <v>1228</v>
      </c>
      <c r="I344" t="s">
        <v>139</v>
      </c>
      <c r="J344" t="s">
        <v>287</v>
      </c>
      <c r="K344" s="28">
        <f t="shared" si="83"/>
        <v>1.1598714945443948E-2</v>
      </c>
      <c r="L344" s="28">
        <f t="shared" si="85"/>
        <v>1.1677030119965246E-2</v>
      </c>
      <c r="M344" s="28">
        <f t="shared" si="85"/>
        <v>1.1745536059915416E-2</v>
      </c>
      <c r="N344" s="28">
        <f t="shared" si="85"/>
        <v>1.1754397446845087E-2</v>
      </c>
      <c r="O344" s="28">
        <f t="shared" si="85"/>
        <v>1.1769660316991377E-2</v>
      </c>
      <c r="P344" s="28">
        <f t="shared" si="85"/>
        <v>1.1857235850616387E-2</v>
      </c>
      <c r="Q344" s="28">
        <f t="shared" si="85"/>
        <v>1.1927264210450818E-2</v>
      </c>
      <c r="R344" s="28">
        <f t="shared" si="85"/>
        <v>1.1927878223320707E-2</v>
      </c>
      <c r="S344" s="28">
        <f t="shared" si="85"/>
        <v>1.1611863969496622E-2</v>
      </c>
      <c r="T344" s="28">
        <f t="shared" si="85"/>
        <v>1.1764528705981136E-2</v>
      </c>
      <c r="U344" s="28">
        <f t="shared" si="85"/>
        <v>1.1880093288503061E-2</v>
      </c>
      <c r="V344" s="28">
        <f t="shared" si="85"/>
        <v>1.1989125737394114E-2</v>
      </c>
      <c r="W344" s="28">
        <f t="shared" si="85"/>
        <v>1.2115552075826281E-2</v>
      </c>
      <c r="X344" s="28">
        <f t="shared" si="85"/>
        <v>1.2296701873982557E-2</v>
      </c>
      <c r="Y344" s="28">
        <f t="shared" si="85"/>
        <v>1.2485299891967528E-2</v>
      </c>
      <c r="Z344" s="28">
        <f t="shared" si="85"/>
        <v>1.2690159912577046E-2</v>
      </c>
      <c r="AA344" s="28">
        <f t="shared" si="85"/>
        <v>1.2876459164295801E-2</v>
      </c>
      <c r="AB344" s="28">
        <f t="shared" si="85"/>
        <v>1.3089912653667775E-2</v>
      </c>
      <c r="AC344" s="28">
        <f t="shared" si="85"/>
        <v>1.3336540371015372E-2</v>
      </c>
      <c r="AD344" s="28">
        <f t="shared" si="85"/>
        <v>1.3573981854405228E-2</v>
      </c>
      <c r="AE344" s="28">
        <f t="shared" si="85"/>
        <v>1.3823802104601461E-2</v>
      </c>
      <c r="AF344" s="28">
        <f t="shared" ref="L344:AW351" si="86">AF1413</f>
        <v>1.4081199567611519E-2</v>
      </c>
      <c r="AG344" s="28">
        <f t="shared" si="86"/>
        <v>1.4367610044770513E-2</v>
      </c>
      <c r="AH344" s="28">
        <f t="shared" si="86"/>
        <v>1.4626918358860899E-2</v>
      </c>
      <c r="AI344" s="28">
        <f t="shared" si="86"/>
        <v>1.4896368519008723E-2</v>
      </c>
      <c r="AJ344" s="28">
        <f t="shared" si="86"/>
        <v>1.5172861584223856E-2</v>
      </c>
      <c r="AK344" s="28">
        <f t="shared" si="86"/>
        <v>1.5441089544423183E-2</v>
      </c>
      <c r="AL344" s="28">
        <f t="shared" si="86"/>
        <v>1.5711350431342863E-2</v>
      </c>
      <c r="AM344" s="28">
        <f t="shared" si="86"/>
        <v>1.5993075732362048E-2</v>
      </c>
      <c r="AN344" s="28">
        <f t="shared" si="86"/>
        <v>1.6284129275233806E-2</v>
      </c>
      <c r="AO344" s="28">
        <f t="shared" si="86"/>
        <v>1.6562115217778419E-2</v>
      </c>
      <c r="AP344" s="28">
        <f t="shared" si="86"/>
        <v>1.6845973336366879E-2</v>
      </c>
      <c r="AQ344" s="28">
        <f t="shared" si="86"/>
        <v>1.7136215209141423E-2</v>
      </c>
      <c r="AR344" s="28">
        <f t="shared" si="86"/>
        <v>1.7446600575508658E-2</v>
      </c>
      <c r="AS344" s="28">
        <f t="shared" si="86"/>
        <v>1.7760401982880657E-2</v>
      </c>
      <c r="AT344" s="28">
        <f t="shared" si="86"/>
        <v>1.7948215898562121E-2</v>
      </c>
      <c r="AU344" s="28">
        <f t="shared" si="86"/>
        <v>1.8128732837005983E-2</v>
      </c>
      <c r="AV344" s="28">
        <f t="shared" si="86"/>
        <v>1.8328453216060109E-2</v>
      </c>
      <c r="AW344" s="28">
        <f t="shared" si="86"/>
        <v>1.852241760294299E-2</v>
      </c>
      <c r="AY344" s="85"/>
    </row>
    <row r="345" spans="1:51" x14ac:dyDescent="0.25">
      <c r="A345" s="102" t="str">
        <f t="shared" si="71"/>
        <v>GS Cattle MMN2O</v>
      </c>
      <c r="B345" s="102" t="s">
        <v>1022</v>
      </c>
      <c r="C345" s="102" t="s">
        <v>1233</v>
      </c>
      <c r="D345" t="s">
        <v>15</v>
      </c>
      <c r="E345" t="s">
        <v>657</v>
      </c>
      <c r="F345" t="s">
        <v>67</v>
      </c>
      <c r="G345" t="s">
        <v>122</v>
      </c>
      <c r="H345" t="s">
        <v>1228</v>
      </c>
      <c r="I345" t="s">
        <v>139</v>
      </c>
      <c r="J345" t="s">
        <v>287</v>
      </c>
      <c r="K345" s="28">
        <f t="shared" si="83"/>
        <v>0.52784381686908488</v>
      </c>
      <c r="L345" s="28">
        <f t="shared" si="86"/>
        <v>0.52515644938547934</v>
      </c>
      <c r="M345" s="28">
        <f t="shared" si="86"/>
        <v>0.52025151153580673</v>
      </c>
      <c r="N345" s="28">
        <f t="shared" si="86"/>
        <v>0.50682531077398352</v>
      </c>
      <c r="O345" s="28">
        <f t="shared" si="86"/>
        <v>0.4939348964332157</v>
      </c>
      <c r="P345" s="28">
        <f t="shared" si="86"/>
        <v>0.48971543421207564</v>
      </c>
      <c r="Q345" s="28">
        <f t="shared" si="86"/>
        <v>0.48290055380478719</v>
      </c>
      <c r="R345" s="28">
        <f t="shared" si="86"/>
        <v>0.46758884489133185</v>
      </c>
      <c r="S345" s="28">
        <f t="shared" si="86"/>
        <v>0.41621648904191116</v>
      </c>
      <c r="T345" s="28">
        <f t="shared" si="86"/>
        <v>0.42638667208573666</v>
      </c>
      <c r="U345" s="28">
        <f t="shared" si="86"/>
        <v>0.43187985525495859</v>
      </c>
      <c r="V345" s="28">
        <f t="shared" si="86"/>
        <v>0.4362459859607159</v>
      </c>
      <c r="W345" s="28">
        <f t="shared" si="86"/>
        <v>0.44211378477911739</v>
      </c>
      <c r="X345" s="28">
        <f t="shared" si="86"/>
        <v>0.45337915493608988</v>
      </c>
      <c r="Y345" s="28">
        <f t="shared" si="86"/>
        <v>0.46570884205291363</v>
      </c>
      <c r="Z345" s="28">
        <f t="shared" si="86"/>
        <v>0.47914332985830105</v>
      </c>
      <c r="AA345" s="28">
        <f t="shared" si="86"/>
        <v>0.49009752442785343</v>
      </c>
      <c r="AB345" s="28">
        <f t="shared" si="86"/>
        <v>0.50324660614266314</v>
      </c>
      <c r="AC345" s="28">
        <f t="shared" si="86"/>
        <v>0.51908497467197146</v>
      </c>
      <c r="AD345" s="28">
        <f t="shared" si="86"/>
        <v>0.52951816182604061</v>
      </c>
      <c r="AE345" s="28">
        <f t="shared" si="86"/>
        <v>0.54017530186644991</v>
      </c>
      <c r="AF345" s="28">
        <f t="shared" si="86"/>
        <v>0.55055968982828007</v>
      </c>
      <c r="AG345" s="28">
        <f t="shared" si="86"/>
        <v>0.56257359948982233</v>
      </c>
      <c r="AH345" s="28">
        <f t="shared" si="86"/>
        <v>0.571134780275243</v>
      </c>
      <c r="AI345" s="28">
        <f t="shared" si="86"/>
        <v>0.58015385111091267</v>
      </c>
      <c r="AJ345" s="28">
        <f t="shared" si="86"/>
        <v>0.58878429113613517</v>
      </c>
      <c r="AK345" s="28">
        <f t="shared" si="86"/>
        <v>0.5957568629631379</v>
      </c>
      <c r="AL345" s="28">
        <f t="shared" si="86"/>
        <v>0.60196210030255271</v>
      </c>
      <c r="AM345" s="28">
        <f t="shared" si="86"/>
        <v>0.60813947691884929</v>
      </c>
      <c r="AN345" s="28">
        <f t="shared" si="86"/>
        <v>0.61764741655645328</v>
      </c>
      <c r="AO345" s="28">
        <f t="shared" si="86"/>
        <v>0.62539054666282456</v>
      </c>
      <c r="AP345" s="28">
        <f t="shared" si="86"/>
        <v>0.63282578397368294</v>
      </c>
      <c r="AQ345" s="28">
        <f t="shared" si="86"/>
        <v>0.6399775293303559</v>
      </c>
      <c r="AR345" s="28">
        <f t="shared" si="86"/>
        <v>0.64779293053044351</v>
      </c>
      <c r="AS345" s="28">
        <f t="shared" si="86"/>
        <v>0.6554480309562406</v>
      </c>
      <c r="AT345" s="28">
        <f t="shared" si="86"/>
        <v>0.65387085498126252</v>
      </c>
      <c r="AU345" s="28">
        <f t="shared" si="86"/>
        <v>0.65139607098171814</v>
      </c>
      <c r="AV345" s="28">
        <f t="shared" si="86"/>
        <v>0.64976027386415824</v>
      </c>
      <c r="AW345" s="28">
        <f t="shared" si="86"/>
        <v>0.64732609029644417</v>
      </c>
      <c r="AY345" s="85"/>
    </row>
    <row r="346" spans="1:51" x14ac:dyDescent="0.25">
      <c r="A346" s="102" t="str">
        <f t="shared" si="71"/>
        <v>GS Cattle MMN2O</v>
      </c>
      <c r="B346" s="102" t="s">
        <v>1022</v>
      </c>
      <c r="C346" s="102" t="s">
        <v>1233</v>
      </c>
      <c r="D346" t="s">
        <v>15</v>
      </c>
      <c r="E346" t="s">
        <v>657</v>
      </c>
      <c r="F346" t="s">
        <v>67</v>
      </c>
      <c r="G346" t="s">
        <v>123</v>
      </c>
      <c r="H346" t="s">
        <v>1228</v>
      </c>
      <c r="I346" t="s">
        <v>139</v>
      </c>
      <c r="J346" t="s">
        <v>287</v>
      </c>
      <c r="K346" s="28">
        <f t="shared" si="83"/>
        <v>0.80849535264982253</v>
      </c>
      <c r="L346" s="28">
        <f t="shared" si="86"/>
        <v>0.80437912725905281</v>
      </c>
      <c r="M346" s="28">
        <f t="shared" si="86"/>
        <v>0.79686626203308752</v>
      </c>
      <c r="N346" s="28">
        <f t="shared" si="86"/>
        <v>0.77630142718465789</v>
      </c>
      <c r="O346" s="28">
        <f t="shared" si="86"/>
        <v>0.75655725333024249</v>
      </c>
      <c r="P346" s="28">
        <f t="shared" si="86"/>
        <v>0.75009432720048652</v>
      </c>
      <c r="Q346" s="28">
        <f t="shared" si="86"/>
        <v>0.73965601389251134</v>
      </c>
      <c r="R346" s="28">
        <f t="shared" si="86"/>
        <v>0.71620315700184167</v>
      </c>
      <c r="S346" s="28">
        <f t="shared" si="86"/>
        <v>0.63751641362897982</v>
      </c>
      <c r="T346" s="28">
        <f t="shared" si="86"/>
        <v>0.65309402477786682</v>
      </c>
      <c r="U346" s="28">
        <f t="shared" si="86"/>
        <v>0.66150790199236797</v>
      </c>
      <c r="V346" s="28">
        <f t="shared" si="86"/>
        <v>0.66819547940040647</v>
      </c>
      <c r="W346" s="28">
        <f t="shared" si="86"/>
        <v>0.67718315326026413</v>
      </c>
      <c r="X346" s="28">
        <f t="shared" si="86"/>
        <v>0.69443825624094591</v>
      </c>
      <c r="Y346" s="28">
        <f t="shared" si="86"/>
        <v>0.7133235674163364</v>
      </c>
      <c r="Z346" s="28">
        <f t="shared" si="86"/>
        <v>0.73390109548195415</v>
      </c>
      <c r="AA346" s="28">
        <f t="shared" si="86"/>
        <v>0.75067957259671325</v>
      </c>
      <c r="AB346" s="28">
        <f t="shared" si="86"/>
        <v>0.7708199457872037</v>
      </c>
      <c r="AC346" s="28">
        <f t="shared" si="86"/>
        <v>0.79507948419660579</v>
      </c>
      <c r="AD346" s="28">
        <f t="shared" si="86"/>
        <v>0.81105993723558278</v>
      </c>
      <c r="AE346" s="28">
        <f t="shared" si="86"/>
        <v>0.82738341762854573</v>
      </c>
      <c r="AF346" s="28">
        <f t="shared" si="86"/>
        <v>0.84328912522412203</v>
      </c>
      <c r="AG346" s="28">
        <f t="shared" si="86"/>
        <v>0.86169076187892979</v>
      </c>
      <c r="AH346" s="28">
        <f t="shared" si="86"/>
        <v>0.8748038734793715</v>
      </c>
      <c r="AI346" s="28">
        <f t="shared" si="86"/>
        <v>0.88861833264858248</v>
      </c>
      <c r="AJ346" s="28">
        <f t="shared" si="86"/>
        <v>0.90183752823015395</v>
      </c>
      <c r="AK346" s="28">
        <f t="shared" si="86"/>
        <v>0.9125173765829987</v>
      </c>
      <c r="AL346" s="28">
        <f t="shared" si="86"/>
        <v>0.92202190309382137</v>
      </c>
      <c r="AM346" s="28">
        <f t="shared" si="86"/>
        <v>0.93148375549453255</v>
      </c>
      <c r="AN346" s="28">
        <f t="shared" si="86"/>
        <v>0.94604701220913134</v>
      </c>
      <c r="AO346" s="28">
        <f t="shared" si="86"/>
        <v>0.95790712026741442</v>
      </c>
      <c r="AP346" s="28">
        <f t="shared" si="86"/>
        <v>0.96929563069334712</v>
      </c>
      <c r="AQ346" s="28">
        <f t="shared" si="86"/>
        <v>0.98024991811590712</v>
      </c>
      <c r="AR346" s="28">
        <f t="shared" si="86"/>
        <v>0.99222072339471901</v>
      </c>
      <c r="AS346" s="28">
        <f t="shared" si="86"/>
        <v>1.0039459968951938</v>
      </c>
      <c r="AT346" s="28">
        <f t="shared" si="86"/>
        <v>1.0015302454828838</v>
      </c>
      <c r="AU346" s="28">
        <f t="shared" si="86"/>
        <v>0.99773963299771362</v>
      </c>
      <c r="AV346" s="28">
        <f t="shared" si="86"/>
        <v>0.99523409191688805</v>
      </c>
      <c r="AW346" s="28">
        <f t="shared" si="86"/>
        <v>0.99150566688073472</v>
      </c>
      <c r="AY346" s="85"/>
    </row>
    <row r="347" spans="1:51" x14ac:dyDescent="0.25">
      <c r="A347" s="102" t="str">
        <f t="shared" si="71"/>
        <v>GS Cattle MMN2O</v>
      </c>
      <c r="B347" s="102" t="s">
        <v>1022</v>
      </c>
      <c r="C347" s="102" t="s">
        <v>1233</v>
      </c>
      <c r="D347" t="s">
        <v>15</v>
      </c>
      <c r="E347" t="s">
        <v>657</v>
      </c>
      <c r="F347" t="s">
        <v>67</v>
      </c>
      <c r="G347" t="s">
        <v>135</v>
      </c>
      <c r="H347" t="s">
        <v>1228</v>
      </c>
      <c r="I347" t="s">
        <v>139</v>
      </c>
      <c r="J347" t="s">
        <v>287</v>
      </c>
      <c r="K347" s="28">
        <f t="shared" si="83"/>
        <v>0.98205986457809369</v>
      </c>
      <c r="L347" s="28">
        <f t="shared" si="86"/>
        <v>1.0186966250855221</v>
      </c>
      <c r="M347" s="28">
        <f t="shared" si="86"/>
        <v>1.0516100331905254</v>
      </c>
      <c r="N347" s="28">
        <f t="shared" si="86"/>
        <v>1.0670554052779846</v>
      </c>
      <c r="O347" s="28">
        <f t="shared" si="86"/>
        <v>1.0827371051777117</v>
      </c>
      <c r="P347" s="28">
        <f t="shared" si="86"/>
        <v>1.1173522594931429</v>
      </c>
      <c r="Q347" s="28">
        <f t="shared" si="86"/>
        <v>1.1465503025323129</v>
      </c>
      <c r="R347" s="28">
        <f t="shared" si="86"/>
        <v>1.1550738596088039</v>
      </c>
      <c r="S347" s="28">
        <f t="shared" si="86"/>
        <v>1.0695943528873249</v>
      </c>
      <c r="T347" s="28">
        <f t="shared" si="86"/>
        <v>1.1219950081899948</v>
      </c>
      <c r="U347" s="28">
        <f t="shared" si="86"/>
        <v>1.1633173415255618</v>
      </c>
      <c r="V347" s="28">
        <f t="shared" si="86"/>
        <v>1.2025059899255817</v>
      </c>
      <c r="W347" s="28">
        <f t="shared" si="86"/>
        <v>1.2467916832467774</v>
      </c>
      <c r="X347" s="28">
        <f t="shared" si="86"/>
        <v>1.3077319490194745</v>
      </c>
      <c r="Y347" s="28">
        <f t="shared" si="86"/>
        <v>1.3736346071286145</v>
      </c>
      <c r="Z347" s="28">
        <f t="shared" si="86"/>
        <v>1.444880911122689</v>
      </c>
      <c r="AA347" s="28">
        <f t="shared" si="86"/>
        <v>1.5106946759567434</v>
      </c>
      <c r="AB347" s="28">
        <f t="shared" si="86"/>
        <v>1.5853572340052999</v>
      </c>
      <c r="AC347" s="28">
        <f t="shared" si="86"/>
        <v>1.6709659686150751</v>
      </c>
      <c r="AD347" s="28">
        <f t="shared" si="86"/>
        <v>1.7608921819876218</v>
      </c>
      <c r="AE347" s="28">
        <f t="shared" si="86"/>
        <v>1.8558227828840355</v>
      </c>
      <c r="AF347" s="28">
        <f t="shared" si="86"/>
        <v>1.9543039033617708</v>
      </c>
      <c r="AG347" s="28">
        <f t="shared" si="86"/>
        <v>2.0634682331223644</v>
      </c>
      <c r="AH347" s="28">
        <f t="shared" si="86"/>
        <v>2.1649176431538755</v>
      </c>
      <c r="AI347" s="28">
        <f t="shared" si="86"/>
        <v>2.2729641706273069</v>
      </c>
      <c r="AJ347" s="28">
        <f t="shared" si="86"/>
        <v>2.3846427633469691</v>
      </c>
      <c r="AK347" s="28">
        <f t="shared" si="86"/>
        <v>2.4947887072389494</v>
      </c>
      <c r="AL347" s="28">
        <f t="shared" si="86"/>
        <v>2.6068756949224299</v>
      </c>
      <c r="AM347" s="28">
        <f t="shared" si="86"/>
        <v>2.7241988792314307</v>
      </c>
      <c r="AN347" s="28">
        <f t="shared" si="86"/>
        <v>2.844574694525166</v>
      </c>
      <c r="AO347" s="28">
        <f t="shared" si="86"/>
        <v>2.9614918045068643</v>
      </c>
      <c r="AP347" s="28">
        <f t="shared" si="86"/>
        <v>3.0815745118174522</v>
      </c>
      <c r="AQ347" s="28">
        <f t="shared" si="86"/>
        <v>3.2050489971777192</v>
      </c>
      <c r="AR347" s="28">
        <f t="shared" si="86"/>
        <v>3.3369151668424974</v>
      </c>
      <c r="AS347" s="28">
        <f t="shared" si="86"/>
        <v>3.4733559158161165</v>
      </c>
      <c r="AT347" s="28">
        <f t="shared" si="86"/>
        <v>3.5651160309626517</v>
      </c>
      <c r="AU347" s="28">
        <f t="shared" si="86"/>
        <v>3.6548683550042269</v>
      </c>
      <c r="AV347" s="28">
        <f t="shared" si="86"/>
        <v>3.7523616710832552</v>
      </c>
      <c r="AW347" s="28">
        <f t="shared" si="86"/>
        <v>3.8484469226935669</v>
      </c>
      <c r="AY347" s="85"/>
    </row>
    <row r="348" spans="1:51" x14ac:dyDescent="0.25">
      <c r="A348" s="102" t="str">
        <f t="shared" si="71"/>
        <v>GS Sheep MMN2O</v>
      </c>
      <c r="B348" s="102" t="s">
        <v>1022</v>
      </c>
      <c r="C348" s="102" t="s">
        <v>1329</v>
      </c>
      <c r="D348" t="s">
        <v>15</v>
      </c>
      <c r="E348" t="s">
        <v>657</v>
      </c>
      <c r="F348" t="s">
        <v>18</v>
      </c>
      <c r="G348" t="s">
        <v>122</v>
      </c>
      <c r="H348" t="s">
        <v>1228</v>
      </c>
      <c r="I348" t="s">
        <v>139</v>
      </c>
      <c r="J348" t="s">
        <v>287</v>
      </c>
      <c r="K348" s="28">
        <f t="shared" si="83"/>
        <v>0.11717139101759612</v>
      </c>
      <c r="L348" s="28">
        <f t="shared" si="86"/>
        <v>0.11723462618367245</v>
      </c>
      <c r="M348" s="28">
        <f t="shared" si="86"/>
        <v>0.11737999843906115</v>
      </c>
      <c r="N348" s="28">
        <f t="shared" si="86"/>
        <v>0.1175958170956644</v>
      </c>
      <c r="O348" s="28">
        <f t="shared" si="86"/>
        <v>0.1178871134646596</v>
      </c>
      <c r="P348" s="28">
        <f t="shared" si="86"/>
        <v>0.11825974180541671</v>
      </c>
      <c r="Q348" s="28">
        <f t="shared" si="86"/>
        <v>0.11867033947255794</v>
      </c>
      <c r="R348" s="28">
        <f t="shared" si="86"/>
        <v>0.11911252923744317</v>
      </c>
      <c r="S348" s="28">
        <f t="shared" si="86"/>
        <v>0.11955062486439895</v>
      </c>
      <c r="T348" s="28">
        <f t="shared" si="86"/>
        <v>0.11972991314052749</v>
      </c>
      <c r="U348" s="28">
        <f t="shared" si="86"/>
        <v>0.11993350054454542</v>
      </c>
      <c r="V348" s="28">
        <f t="shared" si="86"/>
        <v>0.12016374349275831</v>
      </c>
      <c r="W348" s="28">
        <f t="shared" si="86"/>
        <v>0.12042231214139444</v>
      </c>
      <c r="X348" s="28">
        <f t="shared" si="86"/>
        <v>0.12071286205990268</v>
      </c>
      <c r="Y348" s="28">
        <f t="shared" si="86"/>
        <v>0.12089554719264045</v>
      </c>
      <c r="Z348" s="28">
        <f t="shared" si="86"/>
        <v>0.12110125995232866</v>
      </c>
      <c r="AA348" s="28">
        <f t="shared" si="86"/>
        <v>0.12132427506998271</v>
      </c>
      <c r="AB348" s="28">
        <f t="shared" si="86"/>
        <v>0.12156982110770359</v>
      </c>
      <c r="AC348" s="28">
        <f t="shared" si="86"/>
        <v>0.12183786994920162</v>
      </c>
      <c r="AD348" s="28">
        <f t="shared" si="86"/>
        <v>0.12201528623614287</v>
      </c>
      <c r="AE348" s="28">
        <f t="shared" si="86"/>
        <v>0.12220996410772501</v>
      </c>
      <c r="AF348" s="28">
        <f t="shared" si="86"/>
        <v>0.1224205957767</v>
      </c>
      <c r="AG348" s="28">
        <f t="shared" si="86"/>
        <v>0.12264946134615734</v>
      </c>
      <c r="AH348" s="28">
        <f t="shared" si="86"/>
        <v>0.12288846185835746</v>
      </c>
      <c r="AI348" s="28">
        <f t="shared" si="86"/>
        <v>0.12304136792276418</v>
      </c>
      <c r="AJ348" s="28">
        <f t="shared" si="86"/>
        <v>0.12320724493915225</v>
      </c>
      <c r="AK348" s="28">
        <f t="shared" si="86"/>
        <v>0.12338358070705197</v>
      </c>
      <c r="AL348" s="28">
        <f t="shared" si="86"/>
        <v>0.12357134049580157</v>
      </c>
      <c r="AM348" s="28">
        <f t="shared" si="86"/>
        <v>0.12377140391233164</v>
      </c>
      <c r="AN348" s="28">
        <f t="shared" si="86"/>
        <v>0.1238893184922704</v>
      </c>
      <c r="AO348" s="28">
        <f t="shared" si="86"/>
        <v>0.12401495917055069</v>
      </c>
      <c r="AP348" s="28">
        <f t="shared" si="86"/>
        <v>0.12415054004629532</v>
      </c>
      <c r="AQ348" s="28">
        <f t="shared" si="86"/>
        <v>0.12429582194532131</v>
      </c>
      <c r="AR348" s="28">
        <f t="shared" si="86"/>
        <v>0.12445236467960287</v>
      </c>
      <c r="AS348" s="28">
        <f t="shared" si="86"/>
        <v>0.12452291839205781</v>
      </c>
      <c r="AT348" s="28">
        <f t="shared" si="86"/>
        <v>0.12458415812408247</v>
      </c>
      <c r="AU348" s="28">
        <f t="shared" si="86"/>
        <v>0.12465176490232828</v>
      </c>
      <c r="AV348" s="28">
        <f t="shared" si="86"/>
        <v>0.12472905780449089</v>
      </c>
      <c r="AW348" s="28">
        <f t="shared" si="86"/>
        <v>0.12481246580884831</v>
      </c>
      <c r="AY348" s="85"/>
    </row>
    <row r="349" spans="1:51" x14ac:dyDescent="0.25">
      <c r="A349" s="102" t="str">
        <f t="shared" si="71"/>
        <v>GS Sheep MMN2O</v>
      </c>
      <c r="B349" s="102" t="s">
        <v>1022</v>
      </c>
      <c r="C349" s="102" t="s">
        <v>1329</v>
      </c>
      <c r="D349" t="s">
        <v>15</v>
      </c>
      <c r="E349" t="s">
        <v>657</v>
      </c>
      <c r="F349" t="s">
        <v>18</v>
      </c>
      <c r="G349" t="s">
        <v>123</v>
      </c>
      <c r="H349" t="s">
        <v>1228</v>
      </c>
      <c r="I349" t="s">
        <v>139</v>
      </c>
      <c r="J349" t="s">
        <v>287</v>
      </c>
      <c r="K349" s="28">
        <f t="shared" si="83"/>
        <v>6.2656398763200921E-2</v>
      </c>
      <c r="L349" s="28">
        <f t="shared" si="86"/>
        <v>6.2690213227185057E-2</v>
      </c>
      <c r="M349" s="28">
        <f t="shared" si="86"/>
        <v>6.276794979686845E-2</v>
      </c>
      <c r="N349" s="28">
        <f t="shared" si="86"/>
        <v>6.2883356976822818E-2</v>
      </c>
      <c r="O349" s="28">
        <f t="shared" si="86"/>
        <v>6.303912521764958E-2</v>
      </c>
      <c r="P349" s="28">
        <f t="shared" si="86"/>
        <v>6.3238385034454531E-2</v>
      </c>
      <c r="Q349" s="28">
        <f t="shared" si="86"/>
        <v>6.3457948623656765E-2</v>
      </c>
      <c r="R349" s="28">
        <f t="shared" si="86"/>
        <v>6.3694405816808061E-2</v>
      </c>
      <c r="S349" s="28">
        <f t="shared" si="86"/>
        <v>6.3928673704733319E-2</v>
      </c>
      <c r="T349" s="28">
        <f t="shared" si="86"/>
        <v>6.4024546576303062E-2</v>
      </c>
      <c r="U349" s="28">
        <f t="shared" si="86"/>
        <v>6.4133413198594794E-2</v>
      </c>
      <c r="V349" s="28">
        <f t="shared" si="86"/>
        <v>6.4256533645065173E-2</v>
      </c>
      <c r="W349" s="28">
        <f t="shared" si="86"/>
        <v>6.4394801017466488E-2</v>
      </c>
      <c r="X349" s="28">
        <f t="shared" si="86"/>
        <v>6.4550170100282397E-2</v>
      </c>
      <c r="Y349" s="28">
        <f t="shared" si="86"/>
        <v>6.4647859411858508E-2</v>
      </c>
      <c r="Z349" s="28">
        <f t="shared" si="86"/>
        <v>6.4757862549909215E-2</v>
      </c>
      <c r="AA349" s="28">
        <f t="shared" si="86"/>
        <v>6.4877117975833593E-2</v>
      </c>
      <c r="AB349" s="28">
        <f t="shared" si="86"/>
        <v>6.5008421618476642E-2</v>
      </c>
      <c r="AC349" s="28">
        <f t="shared" si="86"/>
        <v>6.5151758442893073E-2</v>
      </c>
      <c r="AD349" s="28">
        <f t="shared" si="86"/>
        <v>6.5246630284262655E-2</v>
      </c>
      <c r="AE349" s="28">
        <f t="shared" si="86"/>
        <v>6.5350732610319262E-2</v>
      </c>
      <c r="AF349" s="28">
        <f t="shared" si="86"/>
        <v>6.5463366093022182E-2</v>
      </c>
      <c r="AG349" s="28">
        <f t="shared" si="86"/>
        <v>6.5585749997988649E-2</v>
      </c>
      <c r="AH349" s="28">
        <f t="shared" si="86"/>
        <v>6.571355347686661E-2</v>
      </c>
      <c r="AI349" s="28">
        <f t="shared" si="86"/>
        <v>6.5795318686458951E-2</v>
      </c>
      <c r="AJ349" s="28">
        <f t="shared" si="86"/>
        <v>6.5884020001636651E-2</v>
      </c>
      <c r="AK349" s="28">
        <f t="shared" si="86"/>
        <v>6.5978314044694314E-2</v>
      </c>
      <c r="AL349" s="28">
        <f t="shared" si="86"/>
        <v>6.6078716985151179E-2</v>
      </c>
      <c r="AM349" s="28">
        <f t="shared" si="86"/>
        <v>6.6185699185286995E-2</v>
      </c>
      <c r="AN349" s="28">
        <f t="shared" si="86"/>
        <v>6.6248752997966662E-2</v>
      </c>
      <c r="AO349" s="28">
        <f t="shared" si="86"/>
        <v>6.6315938275625666E-2</v>
      </c>
      <c r="AP349" s="28">
        <f t="shared" si="86"/>
        <v>6.6388438988824877E-2</v>
      </c>
      <c r="AQ349" s="28">
        <f t="shared" si="86"/>
        <v>6.6466127241216463E-2</v>
      </c>
      <c r="AR349" s="28">
        <f t="shared" si="86"/>
        <v>6.6549837128906997E-2</v>
      </c>
      <c r="AS349" s="28">
        <f t="shared" si="86"/>
        <v>6.658756512294553E-2</v>
      </c>
      <c r="AT349" s="28">
        <f t="shared" si="86"/>
        <v>6.66203125456446E-2</v>
      </c>
      <c r="AU349" s="28">
        <f t="shared" si="86"/>
        <v>6.6656464691830439E-2</v>
      </c>
      <c r="AV349" s="28">
        <f t="shared" si="86"/>
        <v>6.6697796409900922E-2</v>
      </c>
      <c r="AW349" s="28">
        <f t="shared" si="86"/>
        <v>6.6742398126545865E-2</v>
      </c>
      <c r="AY349" s="85"/>
    </row>
    <row r="350" spans="1:51" x14ac:dyDescent="0.25">
      <c r="A350" s="102" t="str">
        <f t="shared" si="71"/>
        <v>GS Goats MMN2O</v>
      </c>
      <c r="B350" s="102" t="s">
        <v>1022</v>
      </c>
      <c r="C350" s="102" t="s">
        <v>1330</v>
      </c>
      <c r="D350" t="s">
        <v>15</v>
      </c>
      <c r="E350" t="s">
        <v>657</v>
      </c>
      <c r="F350" t="s">
        <v>19</v>
      </c>
      <c r="G350" t="s">
        <v>122</v>
      </c>
      <c r="H350" t="s">
        <v>1228</v>
      </c>
      <c r="I350" t="s">
        <v>139</v>
      </c>
      <c r="J350" t="s">
        <v>287</v>
      </c>
      <c r="K350" s="28">
        <f t="shared" si="83"/>
        <v>1.4482807028187926E-2</v>
      </c>
      <c r="L350" s="28">
        <f t="shared" si="86"/>
        <v>1.4520450251739283E-2</v>
      </c>
      <c r="M350" s="28">
        <f t="shared" si="86"/>
        <v>1.4571212872745463E-2</v>
      </c>
      <c r="N350" s="28">
        <f t="shared" si="86"/>
        <v>1.4633040456364911E-2</v>
      </c>
      <c r="O350" s="28">
        <f t="shared" si="86"/>
        <v>1.4707094987006923E-2</v>
      </c>
      <c r="P350" s="28">
        <f t="shared" si="86"/>
        <v>1.4794644538423191E-2</v>
      </c>
      <c r="Q350" s="28">
        <f t="shared" si="86"/>
        <v>1.4887429784482062E-2</v>
      </c>
      <c r="R350" s="28">
        <f t="shared" si="86"/>
        <v>1.4984365063470912E-2</v>
      </c>
      <c r="S350" s="28">
        <f t="shared" si="86"/>
        <v>1.5078737379247895E-2</v>
      </c>
      <c r="T350" s="28">
        <f t="shared" si="86"/>
        <v>1.5122022085784054E-2</v>
      </c>
      <c r="U350" s="28">
        <f t="shared" si="86"/>
        <v>1.5168700186651049E-2</v>
      </c>
      <c r="V350" s="28">
        <f t="shared" si="86"/>
        <v>1.5219291662698977E-2</v>
      </c>
      <c r="W350" s="28">
        <f t="shared" si="86"/>
        <v>1.5274171031448219E-2</v>
      </c>
      <c r="X350" s="28">
        <f t="shared" si="86"/>
        <v>1.5334076575093777E-2</v>
      </c>
      <c r="Y350" s="28">
        <f t="shared" si="86"/>
        <v>1.5372633836154437E-2</v>
      </c>
      <c r="Z350" s="28">
        <f t="shared" si="86"/>
        <v>1.5414710813994566E-2</v>
      </c>
      <c r="AA350" s="28">
        <f t="shared" si="86"/>
        <v>1.5459260848218298E-2</v>
      </c>
      <c r="AB350" s="28">
        <f t="shared" si="86"/>
        <v>1.5507296791102529E-2</v>
      </c>
      <c r="AC350" s="28">
        <f t="shared" si="86"/>
        <v>1.5558834836357003E-2</v>
      </c>
      <c r="AD350" s="28">
        <f t="shared" si="86"/>
        <v>1.5592757830860556E-2</v>
      </c>
      <c r="AE350" s="28">
        <f t="shared" si="86"/>
        <v>1.562932478627909E-2</v>
      </c>
      <c r="AF350" s="28">
        <f t="shared" si="86"/>
        <v>1.5668308058264361E-2</v>
      </c>
      <c r="AG350" s="28">
        <f t="shared" si="86"/>
        <v>1.5710145809478677E-2</v>
      </c>
      <c r="AH350" s="28">
        <f t="shared" si="86"/>
        <v>1.5753347197297651E-2</v>
      </c>
      <c r="AI350" s="28">
        <f t="shared" si="86"/>
        <v>1.5780128357590142E-2</v>
      </c>
      <c r="AJ350" s="28">
        <f t="shared" si="86"/>
        <v>1.5808895494916663E-2</v>
      </c>
      <c r="AK350" s="28">
        <f t="shared" si="86"/>
        <v>1.5839194459493416E-2</v>
      </c>
      <c r="AL350" s="28">
        <f t="shared" si="86"/>
        <v>1.5871212894447165E-2</v>
      </c>
      <c r="AM350" s="28">
        <f t="shared" si="86"/>
        <v>1.5905120208325661E-2</v>
      </c>
      <c r="AN350" s="28">
        <f t="shared" si="86"/>
        <v>1.5923608440521576E-2</v>
      </c>
      <c r="AO350" s="28">
        <f t="shared" si="86"/>
        <v>1.5943219194385971E-2</v>
      </c>
      <c r="AP350" s="28">
        <f t="shared" si="86"/>
        <v>1.5964364076511545E-2</v>
      </c>
      <c r="AQ350" s="28">
        <f t="shared" si="86"/>
        <v>1.5987003748719163E-2</v>
      </c>
      <c r="AR350" s="28">
        <f t="shared" si="86"/>
        <v>1.6011426014492076E-2</v>
      </c>
      <c r="AS350" s="28">
        <f t="shared" si="86"/>
        <v>1.6019956720470994E-2</v>
      </c>
      <c r="AT350" s="28">
        <f t="shared" si="86"/>
        <v>1.6026597354274651E-2</v>
      </c>
      <c r="AU350" s="28">
        <f t="shared" si="86"/>
        <v>1.6034206571030277E-2</v>
      </c>
      <c r="AV350" s="28">
        <f t="shared" si="86"/>
        <v>1.6043388029308273E-2</v>
      </c>
      <c r="AW350" s="28">
        <f t="shared" si="86"/>
        <v>1.6053496862987397E-2</v>
      </c>
      <c r="AY350" s="85"/>
    </row>
    <row r="351" spans="1:51" x14ac:dyDescent="0.25">
      <c r="A351" s="102" t="str">
        <f t="shared" si="71"/>
        <v>GS Goats MMN2O</v>
      </c>
      <c r="B351" s="102" t="s">
        <v>1022</v>
      </c>
      <c r="C351" s="102" t="s">
        <v>1330</v>
      </c>
      <c r="D351" t="s">
        <v>15</v>
      </c>
      <c r="E351" t="s">
        <v>657</v>
      </c>
      <c r="F351" t="s">
        <v>19</v>
      </c>
      <c r="G351" t="s">
        <v>123</v>
      </c>
      <c r="H351" t="s">
        <v>1228</v>
      </c>
      <c r="I351" t="s">
        <v>139</v>
      </c>
      <c r="J351" t="s">
        <v>287</v>
      </c>
      <c r="K351" s="28">
        <f t="shared" si="83"/>
        <v>0.11481805129047286</v>
      </c>
      <c r="L351" s="28">
        <f t="shared" si="86"/>
        <v>0.11511648249680231</v>
      </c>
      <c r="M351" s="28">
        <f t="shared" si="86"/>
        <v>0.11551892279798029</v>
      </c>
      <c r="N351" s="28">
        <f t="shared" si="86"/>
        <v>0.11600908486762376</v>
      </c>
      <c r="O351" s="28">
        <f t="shared" si="86"/>
        <v>0.11659618078632224</v>
      </c>
      <c r="P351" s="28">
        <f t="shared" si="86"/>
        <v>0.11729026369893758</v>
      </c>
      <c r="Q351" s="28">
        <f t="shared" si="86"/>
        <v>0.1180258546047787</v>
      </c>
      <c r="R351" s="28">
        <f t="shared" si="86"/>
        <v>0.11879434650093773</v>
      </c>
      <c r="S351" s="28">
        <f t="shared" si="86"/>
        <v>0.1195425195154779</v>
      </c>
      <c r="T351" s="28">
        <f t="shared" si="86"/>
        <v>0.1198856757589802</v>
      </c>
      <c r="U351" s="28">
        <f t="shared" ref="L351:AW357" si="87">U1420</f>
        <v>0.1202557344478143</v>
      </c>
      <c r="V351" s="28">
        <f t="shared" si="87"/>
        <v>0.1206568179311767</v>
      </c>
      <c r="W351" s="28">
        <f t="shared" si="87"/>
        <v>0.12109189534148641</v>
      </c>
      <c r="X351" s="28">
        <f t="shared" si="87"/>
        <v>0.12156681969623982</v>
      </c>
      <c r="Y351" s="28">
        <f t="shared" si="87"/>
        <v>0.12187249728826091</v>
      </c>
      <c r="Z351" s="28">
        <f t="shared" si="87"/>
        <v>0.12220607879565744</v>
      </c>
      <c r="AA351" s="28">
        <f t="shared" si="87"/>
        <v>0.12255926641353683</v>
      </c>
      <c r="AB351" s="28">
        <f t="shared" si="87"/>
        <v>0.12294008991985945</v>
      </c>
      <c r="AC351" s="28">
        <f t="shared" si="87"/>
        <v>0.12334867769651912</v>
      </c>
      <c r="AD351" s="28">
        <f t="shared" si="87"/>
        <v>0.12361761534895452</v>
      </c>
      <c r="AE351" s="28">
        <f t="shared" si="87"/>
        <v>0.12390751402361132</v>
      </c>
      <c r="AF351" s="28">
        <f t="shared" si="87"/>
        <v>0.124216568981919</v>
      </c>
      <c r="AG351" s="28">
        <f t="shared" si="87"/>
        <v>0.12454825392776228</v>
      </c>
      <c r="AH351" s="28">
        <f t="shared" si="87"/>
        <v>0.12489074962992587</v>
      </c>
      <c r="AI351" s="28">
        <f t="shared" si="87"/>
        <v>0.12510306763085599</v>
      </c>
      <c r="AJ351" s="28">
        <f t="shared" si="87"/>
        <v>0.12533113023243647</v>
      </c>
      <c r="AK351" s="28">
        <f t="shared" si="87"/>
        <v>0.12557133698669695</v>
      </c>
      <c r="AL351" s="28">
        <f t="shared" si="87"/>
        <v>0.12582517550706146</v>
      </c>
      <c r="AM351" s="28">
        <f t="shared" si="87"/>
        <v>0.12609398884528009</v>
      </c>
      <c r="AN351" s="28">
        <f t="shared" si="87"/>
        <v>0.1262405614529527</v>
      </c>
      <c r="AO351" s="28">
        <f t="shared" si="87"/>
        <v>0.12639603328508198</v>
      </c>
      <c r="AP351" s="28">
        <f t="shared" si="87"/>
        <v>0.12656366751204504</v>
      </c>
      <c r="AQ351" s="28">
        <f t="shared" si="87"/>
        <v>0.1267431522652199</v>
      </c>
      <c r="AR351" s="28">
        <f t="shared" si="87"/>
        <v>0.12693676921797539</v>
      </c>
      <c r="AS351" s="28">
        <f t="shared" si="87"/>
        <v>0.12700439968731225</v>
      </c>
      <c r="AT351" s="28">
        <f t="shared" si="87"/>
        <v>0.12705704587884023</v>
      </c>
      <c r="AU351" s="28">
        <f t="shared" si="87"/>
        <v>0.12711737088614225</v>
      </c>
      <c r="AV351" s="28">
        <f t="shared" si="87"/>
        <v>0.12719016044588929</v>
      </c>
      <c r="AW351" s="28">
        <f t="shared" si="87"/>
        <v>0.12727030213262158</v>
      </c>
      <c r="AY351" s="85"/>
    </row>
    <row r="352" spans="1:51" x14ac:dyDescent="0.25">
      <c r="A352" s="102" t="str">
        <f t="shared" si="71"/>
        <v>GS Horses MMN2O</v>
      </c>
      <c r="B352" s="102" t="s">
        <v>1022</v>
      </c>
      <c r="C352" s="102" t="s">
        <v>1331</v>
      </c>
      <c r="D352" t="s">
        <v>15</v>
      </c>
      <c r="E352" t="s">
        <v>657</v>
      </c>
      <c r="F352" t="s">
        <v>20</v>
      </c>
      <c r="G352" t="s">
        <v>3</v>
      </c>
      <c r="H352" t="s">
        <v>1228</v>
      </c>
      <c r="I352" t="s">
        <v>139</v>
      </c>
      <c r="J352" t="s">
        <v>287</v>
      </c>
      <c r="K352" s="28" t="str">
        <f t="shared" si="83"/>
        <v>NO</v>
      </c>
      <c r="L352" s="28" t="str">
        <f t="shared" si="87"/>
        <v>NO</v>
      </c>
      <c r="M352" s="28" t="str">
        <f t="shared" si="87"/>
        <v>NO</v>
      </c>
      <c r="N352" s="28" t="str">
        <f t="shared" si="87"/>
        <v>NO</v>
      </c>
      <c r="O352" s="28" t="str">
        <f t="shared" si="87"/>
        <v>NO</v>
      </c>
      <c r="P352" s="28" t="str">
        <f t="shared" si="87"/>
        <v>NO</v>
      </c>
      <c r="Q352" s="28" t="str">
        <f t="shared" si="87"/>
        <v>NO</v>
      </c>
      <c r="R352" s="28" t="str">
        <f t="shared" si="87"/>
        <v>NO</v>
      </c>
      <c r="S352" s="28" t="str">
        <f t="shared" si="87"/>
        <v>NO</v>
      </c>
      <c r="T352" s="28" t="str">
        <f t="shared" si="87"/>
        <v>NO</v>
      </c>
      <c r="U352" s="28" t="str">
        <f t="shared" si="87"/>
        <v>NO</v>
      </c>
      <c r="V352" s="28" t="str">
        <f t="shared" si="87"/>
        <v>NO</v>
      </c>
      <c r="W352" s="28" t="str">
        <f t="shared" si="87"/>
        <v>NO</v>
      </c>
      <c r="X352" s="28" t="str">
        <f t="shared" si="87"/>
        <v>NO</v>
      </c>
      <c r="Y352" s="28" t="str">
        <f t="shared" si="87"/>
        <v>NO</v>
      </c>
      <c r="Z352" s="28" t="str">
        <f t="shared" si="87"/>
        <v>NO</v>
      </c>
      <c r="AA352" s="28" t="str">
        <f t="shared" si="87"/>
        <v>NO</v>
      </c>
      <c r="AB352" s="28" t="str">
        <f t="shared" si="87"/>
        <v>NO</v>
      </c>
      <c r="AC352" s="28" t="str">
        <f t="shared" si="87"/>
        <v>NO</v>
      </c>
      <c r="AD352" s="28" t="str">
        <f t="shared" si="87"/>
        <v>NO</v>
      </c>
      <c r="AE352" s="28" t="str">
        <f t="shared" si="87"/>
        <v>NO</v>
      </c>
      <c r="AF352" s="28" t="str">
        <f t="shared" si="87"/>
        <v>NO</v>
      </c>
      <c r="AG352" s="28" t="str">
        <f t="shared" si="87"/>
        <v>NO</v>
      </c>
      <c r="AH352" s="28" t="str">
        <f t="shared" si="87"/>
        <v>NO</v>
      </c>
      <c r="AI352" s="28" t="str">
        <f t="shared" si="87"/>
        <v>NO</v>
      </c>
      <c r="AJ352" s="28" t="str">
        <f t="shared" si="87"/>
        <v>NO</v>
      </c>
      <c r="AK352" s="28" t="str">
        <f t="shared" si="87"/>
        <v>NO</v>
      </c>
      <c r="AL352" s="28" t="str">
        <f t="shared" si="87"/>
        <v>NO</v>
      </c>
      <c r="AM352" s="28" t="str">
        <f t="shared" si="87"/>
        <v>NO</v>
      </c>
      <c r="AN352" s="28" t="str">
        <f t="shared" si="87"/>
        <v>NO</v>
      </c>
      <c r="AO352" s="28" t="str">
        <f t="shared" si="87"/>
        <v>NO</v>
      </c>
      <c r="AP352" s="28" t="str">
        <f t="shared" si="87"/>
        <v>NO</v>
      </c>
      <c r="AQ352" s="28" t="str">
        <f t="shared" si="87"/>
        <v>NO</v>
      </c>
      <c r="AR352" s="28" t="str">
        <f t="shared" si="87"/>
        <v>NO</v>
      </c>
      <c r="AS352" s="28" t="str">
        <f t="shared" si="87"/>
        <v>NO</v>
      </c>
      <c r="AT352" s="28" t="str">
        <f t="shared" si="87"/>
        <v>NO</v>
      </c>
      <c r="AU352" s="28" t="str">
        <f t="shared" si="87"/>
        <v>NO</v>
      </c>
      <c r="AV352" s="28" t="str">
        <f t="shared" si="87"/>
        <v>NO</v>
      </c>
      <c r="AW352" s="28" t="str">
        <f t="shared" si="87"/>
        <v>NO</v>
      </c>
      <c r="AY352" s="85"/>
    </row>
    <row r="353" spans="1:51" x14ac:dyDescent="0.25">
      <c r="A353" s="102" t="str">
        <f t="shared" si="71"/>
        <v>GS Mules MMN2O</v>
      </c>
      <c r="B353" s="102" t="s">
        <v>1022</v>
      </c>
      <c r="C353" s="102" t="s">
        <v>1332</v>
      </c>
      <c r="D353" t="s">
        <v>15</v>
      </c>
      <c r="E353" t="s">
        <v>657</v>
      </c>
      <c r="F353" t="s">
        <v>140</v>
      </c>
      <c r="G353" t="s">
        <v>124</v>
      </c>
      <c r="H353" t="s">
        <v>1228</v>
      </c>
      <c r="I353" t="s">
        <v>139</v>
      </c>
      <c r="J353" t="s">
        <v>287</v>
      </c>
      <c r="K353" s="28" t="str">
        <f t="shared" si="83"/>
        <v>NO</v>
      </c>
      <c r="L353" s="28" t="str">
        <f t="shared" si="87"/>
        <v>NO</v>
      </c>
      <c r="M353" s="28" t="str">
        <f t="shared" si="87"/>
        <v>NO</v>
      </c>
      <c r="N353" s="28" t="str">
        <f t="shared" si="87"/>
        <v>NO</v>
      </c>
      <c r="O353" s="28" t="str">
        <f t="shared" si="87"/>
        <v>NO</v>
      </c>
      <c r="P353" s="28" t="str">
        <f t="shared" si="87"/>
        <v>NO</v>
      </c>
      <c r="Q353" s="28" t="str">
        <f t="shared" si="87"/>
        <v>NO</v>
      </c>
      <c r="R353" s="28" t="str">
        <f t="shared" si="87"/>
        <v>NO</v>
      </c>
      <c r="S353" s="28" t="str">
        <f t="shared" si="87"/>
        <v>NO</v>
      </c>
      <c r="T353" s="28" t="str">
        <f t="shared" si="87"/>
        <v>NO</v>
      </c>
      <c r="U353" s="28" t="str">
        <f t="shared" si="87"/>
        <v>NO</v>
      </c>
      <c r="V353" s="28" t="str">
        <f t="shared" si="87"/>
        <v>NO</v>
      </c>
      <c r="W353" s="28" t="str">
        <f t="shared" si="87"/>
        <v>NO</v>
      </c>
      <c r="X353" s="28" t="str">
        <f t="shared" si="87"/>
        <v>NO</v>
      </c>
      <c r="Y353" s="28" t="str">
        <f t="shared" si="87"/>
        <v>NO</v>
      </c>
      <c r="Z353" s="28" t="str">
        <f t="shared" si="87"/>
        <v>NO</v>
      </c>
      <c r="AA353" s="28" t="str">
        <f t="shared" si="87"/>
        <v>NO</v>
      </c>
      <c r="AB353" s="28" t="str">
        <f t="shared" si="87"/>
        <v>NO</v>
      </c>
      <c r="AC353" s="28" t="str">
        <f t="shared" si="87"/>
        <v>NO</v>
      </c>
      <c r="AD353" s="28" t="str">
        <f t="shared" si="87"/>
        <v>NO</v>
      </c>
      <c r="AE353" s="28" t="str">
        <f t="shared" si="87"/>
        <v>NO</v>
      </c>
      <c r="AF353" s="28" t="str">
        <f t="shared" si="87"/>
        <v>NO</v>
      </c>
      <c r="AG353" s="28" t="str">
        <f t="shared" si="87"/>
        <v>NO</v>
      </c>
      <c r="AH353" s="28" t="str">
        <f t="shared" si="87"/>
        <v>NO</v>
      </c>
      <c r="AI353" s="28" t="str">
        <f t="shared" si="87"/>
        <v>NO</v>
      </c>
      <c r="AJ353" s="28" t="str">
        <f t="shared" si="87"/>
        <v>NO</v>
      </c>
      <c r="AK353" s="28" t="str">
        <f t="shared" si="87"/>
        <v>NO</v>
      </c>
      <c r="AL353" s="28" t="str">
        <f t="shared" si="87"/>
        <v>NO</v>
      </c>
      <c r="AM353" s="28" t="str">
        <f t="shared" si="87"/>
        <v>NO</v>
      </c>
      <c r="AN353" s="28" t="str">
        <f t="shared" si="87"/>
        <v>NO</v>
      </c>
      <c r="AO353" s="28" t="str">
        <f t="shared" si="87"/>
        <v>NO</v>
      </c>
      <c r="AP353" s="28" t="str">
        <f t="shared" si="87"/>
        <v>NO</v>
      </c>
      <c r="AQ353" s="28" t="str">
        <f t="shared" si="87"/>
        <v>NO</v>
      </c>
      <c r="AR353" s="28" t="str">
        <f t="shared" si="87"/>
        <v>NO</v>
      </c>
      <c r="AS353" s="28" t="str">
        <f t="shared" si="87"/>
        <v>NO</v>
      </c>
      <c r="AT353" s="28" t="str">
        <f t="shared" si="87"/>
        <v>NO</v>
      </c>
      <c r="AU353" s="28" t="str">
        <f t="shared" si="87"/>
        <v>NO</v>
      </c>
      <c r="AV353" s="28" t="str">
        <f t="shared" si="87"/>
        <v>NO</v>
      </c>
      <c r="AW353" s="28" t="str">
        <f t="shared" si="87"/>
        <v>NO</v>
      </c>
      <c r="AY353" s="85"/>
    </row>
    <row r="354" spans="1:51" x14ac:dyDescent="0.25">
      <c r="A354" s="102" t="str">
        <f t="shared" si="71"/>
        <v>GS Swine MMN2O</v>
      </c>
      <c r="B354" s="102" t="s">
        <v>1022</v>
      </c>
      <c r="C354" s="102" t="s">
        <v>1234</v>
      </c>
      <c r="D354" t="s">
        <v>15</v>
      </c>
      <c r="E354" t="s">
        <v>657</v>
      </c>
      <c r="F354" t="s">
        <v>21</v>
      </c>
      <c r="G354" t="s">
        <v>122</v>
      </c>
      <c r="H354" t="s">
        <v>1228</v>
      </c>
      <c r="I354" t="s">
        <v>139</v>
      </c>
      <c r="J354" t="s">
        <v>287</v>
      </c>
      <c r="K354" s="28">
        <f t="shared" si="83"/>
        <v>9.7855003322124628E-2</v>
      </c>
      <c r="L354" s="28">
        <f t="shared" si="87"/>
        <v>9.768205595551481E-2</v>
      </c>
      <c r="M354" s="28">
        <f t="shared" si="87"/>
        <v>9.7134008511937764E-2</v>
      </c>
      <c r="N354" s="28">
        <f t="shared" si="87"/>
        <v>9.4990622413168677E-2</v>
      </c>
      <c r="O354" s="28">
        <f t="shared" si="87"/>
        <v>9.2963704380958218E-2</v>
      </c>
      <c r="P354" s="28">
        <f t="shared" si="87"/>
        <v>9.2636555494494649E-2</v>
      </c>
      <c r="Q354" s="28">
        <f t="shared" si="87"/>
        <v>9.1842396693378264E-2</v>
      </c>
      <c r="R354" s="28">
        <f t="shared" si="87"/>
        <v>8.9396441883992581E-2</v>
      </c>
      <c r="S354" s="28">
        <f t="shared" si="87"/>
        <v>7.973748994684815E-2</v>
      </c>
      <c r="T354" s="28">
        <f t="shared" si="87"/>
        <v>8.1452692189288772E-2</v>
      </c>
      <c r="U354" s="28">
        <f t="shared" si="87"/>
        <v>8.2242511804273E-2</v>
      </c>
      <c r="V354" s="28">
        <f t="shared" si="87"/>
        <v>8.2817744096224652E-2</v>
      </c>
      <c r="W354" s="28">
        <f t="shared" si="87"/>
        <v>8.3700880663628088E-2</v>
      </c>
      <c r="X354" s="28">
        <f t="shared" si="87"/>
        <v>8.5662060351678962E-2</v>
      </c>
      <c r="Y354" s="28">
        <f t="shared" si="87"/>
        <v>8.7869258828121299E-2</v>
      </c>
      <c r="Z354" s="28">
        <f t="shared" si="87"/>
        <v>9.0298087380543637E-2</v>
      </c>
      <c r="AA354" s="28">
        <f t="shared" si="87"/>
        <v>9.2240276380797723E-2</v>
      </c>
      <c r="AB354" s="28">
        <f t="shared" si="87"/>
        <v>9.4619108619267742E-2</v>
      </c>
      <c r="AC354" s="28">
        <f t="shared" si="87"/>
        <v>9.7530252215833863E-2</v>
      </c>
      <c r="AD354" s="28">
        <f t="shared" si="87"/>
        <v>0.10028578808595486</v>
      </c>
      <c r="AE354" s="28">
        <f t="shared" si="87"/>
        <v>0.10315369284356883</v>
      </c>
      <c r="AF354" s="28">
        <f t="shared" si="87"/>
        <v>0.10603841363071233</v>
      </c>
      <c r="AG354" s="28">
        <f t="shared" si="87"/>
        <v>0.10932837219720498</v>
      </c>
      <c r="AH354" s="28">
        <f t="shared" si="87"/>
        <v>0.11199564217103479</v>
      </c>
      <c r="AI354" s="28">
        <f t="shared" si="87"/>
        <v>0.11485371208683526</v>
      </c>
      <c r="AJ354" s="28">
        <f t="shared" si="87"/>
        <v>0.11771232198590084</v>
      </c>
      <c r="AK354" s="28">
        <f t="shared" si="87"/>
        <v>0.12030678115486812</v>
      </c>
      <c r="AL354" s="28">
        <f t="shared" si="87"/>
        <v>0.12282077145121797</v>
      </c>
      <c r="AM354" s="28">
        <f t="shared" si="87"/>
        <v>0.12541265580814645</v>
      </c>
      <c r="AN354" s="28">
        <f t="shared" si="87"/>
        <v>0.12815280796716533</v>
      </c>
      <c r="AO354" s="28">
        <f t="shared" si="87"/>
        <v>0.13056194972752197</v>
      </c>
      <c r="AP354" s="28">
        <f t="shared" si="87"/>
        <v>0.13295353804447049</v>
      </c>
      <c r="AQ354" s="28">
        <f t="shared" si="87"/>
        <v>0.13533393181533376</v>
      </c>
      <c r="AR354" s="28">
        <f t="shared" si="87"/>
        <v>0.1379132972636212</v>
      </c>
      <c r="AS354" s="28">
        <f t="shared" si="87"/>
        <v>0.14053008195021952</v>
      </c>
      <c r="AT354" s="28">
        <f t="shared" si="87"/>
        <v>0.14114192425764652</v>
      </c>
      <c r="AU354" s="28">
        <f t="shared" si="87"/>
        <v>0.14158544392848668</v>
      </c>
      <c r="AV354" s="28">
        <f t="shared" si="87"/>
        <v>0.14225126627613405</v>
      </c>
      <c r="AW354" s="28">
        <f t="shared" si="87"/>
        <v>0.14277114135536023</v>
      </c>
      <c r="AY354" s="85"/>
    </row>
    <row r="355" spans="1:51" x14ac:dyDescent="0.25">
      <c r="A355" s="102" t="str">
        <f t="shared" si="71"/>
        <v>GS Swine MMN2O</v>
      </c>
      <c r="B355" s="102" t="s">
        <v>1022</v>
      </c>
      <c r="C355" s="102" t="s">
        <v>1234</v>
      </c>
      <c r="D355" t="s">
        <v>15</v>
      </c>
      <c r="E355" t="s">
        <v>657</v>
      </c>
      <c r="F355" t="s">
        <v>21</v>
      </c>
      <c r="G355" t="s">
        <v>123</v>
      </c>
      <c r="H355" t="s">
        <v>1228</v>
      </c>
      <c r="I355" t="s">
        <v>139</v>
      </c>
      <c r="J355" t="s">
        <v>287</v>
      </c>
      <c r="K355" s="28">
        <f t="shared" si="83"/>
        <v>3.8282858549039588E-2</v>
      </c>
      <c r="L355" s="28">
        <f t="shared" si="87"/>
        <v>3.8215198037593316E-2</v>
      </c>
      <c r="M355" s="28">
        <f t="shared" si="87"/>
        <v>3.8000790781466037E-2</v>
      </c>
      <c r="N355" s="28">
        <f t="shared" si="87"/>
        <v>3.7162254742945426E-2</v>
      </c>
      <c r="O355" s="28">
        <f t="shared" si="87"/>
        <v>3.6369283370166726E-2</v>
      </c>
      <c r="P355" s="28">
        <f t="shared" si="87"/>
        <v>3.6241296102068297E-2</v>
      </c>
      <c r="Q355" s="28">
        <f t="shared" si="87"/>
        <v>3.5930605099907358E-2</v>
      </c>
      <c r="R355" s="28">
        <f t="shared" si="87"/>
        <v>3.497369805574925E-2</v>
      </c>
      <c r="S355" s="28">
        <f t="shared" si="87"/>
        <v>3.1194920495194334E-2</v>
      </c>
      <c r="T355" s="28">
        <f t="shared" si="87"/>
        <v>3.1865942339771837E-2</v>
      </c>
      <c r="U355" s="28">
        <f t="shared" si="87"/>
        <v>3.21749357644633E-2</v>
      </c>
      <c r="V355" s="28">
        <f t="shared" si="87"/>
        <v>3.2399978283680568E-2</v>
      </c>
      <c r="W355" s="28">
        <f t="shared" si="87"/>
        <v>3.2745479189526895E-2</v>
      </c>
      <c r="X355" s="28">
        <f t="shared" si="87"/>
        <v>3.3512732391080123E-2</v>
      </c>
      <c r="Y355" s="28">
        <f t="shared" si="87"/>
        <v>3.4376233123742127E-2</v>
      </c>
      <c r="Z355" s="28">
        <f t="shared" si="87"/>
        <v>3.5326440029424484E-2</v>
      </c>
      <c r="AA355" s="28">
        <f t="shared" si="87"/>
        <v>3.6086263689411195E-2</v>
      </c>
      <c r="AB355" s="28">
        <f t="shared" si="87"/>
        <v>3.7016911024810674E-2</v>
      </c>
      <c r="AC355" s="28">
        <f t="shared" si="87"/>
        <v>3.8155809341092126E-2</v>
      </c>
      <c r="AD355" s="28">
        <f t="shared" si="87"/>
        <v>3.9233830764231724E-2</v>
      </c>
      <c r="AE355" s="28">
        <f t="shared" si="87"/>
        <v>4.0355813171267518E-2</v>
      </c>
      <c r="AF355" s="28">
        <f t="shared" si="87"/>
        <v>4.1484374349525836E-2</v>
      </c>
      <c r="AG355" s="28">
        <f t="shared" si="87"/>
        <v>4.2771472751828604E-2</v>
      </c>
      <c r="AH355" s="28">
        <f t="shared" si="87"/>
        <v>4.3814962769238276E-2</v>
      </c>
      <c r="AI355" s="28">
        <f t="shared" si="87"/>
        <v>4.4933097587032685E-2</v>
      </c>
      <c r="AJ355" s="28">
        <f t="shared" si="87"/>
        <v>4.605144365721333E-2</v>
      </c>
      <c r="AK355" s="28">
        <f t="shared" si="87"/>
        <v>4.7066448613575902E-2</v>
      </c>
      <c r="AL355" s="28">
        <f t="shared" si="87"/>
        <v>4.8049972517734428E-2</v>
      </c>
      <c r="AM355" s="28">
        <f t="shared" si="87"/>
        <v>4.906397015549574E-2</v>
      </c>
      <c r="AN355" s="28">
        <f t="shared" si="87"/>
        <v>5.0135973159381467E-2</v>
      </c>
      <c r="AO355" s="28">
        <f t="shared" si="87"/>
        <v>5.1078478193413449E-2</v>
      </c>
      <c r="AP355" s="28">
        <f t="shared" si="87"/>
        <v>5.2014115964983336E-2</v>
      </c>
      <c r="AQ355" s="28">
        <f t="shared" si="87"/>
        <v>5.2945374203471063E-2</v>
      </c>
      <c r="AR355" s="28">
        <f t="shared" si="87"/>
        <v>5.395447419070433E-2</v>
      </c>
      <c r="AS355" s="28">
        <f t="shared" si="87"/>
        <v>5.4978213341584196E-2</v>
      </c>
      <c r="AT355" s="28">
        <f t="shared" si="87"/>
        <v>5.5217578440090585E-2</v>
      </c>
      <c r="AU355" s="28">
        <f t="shared" si="87"/>
        <v>5.5391092315171642E-2</v>
      </c>
      <c r="AV355" s="28">
        <f t="shared" si="87"/>
        <v>5.5651575498334646E-2</v>
      </c>
      <c r="AW355" s="28">
        <f t="shared" si="87"/>
        <v>5.5854961155128016E-2</v>
      </c>
      <c r="AY355" s="85"/>
    </row>
    <row r="356" spans="1:51" x14ac:dyDescent="0.25">
      <c r="A356" s="102" t="str">
        <f t="shared" si="71"/>
        <v>GS Poultry MMN2O</v>
      </c>
      <c r="B356" s="102" t="s">
        <v>1022</v>
      </c>
      <c r="C356" s="102" t="s">
        <v>1235</v>
      </c>
      <c r="D356" t="s">
        <v>15</v>
      </c>
      <c r="E356" t="s">
        <v>657</v>
      </c>
      <c r="F356" t="s">
        <v>28</v>
      </c>
      <c r="G356" t="s">
        <v>131</v>
      </c>
      <c r="H356" t="s">
        <v>1228</v>
      </c>
      <c r="I356" t="s">
        <v>139</v>
      </c>
      <c r="J356" t="s">
        <v>287</v>
      </c>
      <c r="K356" s="28">
        <f t="shared" si="83"/>
        <v>0.32879130142743862</v>
      </c>
      <c r="L356" s="28">
        <f t="shared" si="87"/>
        <v>0.33618147320266517</v>
      </c>
      <c r="M356" s="28">
        <f t="shared" si="87"/>
        <v>0.34286580262317662</v>
      </c>
      <c r="N356" s="28">
        <f t="shared" si="87"/>
        <v>0.34631663130525719</v>
      </c>
      <c r="O356" s="28">
        <f t="shared" si="87"/>
        <v>0.34986259378047058</v>
      </c>
      <c r="P356" s="28">
        <f t="shared" si="87"/>
        <v>0.35692259519801384</v>
      </c>
      <c r="Q356" s="28">
        <f t="shared" si="87"/>
        <v>0.36295954497520366</v>
      </c>
      <c r="R356" s="28">
        <f t="shared" si="87"/>
        <v>0.36525102127555931</v>
      </c>
      <c r="S356" s="28">
        <f t="shared" si="87"/>
        <v>0.35074524152454095</v>
      </c>
      <c r="T356" s="28">
        <f t="shared" si="87"/>
        <v>0.36118344194798235</v>
      </c>
      <c r="U356" s="28">
        <f t="shared" si="87"/>
        <v>0.36961966083970876</v>
      </c>
      <c r="V356" s="28">
        <f t="shared" si="87"/>
        <v>0.37765888442551321</v>
      </c>
      <c r="W356" s="28">
        <f t="shared" si="87"/>
        <v>0.38658550533232433</v>
      </c>
      <c r="X356" s="28">
        <f t="shared" si="87"/>
        <v>0.39843478474254634</v>
      </c>
      <c r="Y356" s="28">
        <f t="shared" si="87"/>
        <v>0.41088019341175391</v>
      </c>
      <c r="Z356" s="28">
        <f t="shared" si="87"/>
        <v>0.42422078606736746</v>
      </c>
      <c r="AA356" s="28">
        <f t="shared" si="87"/>
        <v>0.4365608627490552</v>
      </c>
      <c r="AB356" s="28">
        <f t="shared" si="87"/>
        <v>0.45040527564099359</v>
      </c>
      <c r="AC356" s="28">
        <f t="shared" si="87"/>
        <v>0.46610821416360254</v>
      </c>
      <c r="AD356" s="28">
        <f t="shared" si="87"/>
        <v>0.48149963825345377</v>
      </c>
      <c r="AE356" s="28">
        <f t="shared" si="87"/>
        <v>0.49761952403274901</v>
      </c>
      <c r="AF356" s="28">
        <f t="shared" si="87"/>
        <v>0.51420726915291115</v>
      </c>
      <c r="AG356" s="28">
        <f t="shared" si="87"/>
        <v>0.53247410489136104</v>
      </c>
      <c r="AH356" s="28">
        <f t="shared" si="87"/>
        <v>0.5492684403625786</v>
      </c>
      <c r="AI356" s="28">
        <f t="shared" si="87"/>
        <v>0.56683832060292816</v>
      </c>
      <c r="AJ356" s="28">
        <f t="shared" si="87"/>
        <v>0.584861650511455</v>
      </c>
      <c r="AK356" s="28">
        <f t="shared" si="87"/>
        <v>0.60246746038216259</v>
      </c>
      <c r="AL356" s="28">
        <f t="shared" si="87"/>
        <v>0.62024062021411375</v>
      </c>
      <c r="AM356" s="28">
        <f t="shared" si="87"/>
        <v>0.63872476172334525</v>
      </c>
      <c r="AN356" s="28">
        <f t="shared" si="87"/>
        <v>0.65794922439522119</v>
      </c>
      <c r="AO356" s="28">
        <f t="shared" si="87"/>
        <v>0.67647629594315495</v>
      </c>
      <c r="AP356" s="28">
        <f t="shared" si="87"/>
        <v>0.69539916939277291</v>
      </c>
      <c r="AQ356" s="28">
        <f t="shared" si="87"/>
        <v>0.71475050403818352</v>
      </c>
      <c r="AR356" s="28">
        <f t="shared" si="87"/>
        <v>0.73533889699431976</v>
      </c>
      <c r="AS356" s="28">
        <f t="shared" si="87"/>
        <v>0.75634294211031738</v>
      </c>
      <c r="AT356" s="28">
        <f t="shared" si="87"/>
        <v>0.76999066398321547</v>
      </c>
      <c r="AU356" s="28">
        <f t="shared" si="87"/>
        <v>0.78322712569021657</v>
      </c>
      <c r="AV356" s="28">
        <f t="shared" si="87"/>
        <v>0.79761951278112875</v>
      </c>
      <c r="AW356" s="28">
        <f t="shared" si="87"/>
        <v>0.8116941649813233</v>
      </c>
      <c r="AY356" s="85"/>
    </row>
    <row r="357" spans="1:51" x14ac:dyDescent="0.25">
      <c r="A357" s="102" t="str">
        <f t="shared" si="71"/>
        <v>GS Poultry MMN2O</v>
      </c>
      <c r="B357" s="102" t="s">
        <v>1022</v>
      </c>
      <c r="C357" s="102" t="s">
        <v>1235</v>
      </c>
      <c r="D357" t="s">
        <v>15</v>
      </c>
      <c r="E357" t="s">
        <v>657</v>
      </c>
      <c r="F357" t="s">
        <v>28</v>
      </c>
      <c r="G357" t="s">
        <v>132</v>
      </c>
      <c r="H357" t="s">
        <v>1228</v>
      </c>
      <c r="I357" t="s">
        <v>139</v>
      </c>
      <c r="J357" t="s">
        <v>287</v>
      </c>
      <c r="K357" s="28">
        <f t="shared" si="83"/>
        <v>1.7130795703114865</v>
      </c>
      <c r="L357" s="28">
        <f t="shared" si="87"/>
        <v>1.7448742149951937</v>
      </c>
      <c r="M357" s="28">
        <f t="shared" si="87"/>
        <v>1.7656986639980343</v>
      </c>
      <c r="N357" s="28">
        <f t="shared" si="87"/>
        <v>1.7427941986174933</v>
      </c>
      <c r="O357" s="28">
        <f t="shared" si="87"/>
        <v>1.7205815318546955</v>
      </c>
      <c r="P357" s="28">
        <f t="shared" si="87"/>
        <v>1.7425923100139877</v>
      </c>
      <c r="Q357" s="28">
        <f t="shared" si="87"/>
        <v>1.7510736876348556</v>
      </c>
      <c r="R357" s="28">
        <f t="shared" si="87"/>
        <v>1.7121897293862536</v>
      </c>
      <c r="S357" s="28">
        <f t="shared" si="87"/>
        <v>1.4655218906646825</v>
      </c>
      <c r="T357" s="28">
        <f t="shared" si="87"/>
        <v>1.5438535261882376</v>
      </c>
      <c r="U357" s="28">
        <f t="shared" si="87"/>
        <v>1.5962945286475767</v>
      </c>
      <c r="V357" s="28">
        <f t="shared" si="87"/>
        <v>1.642907889886944</v>
      </c>
      <c r="W357" s="28">
        <f t="shared" si="87"/>
        <v>1.6991978110377575</v>
      </c>
      <c r="X357" s="28">
        <f t="shared" si="87"/>
        <v>1.7890350626064766</v>
      </c>
      <c r="Y357" s="28">
        <f t="shared" si="87"/>
        <v>1.8895080919073246</v>
      </c>
      <c r="Z357" s="28">
        <f t="shared" si="87"/>
        <v>1.9987693788658938</v>
      </c>
      <c r="AA357" s="28">
        <f t="shared" si="87"/>
        <v>2.0947103415895203</v>
      </c>
      <c r="AB357" s="28">
        <f t="shared" si="87"/>
        <v>2.2064115736901493</v>
      </c>
      <c r="AC357" s="28">
        <f t="shared" si="87"/>
        <v>2.3375745911599179</v>
      </c>
      <c r="AD357" s="28">
        <f t="shared" si="87"/>
        <v>2.4674301417551581</v>
      </c>
      <c r="AE357" s="28">
        <f t="shared" si="87"/>
        <v>2.6036408947859315</v>
      </c>
      <c r="AF357" s="28">
        <f t="shared" si="87"/>
        <v>2.7431932989553216</v>
      </c>
      <c r="AG357" s="28">
        <f t="shared" si="87"/>
        <v>2.8994590521514279</v>
      </c>
      <c r="AH357" s="28">
        <f t="shared" si="87"/>
        <v>3.037455952913116</v>
      </c>
      <c r="AI357" s="28">
        <f t="shared" si="87"/>
        <v>3.1860329911149803</v>
      </c>
      <c r="AJ357" s="28">
        <f t="shared" si="87"/>
        <v>3.3377024540250857</v>
      </c>
      <c r="AK357" s="28">
        <f t="shared" si="87"/>
        <v>3.4830302875985271</v>
      </c>
      <c r="AL357" s="28">
        <f t="shared" si="87"/>
        <v>3.6284282503451957</v>
      </c>
      <c r="AM357" s="28">
        <f t="shared" si="87"/>
        <v>3.7797085645009982</v>
      </c>
      <c r="AN357" s="28">
        <f t="shared" si="87"/>
        <v>3.9406773028531807</v>
      </c>
      <c r="AO357" s="28">
        <f t="shared" si="87"/>
        <v>4.09252605936598</v>
      </c>
      <c r="AP357" s="28">
        <f t="shared" si="87"/>
        <v>4.2468797909937708</v>
      </c>
      <c r="AQ357" s="28">
        <f t="shared" si="87"/>
        <v>4.4040525088231126</v>
      </c>
      <c r="AR357" s="28">
        <f t="shared" si="87"/>
        <v>4.5723846640377745</v>
      </c>
      <c r="AS357" s="28">
        <f t="shared" si="87"/>
        <v>4.746828077621343</v>
      </c>
      <c r="AT357" s="28">
        <f t="shared" si="87"/>
        <v>4.8441966867749811</v>
      </c>
      <c r="AU357" s="28">
        <f t="shared" si="87"/>
        <v>4.9364837725054729</v>
      </c>
      <c r="AV357" s="28">
        <f t="shared" ref="L357:AW359" si="88">AV1426</f>
        <v>5.0396527637872595</v>
      </c>
      <c r="AW357" s="28">
        <f t="shared" si="88"/>
        <v>5.1386857535726884</v>
      </c>
      <c r="AY357" s="85"/>
    </row>
    <row r="358" spans="1:51" x14ac:dyDescent="0.25">
      <c r="A358" s="102" t="str">
        <f t="shared" si="71"/>
        <v>GS Poultry MMN2O</v>
      </c>
      <c r="B358" s="102" t="s">
        <v>1022</v>
      </c>
      <c r="C358" s="102" t="s">
        <v>1235</v>
      </c>
      <c r="D358" t="s">
        <v>15</v>
      </c>
      <c r="E358" t="s">
        <v>657</v>
      </c>
      <c r="F358" t="s">
        <v>28</v>
      </c>
      <c r="G358" t="s">
        <v>134</v>
      </c>
      <c r="H358" t="s">
        <v>1228</v>
      </c>
      <c r="I358" t="s">
        <v>139</v>
      </c>
      <c r="J358" t="s">
        <v>287</v>
      </c>
      <c r="K358" s="28">
        <f t="shared" si="83"/>
        <v>1.3699637559476618E-2</v>
      </c>
      <c r="L358" s="28">
        <f t="shared" si="88"/>
        <v>1.4007561383444394E-2</v>
      </c>
      <c r="M358" s="28">
        <f t="shared" si="88"/>
        <v>1.4286075109299039E-2</v>
      </c>
      <c r="N358" s="28">
        <f t="shared" si="88"/>
        <v>1.4429859637719061E-2</v>
      </c>
      <c r="O358" s="28">
        <f t="shared" si="88"/>
        <v>1.4577608074186288E-2</v>
      </c>
      <c r="P358" s="28">
        <f t="shared" si="88"/>
        <v>1.4871774799917255E-2</v>
      </c>
      <c r="Q358" s="28">
        <f t="shared" si="88"/>
        <v>1.5123314373966834E-2</v>
      </c>
      <c r="R358" s="28">
        <f t="shared" si="88"/>
        <v>1.5218792553148319E-2</v>
      </c>
      <c r="S358" s="28">
        <f t="shared" si="88"/>
        <v>1.4614385063522554E-2</v>
      </c>
      <c r="T358" s="28">
        <f t="shared" si="88"/>
        <v>1.5049310081165945E-2</v>
      </c>
      <c r="U358" s="28">
        <f t="shared" si="88"/>
        <v>1.5400819201654545E-2</v>
      </c>
      <c r="V358" s="28">
        <f t="shared" si="88"/>
        <v>1.5735786851063062E-2</v>
      </c>
      <c r="W358" s="28">
        <f t="shared" si="88"/>
        <v>1.6107729388846862E-2</v>
      </c>
      <c r="X358" s="28">
        <f t="shared" si="88"/>
        <v>1.6601449364272783E-2</v>
      </c>
      <c r="Y358" s="28">
        <f t="shared" si="88"/>
        <v>1.7120008058823098E-2</v>
      </c>
      <c r="Z358" s="28">
        <f t="shared" si="88"/>
        <v>1.7675866086140329E-2</v>
      </c>
      <c r="AA358" s="28">
        <f t="shared" si="88"/>
        <v>1.8190035947877312E-2</v>
      </c>
      <c r="AB358" s="28">
        <f t="shared" si="88"/>
        <v>1.8766886485041417E-2</v>
      </c>
      <c r="AC358" s="28">
        <f t="shared" si="88"/>
        <v>1.9421175590150126E-2</v>
      </c>
      <c r="AD358" s="28">
        <f t="shared" si="88"/>
        <v>2.0062484927227259E-2</v>
      </c>
      <c r="AE358" s="28">
        <f t="shared" si="88"/>
        <v>2.0734146834697896E-2</v>
      </c>
      <c r="AF358" s="28">
        <f t="shared" si="88"/>
        <v>2.1425302881371316E-2</v>
      </c>
      <c r="AG358" s="28">
        <f t="shared" si="88"/>
        <v>2.2186421037140063E-2</v>
      </c>
      <c r="AH358" s="28">
        <f t="shared" si="88"/>
        <v>2.2886185015107467E-2</v>
      </c>
      <c r="AI358" s="28">
        <f t="shared" si="88"/>
        <v>2.3618263358455356E-2</v>
      </c>
      <c r="AJ358" s="28">
        <f t="shared" si="88"/>
        <v>2.436923543797731E-2</v>
      </c>
      <c r="AK358" s="28">
        <f t="shared" si="88"/>
        <v>2.5102810849256797E-2</v>
      </c>
      <c r="AL358" s="28">
        <f t="shared" si="88"/>
        <v>2.5843359175588099E-2</v>
      </c>
      <c r="AM358" s="28">
        <f t="shared" si="88"/>
        <v>2.6613531738472741E-2</v>
      </c>
      <c r="AN358" s="28">
        <f t="shared" si="88"/>
        <v>2.7414551016467576E-2</v>
      </c>
      <c r="AO358" s="28">
        <f t="shared" si="88"/>
        <v>2.8186512330964811E-2</v>
      </c>
      <c r="AP358" s="28">
        <f t="shared" si="88"/>
        <v>2.8974965391365567E-2</v>
      </c>
      <c r="AQ358" s="28">
        <f t="shared" si="88"/>
        <v>2.978127100159101E-2</v>
      </c>
      <c r="AR358" s="28">
        <f t="shared" si="88"/>
        <v>3.0639120708096691E-2</v>
      </c>
      <c r="AS358" s="28">
        <f t="shared" si="88"/>
        <v>3.1514289254596581E-2</v>
      </c>
      <c r="AT358" s="28">
        <f t="shared" si="88"/>
        <v>3.2082944332634006E-2</v>
      </c>
      <c r="AU358" s="28">
        <f t="shared" si="88"/>
        <v>3.2634463570425723E-2</v>
      </c>
      <c r="AV358" s="28">
        <f t="shared" si="88"/>
        <v>3.3234146365880395E-2</v>
      </c>
      <c r="AW358" s="28">
        <f t="shared" si="88"/>
        <v>3.3820590207555172E-2</v>
      </c>
      <c r="AY358" s="85"/>
    </row>
    <row r="359" spans="1:51" x14ac:dyDescent="0.25">
      <c r="A359" s="102" t="str">
        <f t="shared" si="71"/>
        <v>GS Poultry MMN2O</v>
      </c>
      <c r="B359" s="102" t="s">
        <v>1022</v>
      </c>
      <c r="C359" s="102" t="s">
        <v>1235</v>
      </c>
      <c r="D359" t="s">
        <v>15</v>
      </c>
      <c r="E359" t="s">
        <v>657</v>
      </c>
      <c r="F359" t="s">
        <v>28</v>
      </c>
      <c r="G359" t="s">
        <v>133</v>
      </c>
      <c r="H359" t="s">
        <v>1228</v>
      </c>
      <c r="I359" t="s">
        <v>139</v>
      </c>
      <c r="J359" t="s">
        <v>287</v>
      </c>
      <c r="K359" s="28">
        <f t="shared" si="83"/>
        <v>7.1378315429645331E-2</v>
      </c>
      <c r="L359" s="28">
        <f t="shared" si="88"/>
        <v>7.2703092291466473E-2</v>
      </c>
      <c r="M359" s="28">
        <f t="shared" si="88"/>
        <v>7.3570777666584833E-2</v>
      </c>
      <c r="N359" s="28">
        <f t="shared" si="88"/>
        <v>7.2616424942395619E-2</v>
      </c>
      <c r="O359" s="28">
        <f t="shared" si="88"/>
        <v>7.1690897160612388E-2</v>
      </c>
      <c r="P359" s="28">
        <f t="shared" si="88"/>
        <v>7.2608012917249581E-2</v>
      </c>
      <c r="Q359" s="28">
        <f t="shared" si="88"/>
        <v>7.2961403651452372E-2</v>
      </c>
      <c r="R359" s="28">
        <f t="shared" si="88"/>
        <v>7.1341238724427325E-2</v>
      </c>
      <c r="S359" s="28">
        <f t="shared" si="88"/>
        <v>6.1063412111028503E-2</v>
      </c>
      <c r="T359" s="28">
        <f t="shared" si="88"/>
        <v>6.4327230257843288E-2</v>
      </c>
      <c r="U359" s="28">
        <f t="shared" si="88"/>
        <v>6.6512272026982414E-2</v>
      </c>
      <c r="V359" s="28">
        <f t="shared" si="88"/>
        <v>6.8454495411956071E-2</v>
      </c>
      <c r="W359" s="28">
        <f t="shared" si="88"/>
        <v>7.0799908793239955E-2</v>
      </c>
      <c r="X359" s="28">
        <f t="shared" si="88"/>
        <v>7.4543127608603252E-2</v>
      </c>
      <c r="Y359" s="28">
        <f t="shared" si="88"/>
        <v>7.8729503829471928E-2</v>
      </c>
      <c r="Z359" s="28">
        <f t="shared" si="88"/>
        <v>8.3282057452745667E-2</v>
      </c>
      <c r="AA359" s="28">
        <f t="shared" si="88"/>
        <v>8.7279597566230077E-2</v>
      </c>
      <c r="AB359" s="28">
        <f t="shared" si="88"/>
        <v>9.1933815570422989E-2</v>
      </c>
      <c r="AC359" s="28">
        <f t="shared" si="88"/>
        <v>9.7398941298330002E-2</v>
      </c>
      <c r="AD359" s="28">
        <f t="shared" si="88"/>
        <v>0.10280958923979837</v>
      </c>
      <c r="AE359" s="28">
        <f t="shared" si="88"/>
        <v>0.10848503728274725</v>
      </c>
      <c r="AF359" s="28">
        <f t="shared" si="88"/>
        <v>0.11429972078980519</v>
      </c>
      <c r="AG359" s="28">
        <f t="shared" si="88"/>
        <v>0.12081079383964298</v>
      </c>
      <c r="AH359" s="28">
        <f t="shared" si="88"/>
        <v>0.12656066470471328</v>
      </c>
      <c r="AI359" s="28">
        <f t="shared" si="88"/>
        <v>0.13275137462979095</v>
      </c>
      <c r="AJ359" s="28">
        <f t="shared" si="88"/>
        <v>0.13907093558437875</v>
      </c>
      <c r="AK359" s="28">
        <f t="shared" si="88"/>
        <v>0.14512626198327211</v>
      </c>
      <c r="AL359" s="28">
        <f t="shared" si="88"/>
        <v>0.15118451043105</v>
      </c>
      <c r="AM359" s="28">
        <f t="shared" si="88"/>
        <v>0.15748785685420838</v>
      </c>
      <c r="AN359" s="28">
        <f t="shared" si="88"/>
        <v>0.16419488761888268</v>
      </c>
      <c r="AO359" s="28">
        <f t="shared" si="88"/>
        <v>0.17052191914024933</v>
      </c>
      <c r="AP359" s="28">
        <f t="shared" si="88"/>
        <v>0.17695332462474059</v>
      </c>
      <c r="AQ359" s="28">
        <f t="shared" si="88"/>
        <v>0.18350218786762987</v>
      </c>
      <c r="AR359" s="28">
        <f t="shared" si="88"/>
        <v>0.1905160276682408</v>
      </c>
      <c r="AS359" s="28">
        <f t="shared" si="88"/>
        <v>0.19778450323422284</v>
      </c>
      <c r="AT359" s="28">
        <f t="shared" si="88"/>
        <v>0.20184152861562438</v>
      </c>
      <c r="AU359" s="28">
        <f t="shared" si="88"/>
        <v>0.20568682385439491</v>
      </c>
      <c r="AV359" s="28">
        <f t="shared" si="88"/>
        <v>0.20998553182446936</v>
      </c>
      <c r="AW359" s="28">
        <f t="shared" si="88"/>
        <v>0.21411190639886218</v>
      </c>
      <c r="AY359" s="85"/>
    </row>
    <row r="360" spans="1:51" x14ac:dyDescent="0.25">
      <c r="A360" s="102" t="str">
        <f t="shared" si="71"/>
        <v>GS Synthetic</v>
      </c>
      <c r="B360" s="102" t="s">
        <v>1022</v>
      </c>
      <c r="C360" s="102" t="s">
        <v>1127</v>
      </c>
      <c r="D360" t="s">
        <v>369</v>
      </c>
      <c r="E360" t="s">
        <v>55</v>
      </c>
      <c r="H360" t="s">
        <v>419</v>
      </c>
      <c r="I360" t="s">
        <v>139</v>
      </c>
      <c r="J360" t="s">
        <v>287</v>
      </c>
      <c r="K360" s="22">
        <f>K1463</f>
        <v>6.6064812063358538</v>
      </c>
      <c r="L360" s="22">
        <f t="shared" ref="L360:AW367" si="89">L1463</f>
        <v>6.6056660352543144</v>
      </c>
      <c r="M360" s="22">
        <f t="shared" si="89"/>
        <v>6.6042995522505379</v>
      </c>
      <c r="N360" s="22">
        <f t="shared" si="89"/>
        <v>6.6031365898338095</v>
      </c>
      <c r="O360" s="22">
        <f t="shared" si="89"/>
        <v>6.6027560568732087</v>
      </c>
      <c r="P360" s="22">
        <f t="shared" si="89"/>
        <v>6.6023708971175274</v>
      </c>
      <c r="Q360" s="22">
        <f t="shared" si="89"/>
        <v>6.6011966991986881</v>
      </c>
      <c r="R360" s="22">
        <f t="shared" si="89"/>
        <v>6.6002765167075461</v>
      </c>
      <c r="S360" s="22">
        <f t="shared" si="89"/>
        <v>6.6002145648060502</v>
      </c>
      <c r="T360" s="22">
        <f t="shared" si="89"/>
        <v>6.6040420720172728</v>
      </c>
      <c r="U360" s="22">
        <f t="shared" si="89"/>
        <v>6.6019485697997204</v>
      </c>
      <c r="V360" s="22">
        <f t="shared" si="89"/>
        <v>6.6003652312909882</v>
      </c>
      <c r="W360" s="22">
        <f t="shared" si="89"/>
        <v>6.5989054673114653</v>
      </c>
      <c r="X360" s="22">
        <f t="shared" si="89"/>
        <v>6.5972835879321101</v>
      </c>
      <c r="Y360" s="22">
        <f t="shared" si="89"/>
        <v>6.5950794659321978</v>
      </c>
      <c r="Z360" s="22">
        <f t="shared" si="89"/>
        <v>6.5927714888243178</v>
      </c>
      <c r="AA360" s="22">
        <f t="shared" si="89"/>
        <v>6.5903551292141982</v>
      </c>
      <c r="AB360" s="22">
        <f t="shared" si="89"/>
        <v>6.5882075529961197</v>
      </c>
      <c r="AC360" s="22">
        <f t="shared" si="89"/>
        <v>6.5858383398788654</v>
      </c>
      <c r="AD360" s="22">
        <f t="shared" si="89"/>
        <v>6.5832049506454569</v>
      </c>
      <c r="AE360" s="22">
        <f t="shared" si="89"/>
        <v>6.5806825645343991</v>
      </c>
      <c r="AF360" s="22">
        <f t="shared" si="89"/>
        <v>6.5781181226611025</v>
      </c>
      <c r="AG360" s="22">
        <f t="shared" si="89"/>
        <v>6.5755610222279151</v>
      </c>
      <c r="AH360" s="22">
        <f t="shared" si="89"/>
        <v>6.5728213410220508</v>
      </c>
      <c r="AI360" s="22">
        <f t="shared" si="89"/>
        <v>6.5704025946446434</v>
      </c>
      <c r="AJ360" s="22">
        <f t="shared" si="89"/>
        <v>6.5679167627959911</v>
      </c>
      <c r="AK360" s="22">
        <f t="shared" si="89"/>
        <v>6.5654442966296829</v>
      </c>
      <c r="AL360" s="22">
        <f t="shared" si="89"/>
        <v>6.5631078462466625</v>
      </c>
      <c r="AM360" s="22">
        <f t="shared" si="89"/>
        <v>6.5608183818668682</v>
      </c>
      <c r="AN360" s="22">
        <f t="shared" si="89"/>
        <v>6.5585023260560664</v>
      </c>
      <c r="AO360" s="22">
        <f t="shared" si="89"/>
        <v>6.5561383844940604</v>
      </c>
      <c r="AP360" s="22">
        <f t="shared" si="89"/>
        <v>6.5539317250053788</v>
      </c>
      <c r="AQ360" s="22">
        <f t="shared" si="89"/>
        <v>6.5517393492300551</v>
      </c>
      <c r="AR360" s="22">
        <f t="shared" si="89"/>
        <v>6.5495579618392012</v>
      </c>
      <c r="AS360" s="22">
        <f t="shared" si="89"/>
        <v>6.5472963164045943</v>
      </c>
      <c r="AT360" s="22">
        <f t="shared" si="89"/>
        <v>6.5450342769214798</v>
      </c>
      <c r="AU360" s="22">
        <f t="shared" si="89"/>
        <v>6.5436308710087152</v>
      </c>
      <c r="AV360" s="22">
        <f t="shared" si="89"/>
        <v>6.5422967735758233</v>
      </c>
      <c r="AW360" s="22">
        <f t="shared" si="89"/>
        <v>6.5408646829531705</v>
      </c>
      <c r="AY360" s="85"/>
    </row>
    <row r="361" spans="1:51" x14ac:dyDescent="0.25">
      <c r="A361" s="102" t="str">
        <f t="shared" si="71"/>
        <v>GS Organic</v>
      </c>
      <c r="B361" s="102" t="s">
        <v>1022</v>
      </c>
      <c r="C361" s="102" t="s">
        <v>1128</v>
      </c>
      <c r="D361" t="s">
        <v>369</v>
      </c>
      <c r="E361" t="s">
        <v>55</v>
      </c>
      <c r="H361" t="s">
        <v>420</v>
      </c>
      <c r="I361" t="s">
        <v>139</v>
      </c>
      <c r="J361" t="s">
        <v>287</v>
      </c>
      <c r="K361" s="22">
        <f t="shared" ref="K361:Z424" si="90">K1464</f>
        <v>4.3602775961816637E-2</v>
      </c>
      <c r="L361" s="22">
        <f t="shared" si="90"/>
        <v>4.3597395832678479E-2</v>
      </c>
      <c r="M361" s="22">
        <f t="shared" si="90"/>
        <v>4.3588377044853563E-2</v>
      </c>
      <c r="N361" s="22">
        <f t="shared" si="90"/>
        <v>4.3580701492903162E-2</v>
      </c>
      <c r="O361" s="22">
        <f t="shared" si="90"/>
        <v>4.3578189975363169E-2</v>
      </c>
      <c r="P361" s="22">
        <f t="shared" si="90"/>
        <v>4.3575647920975694E-2</v>
      </c>
      <c r="Q361" s="22">
        <f t="shared" si="90"/>
        <v>4.3567898214711354E-2</v>
      </c>
      <c r="R361" s="22">
        <f t="shared" si="90"/>
        <v>4.3561825010269811E-2</v>
      </c>
      <c r="S361" s="22">
        <f t="shared" si="90"/>
        <v>4.3561416127719944E-2</v>
      </c>
      <c r="T361" s="22">
        <f t="shared" si="90"/>
        <v>4.358667767531401E-2</v>
      </c>
      <c r="U361" s="22">
        <f t="shared" si="90"/>
        <v>4.3572860560678155E-2</v>
      </c>
      <c r="V361" s="22">
        <f t="shared" si="90"/>
        <v>4.3562410526520524E-2</v>
      </c>
      <c r="W361" s="22">
        <f t="shared" si="90"/>
        <v>4.3552776084255673E-2</v>
      </c>
      <c r="X361" s="22">
        <f t="shared" si="90"/>
        <v>4.3542071680351936E-2</v>
      </c>
      <c r="Y361" s="22">
        <f t="shared" si="90"/>
        <v>4.3527524475152499E-2</v>
      </c>
      <c r="Z361" s="22">
        <f t="shared" si="90"/>
        <v>4.3512291826240515E-2</v>
      </c>
      <c r="AA361" s="22">
        <f t="shared" si="89"/>
        <v>4.3496343852813708E-2</v>
      </c>
      <c r="AB361" s="22">
        <f t="shared" si="89"/>
        <v>4.3482169849774405E-2</v>
      </c>
      <c r="AC361" s="22">
        <f t="shared" si="89"/>
        <v>4.3466533043200514E-2</v>
      </c>
      <c r="AD361" s="22">
        <f t="shared" si="89"/>
        <v>4.3449152674260021E-2</v>
      </c>
      <c r="AE361" s="22">
        <f t="shared" si="89"/>
        <v>4.3432504925927033E-2</v>
      </c>
      <c r="AF361" s="22">
        <f t="shared" si="89"/>
        <v>4.3415579609563271E-2</v>
      </c>
      <c r="AG361" s="22">
        <f t="shared" si="89"/>
        <v>4.3398702746704231E-2</v>
      </c>
      <c r="AH361" s="22">
        <f t="shared" si="89"/>
        <v>4.3380620850745545E-2</v>
      </c>
      <c r="AI361" s="22">
        <f t="shared" si="89"/>
        <v>4.3364657124654649E-2</v>
      </c>
      <c r="AJ361" s="22">
        <f t="shared" si="89"/>
        <v>4.3348250634453557E-2</v>
      </c>
      <c r="AK361" s="22">
        <f t="shared" si="89"/>
        <v>4.3331932357755919E-2</v>
      </c>
      <c r="AL361" s="22">
        <f t="shared" si="89"/>
        <v>4.3316511785227982E-2</v>
      </c>
      <c r="AM361" s="22">
        <f t="shared" si="89"/>
        <v>4.3301401320321335E-2</v>
      </c>
      <c r="AN361" s="22">
        <f t="shared" si="89"/>
        <v>4.328611535197005E-2</v>
      </c>
      <c r="AO361" s="22">
        <f t="shared" si="89"/>
        <v>4.3270513337660813E-2</v>
      </c>
      <c r="AP361" s="22">
        <f t="shared" si="89"/>
        <v>4.3255949385035505E-2</v>
      </c>
      <c r="AQ361" s="22">
        <f t="shared" si="89"/>
        <v>4.3241479704918373E-2</v>
      </c>
      <c r="AR361" s="22">
        <f t="shared" si="89"/>
        <v>4.3227082548138743E-2</v>
      </c>
      <c r="AS361" s="22">
        <f t="shared" si="89"/>
        <v>4.3212155688270325E-2</v>
      </c>
      <c r="AT361" s="22">
        <f t="shared" si="89"/>
        <v>4.3197226227681768E-2</v>
      </c>
      <c r="AU361" s="22">
        <f t="shared" si="89"/>
        <v>4.3187963748657528E-2</v>
      </c>
      <c r="AV361" s="22">
        <f t="shared" si="89"/>
        <v>4.3179158705600441E-2</v>
      </c>
      <c r="AW361" s="22">
        <f t="shared" si="89"/>
        <v>4.3169706907490939E-2</v>
      </c>
      <c r="AY361" s="85"/>
    </row>
    <row r="362" spans="1:51" x14ac:dyDescent="0.25">
      <c r="A362" s="102" t="str">
        <f t="shared" si="71"/>
        <v>GS Crop residues</v>
      </c>
      <c r="B362" s="102" t="s">
        <v>1022</v>
      </c>
      <c r="C362" s="102" t="s">
        <v>58</v>
      </c>
      <c r="D362" t="s">
        <v>369</v>
      </c>
      <c r="E362" t="s">
        <v>55</v>
      </c>
      <c r="H362" t="s">
        <v>58</v>
      </c>
      <c r="I362" t="s">
        <v>139</v>
      </c>
      <c r="J362" t="s">
        <v>287</v>
      </c>
      <c r="K362" s="22">
        <f t="shared" si="90"/>
        <v>2.94930909510781</v>
      </c>
      <c r="L362" s="22">
        <f t="shared" si="89"/>
        <v>2.9553948259346963</v>
      </c>
      <c r="M362" s="22">
        <f t="shared" si="89"/>
        <v>2.9655964240149095</v>
      </c>
      <c r="N362" s="22">
        <f t="shared" si="89"/>
        <v>2.9742786213968655</v>
      </c>
      <c r="O362" s="22">
        <f t="shared" si="89"/>
        <v>2.9771195234129291</v>
      </c>
      <c r="P362" s="22">
        <f t="shared" si="89"/>
        <v>2.9799949671713049</v>
      </c>
      <c r="Q362" s="22">
        <f t="shared" si="89"/>
        <v>2.9887610441744785</v>
      </c>
      <c r="R362" s="22">
        <f t="shared" si="89"/>
        <v>2.9956307468412153</v>
      </c>
      <c r="S362" s="22">
        <f t="shared" si="89"/>
        <v>2.9960932541666816</v>
      </c>
      <c r="T362" s="22">
        <f t="shared" si="89"/>
        <v>2.9675186651595986</v>
      </c>
      <c r="U362" s="22">
        <f t="shared" si="89"/>
        <v>2.9831478886073279</v>
      </c>
      <c r="V362" s="22">
        <f t="shared" si="89"/>
        <v>2.9949684403788361</v>
      </c>
      <c r="W362" s="22">
        <f t="shared" si="89"/>
        <v>3.0058664357215821</v>
      </c>
      <c r="X362" s="22">
        <f t="shared" si="89"/>
        <v>3.0179747177251275</v>
      </c>
      <c r="Y362" s="22">
        <f t="shared" si="89"/>
        <v>3.0344297828088291</v>
      </c>
      <c r="Z362" s="22">
        <f t="shared" si="89"/>
        <v>3.051660187261632</v>
      </c>
      <c r="AA362" s="22">
        <f t="shared" si="89"/>
        <v>3.0696997307404872</v>
      </c>
      <c r="AB362" s="22">
        <f t="shared" si="89"/>
        <v>3.0857326483566894</v>
      </c>
      <c r="AC362" s="22">
        <f t="shared" si="89"/>
        <v>3.1034202155798769</v>
      </c>
      <c r="AD362" s="22">
        <f t="shared" si="89"/>
        <v>3.1230800126456195</v>
      </c>
      <c r="AE362" s="22">
        <f t="shared" si="89"/>
        <v>3.1419111062172522</v>
      </c>
      <c r="AF362" s="22">
        <f t="shared" si="89"/>
        <v>3.1610561707509404</v>
      </c>
      <c r="AG362" s="22">
        <f t="shared" si="89"/>
        <v>3.1801464271230016</v>
      </c>
      <c r="AH362" s="22">
        <f t="shared" si="89"/>
        <v>3.2005997561822985</v>
      </c>
      <c r="AI362" s="22">
        <f t="shared" si="89"/>
        <v>3.2186571182805661</v>
      </c>
      <c r="AJ362" s="22">
        <f t="shared" si="89"/>
        <v>3.2372153128171188</v>
      </c>
      <c r="AK362" s="22">
        <f t="shared" si="89"/>
        <v>3.2556737246860838</v>
      </c>
      <c r="AL362" s="22">
        <f t="shared" si="89"/>
        <v>3.2731166988585363</v>
      </c>
      <c r="AM362" s="22">
        <f t="shared" si="89"/>
        <v>3.2902088949247208</v>
      </c>
      <c r="AN362" s="22">
        <f t="shared" si="89"/>
        <v>3.3074996116389994</v>
      </c>
      <c r="AO362" s="22">
        <f t="shared" si="89"/>
        <v>3.3251478236065783</v>
      </c>
      <c r="AP362" s="22">
        <f t="shared" si="89"/>
        <v>3.3416218325340545</v>
      </c>
      <c r="AQ362" s="22">
        <f t="shared" si="89"/>
        <v>3.3579892051532951</v>
      </c>
      <c r="AR362" s="22">
        <f t="shared" si="89"/>
        <v>3.3742745430296259</v>
      </c>
      <c r="AS362" s="22">
        <f t="shared" si="89"/>
        <v>3.391159054333535</v>
      </c>
      <c r="AT362" s="22">
        <f t="shared" si="89"/>
        <v>3.4080465074409378</v>
      </c>
      <c r="AU362" s="22">
        <f t="shared" si="89"/>
        <v>3.4185237567194666</v>
      </c>
      <c r="AV362" s="22">
        <f t="shared" si="89"/>
        <v>3.4284835774948501</v>
      </c>
      <c r="AW362" s="22">
        <f t="shared" si="89"/>
        <v>3.439174974977584</v>
      </c>
      <c r="AY362" s="85"/>
    </row>
    <row r="363" spans="1:51" x14ac:dyDescent="0.25">
      <c r="A363" s="102" t="str">
        <f t="shared" si="71"/>
        <v>GS Organic</v>
      </c>
      <c r="B363" s="102" t="s">
        <v>1022</v>
      </c>
      <c r="C363" s="102" t="s">
        <v>1128</v>
      </c>
      <c r="D363" t="s">
        <v>369</v>
      </c>
      <c r="E363" t="s">
        <v>55</v>
      </c>
      <c r="F363" t="s">
        <v>421</v>
      </c>
      <c r="G363" t="s">
        <v>1153</v>
      </c>
      <c r="H363" t="s">
        <v>1154</v>
      </c>
      <c r="I363" t="s">
        <v>139</v>
      </c>
      <c r="J363" t="s">
        <v>287</v>
      </c>
      <c r="K363" s="22">
        <f t="shared" si="90"/>
        <v>0.31910516055557447</v>
      </c>
      <c r="L363" s="22">
        <f t="shared" si="89"/>
        <v>0.32125977651579962</v>
      </c>
      <c r="M363" s="22">
        <f t="shared" si="89"/>
        <v>0.32314451970240549</v>
      </c>
      <c r="N363" s="22">
        <f t="shared" si="89"/>
        <v>0.32338831518425315</v>
      </c>
      <c r="O363" s="22">
        <f t="shared" si="89"/>
        <v>0.32380822899810918</v>
      </c>
      <c r="P363" s="22">
        <f t="shared" si="89"/>
        <v>0.32621761700786678</v>
      </c>
      <c r="Q363" s="22">
        <f t="shared" si="89"/>
        <v>0.32814424518292917</v>
      </c>
      <c r="R363" s="22">
        <f t="shared" si="89"/>
        <v>0.32816113797461788</v>
      </c>
      <c r="S363" s="22">
        <f t="shared" si="89"/>
        <v>0.31946691799605059</v>
      </c>
      <c r="T363" s="22">
        <f t="shared" si="89"/>
        <v>0.32366704753421133</v>
      </c>
      <c r="U363" s="22">
        <f t="shared" si="89"/>
        <v>0.32684647343041223</v>
      </c>
      <c r="V363" s="22">
        <f t="shared" si="89"/>
        <v>0.32984618652559566</v>
      </c>
      <c r="W363" s="22">
        <f t="shared" si="89"/>
        <v>0.33332444228182462</v>
      </c>
      <c r="X363" s="22">
        <f t="shared" si="89"/>
        <v>0.33830825606612447</v>
      </c>
      <c r="Y363" s="22">
        <f t="shared" si="89"/>
        <v>0.34349698611877544</v>
      </c>
      <c r="Z363" s="22">
        <f t="shared" si="89"/>
        <v>0.34913311823129872</v>
      </c>
      <c r="AA363" s="22">
        <f t="shared" si="89"/>
        <v>0.3542586043658163</v>
      </c>
      <c r="AB363" s="22">
        <f t="shared" si="89"/>
        <v>0.36013116096519615</v>
      </c>
      <c r="AC363" s="22">
        <f t="shared" si="89"/>
        <v>0.36691641068568986</v>
      </c>
      <c r="AD363" s="22">
        <f t="shared" si="89"/>
        <v>0.3734489276960708</v>
      </c>
      <c r="AE363" s="22">
        <f t="shared" si="89"/>
        <v>0.38032201074224209</v>
      </c>
      <c r="AF363" s="22">
        <f t="shared" si="89"/>
        <v>0.3874035589263955</v>
      </c>
      <c r="AG363" s="22">
        <f t="shared" si="89"/>
        <v>0.39528331644509546</v>
      </c>
      <c r="AH363" s="22">
        <f t="shared" si="89"/>
        <v>0.402417436180809</v>
      </c>
      <c r="AI363" s="22">
        <f t="shared" si="89"/>
        <v>0.40983057953506236</v>
      </c>
      <c r="AJ363" s="22">
        <f t="shared" si="89"/>
        <v>0.41743748809199982</v>
      </c>
      <c r="AK363" s="22">
        <f t="shared" si="89"/>
        <v>0.42481700614270618</v>
      </c>
      <c r="AL363" s="22">
        <f t="shared" si="89"/>
        <v>0.4322524543038212</v>
      </c>
      <c r="AM363" s="22">
        <f t="shared" si="89"/>
        <v>0.44000331272539195</v>
      </c>
      <c r="AN363" s="22">
        <f t="shared" si="89"/>
        <v>0.44801081079437804</v>
      </c>
      <c r="AO363" s="22">
        <f t="shared" si="89"/>
        <v>0.45565879156165573</v>
      </c>
      <c r="AP363" s="22">
        <f t="shared" si="89"/>
        <v>0.46346832830199552</v>
      </c>
      <c r="AQ363" s="22">
        <f t="shared" si="89"/>
        <v>0.47145349561124583</v>
      </c>
      <c r="AR363" s="22">
        <f t="shared" si="89"/>
        <v>0.47999285299993844</v>
      </c>
      <c r="AS363" s="22">
        <f t="shared" si="89"/>
        <v>0.4886261928960397</v>
      </c>
      <c r="AT363" s="22">
        <f t="shared" si="89"/>
        <v>0.49379335063722096</v>
      </c>
      <c r="AU363" s="22">
        <f t="shared" si="89"/>
        <v>0.4987597531133639</v>
      </c>
      <c r="AV363" s="22">
        <f t="shared" si="89"/>
        <v>0.5042544828247203</v>
      </c>
      <c r="AW363" s="22">
        <f t="shared" si="89"/>
        <v>0.50959085302689011</v>
      </c>
      <c r="AY363" s="85"/>
    </row>
    <row r="364" spans="1:51" x14ac:dyDescent="0.25">
      <c r="A364" s="102" t="str">
        <f t="shared" si="71"/>
        <v>GS Organic</v>
      </c>
      <c r="B364" s="102" t="s">
        <v>1022</v>
      </c>
      <c r="C364" s="102" t="s">
        <v>1128</v>
      </c>
      <c r="D364" t="s">
        <v>369</v>
      </c>
      <c r="E364" t="s">
        <v>55</v>
      </c>
      <c r="F364" t="s">
        <v>421</v>
      </c>
      <c r="G364" t="s">
        <v>1155</v>
      </c>
      <c r="H364" t="s">
        <v>1156</v>
      </c>
      <c r="I364" t="s">
        <v>139</v>
      </c>
      <c r="J364" t="s">
        <v>287</v>
      </c>
      <c r="K364" s="22">
        <f t="shared" si="90"/>
        <v>0.93305416014115006</v>
      </c>
      <c r="L364" s="22">
        <f t="shared" si="89"/>
        <v>0.93935419421673338</v>
      </c>
      <c r="M364" s="22">
        <f t="shared" si="89"/>
        <v>0.94486512819222468</v>
      </c>
      <c r="N364" s="22">
        <f t="shared" si="89"/>
        <v>0.94557797905356933</v>
      </c>
      <c r="O364" s="22">
        <f t="shared" si="89"/>
        <v>0.94680579476873028</v>
      </c>
      <c r="P364" s="22">
        <f t="shared" si="89"/>
        <v>0.9538507748686591</v>
      </c>
      <c r="Q364" s="22">
        <f t="shared" si="89"/>
        <v>0.95948417932585228</v>
      </c>
      <c r="R364" s="22">
        <f t="shared" si="89"/>
        <v>0.95953357335487388</v>
      </c>
      <c r="S364" s="22">
        <f t="shared" si="89"/>
        <v>0.9341119283208017</v>
      </c>
      <c r="T364" s="22">
        <f t="shared" si="89"/>
        <v>0.94639298429585894</v>
      </c>
      <c r="U364" s="22">
        <f t="shared" si="89"/>
        <v>0.95568953266300471</v>
      </c>
      <c r="V364" s="22">
        <f t="shared" si="89"/>
        <v>0.96446060605403905</v>
      </c>
      <c r="W364" s="22">
        <f t="shared" si="89"/>
        <v>0.97463092419535036</v>
      </c>
      <c r="X364" s="22">
        <f t="shared" si="89"/>
        <v>0.98920344999441168</v>
      </c>
      <c r="Y364" s="22">
        <f t="shared" si="89"/>
        <v>1.0043751449712224</v>
      </c>
      <c r="Z364" s="22">
        <f t="shared" si="89"/>
        <v>1.0208550304909023</v>
      </c>
      <c r="AA364" s="22">
        <f t="shared" si="89"/>
        <v>1.0358418021000837</v>
      </c>
      <c r="AB364" s="22">
        <f t="shared" si="89"/>
        <v>1.0530129859072517</v>
      </c>
      <c r="AC364" s="22">
        <f t="shared" si="89"/>
        <v>1.0728528577171612</v>
      </c>
      <c r="AD364" s="22">
        <f t="shared" si="89"/>
        <v>1.0919537464715672</v>
      </c>
      <c r="AE364" s="22">
        <f t="shared" si="89"/>
        <v>1.1120504403578721</v>
      </c>
      <c r="AF364" s="22">
        <f t="shared" si="89"/>
        <v>1.1327566802129738</v>
      </c>
      <c r="AG364" s="22">
        <f t="shared" si="89"/>
        <v>1.1557968608259288</v>
      </c>
      <c r="AH364" s="22">
        <f t="shared" si="89"/>
        <v>1.1766568183608164</v>
      </c>
      <c r="AI364" s="22">
        <f t="shared" si="89"/>
        <v>1.1983326327988097</v>
      </c>
      <c r="AJ364" s="22">
        <f t="shared" si="89"/>
        <v>1.2205750110245537</v>
      </c>
      <c r="AK364" s="22">
        <f t="shared" si="89"/>
        <v>1.2421525060580416</v>
      </c>
      <c r="AL364" s="22">
        <f t="shared" si="89"/>
        <v>1.2638935390991974</v>
      </c>
      <c r="AM364" s="22">
        <f t="shared" si="89"/>
        <v>1.2865568225206274</v>
      </c>
      <c r="AN364" s="22">
        <f t="shared" si="89"/>
        <v>1.3099705127680101</v>
      </c>
      <c r="AO364" s="22">
        <f t="shared" si="89"/>
        <v>1.3323329849360066</v>
      </c>
      <c r="AP364" s="22">
        <f t="shared" si="89"/>
        <v>1.3551678420460032</v>
      </c>
      <c r="AQ364" s="22">
        <f t="shared" si="89"/>
        <v>1.3785162378047791</v>
      </c>
      <c r="AR364" s="22">
        <f t="shared" si="89"/>
        <v>1.4034850691536036</v>
      </c>
      <c r="AS364" s="22">
        <f t="shared" si="89"/>
        <v>1.4287287026064286</v>
      </c>
      <c r="AT364" s="22">
        <f t="shared" si="89"/>
        <v>1.4438373207751876</v>
      </c>
      <c r="AU364" s="22">
        <f t="shared" si="89"/>
        <v>1.4583589364182332</v>
      </c>
      <c r="AV364" s="22">
        <f t="shared" si="89"/>
        <v>1.4744253654509265</v>
      </c>
      <c r="AW364" s="22">
        <f t="shared" si="89"/>
        <v>1.490028755908539</v>
      </c>
      <c r="AY364" s="85"/>
    </row>
    <row r="365" spans="1:51" x14ac:dyDescent="0.25">
      <c r="A365" s="102" t="str">
        <f t="shared" si="71"/>
        <v>GS Organic</v>
      </c>
      <c r="B365" s="102" t="s">
        <v>1022</v>
      </c>
      <c r="C365" s="102" t="s">
        <v>1128</v>
      </c>
      <c r="D365" t="s">
        <v>369</v>
      </c>
      <c r="E365" t="s">
        <v>55</v>
      </c>
      <c r="F365" t="s">
        <v>421</v>
      </c>
      <c r="G365" t="s">
        <v>1157</v>
      </c>
      <c r="H365" t="s">
        <v>1158</v>
      </c>
      <c r="I365" t="s">
        <v>139</v>
      </c>
      <c r="J365" t="s">
        <v>287</v>
      </c>
      <c r="K365" s="22">
        <f t="shared" si="90"/>
        <v>4.9913136648560473E-2</v>
      </c>
      <c r="L365" s="22">
        <f t="shared" si="89"/>
        <v>5.0250152949583772E-2</v>
      </c>
      <c r="M365" s="22">
        <f t="shared" si="89"/>
        <v>5.0544956844502678E-2</v>
      </c>
      <c r="N365" s="22">
        <f t="shared" si="89"/>
        <v>5.0583090346256708E-2</v>
      </c>
      <c r="O365" s="22">
        <f t="shared" si="89"/>
        <v>5.0648771564119566E-2</v>
      </c>
      <c r="P365" s="22">
        <f t="shared" si="89"/>
        <v>5.1025638277152528E-2</v>
      </c>
      <c r="Q365" s="22">
        <f t="shared" si="89"/>
        <v>5.1326993652306703E-2</v>
      </c>
      <c r="R365" s="22">
        <f t="shared" si="89"/>
        <v>5.1329635954356786E-2</v>
      </c>
      <c r="S365" s="22">
        <f t="shared" si="89"/>
        <v>4.9969721282067128E-2</v>
      </c>
      <c r="T365" s="22">
        <f t="shared" si="89"/>
        <v>5.0626688531405499E-2</v>
      </c>
      <c r="U365" s="22">
        <f t="shared" si="89"/>
        <v>5.1124001451524841E-2</v>
      </c>
      <c r="V365" s="22">
        <f t="shared" si="89"/>
        <v>5.1593204423252687E-2</v>
      </c>
      <c r="W365" s="22">
        <f t="shared" si="89"/>
        <v>5.2137259099639094E-2</v>
      </c>
      <c r="X365" s="22">
        <f t="shared" si="89"/>
        <v>5.2916807064371608E-2</v>
      </c>
      <c r="Y365" s="22">
        <f t="shared" si="89"/>
        <v>5.3728407201766935E-2</v>
      </c>
      <c r="Z365" s="22">
        <f t="shared" si="89"/>
        <v>5.4609988157123229E-2</v>
      </c>
      <c r="AA365" s="22">
        <f t="shared" si="89"/>
        <v>5.5411695937019619E-2</v>
      </c>
      <c r="AB365" s="22">
        <f t="shared" si="89"/>
        <v>5.6330257452950339E-2</v>
      </c>
      <c r="AC365" s="22">
        <f t="shared" si="89"/>
        <v>5.7391578729936159E-2</v>
      </c>
      <c r="AD365" s="22">
        <f t="shared" si="89"/>
        <v>5.8413368580123831E-2</v>
      </c>
      <c r="AE365" s="22">
        <f t="shared" si="89"/>
        <v>5.9488428390134962E-2</v>
      </c>
      <c r="AF365" s="22">
        <f t="shared" si="89"/>
        <v>6.0596095472621583E-2</v>
      </c>
      <c r="AG365" s="22">
        <f t="shared" si="89"/>
        <v>6.1828615225995781E-2</v>
      </c>
      <c r="AH365" s="22">
        <f t="shared" si="89"/>
        <v>6.2944505337631407E-2</v>
      </c>
      <c r="AI365" s="22">
        <f t="shared" si="89"/>
        <v>6.4104039193467549E-2</v>
      </c>
      <c r="AJ365" s="22">
        <f t="shared" si="89"/>
        <v>6.5293881017443309E-2</v>
      </c>
      <c r="AK365" s="22">
        <f t="shared" si="89"/>
        <v>6.6448155339501103E-2</v>
      </c>
      <c r="AL365" s="22">
        <f t="shared" si="89"/>
        <v>6.7611178022878776E-2</v>
      </c>
      <c r="AM365" s="22">
        <f t="shared" si="89"/>
        <v>6.8823535901598024E-2</v>
      </c>
      <c r="AN365" s="22">
        <f t="shared" si="89"/>
        <v>7.0076036314422829E-2</v>
      </c>
      <c r="AO365" s="22">
        <f t="shared" si="89"/>
        <v>7.1272302487173145E-2</v>
      </c>
      <c r="AP365" s="22">
        <f t="shared" si="89"/>
        <v>7.2493838590832138E-2</v>
      </c>
      <c r="AQ365" s="22">
        <f t="shared" si="89"/>
        <v>7.3742846116671951E-2</v>
      </c>
      <c r="AR365" s="22">
        <f t="shared" si="89"/>
        <v>7.507853780993895E-2</v>
      </c>
      <c r="AS365" s="22">
        <f t="shared" si="89"/>
        <v>7.6428929866329778E-2</v>
      </c>
      <c r="AT365" s="22">
        <f t="shared" si="89"/>
        <v>7.7237155750145656E-2</v>
      </c>
      <c r="AU365" s="22">
        <f t="shared" si="89"/>
        <v>7.8013980308582434E-2</v>
      </c>
      <c r="AV365" s="22">
        <f t="shared" si="89"/>
        <v>7.8873443673111984E-2</v>
      </c>
      <c r="AW365" s="22">
        <f t="shared" si="89"/>
        <v>7.970813708466469E-2</v>
      </c>
      <c r="AY365" s="85"/>
    </row>
    <row r="366" spans="1:51" x14ac:dyDescent="0.25">
      <c r="A366" s="102" t="str">
        <f t="shared" si="71"/>
        <v>GS Organic</v>
      </c>
      <c r="B366" s="102" t="s">
        <v>1022</v>
      </c>
      <c r="C366" s="102" t="s">
        <v>1128</v>
      </c>
      <c r="D366" t="s">
        <v>369</v>
      </c>
      <c r="E366" t="s">
        <v>55</v>
      </c>
      <c r="F366" t="s">
        <v>421</v>
      </c>
      <c r="G366" t="s">
        <v>1159</v>
      </c>
      <c r="H366" t="s">
        <v>1160</v>
      </c>
      <c r="I366" t="s">
        <v>139</v>
      </c>
      <c r="J366" t="s">
        <v>287</v>
      </c>
      <c r="K366" s="22">
        <f t="shared" si="90"/>
        <v>0.40197336823107255</v>
      </c>
      <c r="L366" s="22">
        <f t="shared" si="89"/>
        <v>0.39992683453201888</v>
      </c>
      <c r="M366" s="22">
        <f t="shared" si="89"/>
        <v>0.39619153570803745</v>
      </c>
      <c r="N366" s="22">
        <f t="shared" si="89"/>
        <v>0.38596696743557218</v>
      </c>
      <c r="O366" s="22">
        <f t="shared" si="89"/>
        <v>0.37615042112991043</v>
      </c>
      <c r="P366" s="22">
        <f t="shared" si="89"/>
        <v>0.37293713836150383</v>
      </c>
      <c r="Q366" s="22">
        <f t="shared" si="89"/>
        <v>0.36774734482056881</v>
      </c>
      <c r="R366" s="22">
        <f t="shared" si="89"/>
        <v>0.35608688957109119</v>
      </c>
      <c r="S366" s="22">
        <f t="shared" si="89"/>
        <v>0.31696486473191704</v>
      </c>
      <c r="T366" s="22">
        <f t="shared" si="89"/>
        <v>0.32470985028067645</v>
      </c>
      <c r="U366" s="22">
        <f t="shared" si="89"/>
        <v>0.32889312054031467</v>
      </c>
      <c r="V366" s="22">
        <f t="shared" si="89"/>
        <v>0.33221809700085297</v>
      </c>
      <c r="W366" s="22">
        <f t="shared" si="89"/>
        <v>0.33668665148563554</v>
      </c>
      <c r="X366" s="22">
        <f t="shared" si="89"/>
        <v>0.34526566414363768</v>
      </c>
      <c r="Y366" s="22">
        <f t="shared" si="89"/>
        <v>0.3546551951018343</v>
      </c>
      <c r="Z366" s="22">
        <f t="shared" si="89"/>
        <v>0.36488607427670622</v>
      </c>
      <c r="AA366" s="22">
        <f t="shared" si="89"/>
        <v>0.37322811475659617</v>
      </c>
      <c r="AB366" s="22">
        <f t="shared" si="89"/>
        <v>0.38324164621633577</v>
      </c>
      <c r="AC366" s="22">
        <f t="shared" si="89"/>
        <v>0.39530317301942447</v>
      </c>
      <c r="AD366" s="22">
        <f t="shared" si="89"/>
        <v>0.40324844631367707</v>
      </c>
      <c r="AE366" s="22">
        <f t="shared" si="89"/>
        <v>0.41136426834445033</v>
      </c>
      <c r="AF366" s="22">
        <f t="shared" si="89"/>
        <v>0.41927237917692112</v>
      </c>
      <c r="AG366" s="22">
        <f t="shared" si="89"/>
        <v>0.428421433457634</v>
      </c>
      <c r="AH366" s="22">
        <f t="shared" si="89"/>
        <v>0.43494110190191582</v>
      </c>
      <c r="AI366" s="22">
        <f t="shared" si="89"/>
        <v>0.44180947123061814</v>
      </c>
      <c r="AJ366" s="22">
        <f t="shared" si="89"/>
        <v>0.4483818832498262</v>
      </c>
      <c r="AK366" s="22">
        <f t="shared" si="89"/>
        <v>0.45369176487192819</v>
      </c>
      <c r="AL366" s="22">
        <f t="shared" si="89"/>
        <v>0.45841729176886709</v>
      </c>
      <c r="AM366" s="22">
        <f t="shared" si="89"/>
        <v>0.46312160165358524</v>
      </c>
      <c r="AN366" s="22">
        <f t="shared" si="89"/>
        <v>0.47036226337760684</v>
      </c>
      <c r="AO366" s="22">
        <f t="shared" si="89"/>
        <v>0.47625895476630487</v>
      </c>
      <c r="AP366" s="22">
        <f t="shared" si="89"/>
        <v>0.48192117394918943</v>
      </c>
      <c r="AQ366" s="22">
        <f t="shared" si="89"/>
        <v>0.48736750310542487</v>
      </c>
      <c r="AR366" s="22">
        <f t="shared" si="89"/>
        <v>0.49331923171164554</v>
      </c>
      <c r="AS366" s="22">
        <f t="shared" si="89"/>
        <v>0.49914888511282934</v>
      </c>
      <c r="AT366" s="22">
        <f t="shared" si="89"/>
        <v>0.49794780494726931</v>
      </c>
      <c r="AU366" s="22">
        <f t="shared" si="89"/>
        <v>0.49606316174761622</v>
      </c>
      <c r="AV366" s="22">
        <f t="shared" si="89"/>
        <v>0.49481743932732059</v>
      </c>
      <c r="AW366" s="22">
        <f t="shared" si="89"/>
        <v>0.49296371491806151</v>
      </c>
      <c r="AY366" s="85"/>
    </row>
    <row r="367" spans="1:51" x14ac:dyDescent="0.25">
      <c r="A367" s="102" t="str">
        <f t="shared" si="71"/>
        <v>GS Organic</v>
      </c>
      <c r="B367" s="102" t="s">
        <v>1022</v>
      </c>
      <c r="C367" s="102" t="s">
        <v>1128</v>
      </c>
      <c r="D367" t="s">
        <v>369</v>
      </c>
      <c r="E367" t="s">
        <v>55</v>
      </c>
      <c r="F367" t="s">
        <v>421</v>
      </c>
      <c r="G367" t="s">
        <v>1161</v>
      </c>
      <c r="H367" t="s">
        <v>1162</v>
      </c>
      <c r="I367" t="s">
        <v>139</v>
      </c>
      <c r="J367" t="s">
        <v>287</v>
      </c>
      <c r="K367" s="22">
        <f t="shared" si="90"/>
        <v>2.6734246327620794</v>
      </c>
      <c r="L367" s="22">
        <f t="shared" si="89"/>
        <v>2.6598136474699339</v>
      </c>
      <c r="M367" s="22">
        <f t="shared" si="89"/>
        <v>2.6349711064560761</v>
      </c>
      <c r="N367" s="22">
        <f t="shared" si="89"/>
        <v>2.5669700525572687</v>
      </c>
      <c r="O367" s="22">
        <f t="shared" si="89"/>
        <v>2.5016826510120014</v>
      </c>
      <c r="P367" s="22">
        <f t="shared" ref="L367:AW373" si="91">P1470</f>
        <v>2.4803119086096084</v>
      </c>
      <c r="Q367" s="22">
        <f t="shared" si="91"/>
        <v>2.4457958859379039</v>
      </c>
      <c r="R367" s="22">
        <f t="shared" si="91"/>
        <v>2.3682451058194229</v>
      </c>
      <c r="S367" s="22">
        <f t="shared" si="91"/>
        <v>2.1080542743998265</v>
      </c>
      <c r="T367" s="22">
        <f t="shared" si="91"/>
        <v>2.1595642419321464</v>
      </c>
      <c r="U367" s="22">
        <f t="shared" si="91"/>
        <v>2.1873861292547638</v>
      </c>
      <c r="V367" s="22">
        <f t="shared" si="91"/>
        <v>2.2094997185506768</v>
      </c>
      <c r="W367" s="22">
        <f t="shared" si="91"/>
        <v>2.2392189601139396</v>
      </c>
      <c r="X367" s="22">
        <f t="shared" si="91"/>
        <v>2.2962758339700611</v>
      </c>
      <c r="Y367" s="22">
        <f t="shared" si="91"/>
        <v>2.3587232629233519</v>
      </c>
      <c r="Z367" s="22">
        <f t="shared" si="91"/>
        <v>2.4267662890603274</v>
      </c>
      <c r="AA367" s="22">
        <f t="shared" si="91"/>
        <v>2.482247120053132</v>
      </c>
      <c r="AB367" s="22">
        <f t="shared" si="91"/>
        <v>2.5488446207363533</v>
      </c>
      <c r="AC367" s="22">
        <f t="shared" si="91"/>
        <v>2.6290628277434434</v>
      </c>
      <c r="AD367" s="22">
        <f t="shared" si="91"/>
        <v>2.6819048591256602</v>
      </c>
      <c r="AE367" s="22">
        <f t="shared" si="91"/>
        <v>2.7358811676250578</v>
      </c>
      <c r="AF367" s="22">
        <f t="shared" si="91"/>
        <v>2.7884760407410969</v>
      </c>
      <c r="AG367" s="22">
        <f t="shared" si="91"/>
        <v>2.8493241192796606</v>
      </c>
      <c r="AH367" s="22">
        <f t="shared" si="91"/>
        <v>2.8926848083051211</v>
      </c>
      <c r="AI367" s="22">
        <f t="shared" si="91"/>
        <v>2.9383646199579787</v>
      </c>
      <c r="AJ367" s="22">
        <f t="shared" si="91"/>
        <v>2.9820760933477084</v>
      </c>
      <c r="AK367" s="22">
        <f t="shared" si="91"/>
        <v>3.0173907919011151</v>
      </c>
      <c r="AL367" s="22">
        <f t="shared" si="91"/>
        <v>3.0488190928969017</v>
      </c>
      <c r="AM367" s="22">
        <f t="shared" si="91"/>
        <v>3.0801062848352543</v>
      </c>
      <c r="AN367" s="22">
        <f t="shared" si="91"/>
        <v>3.1282621203715273</v>
      </c>
      <c r="AO367" s="22">
        <f t="shared" si="91"/>
        <v>3.1674795443509169</v>
      </c>
      <c r="AP367" s="22">
        <f t="shared" si="91"/>
        <v>3.2051375521593344</v>
      </c>
      <c r="AQ367" s="22">
        <f t="shared" si="91"/>
        <v>3.2413597292365988</v>
      </c>
      <c r="AR367" s="22">
        <f t="shared" si="91"/>
        <v>3.2809431920252043</v>
      </c>
      <c r="AS367" s="22">
        <f t="shared" si="91"/>
        <v>3.319714763066774</v>
      </c>
      <c r="AT367" s="22">
        <f t="shared" si="91"/>
        <v>3.3117266783967354</v>
      </c>
      <c r="AU367" s="22">
        <f t="shared" si="91"/>
        <v>3.2991923864457724</v>
      </c>
      <c r="AV367" s="22">
        <f t="shared" si="91"/>
        <v>3.2909073972718437</v>
      </c>
      <c r="AW367" s="22">
        <f t="shared" si="91"/>
        <v>3.2785787384856291</v>
      </c>
      <c r="AY367" s="85"/>
    </row>
    <row r="368" spans="1:51" x14ac:dyDescent="0.25">
      <c r="A368" s="102" t="str">
        <f t="shared" si="71"/>
        <v>GS Organic</v>
      </c>
      <c r="B368" s="102" t="s">
        <v>1022</v>
      </c>
      <c r="C368" s="102" t="s">
        <v>1128</v>
      </c>
      <c r="D368" t="s">
        <v>369</v>
      </c>
      <c r="E368" t="s">
        <v>55</v>
      </c>
      <c r="F368" t="s">
        <v>421</v>
      </c>
      <c r="G368" t="s">
        <v>1163</v>
      </c>
      <c r="H368" t="s">
        <v>1164</v>
      </c>
      <c r="I368" t="s">
        <v>139</v>
      </c>
      <c r="J368" t="s">
        <v>287</v>
      </c>
      <c r="K368" s="22">
        <f t="shared" si="90"/>
        <v>0.34456271820054257</v>
      </c>
      <c r="L368" s="22">
        <f t="shared" si="91"/>
        <v>0.35741698731572036</v>
      </c>
      <c r="M368" s="22">
        <f t="shared" si="91"/>
        <v>0.36896489164513291</v>
      </c>
      <c r="N368" s="22">
        <f t="shared" si="91"/>
        <v>0.37438401076610434</v>
      </c>
      <c r="O368" s="22">
        <f t="shared" si="91"/>
        <v>0.37988604718806568</v>
      </c>
      <c r="P368" s="22">
        <f t="shared" si="91"/>
        <v>0.39203102133073692</v>
      </c>
      <c r="Q368" s="22">
        <f t="shared" si="91"/>
        <v>0.40227536328848007</v>
      </c>
      <c r="R368" s="22">
        <f t="shared" si="91"/>
        <v>0.40526591417131741</v>
      </c>
      <c r="S368" s="22">
        <f t="shared" si="91"/>
        <v>0.37527481867018142</v>
      </c>
      <c r="T368" s="22">
        <f t="shared" si="91"/>
        <v>0.39365996287351818</v>
      </c>
      <c r="U368" s="22">
        <f t="shared" si="91"/>
        <v>0.40815819868382563</v>
      </c>
      <c r="V368" s="22">
        <f t="shared" si="91"/>
        <v>0.42190781589388981</v>
      </c>
      <c r="W368" s="22">
        <f t="shared" si="91"/>
        <v>0.4374457677220121</v>
      </c>
      <c r="X368" s="22">
        <f t="shared" si="91"/>
        <v>0.45882709525597559</v>
      </c>
      <c r="Y368" s="22">
        <f t="shared" si="91"/>
        <v>0.48194951358683946</v>
      </c>
      <c r="Z368" s="22">
        <f t="shared" si="91"/>
        <v>0.5069467882453319</v>
      </c>
      <c r="AA368" s="22">
        <f t="shared" si="91"/>
        <v>0.53003801773568016</v>
      </c>
      <c r="AB368" s="22">
        <f t="shared" si="91"/>
        <v>0.55623390953100238</v>
      </c>
      <c r="AC368" s="22">
        <f t="shared" si="91"/>
        <v>0.58627034555980351</v>
      </c>
      <c r="AD368" s="22">
        <f t="shared" si="91"/>
        <v>0.61782159985165686</v>
      </c>
      <c r="AE368" s="22">
        <f t="shared" si="91"/>
        <v>0.65112867925188422</v>
      </c>
      <c r="AF368" s="22">
        <f t="shared" si="91"/>
        <v>0.68568148380807281</v>
      </c>
      <c r="AG368" s="22">
        <f t="shared" si="91"/>
        <v>0.72398256864978949</v>
      </c>
      <c r="AH368" s="22">
        <f t="shared" si="91"/>
        <v>0.75957681879798822</v>
      </c>
      <c r="AI368" s="22">
        <f t="shared" si="91"/>
        <v>0.79748571472295215</v>
      </c>
      <c r="AJ368" s="22">
        <f t="shared" si="91"/>
        <v>0.83666894668287939</v>
      </c>
      <c r="AK368" s="22">
        <f t="shared" si="91"/>
        <v>0.87531443785412277</v>
      </c>
      <c r="AL368" s="22">
        <f t="shared" si="91"/>
        <v>0.91464095810421253</v>
      </c>
      <c r="AM368" s="22">
        <f t="shared" si="91"/>
        <v>0.95580463534177018</v>
      </c>
      <c r="AN368" s="22">
        <f t="shared" si="91"/>
        <v>0.99803934996482946</v>
      </c>
      <c r="AO368" s="22">
        <f t="shared" si="91"/>
        <v>1.0390605531241226</v>
      </c>
      <c r="AP368" s="22">
        <f t="shared" si="91"/>
        <v>1.0811924287176657</v>
      </c>
      <c r="AQ368" s="22">
        <f t="shared" si="91"/>
        <v>1.1245143338669252</v>
      </c>
      <c r="AR368" s="22">
        <f t="shared" si="91"/>
        <v>1.1707805213950246</v>
      </c>
      <c r="AS368" s="22">
        <f t="shared" si="91"/>
        <v>1.2186517327491972</v>
      </c>
      <c r="AT368" s="22">
        <f t="shared" si="91"/>
        <v>1.2508464245777533</v>
      </c>
      <c r="AU368" s="22">
        <f t="shared" si="91"/>
        <v>1.2823366685557687</v>
      </c>
      <c r="AV368" s="22">
        <f t="shared" si="91"/>
        <v>1.3165428948829248</v>
      </c>
      <c r="AW368" s="22">
        <f t="shared" si="91"/>
        <v>1.3502550917336287</v>
      </c>
      <c r="AY368" s="85"/>
    </row>
    <row r="369" spans="1:51" x14ac:dyDescent="0.25">
      <c r="A369" s="102" t="str">
        <f t="shared" si="71"/>
        <v>GS Organic</v>
      </c>
      <c r="B369" s="102" t="s">
        <v>1022</v>
      </c>
      <c r="C369" s="102" t="s">
        <v>1128</v>
      </c>
      <c r="D369" t="s">
        <v>369</v>
      </c>
      <c r="E369" t="s">
        <v>55</v>
      </c>
      <c r="F369" t="s">
        <v>421</v>
      </c>
      <c r="G369" t="s">
        <v>1165</v>
      </c>
      <c r="H369" t="s">
        <v>1166</v>
      </c>
      <c r="I369" t="s">
        <v>139</v>
      </c>
      <c r="J369" t="s">
        <v>287</v>
      </c>
      <c r="K369" s="22">
        <f t="shared" si="90"/>
        <v>5.8351352726762881E-2</v>
      </c>
      <c r="L369" s="22">
        <f t="shared" si="91"/>
        <v>5.838284383946888E-2</v>
      </c>
      <c r="M369" s="22">
        <f t="shared" si="91"/>
        <v>5.8455239222652444E-2</v>
      </c>
      <c r="N369" s="22">
        <f t="shared" si="91"/>
        <v>5.8562716913640872E-2</v>
      </c>
      <c r="O369" s="22">
        <f t="shared" si="91"/>
        <v>5.8707782505400478E-2</v>
      </c>
      <c r="P369" s="22">
        <f t="shared" si="91"/>
        <v>5.8893351419097517E-2</v>
      </c>
      <c r="Q369" s="22">
        <f t="shared" si="91"/>
        <v>5.909782905733385E-2</v>
      </c>
      <c r="R369" s="22">
        <f t="shared" si="91"/>
        <v>5.9318039560246685E-2</v>
      </c>
      <c r="S369" s="22">
        <f t="shared" si="91"/>
        <v>5.9536211182470676E-2</v>
      </c>
      <c r="T369" s="22">
        <f t="shared" si="91"/>
        <v>5.9625496743982688E-2</v>
      </c>
      <c r="U369" s="22">
        <f t="shared" si="91"/>
        <v>5.9726883271183619E-2</v>
      </c>
      <c r="V369" s="22">
        <f t="shared" si="91"/>
        <v>5.9841544259393621E-2</v>
      </c>
      <c r="W369" s="22">
        <f t="shared" si="91"/>
        <v>5.9970311446414445E-2</v>
      </c>
      <c r="X369" s="22">
        <f t="shared" si="91"/>
        <v>6.0115005305831533E-2</v>
      </c>
      <c r="Y369" s="22">
        <f t="shared" si="91"/>
        <v>6.0205982501934943E-2</v>
      </c>
      <c r="Z369" s="22">
        <f t="shared" si="91"/>
        <v>6.0308427456259674E-2</v>
      </c>
      <c r="AA369" s="22">
        <f t="shared" si="91"/>
        <v>6.0419488984851388E-2</v>
      </c>
      <c r="AB369" s="22">
        <f t="shared" si="91"/>
        <v>6.0541770911636386E-2</v>
      </c>
      <c r="AC369" s="22">
        <f t="shared" si="91"/>
        <v>6.0675259234702413E-2</v>
      </c>
      <c r="AD369" s="22">
        <f t="shared" si="91"/>
        <v>6.0763612545599144E-2</v>
      </c>
      <c r="AE369" s="22">
        <f t="shared" si="91"/>
        <v>6.0860562125647062E-2</v>
      </c>
      <c r="AF369" s="22">
        <f t="shared" si="91"/>
        <v>6.0965456696796608E-2</v>
      </c>
      <c r="AG369" s="22">
        <f t="shared" si="91"/>
        <v>6.1079431750386354E-2</v>
      </c>
      <c r="AH369" s="22">
        <f t="shared" si="91"/>
        <v>6.1198454005462005E-2</v>
      </c>
      <c r="AI369" s="22">
        <f t="shared" si="91"/>
        <v>6.1274601225536553E-2</v>
      </c>
      <c r="AJ369" s="22">
        <f t="shared" si="91"/>
        <v>6.1357207979697827E-2</v>
      </c>
      <c r="AK369" s="22">
        <f t="shared" si="91"/>
        <v>6.1445023192111883E-2</v>
      </c>
      <c r="AL369" s="22">
        <f t="shared" si="91"/>
        <v>6.1538527566909175E-2</v>
      </c>
      <c r="AM369" s="22">
        <f t="shared" si="91"/>
        <v>6.163815914834115E-2</v>
      </c>
      <c r="AN369" s="22">
        <f t="shared" si="91"/>
        <v>6.1696880609150663E-2</v>
      </c>
      <c r="AO369" s="22">
        <f t="shared" si="91"/>
        <v>6.1759449666934245E-2</v>
      </c>
      <c r="AP369" s="22">
        <f t="shared" si="91"/>
        <v>6.1826968943055068E-2</v>
      </c>
      <c r="AQ369" s="22">
        <f t="shared" si="91"/>
        <v>6.1899319328770012E-2</v>
      </c>
      <c r="AR369" s="22">
        <f t="shared" si="91"/>
        <v>6.1977277610442229E-2</v>
      </c>
      <c r="AS369" s="22">
        <f t="shared" si="91"/>
        <v>6.2012413359244796E-2</v>
      </c>
      <c r="AT369" s="22">
        <f t="shared" si="91"/>
        <v>6.2042910745793073E-2</v>
      </c>
      <c r="AU369" s="22">
        <f t="shared" si="91"/>
        <v>6.2076578921359475E-2</v>
      </c>
      <c r="AV369" s="22">
        <f t="shared" si="91"/>
        <v>6.2115070786636459E-2</v>
      </c>
      <c r="AW369" s="22">
        <f t="shared" si="91"/>
        <v>6.2156607972806463E-2</v>
      </c>
      <c r="AY369" s="85"/>
    </row>
    <row r="370" spans="1:51" x14ac:dyDescent="0.25">
      <c r="A370" s="102" t="str">
        <f t="shared" si="71"/>
        <v>GS Organic</v>
      </c>
      <c r="B370" s="102" t="s">
        <v>1022</v>
      </c>
      <c r="C370" s="102" t="s">
        <v>1128</v>
      </c>
      <c r="D370" t="s">
        <v>369</v>
      </c>
      <c r="E370" t="s">
        <v>55</v>
      </c>
      <c r="F370" t="s">
        <v>421</v>
      </c>
      <c r="G370" t="s">
        <v>1167</v>
      </c>
      <c r="H370" t="s">
        <v>1168</v>
      </c>
      <c r="I370" t="s">
        <v>139</v>
      </c>
      <c r="J370" t="s">
        <v>287</v>
      </c>
      <c r="K370" s="22">
        <f t="shared" si="90"/>
        <v>4.7490069351463909E-2</v>
      </c>
      <c r="L370" s="22">
        <f t="shared" si="91"/>
        <v>4.7515698836582541E-2</v>
      </c>
      <c r="M370" s="22">
        <f t="shared" si="91"/>
        <v>4.7574618837704238E-2</v>
      </c>
      <c r="N370" s="22">
        <f t="shared" si="91"/>
        <v>4.7662091068599664E-2</v>
      </c>
      <c r="O370" s="22">
        <f t="shared" si="91"/>
        <v>4.7780154741355184E-2</v>
      </c>
      <c r="P370" s="22">
        <f t="shared" si="91"/>
        <v>4.7931182612503523E-2</v>
      </c>
      <c r="Q370" s="22">
        <f t="shared" si="91"/>
        <v>4.809759961514163E-2</v>
      </c>
      <c r="R370" s="22">
        <f t="shared" si="91"/>
        <v>4.8276821031039585E-2</v>
      </c>
      <c r="S370" s="22">
        <f t="shared" si="91"/>
        <v>4.845438307520427E-2</v>
      </c>
      <c r="T370" s="22">
        <f t="shared" si="91"/>
        <v>4.8527049385583491E-2</v>
      </c>
      <c r="U370" s="22">
        <f t="shared" si="91"/>
        <v>4.8609564237134945E-2</v>
      </c>
      <c r="V370" s="22">
        <f t="shared" si="91"/>
        <v>4.8702882695534688E-2</v>
      </c>
      <c r="W370" s="22">
        <f t="shared" si="91"/>
        <v>4.8807681682294192E-2</v>
      </c>
      <c r="X370" s="22">
        <f t="shared" si="91"/>
        <v>4.8925442815452934E-2</v>
      </c>
      <c r="Y370" s="22">
        <f t="shared" si="91"/>
        <v>4.899948588644365E-2</v>
      </c>
      <c r="Z370" s="22">
        <f t="shared" si="91"/>
        <v>4.9082862153800644E-2</v>
      </c>
      <c r="AA370" s="22">
        <f t="shared" si="91"/>
        <v>4.9173251141349877E-2</v>
      </c>
      <c r="AB370" s="22">
        <f t="shared" si="91"/>
        <v>4.9272772007826496E-2</v>
      </c>
      <c r="AC370" s="22">
        <f t="shared" si="91"/>
        <v>4.9381413357577224E-2</v>
      </c>
      <c r="AD370" s="22">
        <f t="shared" si="91"/>
        <v>4.9453320942677535E-2</v>
      </c>
      <c r="AE370" s="22">
        <f t="shared" si="91"/>
        <v>4.9532224722365882E-2</v>
      </c>
      <c r="AF370" s="22">
        <f t="shared" si="91"/>
        <v>4.9617594644838996E-2</v>
      </c>
      <c r="AG370" s="22">
        <f t="shared" si="91"/>
        <v>4.9710354845697732E-2</v>
      </c>
      <c r="AH370" s="22">
        <f t="shared" si="91"/>
        <v>4.9807222782493964E-2</v>
      </c>
      <c r="AI370" s="22">
        <f t="shared" si="91"/>
        <v>4.9869196268853305E-2</v>
      </c>
      <c r="AJ370" s="22">
        <f t="shared" si="91"/>
        <v>4.9936426937907168E-2</v>
      </c>
      <c r="AK370" s="22">
        <f t="shared" si="91"/>
        <v>5.0007896583986924E-2</v>
      </c>
      <c r="AL370" s="22">
        <f t="shared" si="91"/>
        <v>5.0083996434912091E-2</v>
      </c>
      <c r="AM370" s="22">
        <f t="shared" si="91"/>
        <v>5.0165082999159477E-2</v>
      </c>
      <c r="AN370" s="22">
        <f t="shared" si="91"/>
        <v>5.0212874286181063E-2</v>
      </c>
      <c r="AO370" s="22">
        <f t="shared" si="91"/>
        <v>5.0263796994131166E-2</v>
      </c>
      <c r="AP370" s="22">
        <f t="shared" si="91"/>
        <v>5.0318748506918774E-2</v>
      </c>
      <c r="AQ370" s="22">
        <f t="shared" si="91"/>
        <v>5.0377631886217578E-2</v>
      </c>
      <c r="AR370" s="22">
        <f t="shared" si="91"/>
        <v>5.0441079330537687E-2</v>
      </c>
      <c r="AS370" s="22">
        <f t="shared" si="91"/>
        <v>5.0469675054019239E-2</v>
      </c>
      <c r="AT370" s="22">
        <f t="shared" si="91"/>
        <v>5.049449578112386E-2</v>
      </c>
      <c r="AU370" s="22">
        <f t="shared" si="91"/>
        <v>5.0521897099480149E-2</v>
      </c>
      <c r="AV370" s="22">
        <f t="shared" si="91"/>
        <v>5.055322424557103E-2</v>
      </c>
      <c r="AW370" s="22">
        <f t="shared" si="91"/>
        <v>5.0587029868914744E-2</v>
      </c>
      <c r="AY370" s="85"/>
    </row>
    <row r="371" spans="1:51" x14ac:dyDescent="0.25">
      <c r="A371" s="102" t="str">
        <f t="shared" si="71"/>
        <v>GS Organic</v>
      </c>
      <c r="B371" s="102" t="s">
        <v>1022</v>
      </c>
      <c r="C371" s="102" t="s">
        <v>1128</v>
      </c>
      <c r="D371" t="s">
        <v>369</v>
      </c>
      <c r="E371" t="s">
        <v>55</v>
      </c>
      <c r="F371" t="s">
        <v>421</v>
      </c>
      <c r="G371" t="s">
        <v>1169</v>
      </c>
      <c r="H371" t="s">
        <v>1170</v>
      </c>
      <c r="I371" t="s">
        <v>139</v>
      </c>
      <c r="J371" t="s">
        <v>287</v>
      </c>
      <c r="K371" s="22">
        <f t="shared" si="90"/>
        <v>7.2124379000375856E-3</v>
      </c>
      <c r="L371" s="22">
        <f t="shared" si="91"/>
        <v>7.2311842253661622E-3</v>
      </c>
      <c r="M371" s="22">
        <f t="shared" si="91"/>
        <v>7.2564640106272402E-3</v>
      </c>
      <c r="N371" s="22">
        <f t="shared" si="91"/>
        <v>7.287254147269725E-3</v>
      </c>
      <c r="O371" s="22">
        <f t="shared" si="91"/>
        <v>7.3241333035294473E-3</v>
      </c>
      <c r="P371" s="22">
        <f t="shared" si="91"/>
        <v>7.3677329801347495E-3</v>
      </c>
      <c r="Q371" s="22">
        <f t="shared" si="91"/>
        <v>7.4139400326720672E-3</v>
      </c>
      <c r="R371" s="22">
        <f t="shared" si="91"/>
        <v>7.4622138016085145E-3</v>
      </c>
      <c r="S371" s="22">
        <f t="shared" si="91"/>
        <v>7.509211214865451E-3</v>
      </c>
      <c r="T371" s="22">
        <f t="shared" si="91"/>
        <v>7.5307669987204583E-3</v>
      </c>
      <c r="U371" s="22">
        <f t="shared" si="91"/>
        <v>7.5540126929522231E-3</v>
      </c>
      <c r="V371" s="22">
        <f t="shared" si="91"/>
        <v>7.5792072480240892E-3</v>
      </c>
      <c r="W371" s="22">
        <f t="shared" si="91"/>
        <v>7.6065371736612122E-3</v>
      </c>
      <c r="X371" s="22">
        <f t="shared" si="91"/>
        <v>7.6363701343967012E-3</v>
      </c>
      <c r="Y371" s="22">
        <f t="shared" si="91"/>
        <v>7.6555716504049104E-3</v>
      </c>
      <c r="Z371" s="22">
        <f t="shared" si="91"/>
        <v>7.6765259853692923E-3</v>
      </c>
      <c r="AA371" s="22">
        <f t="shared" si="91"/>
        <v>7.6987119024127136E-3</v>
      </c>
      <c r="AB371" s="22">
        <f t="shared" si="91"/>
        <v>7.7226338019690602E-3</v>
      </c>
      <c r="AC371" s="22">
        <f t="shared" si="91"/>
        <v>7.7482997485057862E-3</v>
      </c>
      <c r="AD371" s="22">
        <f t="shared" si="91"/>
        <v>7.7651933997685552E-3</v>
      </c>
      <c r="AE371" s="22">
        <f t="shared" si="91"/>
        <v>7.7834037435669879E-3</v>
      </c>
      <c r="AF371" s="22">
        <f t="shared" si="91"/>
        <v>7.802817413015653E-3</v>
      </c>
      <c r="AG371" s="22">
        <f t="shared" si="91"/>
        <v>7.8236526131203795E-3</v>
      </c>
      <c r="AH371" s="22">
        <f t="shared" si="91"/>
        <v>7.8451669042542294E-3</v>
      </c>
      <c r="AI371" s="22">
        <f t="shared" si="91"/>
        <v>7.8585039220798909E-3</v>
      </c>
      <c r="AJ371" s="22">
        <f t="shared" si="91"/>
        <v>7.8728299564684995E-3</v>
      </c>
      <c r="AK371" s="22">
        <f t="shared" si="91"/>
        <v>7.8879188408277207E-3</v>
      </c>
      <c r="AL371" s="22">
        <f t="shared" si="91"/>
        <v>7.9038640214346874E-3</v>
      </c>
      <c r="AM371" s="22">
        <f t="shared" si="91"/>
        <v>7.9207498637461782E-3</v>
      </c>
      <c r="AN371" s="22">
        <f t="shared" si="91"/>
        <v>7.9299570033797458E-3</v>
      </c>
      <c r="AO371" s="22">
        <f t="shared" si="91"/>
        <v>7.9397231588042138E-3</v>
      </c>
      <c r="AP371" s="22">
        <f t="shared" si="91"/>
        <v>7.9502533101027516E-3</v>
      </c>
      <c r="AQ371" s="22">
        <f t="shared" si="91"/>
        <v>7.9615278668621423E-3</v>
      </c>
      <c r="AR371" s="22">
        <f t="shared" si="91"/>
        <v>7.9736901552170548E-3</v>
      </c>
      <c r="AS371" s="22">
        <f t="shared" si="91"/>
        <v>7.9779384467945549E-3</v>
      </c>
      <c r="AT371" s="22">
        <f t="shared" si="91"/>
        <v>7.9812454824287754E-3</v>
      </c>
      <c r="AU371" s="22">
        <f t="shared" si="91"/>
        <v>7.9850348723730785E-3</v>
      </c>
      <c r="AV371" s="22">
        <f t="shared" si="91"/>
        <v>7.9896072385955193E-3</v>
      </c>
      <c r="AW371" s="22">
        <f t="shared" si="91"/>
        <v>7.9946414377677251E-3</v>
      </c>
      <c r="AY371" s="85"/>
    </row>
    <row r="372" spans="1:51" x14ac:dyDescent="0.25">
      <c r="A372" s="102" t="str">
        <f t="shared" si="71"/>
        <v>GS Organic</v>
      </c>
      <c r="B372" s="102" t="s">
        <v>1022</v>
      </c>
      <c r="C372" s="102" t="s">
        <v>1128</v>
      </c>
      <c r="D372" t="s">
        <v>369</v>
      </c>
      <c r="E372" t="s">
        <v>55</v>
      </c>
      <c r="F372" t="s">
        <v>421</v>
      </c>
      <c r="G372" t="s">
        <v>1171</v>
      </c>
      <c r="H372" t="s">
        <v>1172</v>
      </c>
      <c r="I372" t="s">
        <v>139</v>
      </c>
      <c r="J372" t="s">
        <v>287</v>
      </c>
      <c r="K372" s="22">
        <f t="shared" si="90"/>
        <v>8.7025704097551199E-2</v>
      </c>
      <c r="L372" s="22">
        <f t="shared" si="91"/>
        <v>8.7251898372437478E-2</v>
      </c>
      <c r="M372" s="22">
        <f t="shared" si="91"/>
        <v>8.7556925762935861E-2</v>
      </c>
      <c r="N372" s="22">
        <f t="shared" si="91"/>
        <v>8.7928441380499503E-2</v>
      </c>
      <c r="O372" s="22">
        <f t="shared" si="91"/>
        <v>8.8373427470433044E-2</v>
      </c>
      <c r="P372" s="22">
        <f t="shared" si="91"/>
        <v>8.8899503758033641E-2</v>
      </c>
      <c r="Q372" s="22">
        <f t="shared" si="91"/>
        <v>8.9457040798499768E-2</v>
      </c>
      <c r="R372" s="22">
        <f t="shared" si="91"/>
        <v>9.0039514961794118E-2</v>
      </c>
      <c r="S372" s="22">
        <f t="shared" si="91"/>
        <v>9.0606588541648075E-2</v>
      </c>
      <c r="T372" s="22">
        <f t="shared" si="91"/>
        <v>9.0866681909987077E-2</v>
      </c>
      <c r="U372" s="22">
        <f t="shared" si="91"/>
        <v>9.1147165837307267E-2</v>
      </c>
      <c r="V372" s="22">
        <f t="shared" si="91"/>
        <v>9.1451164835280221E-2</v>
      </c>
      <c r="W372" s="22">
        <f t="shared" si="91"/>
        <v>9.1780929341327769E-2</v>
      </c>
      <c r="X372" s="22">
        <f t="shared" si="91"/>
        <v>9.2140895617544447E-2</v>
      </c>
      <c r="Y372" s="22">
        <f t="shared" si="91"/>
        <v>9.2372582250207988E-2</v>
      </c>
      <c r="Z372" s="22">
        <f t="shared" si="91"/>
        <v>9.2625418500508608E-2</v>
      </c>
      <c r="AA372" s="22">
        <f t="shared" si="91"/>
        <v>9.2893115093326858E-2</v>
      </c>
      <c r="AB372" s="22">
        <f t="shared" si="91"/>
        <v>9.3181758154257929E-2</v>
      </c>
      <c r="AC372" s="22">
        <f t="shared" si="91"/>
        <v>9.3491444989645012E-2</v>
      </c>
      <c r="AD372" s="22">
        <f t="shared" si="91"/>
        <v>9.3695284789210367E-2</v>
      </c>
      <c r="AE372" s="22">
        <f t="shared" si="91"/>
        <v>9.3915011879118299E-2</v>
      </c>
      <c r="AF372" s="22">
        <f t="shared" si="91"/>
        <v>9.4149258367795627E-2</v>
      </c>
      <c r="AG372" s="22">
        <f t="shared" si="91"/>
        <v>9.4400657129803389E-2</v>
      </c>
      <c r="AH372" s="22">
        <f t="shared" si="91"/>
        <v>9.4660249844504385E-2</v>
      </c>
      <c r="AI372" s="22">
        <f t="shared" si="91"/>
        <v>9.4821175093764906E-2</v>
      </c>
      <c r="AJ372" s="22">
        <f t="shared" si="91"/>
        <v>9.4994033875618389E-2</v>
      </c>
      <c r="AK372" s="22">
        <f t="shared" si="91"/>
        <v>9.5176097250528169E-2</v>
      </c>
      <c r="AL372" s="22">
        <f t="shared" si="91"/>
        <v>9.5368492746824421E-2</v>
      </c>
      <c r="AM372" s="22">
        <f t="shared" si="91"/>
        <v>9.5572238323119812E-2</v>
      </c>
      <c r="AN372" s="22">
        <f t="shared" si="91"/>
        <v>9.5683332216812994E-2</v>
      </c>
      <c r="AO372" s="22">
        <f t="shared" si="91"/>
        <v>9.5801171228242971E-2</v>
      </c>
      <c r="AP372" s="22">
        <f t="shared" si="91"/>
        <v>9.5928228659268394E-2</v>
      </c>
      <c r="AQ372" s="22">
        <f t="shared" si="91"/>
        <v>9.6064268130799754E-2</v>
      </c>
      <c r="AR372" s="22">
        <f t="shared" si="91"/>
        <v>9.6211019024491043E-2</v>
      </c>
      <c r="AS372" s="22">
        <f t="shared" si="91"/>
        <v>9.6262279163000078E-2</v>
      </c>
      <c r="AT372" s="22">
        <f t="shared" si="91"/>
        <v>9.6302182051389879E-2</v>
      </c>
      <c r="AU372" s="22">
        <f t="shared" si="91"/>
        <v>9.634790505553549E-2</v>
      </c>
      <c r="AV372" s="22">
        <f t="shared" si="91"/>
        <v>9.6403075497959345E-2</v>
      </c>
      <c r="AW372" s="22">
        <f t="shared" si="91"/>
        <v>9.6463818444186472E-2</v>
      </c>
      <c r="AY372" s="85"/>
    </row>
    <row r="373" spans="1:51" x14ac:dyDescent="0.25">
      <c r="A373" s="102" t="str">
        <f t="shared" si="71"/>
        <v>GS Organic</v>
      </c>
      <c r="B373" s="102" t="s">
        <v>1022</v>
      </c>
      <c r="C373" s="102" t="s">
        <v>1128</v>
      </c>
      <c r="D373" t="s">
        <v>369</v>
      </c>
      <c r="E373" t="s">
        <v>55</v>
      </c>
      <c r="F373" t="s">
        <v>421</v>
      </c>
      <c r="G373" t="s">
        <v>1173</v>
      </c>
      <c r="H373" t="s">
        <v>1174</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85"/>
    </row>
    <row r="374" spans="1:51" x14ac:dyDescent="0.25">
      <c r="A374" s="102" t="str">
        <f t="shared" ref="A374:A437" si="93">B374&amp;" "&amp;C374</f>
        <v>GS Organic</v>
      </c>
      <c r="B374" s="102" t="s">
        <v>1022</v>
      </c>
      <c r="C374" s="102" t="s">
        <v>1128</v>
      </c>
      <c r="D374" t="s">
        <v>369</v>
      </c>
      <c r="E374" t="s">
        <v>55</v>
      </c>
      <c r="F374" t="s">
        <v>421</v>
      </c>
      <c r="G374" t="s">
        <v>1175</v>
      </c>
      <c r="H374" t="s">
        <v>1176</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85"/>
    </row>
    <row r="375" spans="1:51" x14ac:dyDescent="0.25">
      <c r="A375" s="102" t="str">
        <f t="shared" si="93"/>
        <v>GS Organic</v>
      </c>
      <c r="B375" s="102" t="s">
        <v>1022</v>
      </c>
      <c r="C375" s="102" t="s">
        <v>1128</v>
      </c>
      <c r="D375" t="s">
        <v>369</v>
      </c>
      <c r="E375" t="s">
        <v>55</v>
      </c>
      <c r="F375" t="s">
        <v>421</v>
      </c>
      <c r="G375" t="s">
        <v>1177</v>
      </c>
      <c r="H375" t="s">
        <v>1178</v>
      </c>
      <c r="I375" t="s">
        <v>139</v>
      </c>
      <c r="J375" t="s">
        <v>287</v>
      </c>
      <c r="K375" s="22">
        <f t="shared" si="90"/>
        <v>0.12512489027733434</v>
      </c>
      <c r="L375" s="22">
        <f t="shared" si="92"/>
        <v>0.1249037465490002</v>
      </c>
      <c r="M375" s="22">
        <f t="shared" si="92"/>
        <v>0.12420297117813216</v>
      </c>
      <c r="N375" s="22">
        <f t="shared" si="92"/>
        <v>0.12146227380625023</v>
      </c>
      <c r="O375" s="22">
        <f t="shared" si="92"/>
        <v>0.11887050141065171</v>
      </c>
      <c r="P375" s="22">
        <f t="shared" si="92"/>
        <v>0.11845218382715161</v>
      </c>
      <c r="Q375" s="22">
        <f t="shared" si="92"/>
        <v>0.11743671165425351</v>
      </c>
      <c r="R375" s="22">
        <f t="shared" si="92"/>
        <v>0.11430912679136991</v>
      </c>
      <c r="S375" s="22">
        <f t="shared" si="92"/>
        <v>0.1019584522188007</v>
      </c>
      <c r="T375" s="22">
        <f t="shared" si="92"/>
        <v>0.10415164096850968</v>
      </c>
      <c r="U375" s="22">
        <f t="shared" si="92"/>
        <v>0.10516156472619907</v>
      </c>
      <c r="V375" s="22">
        <f t="shared" si="92"/>
        <v>0.10589710072304019</v>
      </c>
      <c r="W375" s="22">
        <f t="shared" si="92"/>
        <v>0.10702634667209501</v>
      </c>
      <c r="X375" s="22">
        <f t="shared" si="92"/>
        <v>0.10953406099380125</v>
      </c>
      <c r="Y375" s="22">
        <f t="shared" si="92"/>
        <v>0.11235635375154626</v>
      </c>
      <c r="Z375" s="22">
        <f t="shared" si="92"/>
        <v>0.11546203967262161</v>
      </c>
      <c r="AA375" s="22">
        <f t="shared" si="92"/>
        <v>0.11794547104868178</v>
      </c>
      <c r="AB375" s="22">
        <f t="shared" si="92"/>
        <v>0.12098722785949015</v>
      </c>
      <c r="AC375" s="22">
        <f t="shared" si="92"/>
        <v>0.12470963867892285</v>
      </c>
      <c r="AD375" s="22">
        <f t="shared" si="92"/>
        <v>0.12823307755990843</v>
      </c>
      <c r="AE375" s="22">
        <f t="shared" si="92"/>
        <v>0.13190019989335749</v>
      </c>
      <c r="AF375" s="22">
        <f t="shared" si="92"/>
        <v>0.13558882448809464</v>
      </c>
      <c r="AG375" s="22">
        <f t="shared" si="92"/>
        <v>0.139795617096279</v>
      </c>
      <c r="AH375" s="22">
        <f t="shared" si="92"/>
        <v>0.14320619245252167</v>
      </c>
      <c r="AI375" s="22">
        <f t="shared" si="92"/>
        <v>0.14686073920515186</v>
      </c>
      <c r="AJ375" s="22">
        <f t="shared" si="92"/>
        <v>0.15051597642167761</v>
      </c>
      <c r="AK375" s="22">
        <f t="shared" si="92"/>
        <v>0.15383345031493795</v>
      </c>
      <c r="AL375" s="22">
        <f t="shared" si="92"/>
        <v>0.15704803055416769</v>
      </c>
      <c r="AM375" s="22">
        <f t="shared" si="92"/>
        <v>0.16036221209585783</v>
      </c>
      <c r="AN375" s="22">
        <f t="shared" si="92"/>
        <v>0.16386598018742685</v>
      </c>
      <c r="AO375" s="22">
        <f t="shared" si="92"/>
        <v>0.16694649307070639</v>
      </c>
      <c r="AP375" s="22">
        <f t="shared" si="92"/>
        <v>0.17000456077892223</v>
      </c>
      <c r="AQ375" s="22">
        <f t="shared" si="92"/>
        <v>0.17304831428445985</v>
      </c>
      <c r="AR375" s="22">
        <f t="shared" si="92"/>
        <v>0.17634648819223331</v>
      </c>
      <c r="AS375" s="22">
        <f t="shared" si="92"/>
        <v>0.17969250919958218</v>
      </c>
      <c r="AT375" s="22">
        <f t="shared" si="92"/>
        <v>0.18047485756179946</v>
      </c>
      <c r="AU375" s="22">
        <f t="shared" si="92"/>
        <v>0.18104197572914582</v>
      </c>
      <c r="AV375" s="22">
        <f t="shared" si="92"/>
        <v>0.18189334709867436</v>
      </c>
      <c r="AW375" s="22">
        <f t="shared" si="92"/>
        <v>0.18255809913012605</v>
      </c>
      <c r="AY375" s="85"/>
    </row>
    <row r="376" spans="1:51" x14ac:dyDescent="0.25">
      <c r="A376" s="102" t="str">
        <f t="shared" si="93"/>
        <v>GS Organic</v>
      </c>
      <c r="B376" s="102" t="s">
        <v>1022</v>
      </c>
      <c r="C376" s="102" t="s">
        <v>1128</v>
      </c>
      <c r="D376" t="s">
        <v>369</v>
      </c>
      <c r="E376" t="s">
        <v>55</v>
      </c>
      <c r="F376" t="s">
        <v>421</v>
      </c>
      <c r="G376" t="s">
        <v>1179</v>
      </c>
      <c r="H376" t="s">
        <v>1180</v>
      </c>
      <c r="I376" t="s">
        <v>139</v>
      </c>
      <c r="J376" t="s">
        <v>287</v>
      </c>
      <c r="K376" s="22">
        <f t="shared" si="90"/>
        <v>3.1744662482237319E-2</v>
      </c>
      <c r="L376" s="22">
        <f t="shared" si="92"/>
        <v>3.1688557473869519E-2</v>
      </c>
      <c r="M376" s="22">
        <f t="shared" si="92"/>
        <v>3.151076808620442E-2</v>
      </c>
      <c r="N376" s="22">
        <f t="shared" si="92"/>
        <v>3.0815442696959246E-2</v>
      </c>
      <c r="O376" s="22">
        <f t="shared" si="92"/>
        <v>3.0157900142902292E-2</v>
      </c>
      <c r="P376" s="22">
        <f t="shared" si="92"/>
        <v>3.0051771374524052E-2</v>
      </c>
      <c r="Q376" s="22">
        <f t="shared" si="92"/>
        <v>2.9794142206440031E-2</v>
      </c>
      <c r="R376" s="22">
        <f t="shared" si="92"/>
        <v>2.9000661983306687E-2</v>
      </c>
      <c r="S376" s="22">
        <f t="shared" si="92"/>
        <v>2.5867248680284741E-2</v>
      </c>
      <c r="T376" s="22">
        <f t="shared" si="92"/>
        <v>2.6423669041293948E-2</v>
      </c>
      <c r="U376" s="22">
        <f t="shared" si="92"/>
        <v>2.6679890555251589E-2</v>
      </c>
      <c r="V376" s="22">
        <f t="shared" si="92"/>
        <v>2.6866498846467711E-2</v>
      </c>
      <c r="W376" s="22">
        <f t="shared" si="92"/>
        <v>2.7152992856034661E-2</v>
      </c>
      <c r="X376" s="22">
        <f t="shared" si="92"/>
        <v>2.7789209555749587E-2</v>
      </c>
      <c r="Y376" s="22">
        <f t="shared" si="92"/>
        <v>2.8505236005979432E-2</v>
      </c>
      <c r="Z376" s="22">
        <f t="shared" si="92"/>
        <v>2.9293160383949742E-2</v>
      </c>
      <c r="AA376" s="22">
        <f t="shared" si="92"/>
        <v>2.9923216407624114E-2</v>
      </c>
      <c r="AB376" s="22">
        <f t="shared" si="92"/>
        <v>3.0694921726191319E-2</v>
      </c>
      <c r="AC376" s="22">
        <f t="shared" si="92"/>
        <v>3.1639311565984256E-2</v>
      </c>
      <c r="AD376" s="22">
        <f t="shared" si="92"/>
        <v>3.2533221465171916E-2</v>
      </c>
      <c r="AE376" s="22">
        <f t="shared" si="92"/>
        <v>3.3463584404938677E-2</v>
      </c>
      <c r="AF376" s="22">
        <f t="shared" si="92"/>
        <v>3.4399402550505692E-2</v>
      </c>
      <c r="AG376" s="22">
        <f t="shared" si="92"/>
        <v>3.5466681899830918E-2</v>
      </c>
      <c r="AH376" s="22">
        <f t="shared" si="92"/>
        <v>3.633195789179533E-2</v>
      </c>
      <c r="AI376" s="22">
        <f t="shared" si="92"/>
        <v>3.7259130358685527E-2</v>
      </c>
      <c r="AJ376" s="22">
        <f t="shared" si="92"/>
        <v>3.8186477998902742E-2</v>
      </c>
      <c r="AK376" s="22">
        <f t="shared" si="92"/>
        <v>3.9028133794178674E-2</v>
      </c>
      <c r="AL376" s="22">
        <f t="shared" si="92"/>
        <v>3.984368507650337E-2</v>
      </c>
      <c r="AM376" s="22">
        <f t="shared" si="92"/>
        <v>4.0684505589613319E-2</v>
      </c>
      <c r="AN376" s="22">
        <f t="shared" si="92"/>
        <v>4.1573424934408458E-2</v>
      </c>
      <c r="AO376" s="22">
        <f t="shared" si="92"/>
        <v>4.2354962816560815E-2</v>
      </c>
      <c r="AP376" s="22">
        <f t="shared" si="92"/>
        <v>4.3130806272087305E-2</v>
      </c>
      <c r="AQ376" s="22">
        <f t="shared" si="92"/>
        <v>4.3903018159732181E-2</v>
      </c>
      <c r="AR376" s="22">
        <f t="shared" si="92"/>
        <v>4.4739777474988543E-2</v>
      </c>
      <c r="AS376" s="22">
        <f t="shared" si="92"/>
        <v>4.5588675782122633E-2</v>
      </c>
      <c r="AT376" s="22">
        <f t="shared" si="92"/>
        <v>4.5787160549198715E-2</v>
      </c>
      <c r="AU376" s="22">
        <f t="shared" si="92"/>
        <v>4.5931040593928836E-2</v>
      </c>
      <c r="AV376" s="22">
        <f t="shared" si="92"/>
        <v>4.6147036761540416E-2</v>
      </c>
      <c r="AW376" s="22">
        <f t="shared" si="92"/>
        <v>4.6315686890432001E-2</v>
      </c>
      <c r="AY376" s="85"/>
    </row>
    <row r="377" spans="1:51" x14ac:dyDescent="0.25">
      <c r="A377" s="102" t="str">
        <f t="shared" si="93"/>
        <v>GS Organic</v>
      </c>
      <c r="B377" s="102" t="s">
        <v>1022</v>
      </c>
      <c r="C377" s="102" t="s">
        <v>1128</v>
      </c>
      <c r="D377" t="s">
        <v>369</v>
      </c>
      <c r="E377" t="s">
        <v>55</v>
      </c>
      <c r="F377" t="s">
        <v>421</v>
      </c>
      <c r="G377" t="s">
        <v>1181</v>
      </c>
      <c r="H377" t="s">
        <v>1182</v>
      </c>
      <c r="I377" t="s">
        <v>139</v>
      </c>
      <c r="J377" t="s">
        <v>287</v>
      </c>
      <c r="K377" s="22">
        <f t="shared" si="90"/>
        <v>0.1574619566019842</v>
      </c>
      <c r="L377" s="22">
        <f t="shared" si="92"/>
        <v>0.16100119532971174</v>
      </c>
      <c r="M377" s="22">
        <f t="shared" si="92"/>
        <v>0.16420239799096348</v>
      </c>
      <c r="N377" s="22">
        <f t="shared" si="92"/>
        <v>0.16585503975435448</v>
      </c>
      <c r="O377" s="22">
        <f t="shared" si="92"/>
        <v>0.16755324219146345</v>
      </c>
      <c r="P377" s="22">
        <f t="shared" si="92"/>
        <v>0.1709343585165998</v>
      </c>
      <c r="Q377" s="22">
        <f t="shared" si="92"/>
        <v>0.17382552357996145</v>
      </c>
      <c r="R377" s="22">
        <f t="shared" si="92"/>
        <v>0.17492293808026785</v>
      </c>
      <c r="S377" s="22">
        <f t="shared" si="92"/>
        <v>0.16797595240358967</v>
      </c>
      <c r="T377" s="22">
        <f t="shared" si="92"/>
        <v>0.17297492730025818</v>
      </c>
      <c r="U377" s="22">
        <f t="shared" si="92"/>
        <v>0.17701513008922104</v>
      </c>
      <c r="V377" s="22">
        <f t="shared" si="92"/>
        <v>0.18086520723507568</v>
      </c>
      <c r="W377" s="22">
        <f t="shared" si="92"/>
        <v>0.18514026922037843</v>
      </c>
      <c r="X377" s="22">
        <f t="shared" si="92"/>
        <v>0.19081502616241675</v>
      </c>
      <c r="Y377" s="22">
        <f t="shared" si="92"/>
        <v>0.19677527630059505</v>
      </c>
      <c r="Z377" s="22">
        <f t="shared" si="92"/>
        <v>0.20316424040233105</v>
      </c>
      <c r="AA377" s="22">
        <f t="shared" si="92"/>
        <v>0.2090740458335611</v>
      </c>
      <c r="AB377" s="22">
        <f t="shared" si="92"/>
        <v>0.21570429527296558</v>
      </c>
      <c r="AC377" s="22">
        <f t="shared" si="92"/>
        <v>0.22322461413005179</v>
      </c>
      <c r="AD377" s="22">
        <f t="shared" si="92"/>
        <v>0.23059574512274245</v>
      </c>
      <c r="AE377" s="22">
        <f t="shared" si="92"/>
        <v>0.23831574484289472</v>
      </c>
      <c r="AF377" s="22">
        <f t="shared" si="92"/>
        <v>0.24625980781200643</v>
      </c>
      <c r="AG377" s="22">
        <f t="shared" si="92"/>
        <v>0.25500800669627088</v>
      </c>
      <c r="AH377" s="22">
        <f t="shared" si="92"/>
        <v>0.26305100817364307</v>
      </c>
      <c r="AI377" s="22">
        <f t="shared" si="92"/>
        <v>0.27146542700983761</v>
      </c>
      <c r="AJ377" s="22">
        <f t="shared" si="92"/>
        <v>0.28009700813609817</v>
      </c>
      <c r="AK377" s="22">
        <f t="shared" si="92"/>
        <v>0.28852863408778395</v>
      </c>
      <c r="AL377" s="22">
        <f t="shared" si="92"/>
        <v>0.29704040587124897</v>
      </c>
      <c r="AM377" s="22">
        <f t="shared" si="92"/>
        <v>0.30589267500220069</v>
      </c>
      <c r="AN377" s="22">
        <f t="shared" si="92"/>
        <v>0.31509949249948005</v>
      </c>
      <c r="AO377" s="22">
        <f t="shared" si="92"/>
        <v>0.32397232132243609</v>
      </c>
      <c r="AP377" s="22">
        <f t="shared" si="92"/>
        <v>0.33303470425340953</v>
      </c>
      <c r="AQ377" s="22">
        <f t="shared" si="92"/>
        <v>0.34230228220604159</v>
      </c>
      <c r="AR377" s="22">
        <f t="shared" si="92"/>
        <v>0.35216230168979662</v>
      </c>
      <c r="AS377" s="22">
        <f t="shared" si="92"/>
        <v>0.36222138179977098</v>
      </c>
      <c r="AT377" s="22">
        <f t="shared" si="92"/>
        <v>0.36875743363549901</v>
      </c>
      <c r="AU377" s="22">
        <f t="shared" si="92"/>
        <v>0.37509652822170919</v>
      </c>
      <c r="AV377" s="22">
        <f t="shared" si="92"/>
        <v>0.38198920884211868</v>
      </c>
      <c r="AW377" s="22">
        <f t="shared" si="92"/>
        <v>0.3887297225488785</v>
      </c>
      <c r="AY377" s="85"/>
    </row>
    <row r="378" spans="1:51" x14ac:dyDescent="0.25">
      <c r="A378" s="102" t="str">
        <f t="shared" si="93"/>
        <v>GS Organic</v>
      </c>
      <c r="B378" s="102" t="s">
        <v>1022</v>
      </c>
      <c r="C378" s="102" t="s">
        <v>1128</v>
      </c>
      <c r="D378" t="s">
        <v>369</v>
      </c>
      <c r="E378" t="s">
        <v>55</v>
      </c>
      <c r="F378" t="s">
        <v>421</v>
      </c>
      <c r="G378" t="s">
        <v>1183</v>
      </c>
      <c r="H378" t="s">
        <v>1184</v>
      </c>
      <c r="I378" t="s">
        <v>139</v>
      </c>
      <c r="J378" t="s">
        <v>287</v>
      </c>
      <c r="K378" s="22">
        <f t="shared" si="90"/>
        <v>0.79145317534147697</v>
      </c>
      <c r="L378" s="22">
        <f t="shared" si="92"/>
        <v>0.80614249446586472</v>
      </c>
      <c r="M378" s="22">
        <f t="shared" si="92"/>
        <v>0.81576351649757217</v>
      </c>
      <c r="N378" s="22">
        <f t="shared" si="92"/>
        <v>0.8051815142548906</v>
      </c>
      <c r="O378" s="22">
        <f t="shared" si="92"/>
        <v>0.79491912717906921</v>
      </c>
      <c r="P378" s="22">
        <f t="shared" si="92"/>
        <v>0.8050882404927846</v>
      </c>
      <c r="Q378" s="22">
        <f t="shared" si="92"/>
        <v>0.80900668851215218</v>
      </c>
      <c r="R378" s="22">
        <f t="shared" si="92"/>
        <v>0.79104206342465233</v>
      </c>
      <c r="S378" s="22">
        <f t="shared" si="92"/>
        <v>0.67708002243474696</v>
      </c>
      <c r="T378" s="22">
        <f t="shared" si="92"/>
        <v>0.71326971422678453</v>
      </c>
      <c r="U378" s="22">
        <f t="shared" si="92"/>
        <v>0.73749777615328771</v>
      </c>
      <c r="V378" s="22">
        <f t="shared" si="92"/>
        <v>0.75903343240977361</v>
      </c>
      <c r="W378" s="22">
        <f t="shared" si="92"/>
        <v>0.78503971816941975</v>
      </c>
      <c r="X378" s="22">
        <f t="shared" si="92"/>
        <v>0.8265450745172781</v>
      </c>
      <c r="Y378" s="22">
        <f t="shared" si="92"/>
        <v>0.87296422483256353</v>
      </c>
      <c r="Z378" s="22">
        <f t="shared" si="92"/>
        <v>0.92344360360977484</v>
      </c>
      <c r="AA378" s="22">
        <f t="shared" si="92"/>
        <v>0.9677689116158269</v>
      </c>
      <c r="AB378" s="22">
        <f t="shared" si="92"/>
        <v>1.0193755598811634</v>
      </c>
      <c r="AC378" s="22">
        <f t="shared" si="92"/>
        <v>1.0799736712957677</v>
      </c>
      <c r="AD378" s="22">
        <f t="shared" si="92"/>
        <v>1.1399677250662128</v>
      </c>
      <c r="AE378" s="22">
        <f t="shared" si="92"/>
        <v>1.2028979209953241</v>
      </c>
      <c r="AF378" s="22">
        <f t="shared" si="92"/>
        <v>1.2673719800644652</v>
      </c>
      <c r="AG378" s="22">
        <f t="shared" si="92"/>
        <v>1.3395677079848545</v>
      </c>
      <c r="AH378" s="22">
        <f t="shared" si="92"/>
        <v>1.4033231150236891</v>
      </c>
      <c r="AI378" s="22">
        <f t="shared" si="92"/>
        <v>1.4719666098768296</v>
      </c>
      <c r="AJ378" s="22">
        <f t="shared" si="92"/>
        <v>1.5420388237441127</v>
      </c>
      <c r="AK378" s="22">
        <f t="shared" si="92"/>
        <v>1.6091811663069184</v>
      </c>
      <c r="AL378" s="22">
        <f t="shared" si="92"/>
        <v>1.6763559089740723</v>
      </c>
      <c r="AM378" s="22">
        <f t="shared" si="92"/>
        <v>1.7462483337512213</v>
      </c>
      <c r="AN378" s="22">
        <f t="shared" si="92"/>
        <v>1.8206168694032934</v>
      </c>
      <c r="AO378" s="22">
        <f t="shared" si="92"/>
        <v>1.8907719180049514</v>
      </c>
      <c r="AP378" s="22">
        <f t="shared" si="92"/>
        <v>1.9620842803375478</v>
      </c>
      <c r="AQ378" s="22">
        <f t="shared" si="92"/>
        <v>2.0346990314319551</v>
      </c>
      <c r="AR378" s="22">
        <f t="shared" si="92"/>
        <v>2.1124695104369047</v>
      </c>
      <c r="AS378" s="22">
        <f t="shared" si="92"/>
        <v>2.1930634279587973</v>
      </c>
      <c r="AT378" s="22">
        <f t="shared" si="92"/>
        <v>2.2380483172942163</v>
      </c>
      <c r="AU378" s="22">
        <f t="shared" si="92"/>
        <v>2.2806855119174227</v>
      </c>
      <c r="AV378" s="22">
        <f t="shared" si="92"/>
        <v>2.3283502130567282</v>
      </c>
      <c r="AW378" s="22">
        <f t="shared" si="92"/>
        <v>2.3741040563618498</v>
      </c>
      <c r="AY378" s="85"/>
    </row>
    <row r="379" spans="1:51" x14ac:dyDescent="0.25">
      <c r="A379" s="102" t="str">
        <f t="shared" si="93"/>
        <v>GS U&amp;D</v>
      </c>
      <c r="B379" s="102" t="s">
        <v>1022</v>
      </c>
      <c r="C379" s="102" t="s">
        <v>1337</v>
      </c>
      <c r="D379" t="s">
        <v>369</v>
      </c>
      <c r="E379" t="s">
        <v>55</v>
      </c>
      <c r="F379" t="s">
        <v>422</v>
      </c>
      <c r="G379" t="s">
        <v>1153</v>
      </c>
      <c r="H379" t="s">
        <v>1241</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85"/>
    </row>
    <row r="380" spans="1:51" x14ac:dyDescent="0.25">
      <c r="A380" s="102" t="str">
        <f t="shared" si="93"/>
        <v>GS U&amp;D</v>
      </c>
      <c r="B380" s="102" t="s">
        <v>1022</v>
      </c>
      <c r="C380" s="102" t="s">
        <v>1337</v>
      </c>
      <c r="D380" t="s">
        <v>369</v>
      </c>
      <c r="E380" t="s">
        <v>55</v>
      </c>
      <c r="F380" t="s">
        <v>422</v>
      </c>
      <c r="G380" t="s">
        <v>1155</v>
      </c>
      <c r="H380" t="s">
        <v>1242</v>
      </c>
      <c r="I380" t="s">
        <v>139</v>
      </c>
      <c r="J380" t="s">
        <v>287</v>
      </c>
      <c r="K380" s="22">
        <f t="shared" si="90"/>
        <v>1.0786753296429479</v>
      </c>
      <c r="L380" s="22">
        <f t="shared" si="92"/>
        <v>1.0859586060309057</v>
      </c>
      <c r="M380" s="22">
        <f t="shared" si="92"/>
        <v>1.0923296279678898</v>
      </c>
      <c r="N380" s="22">
        <f t="shared" si="92"/>
        <v>1.0931537330099066</v>
      </c>
      <c r="O380" s="22">
        <f t="shared" si="92"/>
        <v>1.0945731731430408</v>
      </c>
      <c r="P380" s="22">
        <f t="shared" si="92"/>
        <v>1.1027176588076981</v>
      </c>
      <c r="Q380" s="22">
        <f t="shared" si="92"/>
        <v>1.1092302651165924</v>
      </c>
      <c r="R380" s="22">
        <f t="shared" si="92"/>
        <v>1.109287368040317</v>
      </c>
      <c r="S380" s="22">
        <f t="shared" si="92"/>
        <v>1.0798981830298287</v>
      </c>
      <c r="T380" s="22">
        <f t="shared" si="92"/>
        <v>1.0940959356021487</v>
      </c>
      <c r="U380" s="22">
        <f t="shared" si="92"/>
        <v>1.1048433903618551</v>
      </c>
      <c r="V380" s="22">
        <f t="shared" si="92"/>
        <v>1.1149833596000451</v>
      </c>
      <c r="W380" s="22">
        <f t="shared" si="92"/>
        <v>1.1267409528269945</v>
      </c>
      <c r="X380" s="22">
        <f t="shared" si="92"/>
        <v>1.1435878034617475</v>
      </c>
      <c r="Y380" s="22">
        <f t="shared" si="92"/>
        <v>1.1611273352268467</v>
      </c>
      <c r="Z380" s="22">
        <f t="shared" si="92"/>
        <v>1.1801792260010431</v>
      </c>
      <c r="AA380" s="22">
        <f t="shared" si="92"/>
        <v>1.1975049735261083</v>
      </c>
      <c r="AB380" s="22">
        <f t="shared" si="92"/>
        <v>1.2173560530719671</v>
      </c>
      <c r="AC380" s="22">
        <f t="shared" si="92"/>
        <v>1.2402923210603021</v>
      </c>
      <c r="AD380" s="22">
        <f t="shared" si="92"/>
        <v>1.2623742733775345</v>
      </c>
      <c r="AE380" s="22">
        <f t="shared" si="92"/>
        <v>1.2856074455004303</v>
      </c>
      <c r="AF380" s="22">
        <f t="shared" ref="L380:AW387" si="94">AF1483</f>
        <v>1.3095452950439004</v>
      </c>
      <c r="AG380" s="22">
        <f t="shared" si="94"/>
        <v>1.3361813419952935</v>
      </c>
      <c r="AH380" s="22">
        <f t="shared" si="94"/>
        <v>1.3602968998390941</v>
      </c>
      <c r="AI380" s="22">
        <f t="shared" si="94"/>
        <v>1.3853556448541151</v>
      </c>
      <c r="AJ380" s="22">
        <f t="shared" si="94"/>
        <v>1.4110693769069982</v>
      </c>
      <c r="AK380" s="22">
        <f t="shared" si="94"/>
        <v>1.4360144578705683</v>
      </c>
      <c r="AL380" s="22">
        <f t="shared" si="94"/>
        <v>1.4611486001146794</v>
      </c>
      <c r="AM380" s="22">
        <f t="shared" si="94"/>
        <v>1.4873489277695111</v>
      </c>
      <c r="AN380" s="22">
        <f t="shared" si="94"/>
        <v>1.5144167777664856</v>
      </c>
      <c r="AO380" s="22">
        <f t="shared" si="94"/>
        <v>1.540269346746828</v>
      </c>
      <c r="AP380" s="22">
        <f t="shared" si="94"/>
        <v>1.5666680254867089</v>
      </c>
      <c r="AQ380" s="22">
        <f t="shared" si="94"/>
        <v>1.593660390525756</v>
      </c>
      <c r="AR380" s="22">
        <f t="shared" si="94"/>
        <v>1.6225260915070563</v>
      </c>
      <c r="AS380" s="22">
        <f t="shared" si="94"/>
        <v>1.6517094827819983</v>
      </c>
      <c r="AT380" s="22">
        <f t="shared" si="94"/>
        <v>1.6691760933817195</v>
      </c>
      <c r="AU380" s="22">
        <f t="shared" si="94"/>
        <v>1.6859640883447786</v>
      </c>
      <c r="AV380" s="22">
        <f t="shared" si="94"/>
        <v>1.7045379947409554</v>
      </c>
      <c r="AW380" s="22">
        <f t="shared" si="94"/>
        <v>1.7225765964260569</v>
      </c>
      <c r="AY380" s="85"/>
    </row>
    <row r="381" spans="1:51" x14ac:dyDescent="0.25">
      <c r="A381" s="102" t="str">
        <f t="shared" si="93"/>
        <v>GS U&amp;D</v>
      </c>
      <c r="B381" s="102" t="s">
        <v>1022</v>
      </c>
      <c r="C381" s="102" t="s">
        <v>1337</v>
      </c>
      <c r="D381" t="s">
        <v>369</v>
      </c>
      <c r="E381" t="s">
        <v>55</v>
      </c>
      <c r="F381" t="s">
        <v>422</v>
      </c>
      <c r="G381" t="s">
        <v>1157</v>
      </c>
      <c r="H381" t="s">
        <v>1243</v>
      </c>
      <c r="I381" t="s">
        <v>139</v>
      </c>
      <c r="J381" t="s">
        <v>287</v>
      </c>
      <c r="K381" s="22">
        <f t="shared" si="90"/>
        <v>0.73458527987811684</v>
      </c>
      <c r="L381" s="22">
        <f t="shared" si="94"/>
        <v>0.73954524093113228</v>
      </c>
      <c r="M381" s="22">
        <f t="shared" si="94"/>
        <v>0.74388395046130973</v>
      </c>
      <c r="N381" s="22">
        <f t="shared" si="94"/>
        <v>0.7444451716335222</v>
      </c>
      <c r="O381" s="22">
        <f t="shared" si="94"/>
        <v>0.7454118200761205</v>
      </c>
      <c r="P381" s="22">
        <f t="shared" si="94"/>
        <v>0.75095827053903796</v>
      </c>
      <c r="Q381" s="22">
        <f t="shared" si="94"/>
        <v>0.75539339999521871</v>
      </c>
      <c r="R381" s="22">
        <f t="shared" si="94"/>
        <v>0.75543228747697821</v>
      </c>
      <c r="S381" s="22">
        <f t="shared" si="94"/>
        <v>0.73541805140145267</v>
      </c>
      <c r="T381" s="22">
        <f t="shared" si="94"/>
        <v>0.74508681804547194</v>
      </c>
      <c r="U381" s="22">
        <f t="shared" si="94"/>
        <v>0.75240590827186049</v>
      </c>
      <c r="V381" s="22">
        <f t="shared" si="94"/>
        <v>0.75931129670162745</v>
      </c>
      <c r="W381" s="22">
        <f t="shared" si="94"/>
        <v>0.76731829813566454</v>
      </c>
      <c r="X381" s="22">
        <f t="shared" si="94"/>
        <v>0.77879111868556206</v>
      </c>
      <c r="Y381" s="22">
        <f t="shared" si="94"/>
        <v>0.79073565982461014</v>
      </c>
      <c r="Z381" s="22">
        <f t="shared" si="94"/>
        <v>0.80371012779654638</v>
      </c>
      <c r="AA381" s="22">
        <f t="shared" si="94"/>
        <v>0.81550908040540082</v>
      </c>
      <c r="AB381" s="22">
        <f t="shared" si="94"/>
        <v>0.82902780139895904</v>
      </c>
      <c r="AC381" s="22">
        <f t="shared" si="94"/>
        <v>0.84464755683097381</v>
      </c>
      <c r="AD381" s="22">
        <f t="shared" si="94"/>
        <v>0.85968551744566435</v>
      </c>
      <c r="AE381" s="22">
        <f t="shared" si="94"/>
        <v>0.8755074666247592</v>
      </c>
      <c r="AF381" s="22">
        <f t="shared" si="94"/>
        <v>0.89180930594872954</v>
      </c>
      <c r="AG381" s="22">
        <f t="shared" si="94"/>
        <v>0.90994863616879917</v>
      </c>
      <c r="AH381" s="22">
        <f t="shared" si="94"/>
        <v>0.9263714960611904</v>
      </c>
      <c r="AI381" s="22">
        <f t="shared" si="94"/>
        <v>0.94343667287055244</v>
      </c>
      <c r="AJ381" s="22">
        <f t="shared" si="94"/>
        <v>0.96094790033417754</v>
      </c>
      <c r="AK381" s="22">
        <f t="shared" si="94"/>
        <v>0.97793567114680158</v>
      </c>
      <c r="AL381" s="22">
        <f t="shared" si="94"/>
        <v>0.99505219398504785</v>
      </c>
      <c r="AM381" s="22">
        <f t="shared" si="94"/>
        <v>1.0128947963829298</v>
      </c>
      <c r="AN381" s="22">
        <f t="shared" si="94"/>
        <v>1.0313281874314744</v>
      </c>
      <c r="AO381" s="22">
        <f t="shared" si="94"/>
        <v>1.0489339637926334</v>
      </c>
      <c r="AP381" s="22">
        <f t="shared" si="94"/>
        <v>1.066911644636569</v>
      </c>
      <c r="AQ381" s="22">
        <f t="shared" si="94"/>
        <v>1.0852936299122902</v>
      </c>
      <c r="AR381" s="22">
        <f t="shared" si="94"/>
        <v>1.1049513697822153</v>
      </c>
      <c r="AS381" s="22">
        <f t="shared" si="94"/>
        <v>1.1248254589157749</v>
      </c>
      <c r="AT381" s="22">
        <f t="shared" si="94"/>
        <v>1.1367203402422674</v>
      </c>
      <c r="AU381" s="22">
        <f t="shared" si="94"/>
        <v>1.1481530796770461</v>
      </c>
      <c r="AV381" s="22">
        <f t="shared" si="94"/>
        <v>1.1608020370171399</v>
      </c>
      <c r="AW381" s="22">
        <f t="shared" si="94"/>
        <v>1.1730864481863896</v>
      </c>
      <c r="AY381" s="85"/>
    </row>
    <row r="382" spans="1:51" x14ac:dyDescent="0.25">
      <c r="A382" s="102" t="str">
        <f t="shared" si="93"/>
        <v>GS U&amp;D</v>
      </c>
      <c r="B382" s="102" t="s">
        <v>1022</v>
      </c>
      <c r="C382" s="102" t="s">
        <v>1337</v>
      </c>
      <c r="D382" t="s">
        <v>369</v>
      </c>
      <c r="E382" t="s">
        <v>55</v>
      </c>
      <c r="F382" t="s">
        <v>422</v>
      </c>
      <c r="G382" t="s">
        <v>1159</v>
      </c>
      <c r="H382" t="s">
        <v>1244</v>
      </c>
      <c r="I382" t="s">
        <v>139</v>
      </c>
      <c r="J382" t="s">
        <v>287</v>
      </c>
      <c r="K382" s="22">
        <f t="shared" si="90"/>
        <v>15.429280800788639</v>
      </c>
      <c r="L382" s="22">
        <f t="shared" si="94"/>
        <v>15.35072698203709</v>
      </c>
      <c r="M382" s="22">
        <f t="shared" si="94"/>
        <v>15.207351875662043</v>
      </c>
      <c r="N382" s="22">
        <f t="shared" si="94"/>
        <v>14.814893699547214</v>
      </c>
      <c r="O382" s="22">
        <f t="shared" si="94"/>
        <v>14.438096972663228</v>
      </c>
      <c r="P382" s="22">
        <f t="shared" si="94"/>
        <v>14.314758846199135</v>
      </c>
      <c r="Q382" s="22">
        <f t="shared" si="94"/>
        <v>14.115554649678398</v>
      </c>
      <c r="R382" s="22">
        <f t="shared" si="94"/>
        <v>13.66798161990047</v>
      </c>
      <c r="S382" s="22">
        <f t="shared" si="94"/>
        <v>12.166328141225097</v>
      </c>
      <c r="T382" s="22">
        <f t="shared" si="94"/>
        <v>12.463610414813839</v>
      </c>
      <c r="U382" s="22">
        <f t="shared" si="94"/>
        <v>12.624180384375714</v>
      </c>
      <c r="V382" s="22">
        <f t="shared" si="94"/>
        <v>12.751805743467081</v>
      </c>
      <c r="W382" s="22">
        <f t="shared" si="94"/>
        <v>12.923326016620354</v>
      </c>
      <c r="X382" s="22">
        <f t="shared" si="94"/>
        <v>13.25262145197801</v>
      </c>
      <c r="Y382" s="22">
        <f t="shared" si="94"/>
        <v>13.613027690777479</v>
      </c>
      <c r="Z382" s="22">
        <f t="shared" si="94"/>
        <v>14.005728103550339</v>
      </c>
      <c r="AA382" s="22">
        <f t="shared" si="94"/>
        <v>14.32592763712187</v>
      </c>
      <c r="AB382" s="22">
        <f t="shared" si="94"/>
        <v>14.710285410323998</v>
      </c>
      <c r="AC382" s="22">
        <f t="shared" si="94"/>
        <v>15.173253105796089</v>
      </c>
      <c r="AD382" s="22">
        <f t="shared" si="94"/>
        <v>15.47822319183811</v>
      </c>
      <c r="AE382" s="22">
        <f t="shared" si="94"/>
        <v>15.789739593019302</v>
      </c>
      <c r="AF382" s="22">
        <f t="shared" si="94"/>
        <v>16.093283241134344</v>
      </c>
      <c r="AG382" s="22">
        <f t="shared" si="94"/>
        <v>16.444459062010196</v>
      </c>
      <c r="AH382" s="22">
        <f t="shared" si="94"/>
        <v>16.694708961891717</v>
      </c>
      <c r="AI382" s="22">
        <f t="shared" si="94"/>
        <v>16.95834334016514</v>
      </c>
      <c r="AJ382" s="22">
        <f t="shared" si="94"/>
        <v>17.210617740902418</v>
      </c>
      <c r="AK382" s="22">
        <f t="shared" si="94"/>
        <v>17.41443137892249</v>
      </c>
      <c r="AL382" s="22">
        <f t="shared" si="94"/>
        <v>17.595815239613078</v>
      </c>
      <c r="AM382" s="22">
        <f t="shared" si="94"/>
        <v>17.776384709935595</v>
      </c>
      <c r="AN382" s="22">
        <f t="shared" si="94"/>
        <v>18.054309099342483</v>
      </c>
      <c r="AO382" s="22">
        <f t="shared" si="94"/>
        <v>18.280646748605641</v>
      </c>
      <c r="AP382" s="22">
        <f t="shared" si="94"/>
        <v>18.497984454615345</v>
      </c>
      <c r="AQ382" s="22">
        <f t="shared" si="94"/>
        <v>18.70703547273348</v>
      </c>
      <c r="AR382" s="22">
        <f t="shared" si="94"/>
        <v>18.935485661659122</v>
      </c>
      <c r="AS382" s="22">
        <f t="shared" si="94"/>
        <v>19.159250135643951</v>
      </c>
      <c r="AT382" s="22">
        <f t="shared" si="94"/>
        <v>19.11314806868306</v>
      </c>
      <c r="AU382" s="22">
        <f t="shared" si="94"/>
        <v>19.040808228696374</v>
      </c>
      <c r="AV382" s="22">
        <f t="shared" si="94"/>
        <v>18.992992620644625</v>
      </c>
      <c r="AW382" s="22">
        <f t="shared" si="94"/>
        <v>18.921839562511444</v>
      </c>
      <c r="AY382" s="85"/>
    </row>
    <row r="383" spans="1:51" x14ac:dyDescent="0.25">
      <c r="A383" s="102" t="str">
        <f t="shared" si="93"/>
        <v>GS U&amp;D</v>
      </c>
      <c r="B383" s="102" t="s">
        <v>1022</v>
      </c>
      <c r="C383" s="102" t="s">
        <v>1337</v>
      </c>
      <c r="D383" t="s">
        <v>369</v>
      </c>
      <c r="E383" t="s">
        <v>55</v>
      </c>
      <c r="F383" t="s">
        <v>422</v>
      </c>
      <c r="G383" t="s">
        <v>1161</v>
      </c>
      <c r="H383" t="s">
        <v>1245</v>
      </c>
      <c r="I383" t="s">
        <v>139</v>
      </c>
      <c r="J383" t="s">
        <v>287</v>
      </c>
      <c r="K383" s="22">
        <f t="shared" si="90"/>
        <v>9.701944231797869</v>
      </c>
      <c r="L383" s="22">
        <f t="shared" si="94"/>
        <v>9.652549527108631</v>
      </c>
      <c r="M383" s="22">
        <f t="shared" si="94"/>
        <v>9.5623951443970494</v>
      </c>
      <c r="N383" s="22">
        <f t="shared" si="94"/>
        <v>9.3156171262158942</v>
      </c>
      <c r="O383" s="22">
        <f t="shared" si="94"/>
        <v>9.0786870399629098</v>
      </c>
      <c r="P383" s="22">
        <f t="shared" si="94"/>
        <v>9.0011319264058365</v>
      </c>
      <c r="Q383" s="22">
        <f t="shared" si="94"/>
        <v>8.8758721667101366</v>
      </c>
      <c r="R383" s="22">
        <f t="shared" si="94"/>
        <v>8.5944378840220992</v>
      </c>
      <c r="S383" s="22">
        <f t="shared" si="94"/>
        <v>7.6501969635477565</v>
      </c>
      <c r="T383" s="22">
        <f t="shared" si="94"/>
        <v>7.8371282973344023</v>
      </c>
      <c r="U383" s="22">
        <f t="shared" si="94"/>
        <v>7.9380948239084157</v>
      </c>
      <c r="V383" s="22">
        <f t="shared" si="94"/>
        <v>8.0183457528048763</v>
      </c>
      <c r="W383" s="22">
        <f t="shared" si="94"/>
        <v>8.1261978391231704</v>
      </c>
      <c r="X383" s="22">
        <f t="shared" si="94"/>
        <v>8.3332590748913482</v>
      </c>
      <c r="Y383" s="22">
        <f t="shared" si="94"/>
        <v>8.5598828089960346</v>
      </c>
      <c r="Z383" s="22">
        <f t="shared" si="94"/>
        <v>8.8068131457834475</v>
      </c>
      <c r="AA383" s="22">
        <f t="shared" si="94"/>
        <v>9.0081548711605581</v>
      </c>
      <c r="AB383" s="22">
        <f t="shared" si="94"/>
        <v>9.249839349446443</v>
      </c>
      <c r="AC383" s="22">
        <f t="shared" si="94"/>
        <v>9.5409538103592695</v>
      </c>
      <c r="AD383" s="22">
        <f t="shared" si="94"/>
        <v>9.7327192468269903</v>
      </c>
      <c r="AE383" s="22">
        <f t="shared" si="94"/>
        <v>9.9286010115425469</v>
      </c>
      <c r="AF383" s="22">
        <f t="shared" si="94"/>
        <v>10.119469502689464</v>
      </c>
      <c r="AG383" s="22">
        <f t="shared" si="94"/>
        <v>10.340289142547157</v>
      </c>
      <c r="AH383" s="22">
        <f t="shared" si="94"/>
        <v>10.497646481752456</v>
      </c>
      <c r="AI383" s="22">
        <f t="shared" si="94"/>
        <v>10.663419991782989</v>
      </c>
      <c r="AJ383" s="22">
        <f t="shared" si="94"/>
        <v>10.822050338761844</v>
      </c>
      <c r="AK383" s="22">
        <f t="shared" si="94"/>
        <v>10.950208518995984</v>
      </c>
      <c r="AL383" s="22">
        <f t="shared" si="94"/>
        <v>11.064262837125854</v>
      </c>
      <c r="AM383" s="22">
        <f t="shared" si="94"/>
        <v>11.17780506593439</v>
      </c>
      <c r="AN383" s="22">
        <f t="shared" si="94"/>
        <v>11.352564146509573</v>
      </c>
      <c r="AO383" s="22">
        <f t="shared" si="94"/>
        <v>11.494885443208972</v>
      </c>
      <c r="AP383" s="22">
        <f t="shared" si="94"/>
        <v>11.631547568320162</v>
      </c>
      <c r="AQ383" s="22">
        <f t="shared" si="94"/>
        <v>11.762999017390882</v>
      </c>
      <c r="AR383" s="22">
        <f t="shared" si="94"/>
        <v>11.906648680736627</v>
      </c>
      <c r="AS383" s="22">
        <f t="shared" si="94"/>
        <v>12.047351962742322</v>
      </c>
      <c r="AT383" s="22">
        <f t="shared" si="94"/>
        <v>12.018362945794602</v>
      </c>
      <c r="AU383" s="22">
        <f t="shared" si="94"/>
        <v>11.972875595972562</v>
      </c>
      <c r="AV383" s="22">
        <f t="shared" si="94"/>
        <v>11.942809103002656</v>
      </c>
      <c r="AW383" s="22">
        <f t="shared" si="94"/>
        <v>11.898068002568817</v>
      </c>
      <c r="AY383" s="85"/>
    </row>
    <row r="384" spans="1:51" x14ac:dyDescent="0.25">
      <c r="A384" s="102" t="str">
        <f t="shared" si="93"/>
        <v>GS U&amp;D</v>
      </c>
      <c r="B384" s="102" t="s">
        <v>1022</v>
      </c>
      <c r="C384" s="102" t="s">
        <v>1337</v>
      </c>
      <c r="D384" t="s">
        <v>369</v>
      </c>
      <c r="E384" t="s">
        <v>55</v>
      </c>
      <c r="F384" t="s">
        <v>422</v>
      </c>
      <c r="G384" t="s">
        <v>1163</v>
      </c>
      <c r="H384" t="s">
        <v>1246</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85"/>
    </row>
    <row r="385" spans="1:51" x14ac:dyDescent="0.25">
      <c r="A385" s="102" t="str">
        <f t="shared" si="93"/>
        <v>GS U&amp;D</v>
      </c>
      <c r="B385" s="102" t="s">
        <v>1022</v>
      </c>
      <c r="C385" s="102" t="s">
        <v>1337</v>
      </c>
      <c r="D385" t="s">
        <v>369</v>
      </c>
      <c r="E385" t="s">
        <v>55</v>
      </c>
      <c r="F385" t="s">
        <v>422</v>
      </c>
      <c r="G385" t="s">
        <v>1165</v>
      </c>
      <c r="H385" t="s">
        <v>1247</v>
      </c>
      <c r="I385" t="s">
        <v>139</v>
      </c>
      <c r="J385" t="s">
        <v>287</v>
      </c>
      <c r="K385" s="22">
        <f t="shared" si="90"/>
        <v>5.7999838553710088</v>
      </c>
      <c r="L385" s="22">
        <f t="shared" si="94"/>
        <v>5.8031139960917857</v>
      </c>
      <c r="M385" s="22">
        <f t="shared" si="94"/>
        <v>5.8103099227335253</v>
      </c>
      <c r="N385" s="22">
        <f t="shared" si="94"/>
        <v>5.8209929462353873</v>
      </c>
      <c r="O385" s="22">
        <f t="shared" si="94"/>
        <v>5.8354121165006498</v>
      </c>
      <c r="P385" s="22">
        <f t="shared" si="94"/>
        <v>5.8538572193681269</v>
      </c>
      <c r="Q385" s="22">
        <f t="shared" si="94"/>
        <v>5.8741818038916174</v>
      </c>
      <c r="R385" s="22">
        <f t="shared" si="94"/>
        <v>5.8960701972534357</v>
      </c>
      <c r="S385" s="22">
        <f t="shared" si="94"/>
        <v>5.9177559307877479</v>
      </c>
      <c r="T385" s="22">
        <f t="shared" si="94"/>
        <v>5.9266307004561112</v>
      </c>
      <c r="U385" s="22">
        <f t="shared" si="94"/>
        <v>5.9367082769549988</v>
      </c>
      <c r="V385" s="22">
        <f t="shared" si="94"/>
        <v>5.9481053028915358</v>
      </c>
      <c r="W385" s="22">
        <f t="shared" si="94"/>
        <v>5.960904450999025</v>
      </c>
      <c r="X385" s="22">
        <f t="shared" si="94"/>
        <v>5.9752866719651836</v>
      </c>
      <c r="Y385" s="22">
        <f t="shared" si="94"/>
        <v>5.9843295860357024</v>
      </c>
      <c r="Z385" s="22">
        <f t="shared" si="94"/>
        <v>5.9945123676402678</v>
      </c>
      <c r="AA385" s="22">
        <f t="shared" si="94"/>
        <v>6.0055516159641433</v>
      </c>
      <c r="AB385" s="22">
        <f t="shared" si="94"/>
        <v>6.0177061448313278</v>
      </c>
      <c r="AC385" s="22">
        <f t="shared" si="94"/>
        <v>6.03097456248548</v>
      </c>
      <c r="AD385" s="22">
        <f t="shared" si="94"/>
        <v>6.0397566686890718</v>
      </c>
      <c r="AE385" s="22">
        <f t="shared" si="94"/>
        <v>6.0493932233323875</v>
      </c>
      <c r="AF385" s="22">
        <f t="shared" si="94"/>
        <v>6.0598194909466505</v>
      </c>
      <c r="AG385" s="22">
        <f t="shared" si="94"/>
        <v>6.0711483366347876</v>
      </c>
      <c r="AH385" s="22">
        <f t="shared" si="94"/>
        <v>6.0829788619886944</v>
      </c>
      <c r="AI385" s="22">
        <f t="shared" si="94"/>
        <v>6.0905477121768259</v>
      </c>
      <c r="AJ385" s="22">
        <f t="shared" si="94"/>
        <v>6.0987586244880356</v>
      </c>
      <c r="AK385" s="22">
        <f t="shared" si="94"/>
        <v>6.1074872449990725</v>
      </c>
      <c r="AL385" s="22">
        <f t="shared" si="94"/>
        <v>6.1167813545421765</v>
      </c>
      <c r="AM385" s="22">
        <f t="shared" si="94"/>
        <v>6.1266844936604166</v>
      </c>
      <c r="AN385" s="22">
        <f t="shared" si="94"/>
        <v>6.1325212653673837</v>
      </c>
      <c r="AO385" s="22">
        <f t="shared" si="94"/>
        <v>6.1387404789422586</v>
      </c>
      <c r="AP385" s="22">
        <f t="shared" si="94"/>
        <v>6.145451732291618</v>
      </c>
      <c r="AQ385" s="22">
        <f t="shared" si="94"/>
        <v>6.152643186293405</v>
      </c>
      <c r="AR385" s="22">
        <f t="shared" si="94"/>
        <v>6.1603920516403416</v>
      </c>
      <c r="AS385" s="22">
        <f t="shared" si="94"/>
        <v>6.1638844604068606</v>
      </c>
      <c r="AT385" s="22">
        <f t="shared" si="94"/>
        <v>6.1669158271420823</v>
      </c>
      <c r="AU385" s="22">
        <f t="shared" si="94"/>
        <v>6.1702623626652491</v>
      </c>
      <c r="AV385" s="22">
        <f t="shared" si="94"/>
        <v>6.1740883613222994</v>
      </c>
      <c r="AW385" s="22">
        <f t="shared" si="94"/>
        <v>6.1782170575379913</v>
      </c>
      <c r="AY385" s="85"/>
    </row>
    <row r="386" spans="1:51" x14ac:dyDescent="0.25">
      <c r="A386" s="102" t="str">
        <f t="shared" si="93"/>
        <v>GS U&amp;D</v>
      </c>
      <c r="B386" s="102" t="s">
        <v>1022</v>
      </c>
      <c r="C386" s="102" t="s">
        <v>1337</v>
      </c>
      <c r="D386" t="s">
        <v>369</v>
      </c>
      <c r="E386" t="s">
        <v>55</v>
      </c>
      <c r="F386" t="s">
        <v>422</v>
      </c>
      <c r="G386" t="s">
        <v>1167</v>
      </c>
      <c r="H386" t="s">
        <v>1248</v>
      </c>
      <c r="I386" t="s">
        <v>139</v>
      </c>
      <c r="J386" t="s">
        <v>287</v>
      </c>
      <c r="K386" s="22">
        <f t="shared" si="90"/>
        <v>0.64744945388640951</v>
      </c>
      <c r="L386" s="22">
        <f t="shared" si="94"/>
        <v>0.64779887001424552</v>
      </c>
      <c r="M386" s="22">
        <f t="shared" si="94"/>
        <v>0.64860214790097404</v>
      </c>
      <c r="N386" s="22">
        <f t="shared" si="94"/>
        <v>0.64979468876050261</v>
      </c>
      <c r="O386" s="22">
        <f t="shared" si="94"/>
        <v>0.65140429391571231</v>
      </c>
      <c r="P386" s="22">
        <f t="shared" si="94"/>
        <v>0.6534633120226967</v>
      </c>
      <c r="Q386" s="22">
        <f t="shared" si="94"/>
        <v>0.65573213577778644</v>
      </c>
      <c r="R386" s="22">
        <f t="shared" si="94"/>
        <v>0.65817552677368318</v>
      </c>
      <c r="S386" s="22">
        <f t="shared" si="94"/>
        <v>0.66059629494891092</v>
      </c>
      <c r="T386" s="22">
        <f t="shared" si="94"/>
        <v>0.66158698128846494</v>
      </c>
      <c r="U386" s="22">
        <f t="shared" si="94"/>
        <v>0.66271193638547965</v>
      </c>
      <c r="V386" s="22">
        <f t="shared" si="94"/>
        <v>0.6639841809990068</v>
      </c>
      <c r="W386" s="22">
        <f t="shared" si="94"/>
        <v>0.66541294384715366</v>
      </c>
      <c r="X386" s="22">
        <f t="shared" si="94"/>
        <v>0.66701842436958481</v>
      </c>
      <c r="Y386" s="22">
        <f t="shared" si="94"/>
        <v>0.66802788058920459</v>
      </c>
      <c r="Z386" s="22">
        <f t="shared" si="94"/>
        <v>0.66916457968239529</v>
      </c>
      <c r="AA386" s="22">
        <f t="shared" si="94"/>
        <v>0.67039688575028045</v>
      </c>
      <c r="AB386" s="22">
        <f t="shared" si="94"/>
        <v>0.671753690057592</v>
      </c>
      <c r="AC386" s="22">
        <f t="shared" si="94"/>
        <v>0.67323483724322841</v>
      </c>
      <c r="AD386" s="22">
        <f t="shared" si="94"/>
        <v>0.67421517960404742</v>
      </c>
      <c r="AE386" s="22">
        <f t="shared" si="94"/>
        <v>0.6752909036399658</v>
      </c>
      <c r="AF386" s="22">
        <f t="shared" si="94"/>
        <v>0.67645478296122918</v>
      </c>
      <c r="AG386" s="22">
        <f t="shared" si="94"/>
        <v>0.67771941664588264</v>
      </c>
      <c r="AH386" s="22">
        <f t="shared" si="94"/>
        <v>0.67904005259428835</v>
      </c>
      <c r="AI386" s="22">
        <f t="shared" si="94"/>
        <v>0.67988495976007579</v>
      </c>
      <c r="AJ386" s="22">
        <f t="shared" si="94"/>
        <v>0.68080154001691195</v>
      </c>
      <c r="AK386" s="22">
        <f t="shared" si="94"/>
        <v>0.68177591179517449</v>
      </c>
      <c r="AL386" s="22">
        <f t="shared" si="94"/>
        <v>0.68281340884656228</v>
      </c>
      <c r="AM386" s="22">
        <f t="shared" si="94"/>
        <v>0.68391889158129904</v>
      </c>
      <c r="AN386" s="22">
        <f t="shared" si="94"/>
        <v>0.68457044764565533</v>
      </c>
      <c r="AO386" s="22">
        <f t="shared" si="94"/>
        <v>0.68526469551479852</v>
      </c>
      <c r="AP386" s="22">
        <f t="shared" si="94"/>
        <v>0.68601386955119048</v>
      </c>
      <c r="AQ386" s="22">
        <f t="shared" si="94"/>
        <v>0.68681664815923671</v>
      </c>
      <c r="AR386" s="22">
        <f t="shared" si="94"/>
        <v>0.68768165033203899</v>
      </c>
      <c r="AS386" s="22">
        <f t="shared" si="94"/>
        <v>0.68807150627043723</v>
      </c>
      <c r="AT386" s="22">
        <f t="shared" si="94"/>
        <v>0.68840989630499416</v>
      </c>
      <c r="AU386" s="22">
        <f t="shared" si="94"/>
        <v>0.68878346848224781</v>
      </c>
      <c r="AV386" s="22">
        <f t="shared" si="94"/>
        <v>0.68921056290230964</v>
      </c>
      <c r="AW386" s="22">
        <f t="shared" si="94"/>
        <v>0.68967144730764052</v>
      </c>
      <c r="AY386" s="85"/>
    </row>
    <row r="387" spans="1:51" x14ac:dyDescent="0.25">
      <c r="A387" s="102" t="str">
        <f t="shared" si="93"/>
        <v>GS U&amp;D</v>
      </c>
      <c r="B387" s="102" t="s">
        <v>1022</v>
      </c>
      <c r="C387" s="102" t="s">
        <v>1337</v>
      </c>
      <c r="D387" t="s">
        <v>369</v>
      </c>
      <c r="E387" t="s">
        <v>55</v>
      </c>
      <c r="F387" t="s">
        <v>422</v>
      </c>
      <c r="G387" t="s">
        <v>1169</v>
      </c>
      <c r="H387" t="s">
        <v>1249</v>
      </c>
      <c r="I387" t="s">
        <v>139</v>
      </c>
      <c r="J387" t="s">
        <v>287</v>
      </c>
      <c r="K387" s="22">
        <f t="shared" si="90"/>
        <v>0.71689894789530229</v>
      </c>
      <c r="L387" s="22">
        <f t="shared" si="94"/>
        <v>0.71876228746109427</v>
      </c>
      <c r="M387" s="22">
        <f t="shared" si="94"/>
        <v>0.72127503720090047</v>
      </c>
      <c r="N387" s="22">
        <f t="shared" si="94"/>
        <v>0.72433550259006296</v>
      </c>
      <c r="O387" s="22">
        <f t="shared" si="94"/>
        <v>0.72800120185684258</v>
      </c>
      <c r="P387" s="22">
        <f t="shared" si="94"/>
        <v>0.73233490465194795</v>
      </c>
      <c r="Q387" s="22">
        <f t="shared" si="94"/>
        <v>0.73692777433186207</v>
      </c>
      <c r="R387" s="22">
        <f t="shared" si="94"/>
        <v>0.74172607064181018</v>
      </c>
      <c r="S387" s="22">
        <f t="shared" si="94"/>
        <v>0.74639750027277085</v>
      </c>
      <c r="T387" s="22">
        <f t="shared" si="94"/>
        <v>0.74854009324631066</v>
      </c>
      <c r="U387" s="22">
        <f t="shared" ref="L387:AW393" si="95">U1490</f>
        <v>0.75085065923922678</v>
      </c>
      <c r="V387" s="22">
        <f t="shared" si="95"/>
        <v>0.75335493730359926</v>
      </c>
      <c r="W387" s="22">
        <f t="shared" si="95"/>
        <v>0.75607146605668685</v>
      </c>
      <c r="X387" s="22">
        <f t="shared" si="95"/>
        <v>0.75903679046714201</v>
      </c>
      <c r="Y387" s="22">
        <f t="shared" si="95"/>
        <v>0.76094537488964475</v>
      </c>
      <c r="Z387" s="22">
        <f t="shared" si="95"/>
        <v>0.76302818529273087</v>
      </c>
      <c r="AA387" s="22">
        <f t="shared" si="95"/>
        <v>0.76523341198680583</v>
      </c>
      <c r="AB387" s="22">
        <f t="shared" si="95"/>
        <v>0.76761119115957532</v>
      </c>
      <c r="AC387" s="22">
        <f t="shared" si="95"/>
        <v>0.77016232439967147</v>
      </c>
      <c r="AD387" s="22">
        <f t="shared" si="95"/>
        <v>0.77184151262759737</v>
      </c>
      <c r="AE387" s="22">
        <f t="shared" si="95"/>
        <v>0.7736515769208151</v>
      </c>
      <c r="AF387" s="22">
        <f t="shared" si="95"/>
        <v>0.77558124888408586</v>
      </c>
      <c r="AG387" s="22">
        <f t="shared" si="95"/>
        <v>0.77765221756919434</v>
      </c>
      <c r="AH387" s="22">
        <f t="shared" si="95"/>
        <v>0.7797906862662336</v>
      </c>
      <c r="AI387" s="22">
        <f t="shared" si="95"/>
        <v>0.7811163537007122</v>
      </c>
      <c r="AJ387" s="22">
        <f t="shared" si="95"/>
        <v>0.78254032699837495</v>
      </c>
      <c r="AK387" s="22">
        <f t="shared" si="95"/>
        <v>0.78404012574492399</v>
      </c>
      <c r="AL387" s="22">
        <f t="shared" si="95"/>
        <v>0.78562503827513464</v>
      </c>
      <c r="AM387" s="22">
        <f t="shared" si="95"/>
        <v>0.78730345031212023</v>
      </c>
      <c r="AN387" s="22">
        <f t="shared" si="95"/>
        <v>0.78821861780581803</v>
      </c>
      <c r="AO387" s="22">
        <f t="shared" si="95"/>
        <v>0.78918935012210545</v>
      </c>
      <c r="AP387" s="22">
        <f t="shared" si="95"/>
        <v>0.79023602178732166</v>
      </c>
      <c r="AQ387" s="22">
        <f t="shared" si="95"/>
        <v>0.79135668556159844</v>
      </c>
      <c r="AR387" s="22">
        <f t="shared" si="95"/>
        <v>0.79256558771735774</v>
      </c>
      <c r="AS387" s="22">
        <f t="shared" si="95"/>
        <v>0.79298785766331426</v>
      </c>
      <c r="AT387" s="22">
        <f t="shared" si="95"/>
        <v>0.79331656903659509</v>
      </c>
      <c r="AU387" s="22">
        <f t="shared" si="95"/>
        <v>0.79369322526599873</v>
      </c>
      <c r="AV387" s="22">
        <f t="shared" si="95"/>
        <v>0.79414770745075947</v>
      </c>
      <c r="AW387" s="22">
        <f t="shared" si="95"/>
        <v>0.79464809471787612</v>
      </c>
      <c r="AY387" s="85"/>
    </row>
    <row r="388" spans="1:51" x14ac:dyDescent="0.25">
      <c r="A388" s="102" t="str">
        <f t="shared" si="93"/>
        <v>GS U&amp;D</v>
      </c>
      <c r="B388" s="102" t="s">
        <v>1022</v>
      </c>
      <c r="C388" s="102" t="s">
        <v>1337</v>
      </c>
      <c r="D388" t="s">
        <v>369</v>
      </c>
      <c r="E388" t="s">
        <v>55</v>
      </c>
      <c r="F388" t="s">
        <v>422</v>
      </c>
      <c r="G388" t="s">
        <v>1171</v>
      </c>
      <c r="H388" t="s">
        <v>1250</v>
      </c>
      <c r="I388" t="s">
        <v>139</v>
      </c>
      <c r="J388" t="s">
        <v>287</v>
      </c>
      <c r="K388" s="22">
        <f t="shared" si="90"/>
        <v>1.1864531966682197</v>
      </c>
      <c r="L388" s="22">
        <f t="shared" si="95"/>
        <v>1.1895369858002907</v>
      </c>
      <c r="M388" s="22">
        <f t="shared" si="95"/>
        <v>1.1936955355791294</v>
      </c>
      <c r="N388" s="22">
        <f t="shared" si="95"/>
        <v>1.1987605436321125</v>
      </c>
      <c r="O388" s="22">
        <f t="shared" si="95"/>
        <v>1.2048272014586632</v>
      </c>
      <c r="P388" s="22">
        <f t="shared" si="95"/>
        <v>1.2119993915556884</v>
      </c>
      <c r="Q388" s="22">
        <f t="shared" si="95"/>
        <v>1.2196004975827131</v>
      </c>
      <c r="R388" s="22">
        <f t="shared" si="95"/>
        <v>1.2275415805096901</v>
      </c>
      <c r="S388" s="22">
        <f t="shared" si="95"/>
        <v>1.2352727016599383</v>
      </c>
      <c r="T388" s="22">
        <f t="shared" si="95"/>
        <v>1.238818649509462</v>
      </c>
      <c r="U388" s="22">
        <f t="shared" si="95"/>
        <v>1.2426425892940813</v>
      </c>
      <c r="V388" s="22">
        <f t="shared" si="95"/>
        <v>1.2467871186221595</v>
      </c>
      <c r="W388" s="22">
        <f t="shared" si="95"/>
        <v>1.2512829185286929</v>
      </c>
      <c r="X388" s="22">
        <f t="shared" si="95"/>
        <v>1.2561904701944779</v>
      </c>
      <c r="Y388" s="22">
        <f t="shared" si="95"/>
        <v>1.2593491386453628</v>
      </c>
      <c r="Z388" s="22">
        <f t="shared" si="95"/>
        <v>1.2627961475551268</v>
      </c>
      <c r="AA388" s="22">
        <f t="shared" si="95"/>
        <v>1.2664457529398805</v>
      </c>
      <c r="AB388" s="22">
        <f t="shared" si="95"/>
        <v>1.2703809291718808</v>
      </c>
      <c r="AC388" s="22">
        <f t="shared" si="95"/>
        <v>1.2746030028640307</v>
      </c>
      <c r="AD388" s="22">
        <f t="shared" si="95"/>
        <v>1.2773820252725296</v>
      </c>
      <c r="AE388" s="22">
        <f t="shared" si="95"/>
        <v>1.2803776449106503</v>
      </c>
      <c r="AF388" s="22">
        <f t="shared" si="95"/>
        <v>1.2835712128131631</v>
      </c>
      <c r="AG388" s="22">
        <f t="shared" si="95"/>
        <v>1.2869986239202102</v>
      </c>
      <c r="AH388" s="22">
        <f t="shared" si="95"/>
        <v>1.2905377461759007</v>
      </c>
      <c r="AI388" s="22">
        <f t="shared" si="95"/>
        <v>1.2927316988521784</v>
      </c>
      <c r="AJ388" s="22">
        <f t="shared" si="95"/>
        <v>1.2950883457351767</v>
      </c>
      <c r="AK388" s="22">
        <f t="shared" si="95"/>
        <v>1.2975704821958689</v>
      </c>
      <c r="AL388" s="22">
        <f t="shared" si="95"/>
        <v>1.3001934802396349</v>
      </c>
      <c r="AM388" s="22">
        <f t="shared" si="95"/>
        <v>1.3029712180678941</v>
      </c>
      <c r="AN388" s="22">
        <f t="shared" si="95"/>
        <v>1.3044858016805112</v>
      </c>
      <c r="AO388" s="22">
        <f t="shared" si="95"/>
        <v>1.3060923439458467</v>
      </c>
      <c r="AP388" s="22">
        <f t="shared" si="95"/>
        <v>1.3078245642911324</v>
      </c>
      <c r="AQ388" s="22">
        <f t="shared" si="95"/>
        <v>1.309679240073939</v>
      </c>
      <c r="AR388" s="22">
        <f t="shared" si="95"/>
        <v>1.3116799485857458</v>
      </c>
      <c r="AS388" s="22">
        <f t="shared" si="95"/>
        <v>1.3123787967688931</v>
      </c>
      <c r="AT388" s="22">
        <f t="shared" si="95"/>
        <v>1.3129228074146826</v>
      </c>
      <c r="AU388" s="22">
        <f t="shared" si="95"/>
        <v>1.3135461658234697</v>
      </c>
      <c r="AV388" s="22">
        <f t="shared" si="95"/>
        <v>1.3142983246075228</v>
      </c>
      <c r="AW388" s="22">
        <f t="shared" si="95"/>
        <v>1.3151264553704232</v>
      </c>
      <c r="AY388" s="85"/>
    </row>
    <row r="389" spans="1:51" x14ac:dyDescent="0.25">
      <c r="A389" s="102" t="str">
        <f t="shared" si="93"/>
        <v>GS U&amp;D</v>
      </c>
      <c r="B389" s="102" t="s">
        <v>1022</v>
      </c>
      <c r="C389" s="102" t="s">
        <v>1337</v>
      </c>
      <c r="D389" t="s">
        <v>369</v>
      </c>
      <c r="E389" t="s">
        <v>55</v>
      </c>
      <c r="F389" t="s">
        <v>422</v>
      </c>
      <c r="G389" t="s">
        <v>1173</v>
      </c>
      <c r="H389" t="s">
        <v>1251</v>
      </c>
      <c r="I389" t="s">
        <v>139</v>
      </c>
      <c r="J389" t="s">
        <v>287</v>
      </c>
      <c r="K389" s="22">
        <f t="shared" si="90"/>
        <v>0.19181822763057532</v>
      </c>
      <c r="L389" s="22">
        <f t="shared" si="95"/>
        <v>0.19311010534642395</v>
      </c>
      <c r="M389" s="22">
        <f t="shared" si="95"/>
        <v>0.19389173119299405</v>
      </c>
      <c r="N389" s="22">
        <f t="shared" si="95"/>
        <v>0.19286331841675533</v>
      </c>
      <c r="O389" s="22">
        <f t="shared" si="95"/>
        <v>0.19181235815879408</v>
      </c>
      <c r="P389" s="22">
        <f t="shared" si="95"/>
        <v>0.19246355732374573</v>
      </c>
      <c r="Q389" s="22">
        <f t="shared" si="95"/>
        <v>0.19254768245204176</v>
      </c>
      <c r="R389" s="22">
        <f t="shared" si="95"/>
        <v>0.1907519738898287</v>
      </c>
      <c r="S389" s="22">
        <f t="shared" si="95"/>
        <v>0.18088699682644091</v>
      </c>
      <c r="T389" s="22">
        <f t="shared" si="95"/>
        <v>0.1838972381660133</v>
      </c>
      <c r="U389" s="22">
        <f t="shared" si="95"/>
        <v>0.18587548996919678</v>
      </c>
      <c r="V389" s="22">
        <f t="shared" si="95"/>
        <v>0.18760159282395869</v>
      </c>
      <c r="W389" s="22">
        <f t="shared" si="95"/>
        <v>0.1896732782375587</v>
      </c>
      <c r="X389" s="22">
        <f t="shared" si="95"/>
        <v>0.1930022477976579</v>
      </c>
      <c r="Y389" s="22">
        <f t="shared" si="95"/>
        <v>0.19680822491201644</v>
      </c>
      <c r="Z389" s="22">
        <f t="shared" si="95"/>
        <v>0.20092114686502896</v>
      </c>
      <c r="AA389" s="22">
        <f t="shared" si="95"/>
        <v>0.20449468327122119</v>
      </c>
      <c r="AB389" s="22">
        <f t="shared" si="95"/>
        <v>0.20863723377024176</v>
      </c>
      <c r="AC389" s="22">
        <f t="shared" si="95"/>
        <v>0.21348409201000912</v>
      </c>
      <c r="AD389" s="22">
        <f t="shared" si="95"/>
        <v>0.21835511855598433</v>
      </c>
      <c r="AE389" s="22">
        <f t="shared" si="95"/>
        <v>0.22343868148870985</v>
      </c>
      <c r="AF389" s="22">
        <f t="shared" si="95"/>
        <v>0.22861834548683552</v>
      </c>
      <c r="AG389" s="22">
        <f t="shared" si="95"/>
        <v>0.23439670920107816</v>
      </c>
      <c r="AH389" s="22">
        <f t="shared" si="95"/>
        <v>0.23945118587989581</v>
      </c>
      <c r="AI389" s="22">
        <f t="shared" si="95"/>
        <v>0.24500563890300198</v>
      </c>
      <c r="AJ389" s="22">
        <f t="shared" si="95"/>
        <v>0.25065226424650994</v>
      </c>
      <c r="AK389" s="22">
        <f t="shared" si="95"/>
        <v>0.25603495440723167</v>
      </c>
      <c r="AL389" s="22">
        <f t="shared" si="95"/>
        <v>0.26139389266760604</v>
      </c>
      <c r="AM389" s="22">
        <f t="shared" si="95"/>
        <v>0.26694586167829398</v>
      </c>
      <c r="AN389" s="22">
        <f t="shared" si="95"/>
        <v>0.2729875481925238</v>
      </c>
      <c r="AO389" s="22">
        <f t="shared" si="95"/>
        <v>0.27866949697835908</v>
      </c>
      <c r="AP389" s="22">
        <f t="shared" si="95"/>
        <v>0.28442636508269281</v>
      </c>
      <c r="AQ389" s="22">
        <f t="shared" si="95"/>
        <v>0.29026877942449542</v>
      </c>
      <c r="AR389" s="22">
        <f t="shared" si="95"/>
        <v>0.2965076361345787</v>
      </c>
      <c r="AS389" s="22">
        <f t="shared" si="95"/>
        <v>0.30314124222534444</v>
      </c>
      <c r="AT389" s="22">
        <f t="shared" si="95"/>
        <v>0.30687944467675132</v>
      </c>
      <c r="AU389" s="22">
        <f t="shared" si="95"/>
        <v>0.31041516575775774</v>
      </c>
      <c r="AV389" s="22">
        <f t="shared" si="95"/>
        <v>0.31434593932944749</v>
      </c>
      <c r="AW389" s="22">
        <f t="shared" si="95"/>
        <v>0.31810899011348942</v>
      </c>
      <c r="AY389" s="85"/>
    </row>
    <row r="390" spans="1:51" x14ac:dyDescent="0.25">
      <c r="A390" s="102" t="str">
        <f t="shared" si="93"/>
        <v>GS U&amp;D</v>
      </c>
      <c r="B390" s="102" t="s">
        <v>1022</v>
      </c>
      <c r="C390" s="102" t="s">
        <v>1337</v>
      </c>
      <c r="D390" t="s">
        <v>369</v>
      </c>
      <c r="E390" t="s">
        <v>55</v>
      </c>
      <c r="F390" t="s">
        <v>422</v>
      </c>
      <c r="G390" t="s">
        <v>1175</v>
      </c>
      <c r="H390" t="s">
        <v>1252</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85"/>
    </row>
    <row r="391" spans="1:51" x14ac:dyDescent="0.25">
      <c r="A391" s="102" t="str">
        <f t="shared" si="93"/>
        <v>GS U&amp;D</v>
      </c>
      <c r="B391" s="102" t="s">
        <v>1022</v>
      </c>
      <c r="C391" s="102" t="s">
        <v>1337</v>
      </c>
      <c r="D391" t="s">
        <v>369</v>
      </c>
      <c r="E391" t="s">
        <v>55</v>
      </c>
      <c r="F391" t="s">
        <v>422</v>
      </c>
      <c r="G391" t="s">
        <v>1177</v>
      </c>
      <c r="H391" t="s">
        <v>1253</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85"/>
    </row>
    <row r="392" spans="1:51" x14ac:dyDescent="0.25">
      <c r="A392" s="102" t="str">
        <f t="shared" si="93"/>
        <v>GS U&amp;D</v>
      </c>
      <c r="B392" s="102" t="s">
        <v>1022</v>
      </c>
      <c r="C392" s="102" t="s">
        <v>1337</v>
      </c>
      <c r="D392" t="s">
        <v>369</v>
      </c>
      <c r="E392" t="s">
        <v>55</v>
      </c>
      <c r="F392" t="s">
        <v>422</v>
      </c>
      <c r="G392" t="s">
        <v>1179</v>
      </c>
      <c r="H392" t="s">
        <v>1254</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85"/>
    </row>
    <row r="393" spans="1:51" x14ac:dyDescent="0.25">
      <c r="A393" s="102" t="str">
        <f t="shared" si="93"/>
        <v>GS U&amp;D</v>
      </c>
      <c r="B393" s="102" t="s">
        <v>1022</v>
      </c>
      <c r="C393" s="102" t="s">
        <v>1337</v>
      </c>
      <c r="D393" t="s">
        <v>369</v>
      </c>
      <c r="E393" t="s">
        <v>55</v>
      </c>
      <c r="F393" t="s">
        <v>422</v>
      </c>
      <c r="G393" t="s">
        <v>1181</v>
      </c>
      <c r="H393" t="s">
        <v>1255</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85"/>
    </row>
    <row r="394" spans="1:51" x14ac:dyDescent="0.25">
      <c r="A394" s="102" t="str">
        <f t="shared" si="93"/>
        <v>GS U&amp;D</v>
      </c>
      <c r="B394" s="102" t="s">
        <v>1022</v>
      </c>
      <c r="C394" s="102" t="s">
        <v>1337</v>
      </c>
      <c r="D394" t="s">
        <v>369</v>
      </c>
      <c r="E394" t="s">
        <v>55</v>
      </c>
      <c r="F394" t="s">
        <v>422</v>
      </c>
      <c r="G394" t="s">
        <v>1183</v>
      </c>
      <c r="H394" t="s">
        <v>1256</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85"/>
    </row>
    <row r="395" spans="1:51" x14ac:dyDescent="0.25">
      <c r="A395" s="102" t="str">
        <f t="shared" si="93"/>
        <v>GS FSOM</v>
      </c>
      <c r="B395" s="102" t="s">
        <v>1022</v>
      </c>
      <c r="C395" s="102" t="s">
        <v>60</v>
      </c>
      <c r="D395" t="s">
        <v>369</v>
      </c>
      <c r="E395" t="s">
        <v>55</v>
      </c>
      <c r="F395" t="s">
        <v>60</v>
      </c>
      <c r="G395" t="s">
        <v>1267</v>
      </c>
      <c r="H395" t="s">
        <v>1268</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85"/>
    </row>
    <row r="396" spans="1:51" x14ac:dyDescent="0.25">
      <c r="A396" s="102" t="str">
        <f t="shared" si="93"/>
        <v>GS FSOM</v>
      </c>
      <c r="B396" s="102" t="s">
        <v>1022</v>
      </c>
      <c r="C396" s="102" t="s">
        <v>60</v>
      </c>
      <c r="D396" t="s">
        <v>369</v>
      </c>
      <c r="E396" t="s">
        <v>55</v>
      </c>
      <c r="F396" t="s">
        <v>60</v>
      </c>
      <c r="G396" t="s">
        <v>1269</v>
      </c>
      <c r="H396" t="s">
        <v>1270</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85"/>
    </row>
    <row r="397" spans="1:51" x14ac:dyDescent="0.25">
      <c r="A397" s="102" t="str">
        <f t="shared" si="93"/>
        <v>GS FSOM</v>
      </c>
      <c r="B397" s="102" t="s">
        <v>1022</v>
      </c>
      <c r="C397" s="102" t="s">
        <v>60</v>
      </c>
      <c r="D397" t="s">
        <v>369</v>
      </c>
      <c r="E397" t="s">
        <v>55</v>
      </c>
      <c r="F397" t="s">
        <v>60</v>
      </c>
      <c r="G397" t="s">
        <v>1271</v>
      </c>
      <c r="H397" t="s">
        <v>1272</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85"/>
    </row>
    <row r="398" spans="1:51" x14ac:dyDescent="0.25">
      <c r="A398" s="102" t="str">
        <f t="shared" si="93"/>
        <v>GS FSOM</v>
      </c>
      <c r="B398" s="102" t="s">
        <v>1022</v>
      </c>
      <c r="C398" s="102" t="s">
        <v>60</v>
      </c>
      <c r="D398" t="s">
        <v>369</v>
      </c>
      <c r="E398" t="s">
        <v>55</v>
      </c>
      <c r="F398" t="s">
        <v>60</v>
      </c>
      <c r="G398" t="s">
        <v>1273</v>
      </c>
      <c r="H398" t="s">
        <v>1274</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85"/>
    </row>
    <row r="399" spans="1:51" x14ac:dyDescent="0.25">
      <c r="A399" s="102" t="str">
        <f t="shared" si="93"/>
        <v>GS FSOM</v>
      </c>
      <c r="B399" s="102" t="s">
        <v>1022</v>
      </c>
      <c r="C399" s="102" t="s">
        <v>60</v>
      </c>
      <c r="D399" t="s">
        <v>369</v>
      </c>
      <c r="E399" t="s">
        <v>55</v>
      </c>
      <c r="F399" t="s">
        <v>60</v>
      </c>
      <c r="G399" t="s">
        <v>1275</v>
      </c>
      <c r="H399" t="s">
        <v>1276</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85"/>
    </row>
    <row r="400" spans="1:51" x14ac:dyDescent="0.25">
      <c r="A400" s="102" t="str">
        <f t="shared" si="93"/>
        <v>GS FSOM</v>
      </c>
      <c r="B400" s="102" t="s">
        <v>1022</v>
      </c>
      <c r="C400" s="102" t="s">
        <v>60</v>
      </c>
      <c r="D400" t="s">
        <v>369</v>
      </c>
      <c r="E400" t="s">
        <v>55</v>
      </c>
      <c r="F400" t="s">
        <v>60</v>
      </c>
      <c r="G400" t="s">
        <v>1277</v>
      </c>
      <c r="H400" t="s">
        <v>1278</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85"/>
    </row>
    <row r="401" spans="1:51" x14ac:dyDescent="0.25">
      <c r="A401" s="102" t="str">
        <f t="shared" si="93"/>
        <v>GS FSOM</v>
      </c>
      <c r="B401" s="102" t="s">
        <v>1022</v>
      </c>
      <c r="C401" s="102" t="s">
        <v>60</v>
      </c>
      <c r="D401" t="s">
        <v>369</v>
      </c>
      <c r="E401" t="s">
        <v>55</v>
      </c>
      <c r="F401" t="s">
        <v>60</v>
      </c>
      <c r="G401" t="s">
        <v>1279</v>
      </c>
      <c r="H401" t="s">
        <v>1280</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85"/>
    </row>
    <row r="402" spans="1:51" x14ac:dyDescent="0.25">
      <c r="A402" s="102" t="str">
        <f t="shared" si="93"/>
        <v>GS FSOM</v>
      </c>
      <c r="B402" s="102" t="s">
        <v>1022</v>
      </c>
      <c r="C402" s="102" t="s">
        <v>60</v>
      </c>
      <c r="D402" t="s">
        <v>369</v>
      </c>
      <c r="E402" t="s">
        <v>55</v>
      </c>
      <c r="F402" t="s">
        <v>60</v>
      </c>
      <c r="G402" t="s">
        <v>1281</v>
      </c>
      <c r="H402" t="s">
        <v>1282</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85"/>
    </row>
    <row r="403" spans="1:51" x14ac:dyDescent="0.25">
      <c r="A403" s="102" t="str">
        <f t="shared" si="93"/>
        <v>GS FSOM</v>
      </c>
      <c r="B403" s="102" t="s">
        <v>1022</v>
      </c>
      <c r="C403" s="102" t="s">
        <v>60</v>
      </c>
      <c r="D403" t="s">
        <v>369</v>
      </c>
      <c r="E403" t="s">
        <v>55</v>
      </c>
      <c r="F403" t="s">
        <v>60</v>
      </c>
      <c r="G403" t="s">
        <v>1283</v>
      </c>
      <c r="H403" t="s">
        <v>1284</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85"/>
    </row>
    <row r="404" spans="1:51" x14ac:dyDescent="0.25">
      <c r="A404" s="102" t="str">
        <f t="shared" si="93"/>
        <v>GS FSOM</v>
      </c>
      <c r="B404" s="102" t="s">
        <v>1022</v>
      </c>
      <c r="C404" s="102" t="s">
        <v>60</v>
      </c>
      <c r="D404" t="s">
        <v>369</v>
      </c>
      <c r="E404" t="s">
        <v>55</v>
      </c>
      <c r="F404" t="s">
        <v>60</v>
      </c>
      <c r="G404" t="s">
        <v>1285</v>
      </c>
      <c r="H404" t="s">
        <v>1286</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85"/>
    </row>
    <row r="405" spans="1:51" x14ac:dyDescent="0.25">
      <c r="A405" s="102" t="str">
        <f t="shared" si="93"/>
        <v>GS FSOM</v>
      </c>
      <c r="B405" s="102" t="s">
        <v>1022</v>
      </c>
      <c r="C405" s="102" t="s">
        <v>60</v>
      </c>
      <c r="D405" t="s">
        <v>369</v>
      </c>
      <c r="E405" t="s">
        <v>55</v>
      </c>
      <c r="F405" t="s">
        <v>60</v>
      </c>
      <c r="G405" t="s">
        <v>1287</v>
      </c>
      <c r="H405" t="s">
        <v>1288</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85"/>
    </row>
    <row r="406" spans="1:51" x14ac:dyDescent="0.25">
      <c r="A406" s="102" t="str">
        <f t="shared" si="93"/>
        <v>GS FSOM</v>
      </c>
      <c r="B406" s="102" t="s">
        <v>1022</v>
      </c>
      <c r="C406" s="102" t="s">
        <v>60</v>
      </c>
      <c r="D406" t="s">
        <v>369</v>
      </c>
      <c r="E406" t="s">
        <v>55</v>
      </c>
      <c r="F406" t="s">
        <v>60</v>
      </c>
      <c r="G406" t="s">
        <v>1289</v>
      </c>
      <c r="H406" t="s">
        <v>1290</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85"/>
    </row>
    <row r="407" spans="1:51" x14ac:dyDescent="0.25">
      <c r="A407" s="102" t="str">
        <f t="shared" si="93"/>
        <v>GS Volatilisation</v>
      </c>
      <c r="B407" s="102" t="s">
        <v>1022</v>
      </c>
      <c r="C407" s="102" t="s">
        <v>62</v>
      </c>
      <c r="D407" t="s">
        <v>369</v>
      </c>
      <c r="E407" t="s">
        <v>61</v>
      </c>
      <c r="F407" t="s">
        <v>62</v>
      </c>
      <c r="G407" t="s">
        <v>435</v>
      </c>
      <c r="H407" t="s">
        <v>1185</v>
      </c>
      <c r="I407" t="s">
        <v>139</v>
      </c>
      <c r="J407" t="s">
        <v>287</v>
      </c>
      <c r="K407" s="22">
        <f t="shared" si="90"/>
        <v>0.66064812063358536</v>
      </c>
      <c r="L407" s="22">
        <f t="shared" si="97"/>
        <v>0.66056660352543128</v>
      </c>
      <c r="M407" s="22">
        <f t="shared" si="97"/>
        <v>0.66042995522505377</v>
      </c>
      <c r="N407" s="22">
        <f t="shared" si="97"/>
        <v>0.66031365898338112</v>
      </c>
      <c r="O407" s="22">
        <f t="shared" si="97"/>
        <v>0.66027560568732091</v>
      </c>
      <c r="P407" s="22">
        <f t="shared" si="97"/>
        <v>0.66023708971175277</v>
      </c>
      <c r="Q407" s="22">
        <f t="shared" si="97"/>
        <v>0.66011966991986881</v>
      </c>
      <c r="R407" s="22">
        <f t="shared" si="97"/>
        <v>0.66002765167075472</v>
      </c>
      <c r="S407" s="22">
        <f t="shared" si="97"/>
        <v>0.66002145648060517</v>
      </c>
      <c r="T407" s="22">
        <f t="shared" si="97"/>
        <v>0.66040420720172732</v>
      </c>
      <c r="U407" s="22">
        <f t="shared" si="97"/>
        <v>0.66019485697997204</v>
      </c>
      <c r="V407" s="22">
        <f t="shared" si="97"/>
        <v>0.66003652312909888</v>
      </c>
      <c r="W407" s="22">
        <f t="shared" si="97"/>
        <v>0.65989054673114655</v>
      </c>
      <c r="X407" s="22">
        <f t="shared" si="97"/>
        <v>0.65972835879321112</v>
      </c>
      <c r="Y407" s="22">
        <f t="shared" si="97"/>
        <v>0.65950794659321976</v>
      </c>
      <c r="Z407" s="22">
        <f t="shared" ref="L407:AW414" si="98">Z1510</f>
        <v>0.65927714888243172</v>
      </c>
      <c r="AA407" s="22">
        <f t="shared" si="98"/>
        <v>0.65903551292141993</v>
      </c>
      <c r="AB407" s="22">
        <f t="shared" si="98"/>
        <v>0.65882075529961204</v>
      </c>
      <c r="AC407" s="22">
        <f t="shared" si="98"/>
        <v>0.65858383398788667</v>
      </c>
      <c r="AD407" s="22">
        <f t="shared" si="98"/>
        <v>0.65832049506454571</v>
      </c>
      <c r="AE407" s="22">
        <f t="shared" si="98"/>
        <v>0.65806825645343991</v>
      </c>
      <c r="AF407" s="22">
        <f t="shared" si="98"/>
        <v>0.65781181226611019</v>
      </c>
      <c r="AG407" s="22">
        <f t="shared" si="98"/>
        <v>0.65755610222279148</v>
      </c>
      <c r="AH407" s="22">
        <f t="shared" si="98"/>
        <v>0.65728213410220515</v>
      </c>
      <c r="AI407" s="22">
        <f t="shared" si="98"/>
        <v>0.65704025946446432</v>
      </c>
      <c r="AJ407" s="22">
        <f t="shared" si="98"/>
        <v>0.65679167627959911</v>
      </c>
      <c r="AK407" s="22">
        <f t="shared" si="98"/>
        <v>0.65654442966296833</v>
      </c>
      <c r="AL407" s="22">
        <f t="shared" si="98"/>
        <v>0.6563107846246663</v>
      </c>
      <c r="AM407" s="22">
        <f t="shared" si="98"/>
        <v>0.65608183818668697</v>
      </c>
      <c r="AN407" s="22">
        <f t="shared" si="98"/>
        <v>0.6558502326056066</v>
      </c>
      <c r="AO407" s="22">
        <f t="shared" si="98"/>
        <v>0.65561383844940613</v>
      </c>
      <c r="AP407" s="22">
        <f t="shared" si="98"/>
        <v>0.65539317250053775</v>
      </c>
      <c r="AQ407" s="22">
        <f t="shared" si="98"/>
        <v>0.65517393492300557</v>
      </c>
      <c r="AR407" s="22">
        <f t="shared" si="98"/>
        <v>0.65495579618392019</v>
      </c>
      <c r="AS407" s="22">
        <f t="shared" si="98"/>
        <v>0.65472963164045961</v>
      </c>
      <c r="AT407" s="22">
        <f t="shared" si="98"/>
        <v>0.65450342769214809</v>
      </c>
      <c r="AU407" s="22">
        <f t="shared" si="98"/>
        <v>0.65436308710087154</v>
      </c>
      <c r="AV407" s="22">
        <f t="shared" si="98"/>
        <v>0.65422967735758231</v>
      </c>
      <c r="AW407" s="22">
        <f t="shared" si="98"/>
        <v>0.65408646829531714</v>
      </c>
      <c r="AY407" s="85"/>
    </row>
    <row r="408" spans="1:51" x14ac:dyDescent="0.25">
      <c r="A408" s="102" t="str">
        <f t="shared" si="93"/>
        <v>GS Volatilisation</v>
      </c>
      <c r="B408" s="102" t="s">
        <v>1022</v>
      </c>
      <c r="C408" s="102" t="s">
        <v>62</v>
      </c>
      <c r="D408" t="s">
        <v>369</v>
      </c>
      <c r="E408" t="s">
        <v>61</v>
      </c>
      <c r="F408" t="s">
        <v>62</v>
      </c>
      <c r="G408" t="s">
        <v>436</v>
      </c>
      <c r="H408" t="s">
        <v>1186</v>
      </c>
      <c r="I408" t="s">
        <v>139</v>
      </c>
      <c r="J408" t="s">
        <v>287</v>
      </c>
      <c r="K408" s="22">
        <f t="shared" si="90"/>
        <v>8.720555192363328E-3</v>
      </c>
      <c r="L408" s="22">
        <f t="shared" si="98"/>
        <v>8.7194791665356954E-3</v>
      </c>
      <c r="M408" s="22">
        <f t="shared" si="98"/>
        <v>8.7176754089707108E-3</v>
      </c>
      <c r="N408" s="22">
        <f t="shared" si="98"/>
        <v>8.7161402985806314E-3</v>
      </c>
      <c r="O408" s="22">
        <f t="shared" si="98"/>
        <v>8.7156379950726372E-3</v>
      </c>
      <c r="P408" s="22">
        <f t="shared" si="98"/>
        <v>8.7151295841951387E-3</v>
      </c>
      <c r="Q408" s="22">
        <f t="shared" si="98"/>
        <v>8.7135796429422714E-3</v>
      </c>
      <c r="R408" s="22">
        <f t="shared" si="98"/>
        <v>8.7123650020539626E-3</v>
      </c>
      <c r="S408" s="22">
        <f t="shared" si="98"/>
        <v>8.7122832255439892E-3</v>
      </c>
      <c r="T408" s="22">
        <f t="shared" si="98"/>
        <v>8.7173355350628028E-3</v>
      </c>
      <c r="U408" s="22">
        <f t="shared" si="98"/>
        <v>8.7145721121356327E-3</v>
      </c>
      <c r="V408" s="22">
        <f t="shared" si="98"/>
        <v>8.7124821053041063E-3</v>
      </c>
      <c r="W408" s="22">
        <f t="shared" si="98"/>
        <v>8.7105552168511343E-3</v>
      </c>
      <c r="X408" s="22">
        <f t="shared" si="98"/>
        <v>8.7084143360703897E-3</v>
      </c>
      <c r="Y408" s="22">
        <f t="shared" si="98"/>
        <v>8.7055048950305004E-3</v>
      </c>
      <c r="Z408" s="22">
        <f t="shared" si="98"/>
        <v>8.7024583652481006E-3</v>
      </c>
      <c r="AA408" s="22">
        <f t="shared" si="98"/>
        <v>8.6992687705627434E-3</v>
      </c>
      <c r="AB408" s="22">
        <f t="shared" si="98"/>
        <v>8.6964339699548802E-3</v>
      </c>
      <c r="AC408" s="22">
        <f t="shared" si="98"/>
        <v>8.6933066086401032E-3</v>
      </c>
      <c r="AD408" s="22">
        <f t="shared" si="98"/>
        <v>8.6898305348520055E-3</v>
      </c>
      <c r="AE408" s="22">
        <f t="shared" si="98"/>
        <v>8.6865009851854087E-3</v>
      </c>
      <c r="AF408" s="22">
        <f t="shared" si="98"/>
        <v>8.6831159219126538E-3</v>
      </c>
      <c r="AG408" s="22">
        <f t="shared" si="98"/>
        <v>8.6797405493408489E-3</v>
      </c>
      <c r="AH408" s="22">
        <f t="shared" si="98"/>
        <v>8.6761241701491087E-3</v>
      </c>
      <c r="AI408" s="22">
        <f t="shared" si="98"/>
        <v>8.672931424930929E-3</v>
      </c>
      <c r="AJ408" s="22">
        <f t="shared" si="98"/>
        <v>8.6696501268907124E-3</v>
      </c>
      <c r="AK408" s="22">
        <f t="shared" si="98"/>
        <v>8.6663864715511834E-3</v>
      </c>
      <c r="AL408" s="22">
        <f t="shared" si="98"/>
        <v>8.6633023570455974E-3</v>
      </c>
      <c r="AM408" s="22">
        <f t="shared" si="98"/>
        <v>8.6602802640642716E-3</v>
      </c>
      <c r="AN408" s="22">
        <f t="shared" si="98"/>
        <v>8.6572230703940104E-3</v>
      </c>
      <c r="AO408" s="22">
        <f t="shared" si="98"/>
        <v>8.6541026675321618E-3</v>
      </c>
      <c r="AP408" s="22">
        <f t="shared" si="98"/>
        <v>8.651189877007099E-3</v>
      </c>
      <c r="AQ408" s="22">
        <f t="shared" si="98"/>
        <v>8.6482959409836767E-3</v>
      </c>
      <c r="AR408" s="22">
        <f t="shared" si="98"/>
        <v>8.6454165096277492E-3</v>
      </c>
      <c r="AS408" s="22">
        <f t="shared" si="98"/>
        <v>8.642431137654066E-3</v>
      </c>
      <c r="AT408" s="22">
        <f t="shared" si="98"/>
        <v>8.6394452455363525E-3</v>
      </c>
      <c r="AU408" s="22">
        <f t="shared" si="98"/>
        <v>8.6375927497315073E-3</v>
      </c>
      <c r="AV408" s="22">
        <f t="shared" si="98"/>
        <v>8.635831741120089E-3</v>
      </c>
      <c r="AW408" s="22">
        <f t="shared" si="98"/>
        <v>8.6339413814981846E-3</v>
      </c>
      <c r="AY408" s="85"/>
    </row>
    <row r="409" spans="1:51" x14ac:dyDescent="0.25">
      <c r="A409" s="102" t="str">
        <f t="shared" si="93"/>
        <v>GS Volatilisation</v>
      </c>
      <c r="B409" s="102" t="s">
        <v>1022</v>
      </c>
      <c r="C409" s="102" t="s">
        <v>62</v>
      </c>
      <c r="D409" t="s">
        <v>369</v>
      </c>
      <c r="E409" t="s">
        <v>61</v>
      </c>
      <c r="F409" t="s">
        <v>62</v>
      </c>
      <c r="G409" t="s">
        <v>437</v>
      </c>
      <c r="H409" t="s">
        <v>1187</v>
      </c>
      <c r="I409" t="s">
        <v>139</v>
      </c>
      <c r="J409" t="s">
        <v>287</v>
      </c>
      <c r="K409" s="22">
        <f t="shared" si="90"/>
        <v>1.2055794850635659</v>
      </c>
      <c r="L409" s="22">
        <f t="shared" si="98"/>
        <v>1.2104278424184185</v>
      </c>
      <c r="M409" s="22">
        <f t="shared" si="98"/>
        <v>1.2110410080270337</v>
      </c>
      <c r="N409" s="22">
        <f t="shared" si="98"/>
        <v>1.1943250378730979</v>
      </c>
      <c r="O409" s="22">
        <f t="shared" si="98"/>
        <v>1.1785336367211481</v>
      </c>
      <c r="P409" s="22">
        <f t="shared" si="98"/>
        <v>1.1807984846872717</v>
      </c>
      <c r="Q409" s="22">
        <f t="shared" si="98"/>
        <v>1.1777806975328995</v>
      </c>
      <c r="R409" s="22">
        <f t="shared" si="98"/>
        <v>1.1565987272959932</v>
      </c>
      <c r="S409" s="22">
        <f t="shared" si="98"/>
        <v>1.0565661190304907</v>
      </c>
      <c r="T409" s="22">
        <f t="shared" si="98"/>
        <v>1.0843981444045876</v>
      </c>
      <c r="U409" s="22">
        <f t="shared" si="98"/>
        <v>1.1022978887172767</v>
      </c>
      <c r="V409" s="22">
        <f t="shared" si="98"/>
        <v>1.1179525333401792</v>
      </c>
      <c r="W409" s="22">
        <f t="shared" si="98"/>
        <v>1.1371937582920058</v>
      </c>
      <c r="X409" s="22">
        <f t="shared" si="98"/>
        <v>1.1688596383194103</v>
      </c>
      <c r="Y409" s="22">
        <f t="shared" si="98"/>
        <v>1.2033526446166931</v>
      </c>
      <c r="Z409" s="22">
        <f t="shared" si="98"/>
        <v>1.2408507133252609</v>
      </c>
      <c r="AA409" s="22">
        <f t="shared" si="98"/>
        <v>1.2731843133951926</v>
      </c>
      <c r="AB409" s="22">
        <f t="shared" si="98"/>
        <v>1.3110551040849183</v>
      </c>
      <c r="AC409" s="22">
        <f t="shared" si="98"/>
        <v>1.355728169291323</v>
      </c>
      <c r="AD409" s="22">
        <f t="shared" si="98"/>
        <v>1.3939596257860098</v>
      </c>
      <c r="AE409" s="22">
        <f t="shared" si="98"/>
        <v>1.4337807294637712</v>
      </c>
      <c r="AF409" s="22">
        <f t="shared" si="98"/>
        <v>1.47406827607512</v>
      </c>
      <c r="AG409" s="22">
        <f t="shared" si="98"/>
        <v>1.5194978047800693</v>
      </c>
      <c r="AH409" s="22">
        <f t="shared" si="98"/>
        <v>1.5577289711925291</v>
      </c>
      <c r="AI409" s="22">
        <f t="shared" si="98"/>
        <v>1.5982604880799263</v>
      </c>
      <c r="AJ409" s="22">
        <f t="shared" si="98"/>
        <v>1.6390864176929789</v>
      </c>
      <c r="AK409" s="22">
        <f t="shared" si="98"/>
        <v>1.6769805965077378</v>
      </c>
      <c r="AL409" s="22">
        <f t="shared" si="98"/>
        <v>1.7141634850883904</v>
      </c>
      <c r="AM409" s="22">
        <f t="shared" si="98"/>
        <v>1.7525800299502974</v>
      </c>
      <c r="AN409" s="22">
        <f t="shared" si="98"/>
        <v>1.7962799809461818</v>
      </c>
      <c r="AO409" s="22">
        <f t="shared" si="98"/>
        <v>1.8363745934977889</v>
      </c>
      <c r="AP409" s="22">
        <f t="shared" si="98"/>
        <v>1.8767319429652667</v>
      </c>
      <c r="AQ409" s="22">
        <f t="shared" si="98"/>
        <v>1.9174419078072971</v>
      </c>
      <c r="AR409" s="22">
        <f t="shared" si="98"/>
        <v>1.9611841098019933</v>
      </c>
      <c r="AS409" s="22">
        <f t="shared" si="98"/>
        <v>2.0057175014121866</v>
      </c>
      <c r="AT409" s="22">
        <f t="shared" si="98"/>
        <v>2.0250554676371522</v>
      </c>
      <c r="AU409" s="22">
        <f t="shared" si="98"/>
        <v>2.0424822718000586</v>
      </c>
      <c r="AV409" s="22">
        <f t="shared" si="98"/>
        <v>2.0630523613917346</v>
      </c>
      <c r="AW409" s="22">
        <f t="shared" si="98"/>
        <v>2.082006990762475</v>
      </c>
      <c r="AY409" s="85"/>
    </row>
    <row r="410" spans="1:51" x14ac:dyDescent="0.25">
      <c r="A410" s="102" t="str">
        <f t="shared" si="93"/>
        <v>GS Volatilisation</v>
      </c>
      <c r="B410" s="102" t="s">
        <v>1022</v>
      </c>
      <c r="C410" s="102" t="s">
        <v>62</v>
      </c>
      <c r="D410" t="s">
        <v>369</v>
      </c>
      <c r="E410" t="s">
        <v>61</v>
      </c>
      <c r="F410" t="s">
        <v>62</v>
      </c>
      <c r="G410" t="s">
        <v>438</v>
      </c>
      <c r="H410" t="s">
        <v>1266</v>
      </c>
      <c r="I410" t="s">
        <v>139</v>
      </c>
      <c r="J410" t="s">
        <v>287</v>
      </c>
      <c r="K410" s="22">
        <f t="shared" si="90"/>
        <v>4.4098974147867755</v>
      </c>
      <c r="L410" s="22">
        <f t="shared" si="98"/>
        <v>4.4002705988392581</v>
      </c>
      <c r="M410" s="22">
        <f t="shared" si="98"/>
        <v>4.3810790490560496</v>
      </c>
      <c r="N410" s="22">
        <f t="shared" si="98"/>
        <v>4.3210884872533324</v>
      </c>
      <c r="O410" s="22">
        <f t="shared" si="98"/>
        <v>4.2648964492483783</v>
      </c>
      <c r="P410" s="22">
        <f t="shared" si="98"/>
        <v>4.2527084614653266</v>
      </c>
      <c r="Q410" s="22">
        <f t="shared" si="98"/>
        <v>4.2283311412429541</v>
      </c>
      <c r="R410" s="22">
        <f t="shared" si="98"/>
        <v>4.1624951000433894</v>
      </c>
      <c r="S410" s="22">
        <f t="shared" si="98"/>
        <v>3.918294133105289</v>
      </c>
      <c r="T410" s="22">
        <f t="shared" si="98"/>
        <v>3.9728149933985741</v>
      </c>
      <c r="U410" s="22">
        <f t="shared" si="98"/>
        <v>4.0046383553460947</v>
      </c>
      <c r="V410" s="22">
        <f t="shared" si="98"/>
        <v>4.0313393560711299</v>
      </c>
      <c r="W410" s="22">
        <f t="shared" si="98"/>
        <v>4.0659554364901567</v>
      </c>
      <c r="X410" s="22">
        <f t="shared" si="98"/>
        <v>4.127860980146191</v>
      </c>
      <c r="Y410" s="22">
        <f t="shared" si="98"/>
        <v>4.1932975047825973</v>
      </c>
      <c r="Z410" s="22">
        <f t="shared" si="98"/>
        <v>4.2646556600059613</v>
      </c>
      <c r="AA410" s="22">
        <f t="shared" si="98"/>
        <v>4.3240622404895737</v>
      </c>
      <c r="AB410" s="22">
        <f t="shared" si="98"/>
        <v>4.3947968135079751</v>
      </c>
      <c r="AC410" s="22">
        <f t="shared" si="98"/>
        <v>4.4793345574908621</v>
      </c>
      <c r="AD410" s="22">
        <f t="shared" si="98"/>
        <v>4.5365384381843912</v>
      </c>
      <c r="AE410" s="22">
        <f t="shared" si="98"/>
        <v>4.5953040720129232</v>
      </c>
      <c r="AF410" s="22">
        <f t="shared" si="98"/>
        <v>4.6531478649857521</v>
      </c>
      <c r="AG410" s="22">
        <f t="shared" si="98"/>
        <v>4.7195989933520908</v>
      </c>
      <c r="AH410" s="22">
        <f t="shared" si="98"/>
        <v>4.7691902048211627</v>
      </c>
      <c r="AI410" s="22">
        <f t="shared" si="98"/>
        <v>4.8198409519315524</v>
      </c>
      <c r="AJ410" s="22">
        <f t="shared" si="98"/>
        <v>4.8689648702732589</v>
      </c>
      <c r="AK410" s="22">
        <f t="shared" si="98"/>
        <v>4.9101688608077527</v>
      </c>
      <c r="AL410" s="22">
        <f t="shared" si="98"/>
        <v>4.9479174362838023</v>
      </c>
      <c r="AM410" s="22">
        <f t="shared" si="98"/>
        <v>4.9859362473479623</v>
      </c>
      <c r="AN410" s="22">
        <f t="shared" si="98"/>
        <v>5.0387466715290952</v>
      </c>
      <c r="AO410" s="22">
        <f t="shared" si="98"/>
        <v>5.0829929376217953</v>
      </c>
      <c r="AP410" s="22">
        <f t="shared" si="98"/>
        <v>5.1260297941923829</v>
      </c>
      <c r="AQ410" s="22">
        <f t="shared" si="98"/>
        <v>5.1679798732444908</v>
      </c>
      <c r="AR410" s="22">
        <f t="shared" si="98"/>
        <v>5.2136546695362291</v>
      </c>
      <c r="AS410" s="22">
        <f t="shared" si="98"/>
        <v>5.2573345909610909</v>
      </c>
      <c r="AT410" s="22">
        <f t="shared" si="98"/>
        <v>5.2543577680109008</v>
      </c>
      <c r="AU410" s="22">
        <f t="shared" si="98"/>
        <v>5.2470482911537353</v>
      </c>
      <c r="AV410" s="22">
        <f t="shared" si="98"/>
        <v>5.2442604689487187</v>
      </c>
      <c r="AW410" s="22">
        <f t="shared" si="98"/>
        <v>5.2376395842644694</v>
      </c>
      <c r="AY410" s="85"/>
    </row>
    <row r="411" spans="1:51" x14ac:dyDescent="0.25">
      <c r="A411" s="102" t="str">
        <f t="shared" si="93"/>
        <v>GS Leaching</v>
      </c>
      <c r="B411" s="102" t="s">
        <v>1022</v>
      </c>
      <c r="C411" s="102" t="s">
        <v>1191</v>
      </c>
      <c r="D411" t="s">
        <v>369</v>
      </c>
      <c r="E411" t="s">
        <v>61</v>
      </c>
      <c r="F411" t="s">
        <v>63</v>
      </c>
      <c r="G411" t="s">
        <v>435</v>
      </c>
      <c r="H411" t="s">
        <v>1188</v>
      </c>
      <c r="I411" t="s">
        <v>139</v>
      </c>
      <c r="J411" t="s">
        <v>287</v>
      </c>
      <c r="K411" s="22">
        <f t="shared" si="90"/>
        <v>2.2792360161858692E-4</v>
      </c>
      <c r="L411" s="22">
        <f t="shared" si="98"/>
        <v>2.278954782162738E-4</v>
      </c>
      <c r="M411" s="22">
        <f t="shared" si="98"/>
        <v>2.2784833455264354E-4</v>
      </c>
      <c r="N411" s="22">
        <f t="shared" si="98"/>
        <v>2.2780821234926642E-4</v>
      </c>
      <c r="O411" s="22">
        <f t="shared" si="98"/>
        <v>2.2779508396212562E-4</v>
      </c>
      <c r="P411" s="22">
        <f t="shared" si="98"/>
        <v>2.2778179595055463E-4</v>
      </c>
      <c r="Q411" s="22">
        <f t="shared" si="98"/>
        <v>2.2774128612235473E-4</v>
      </c>
      <c r="R411" s="22">
        <f t="shared" si="98"/>
        <v>2.2770953982641034E-4</v>
      </c>
      <c r="S411" s="22">
        <f t="shared" si="98"/>
        <v>2.2770740248580869E-4</v>
      </c>
      <c r="T411" s="22">
        <f t="shared" si="98"/>
        <v>2.2783945148459591E-4</v>
      </c>
      <c r="U411" s="22">
        <f t="shared" si="98"/>
        <v>2.2776722565809031E-4</v>
      </c>
      <c r="V411" s="22">
        <f t="shared" si="98"/>
        <v>2.2771260047953912E-4</v>
      </c>
      <c r="W411" s="22">
        <f t="shared" si="98"/>
        <v>2.2766223862224547E-4</v>
      </c>
      <c r="X411" s="22">
        <f t="shared" si="98"/>
        <v>2.276062837836578E-4</v>
      </c>
      <c r="Y411" s="22">
        <f t="shared" si="98"/>
        <v>2.2753024157466073E-4</v>
      </c>
      <c r="Z411" s="22">
        <f t="shared" si="98"/>
        <v>2.2745061636443892E-4</v>
      </c>
      <c r="AA411" s="22">
        <f t="shared" si="98"/>
        <v>2.2736725195788982E-4</v>
      </c>
      <c r="AB411" s="22">
        <f t="shared" si="98"/>
        <v>2.2729316057836611E-4</v>
      </c>
      <c r="AC411" s="22">
        <f t="shared" si="98"/>
        <v>2.2721142272582082E-4</v>
      </c>
      <c r="AD411" s="22">
        <f t="shared" si="98"/>
        <v>2.2712057079726826E-4</v>
      </c>
      <c r="AE411" s="22">
        <f t="shared" si="98"/>
        <v>2.2703354847643673E-4</v>
      </c>
      <c r="AF411" s="22">
        <f t="shared" si="98"/>
        <v>2.26945075231808E-4</v>
      </c>
      <c r="AG411" s="22">
        <f t="shared" si="98"/>
        <v>2.2685685526686305E-4</v>
      </c>
      <c r="AH411" s="22">
        <f t="shared" si="98"/>
        <v>2.2676233626526071E-4</v>
      </c>
      <c r="AI411" s="22">
        <f t="shared" si="98"/>
        <v>2.2667888951524015E-4</v>
      </c>
      <c r="AJ411" s="22">
        <f t="shared" si="98"/>
        <v>2.2659312831646165E-4</v>
      </c>
      <c r="AK411" s="22">
        <f t="shared" si="98"/>
        <v>2.2650782823372401E-4</v>
      </c>
      <c r="AL411" s="22">
        <f t="shared" si="98"/>
        <v>2.2642722069550987E-4</v>
      </c>
      <c r="AM411" s="22">
        <f t="shared" si="98"/>
        <v>2.2634823417440697E-4</v>
      </c>
      <c r="AN411" s="22">
        <f t="shared" si="98"/>
        <v>2.2626833024893425E-4</v>
      </c>
      <c r="AO411" s="22">
        <f t="shared" si="98"/>
        <v>2.2618677426504506E-4</v>
      </c>
      <c r="AP411" s="22">
        <f t="shared" si="98"/>
        <v>2.2611064451268553E-4</v>
      </c>
      <c r="AQ411" s="22">
        <f t="shared" si="98"/>
        <v>2.2603500754843689E-4</v>
      </c>
      <c r="AR411" s="22">
        <f t="shared" si="98"/>
        <v>2.2595974968345244E-4</v>
      </c>
      <c r="AS411" s="22">
        <f t="shared" si="98"/>
        <v>2.2588172291595847E-4</v>
      </c>
      <c r="AT411" s="22">
        <f t="shared" si="98"/>
        <v>2.25803682553791E-4</v>
      </c>
      <c r="AU411" s="22">
        <f t="shared" si="98"/>
        <v>2.2575526504980067E-4</v>
      </c>
      <c r="AV411" s="22">
        <f t="shared" si="98"/>
        <v>2.2570923868836588E-4</v>
      </c>
      <c r="AW411" s="22">
        <f t="shared" si="98"/>
        <v>2.2565983156188431E-4</v>
      </c>
      <c r="AY411" s="85"/>
    </row>
    <row r="412" spans="1:51" x14ac:dyDescent="0.25">
      <c r="A412" s="102" t="str">
        <f t="shared" si="93"/>
        <v>GS Leaching</v>
      </c>
      <c r="B412" s="102" t="s">
        <v>1022</v>
      </c>
      <c r="C412" s="102" t="s">
        <v>1191</v>
      </c>
      <c r="D412" t="s">
        <v>369</v>
      </c>
      <c r="E412" t="s">
        <v>61</v>
      </c>
      <c r="F412" t="s">
        <v>63</v>
      </c>
      <c r="G412" t="s">
        <v>436</v>
      </c>
      <c r="H412" t="s">
        <v>1189</v>
      </c>
      <c r="I412" t="s">
        <v>139</v>
      </c>
      <c r="J412" t="s">
        <v>287</v>
      </c>
      <c r="K412" s="22">
        <f t="shared" si="90"/>
        <v>1.5042957706826741E-6</v>
      </c>
      <c r="L412" s="22">
        <f t="shared" si="98"/>
        <v>1.5041101562274073E-6</v>
      </c>
      <c r="M412" s="22">
        <f t="shared" si="98"/>
        <v>1.5037990080474479E-6</v>
      </c>
      <c r="N412" s="22">
        <f t="shared" si="98"/>
        <v>1.5035342015051588E-6</v>
      </c>
      <c r="O412" s="22">
        <f t="shared" si="98"/>
        <v>1.5034475541500297E-6</v>
      </c>
      <c r="P412" s="22">
        <f t="shared" si="98"/>
        <v>1.5033598532736611E-6</v>
      </c>
      <c r="Q412" s="22">
        <f t="shared" si="98"/>
        <v>1.5030924884075416E-6</v>
      </c>
      <c r="R412" s="22">
        <f t="shared" si="98"/>
        <v>1.5028829628543084E-6</v>
      </c>
      <c r="S412" s="22">
        <f t="shared" si="98"/>
        <v>1.5028688564063377E-6</v>
      </c>
      <c r="T412" s="22">
        <f t="shared" si="98"/>
        <v>1.5037403797983331E-6</v>
      </c>
      <c r="U412" s="22">
        <f t="shared" si="98"/>
        <v>1.5032636893433962E-6</v>
      </c>
      <c r="V412" s="22">
        <f t="shared" si="98"/>
        <v>1.5029031631649579E-6</v>
      </c>
      <c r="W412" s="22">
        <f t="shared" si="98"/>
        <v>1.5025707749068207E-6</v>
      </c>
      <c r="X412" s="22">
        <f t="shared" si="98"/>
        <v>1.5022014729721417E-6</v>
      </c>
      <c r="Y412" s="22">
        <f t="shared" si="98"/>
        <v>1.5016995943927613E-6</v>
      </c>
      <c r="Z412" s="22">
        <f t="shared" si="98"/>
        <v>1.5011740680052976E-6</v>
      </c>
      <c r="AA412" s="22">
        <f t="shared" si="98"/>
        <v>1.5006238629220729E-6</v>
      </c>
      <c r="AB412" s="22">
        <f t="shared" si="98"/>
        <v>1.5001348598172167E-6</v>
      </c>
      <c r="AC412" s="22">
        <f t="shared" si="98"/>
        <v>1.4995953899904175E-6</v>
      </c>
      <c r="AD412" s="22">
        <f t="shared" si="98"/>
        <v>1.4989957672619707E-6</v>
      </c>
      <c r="AE412" s="22">
        <f t="shared" si="98"/>
        <v>1.4984214199444828E-6</v>
      </c>
      <c r="AF412" s="22">
        <f t="shared" si="98"/>
        <v>1.497837496529933E-6</v>
      </c>
      <c r="AG412" s="22">
        <f t="shared" si="98"/>
        <v>1.497255244761296E-6</v>
      </c>
      <c r="AH412" s="22">
        <f t="shared" si="98"/>
        <v>1.4966314193507213E-6</v>
      </c>
      <c r="AI412" s="22">
        <f t="shared" si="98"/>
        <v>1.4960806708005854E-6</v>
      </c>
      <c r="AJ412" s="22">
        <f t="shared" si="98"/>
        <v>1.4955146468886474E-6</v>
      </c>
      <c r="AK412" s="22">
        <f t="shared" si="98"/>
        <v>1.494951666342579E-6</v>
      </c>
      <c r="AL412" s="22">
        <f t="shared" si="98"/>
        <v>1.494419656590365E-6</v>
      </c>
      <c r="AM412" s="22">
        <f t="shared" si="98"/>
        <v>1.493898345551086E-6</v>
      </c>
      <c r="AN412" s="22">
        <f t="shared" si="98"/>
        <v>1.4933709796429669E-6</v>
      </c>
      <c r="AO412" s="22">
        <f t="shared" si="98"/>
        <v>1.4928327101492978E-6</v>
      </c>
      <c r="AP412" s="22">
        <f t="shared" si="98"/>
        <v>1.4923302537837247E-6</v>
      </c>
      <c r="AQ412" s="22">
        <f t="shared" si="98"/>
        <v>1.4918310498196839E-6</v>
      </c>
      <c r="AR412" s="22">
        <f t="shared" si="98"/>
        <v>1.4913343479107866E-6</v>
      </c>
      <c r="AS412" s="22">
        <f t="shared" si="98"/>
        <v>1.490819371245326E-6</v>
      </c>
      <c r="AT412" s="22">
        <f t="shared" si="98"/>
        <v>1.490304304855021E-6</v>
      </c>
      <c r="AU412" s="22">
        <f t="shared" si="98"/>
        <v>1.4899847493286845E-6</v>
      </c>
      <c r="AV412" s="22">
        <f t="shared" si="98"/>
        <v>1.4896809753432154E-6</v>
      </c>
      <c r="AW412" s="22">
        <f t="shared" si="98"/>
        <v>1.489354888308437E-6</v>
      </c>
      <c r="AY412" s="85"/>
    </row>
    <row r="413" spans="1:51" x14ac:dyDescent="0.25">
      <c r="A413" s="102" t="str">
        <f t="shared" si="93"/>
        <v>GS Leaching</v>
      </c>
      <c r="B413" s="102" t="s">
        <v>1022</v>
      </c>
      <c r="C413" s="102" t="s">
        <v>1191</v>
      </c>
      <c r="D413" t="s">
        <v>369</v>
      </c>
      <c r="E413" t="s">
        <v>61</v>
      </c>
      <c r="F413" t="s">
        <v>63</v>
      </c>
      <c r="G413" t="s">
        <v>437</v>
      </c>
      <c r="H413" t="s">
        <v>1190</v>
      </c>
      <c r="I413" t="s">
        <v>139</v>
      </c>
      <c r="J413" t="s">
        <v>287</v>
      </c>
      <c r="K413" s="22">
        <f t="shared" si="90"/>
        <v>0.20796246117346509</v>
      </c>
      <c r="L413" s="22">
        <f t="shared" si="98"/>
        <v>0.20879880281717714</v>
      </c>
      <c r="M413" s="22">
        <f t="shared" si="98"/>
        <v>0.20890457388466332</v>
      </c>
      <c r="N413" s="22">
        <f t="shared" si="98"/>
        <v>0.20602106903310935</v>
      </c>
      <c r="O413" s="22">
        <f t="shared" si="98"/>
        <v>0.20329705233439804</v>
      </c>
      <c r="P413" s="22">
        <f t="shared" si="98"/>
        <v>0.2036877386085543</v>
      </c>
      <c r="Q413" s="22">
        <f t="shared" si="98"/>
        <v>0.20316717032442511</v>
      </c>
      <c r="R413" s="22">
        <f t="shared" si="98"/>
        <v>0.19951328045855884</v>
      </c>
      <c r="S413" s="22">
        <f t="shared" si="98"/>
        <v>0.18225765553275963</v>
      </c>
      <c r="T413" s="22">
        <f t="shared" si="98"/>
        <v>0.18705867990979133</v>
      </c>
      <c r="U413" s="22">
        <f t="shared" si="98"/>
        <v>0.19014638580373017</v>
      </c>
      <c r="V413" s="22">
        <f t="shared" si="98"/>
        <v>0.19284681200118092</v>
      </c>
      <c r="W413" s="22">
        <f t="shared" si="98"/>
        <v>0.19616592330537094</v>
      </c>
      <c r="X413" s="22">
        <f t="shared" si="98"/>
        <v>0.20162828761009829</v>
      </c>
      <c r="Y413" s="22">
        <f t="shared" si="98"/>
        <v>0.20757833119637956</v>
      </c>
      <c r="Z413" s="22">
        <f t="shared" si="98"/>
        <v>0.21404674804860749</v>
      </c>
      <c r="AA413" s="22">
        <f t="shared" si="98"/>
        <v>0.21962429406067066</v>
      </c>
      <c r="AB413" s="22">
        <f t="shared" si="98"/>
        <v>0.22615700545464837</v>
      </c>
      <c r="AC413" s="22">
        <f t="shared" si="98"/>
        <v>0.23386310920275319</v>
      </c>
      <c r="AD413" s="22">
        <f t="shared" si="98"/>
        <v>0.24045803544808661</v>
      </c>
      <c r="AE413" s="22">
        <f t="shared" si="98"/>
        <v>0.2473271758325005</v>
      </c>
      <c r="AF413" s="22">
        <f t="shared" si="98"/>
        <v>0.25427677762295814</v>
      </c>
      <c r="AG413" s="22">
        <f t="shared" si="98"/>
        <v>0.26211337132456192</v>
      </c>
      <c r="AH413" s="22">
        <f t="shared" si="98"/>
        <v>0.26870824753071121</v>
      </c>
      <c r="AI413" s="22">
        <f t="shared" si="98"/>
        <v>0.27569993419378713</v>
      </c>
      <c r="AJ413" s="22">
        <f t="shared" si="98"/>
        <v>0.28274240705203879</v>
      </c>
      <c r="AK413" s="22">
        <f t="shared" si="98"/>
        <v>0.28927915289758471</v>
      </c>
      <c r="AL413" s="22">
        <f t="shared" si="98"/>
        <v>0.29569320117774733</v>
      </c>
      <c r="AM413" s="22">
        <f t="shared" si="98"/>
        <v>0.30232005516642629</v>
      </c>
      <c r="AN413" s="22">
        <f t="shared" si="98"/>
        <v>0.30985829671321635</v>
      </c>
      <c r="AO413" s="22">
        <f t="shared" si="98"/>
        <v>0.31677461737836854</v>
      </c>
      <c r="AP413" s="22">
        <f t="shared" si="98"/>
        <v>0.32373626016150842</v>
      </c>
      <c r="AQ413" s="22">
        <f t="shared" si="98"/>
        <v>0.33075872909675869</v>
      </c>
      <c r="AR413" s="22">
        <f t="shared" si="98"/>
        <v>0.33830425894084387</v>
      </c>
      <c r="AS413" s="22">
        <f t="shared" si="98"/>
        <v>0.34598626899360208</v>
      </c>
      <c r="AT413" s="22">
        <f t="shared" si="98"/>
        <v>0.34932206816740874</v>
      </c>
      <c r="AU413" s="22">
        <f t="shared" si="98"/>
        <v>0.35232819188551001</v>
      </c>
      <c r="AV413" s="22">
        <f t="shared" si="98"/>
        <v>0.35587653234007416</v>
      </c>
      <c r="AW413" s="22">
        <f t="shared" si="98"/>
        <v>0.35914620590652685</v>
      </c>
      <c r="AY413" s="85"/>
    </row>
    <row r="414" spans="1:51" x14ac:dyDescent="0.25">
      <c r="A414" s="102" t="str">
        <f t="shared" si="93"/>
        <v>GS Leaching</v>
      </c>
      <c r="B414" s="102" t="s">
        <v>1022</v>
      </c>
      <c r="C414" s="102" t="s">
        <v>1191</v>
      </c>
      <c r="D414" t="s">
        <v>369</v>
      </c>
      <c r="E414" t="s">
        <v>61</v>
      </c>
      <c r="F414" t="s">
        <v>63</v>
      </c>
      <c r="G414" t="s">
        <v>438</v>
      </c>
      <c r="H414" t="s">
        <v>1192</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85"/>
    </row>
    <row r="415" spans="1:51" x14ac:dyDescent="0.25">
      <c r="A415" s="102" t="str">
        <f t="shared" si="93"/>
        <v>GS Leaching</v>
      </c>
      <c r="B415" s="102" t="s">
        <v>1022</v>
      </c>
      <c r="C415" s="102" t="s">
        <v>1191</v>
      </c>
      <c r="D415" t="s">
        <v>369</v>
      </c>
      <c r="E415" t="s">
        <v>61</v>
      </c>
      <c r="F415" t="s">
        <v>63</v>
      </c>
      <c r="G415" t="s">
        <v>439</v>
      </c>
      <c r="H415" t="s">
        <v>1193</v>
      </c>
      <c r="I415" t="s">
        <v>139</v>
      </c>
      <c r="J415" t="s">
        <v>287</v>
      </c>
      <c r="K415" s="22">
        <f t="shared" si="90"/>
        <v>0.10175116378121943</v>
      </c>
      <c r="L415" s="22">
        <f t="shared" si="99"/>
        <v>0.10196112149474701</v>
      </c>
      <c r="M415" s="22">
        <f t="shared" si="99"/>
        <v>0.10231307662851437</v>
      </c>
      <c r="N415" s="22">
        <f t="shared" si="99"/>
        <v>0.10261261243819185</v>
      </c>
      <c r="O415" s="22">
        <f t="shared" si="99"/>
        <v>0.10271062355774604</v>
      </c>
      <c r="P415" s="22">
        <f t="shared" si="99"/>
        <v>0.10280982636740998</v>
      </c>
      <c r="Q415" s="22">
        <f t="shared" si="99"/>
        <v>0.10311225602401949</v>
      </c>
      <c r="R415" s="22">
        <f t="shared" si="99"/>
        <v>0.10334926076602191</v>
      </c>
      <c r="S415" s="22">
        <f t="shared" si="99"/>
        <v>0.1033652172687505</v>
      </c>
      <c r="T415" s="22">
        <f t="shared" si="99"/>
        <v>0.10237939394800614</v>
      </c>
      <c r="U415" s="22">
        <f t="shared" si="99"/>
        <v>0.10291860215695282</v>
      </c>
      <c r="V415" s="22">
        <f t="shared" si="99"/>
        <v>0.10332641119306983</v>
      </c>
      <c r="W415" s="22">
        <f t="shared" si="99"/>
        <v>0.10370239203239459</v>
      </c>
      <c r="X415" s="22">
        <f t="shared" si="99"/>
        <v>0.1041201277615169</v>
      </c>
      <c r="Y415" s="22">
        <f t="shared" si="99"/>
        <v>0.1046878275069046</v>
      </c>
      <c r="Z415" s="22">
        <f t="shared" si="99"/>
        <v>0.10528227646052629</v>
      </c>
      <c r="AA415" s="22">
        <f t="shared" si="99"/>
        <v>0.1059046407105468</v>
      </c>
      <c r="AB415" s="22">
        <f t="shared" si="99"/>
        <v>0.10645777636830578</v>
      </c>
      <c r="AC415" s="22">
        <f t="shared" si="99"/>
        <v>0.10706799743750575</v>
      </c>
      <c r="AD415" s="22">
        <f t="shared" si="99"/>
        <v>0.10774626043627387</v>
      </c>
      <c r="AE415" s="22">
        <f t="shared" si="99"/>
        <v>0.10839593316449521</v>
      </c>
      <c r="AF415" s="22">
        <f t="shared" si="99"/>
        <v>0.10905643789090745</v>
      </c>
      <c r="AG415" s="22">
        <f t="shared" si="99"/>
        <v>0.10971505173574356</v>
      </c>
      <c r="AH415" s="22">
        <f t="shared" si="99"/>
        <v>0.11042069158828928</v>
      </c>
      <c r="AI415" s="22">
        <f t="shared" si="99"/>
        <v>0.11104367058067952</v>
      </c>
      <c r="AJ415" s="22">
        <f t="shared" si="99"/>
        <v>0.11168392829219058</v>
      </c>
      <c r="AK415" s="22">
        <f t="shared" si="99"/>
        <v>0.11232074350166987</v>
      </c>
      <c r="AL415" s="22">
        <f t="shared" si="99"/>
        <v>0.11292252611061948</v>
      </c>
      <c r="AM415" s="22">
        <f t="shared" si="99"/>
        <v>0.11351220687490285</v>
      </c>
      <c r="AN415" s="22">
        <f t="shared" si="99"/>
        <v>0.11410873660154547</v>
      </c>
      <c r="AO415" s="22">
        <f t="shared" si="99"/>
        <v>0.11471759991442693</v>
      </c>
      <c r="AP415" s="22">
        <f t="shared" si="99"/>
        <v>0.11528595322242488</v>
      </c>
      <c r="AQ415" s="22">
        <f t="shared" si="99"/>
        <v>0.1158506275777887</v>
      </c>
      <c r="AR415" s="22">
        <f t="shared" si="99"/>
        <v>0.1164124717345221</v>
      </c>
      <c r="AS415" s="22">
        <f t="shared" si="99"/>
        <v>0.11699498737450693</v>
      </c>
      <c r="AT415" s="22">
        <f t="shared" si="99"/>
        <v>0.11757760450671237</v>
      </c>
      <c r="AU415" s="22">
        <f t="shared" si="99"/>
        <v>0.11793906960682159</v>
      </c>
      <c r="AV415" s="22">
        <f t="shared" si="99"/>
        <v>0.11828268342357233</v>
      </c>
      <c r="AW415" s="22">
        <f t="shared" si="99"/>
        <v>0.11865153663672662</v>
      </c>
      <c r="AY415" s="85"/>
    </row>
    <row r="416" spans="1:51" x14ac:dyDescent="0.25">
      <c r="A416" s="102" t="str">
        <f t="shared" si="93"/>
        <v>GS Leaching</v>
      </c>
      <c r="B416" s="102" t="s">
        <v>1022</v>
      </c>
      <c r="C416" s="102" t="s">
        <v>1191</v>
      </c>
      <c r="D416" t="s">
        <v>369</v>
      </c>
      <c r="E416" t="s">
        <v>61</v>
      </c>
      <c r="F416" t="s">
        <v>63</v>
      </c>
      <c r="G416" t="s">
        <v>1194</v>
      </c>
      <c r="H416" t="s">
        <v>1195</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85"/>
    </row>
    <row r="417" spans="1:51" x14ac:dyDescent="0.25">
      <c r="A417" s="102" t="str">
        <f t="shared" si="93"/>
        <v>GS Leaching</v>
      </c>
      <c r="B417" s="102" t="s">
        <v>1022</v>
      </c>
      <c r="C417" s="102" t="s">
        <v>1191</v>
      </c>
      <c r="D417" t="s">
        <v>369</v>
      </c>
      <c r="E417" t="s">
        <v>61</v>
      </c>
      <c r="F417" t="s">
        <v>63</v>
      </c>
      <c r="G417" t="s">
        <v>1196</v>
      </c>
      <c r="H417" t="s">
        <v>1197</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85"/>
    </row>
    <row r="418" spans="1:51" x14ac:dyDescent="0.25">
      <c r="A418" s="102" t="str">
        <f t="shared" si="93"/>
        <v>GS Leaching</v>
      </c>
      <c r="B418" s="102" t="s">
        <v>1022</v>
      </c>
      <c r="C418" s="102" t="s">
        <v>1191</v>
      </c>
      <c r="D418" t="s">
        <v>369</v>
      </c>
      <c r="E418" t="s">
        <v>61</v>
      </c>
      <c r="F418" t="s">
        <v>63</v>
      </c>
      <c r="G418" t="s">
        <v>1198</v>
      </c>
      <c r="H418" t="s">
        <v>1199</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85"/>
    </row>
    <row r="419" spans="1:51" x14ac:dyDescent="0.25">
      <c r="A419" s="102" t="str">
        <f t="shared" si="93"/>
        <v>GS Leaching</v>
      </c>
      <c r="B419" s="102" t="s">
        <v>1022</v>
      </c>
      <c r="C419" s="102" t="s">
        <v>1191</v>
      </c>
      <c r="D419" t="s">
        <v>369</v>
      </c>
      <c r="E419" t="s">
        <v>61</v>
      </c>
      <c r="F419" t="s">
        <v>63</v>
      </c>
      <c r="G419" t="s">
        <v>1200</v>
      </c>
      <c r="H419" t="s">
        <v>1201</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85"/>
    </row>
    <row r="420" spans="1:51" x14ac:dyDescent="0.25">
      <c r="A420" s="102" t="str">
        <f t="shared" si="93"/>
        <v>GS Leaching</v>
      </c>
      <c r="B420" s="102" t="s">
        <v>1022</v>
      </c>
      <c r="C420" s="102" t="s">
        <v>1191</v>
      </c>
      <c r="D420" t="s">
        <v>369</v>
      </c>
      <c r="E420" t="s">
        <v>61</v>
      </c>
      <c r="F420" t="s">
        <v>63</v>
      </c>
      <c r="G420" t="s">
        <v>1202</v>
      </c>
      <c r="H420" t="s">
        <v>1203</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85"/>
    </row>
    <row r="421" spans="1:51" x14ac:dyDescent="0.25">
      <c r="A421" s="102" t="str">
        <f t="shared" si="93"/>
        <v>GS Leaching</v>
      </c>
      <c r="B421" s="102" t="s">
        <v>1022</v>
      </c>
      <c r="C421" s="102" t="s">
        <v>1191</v>
      </c>
      <c r="D421" t="s">
        <v>369</v>
      </c>
      <c r="E421" t="s">
        <v>61</v>
      </c>
      <c r="F421" t="s">
        <v>63</v>
      </c>
      <c r="G421" t="s">
        <v>1204</v>
      </c>
      <c r="H421" t="s">
        <v>1205</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85"/>
    </row>
    <row r="422" spans="1:51" x14ac:dyDescent="0.25">
      <c r="A422" s="102" t="str">
        <f t="shared" si="93"/>
        <v>GS Leaching</v>
      </c>
      <c r="B422" s="102" t="s">
        <v>1022</v>
      </c>
      <c r="C422" s="102" t="s">
        <v>1191</v>
      </c>
      <c r="D422" t="s">
        <v>369</v>
      </c>
      <c r="E422" t="s">
        <v>61</v>
      </c>
      <c r="F422" t="s">
        <v>63</v>
      </c>
      <c r="G422" t="s">
        <v>1206</v>
      </c>
      <c r="H422" t="s">
        <v>1207</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85"/>
    </row>
    <row r="423" spans="1:51" x14ac:dyDescent="0.25">
      <c r="A423" s="102" t="str">
        <f t="shared" si="93"/>
        <v>GS Leaching</v>
      </c>
      <c r="B423" s="102" t="s">
        <v>1022</v>
      </c>
      <c r="C423" s="102" t="s">
        <v>1191</v>
      </c>
      <c r="D423" t="s">
        <v>369</v>
      </c>
      <c r="E423" t="s">
        <v>61</v>
      </c>
      <c r="F423" t="s">
        <v>63</v>
      </c>
      <c r="G423" t="s">
        <v>1208</v>
      </c>
      <c r="H423" t="s">
        <v>1209</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85"/>
    </row>
    <row r="424" spans="1:51" x14ac:dyDescent="0.25">
      <c r="A424" s="102" t="str">
        <f t="shared" si="93"/>
        <v>GS Leaching</v>
      </c>
      <c r="B424" s="102" t="s">
        <v>1022</v>
      </c>
      <c r="C424" s="102" t="s">
        <v>1191</v>
      </c>
      <c r="D424" t="s">
        <v>369</v>
      </c>
      <c r="E424" t="s">
        <v>61</v>
      </c>
      <c r="F424" t="s">
        <v>63</v>
      </c>
      <c r="G424" t="s">
        <v>1210</v>
      </c>
      <c r="H424" t="s">
        <v>1211</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85"/>
    </row>
    <row r="425" spans="1:51" x14ac:dyDescent="0.25">
      <c r="A425" s="102" t="str">
        <f t="shared" si="93"/>
        <v>GS Leaching</v>
      </c>
      <c r="B425" s="102" t="s">
        <v>1022</v>
      </c>
      <c r="C425" s="102" t="s">
        <v>1191</v>
      </c>
      <c r="D425" t="s">
        <v>369</v>
      </c>
      <c r="E425" t="s">
        <v>61</v>
      </c>
      <c r="F425" t="s">
        <v>63</v>
      </c>
      <c r="G425" t="s">
        <v>1212</v>
      </c>
      <c r="H425" t="s">
        <v>1213</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85"/>
    </row>
    <row r="426" spans="1:51" x14ac:dyDescent="0.25">
      <c r="A426" s="102" t="str">
        <f t="shared" si="93"/>
        <v>GS Leaching</v>
      </c>
      <c r="B426" s="102" t="s">
        <v>1022</v>
      </c>
      <c r="C426" s="102" t="s">
        <v>1191</v>
      </c>
      <c r="D426" t="s">
        <v>369</v>
      </c>
      <c r="E426" t="s">
        <v>61</v>
      </c>
      <c r="F426" t="s">
        <v>63</v>
      </c>
      <c r="G426" t="s">
        <v>1214</v>
      </c>
      <c r="H426" t="s">
        <v>1215</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85"/>
    </row>
    <row r="427" spans="1:51" x14ac:dyDescent="0.25">
      <c r="A427" s="102"/>
      <c r="B427" s="102" t="s">
        <v>1022</v>
      </c>
      <c r="C427" s="102"/>
      <c r="D427" t="s">
        <v>369</v>
      </c>
      <c r="E427" t="s">
        <v>61</v>
      </c>
      <c r="F427" t="s">
        <v>63</v>
      </c>
      <c r="G427" t="s">
        <v>1216</v>
      </c>
      <c r="H427" t="s">
        <v>1217</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85"/>
    </row>
    <row r="428" spans="1:51" x14ac:dyDescent="0.25">
      <c r="A428" s="102" t="str">
        <f t="shared" si="93"/>
        <v>GS MM Volatilisation</v>
      </c>
      <c r="B428" s="102" t="s">
        <v>1022</v>
      </c>
      <c r="C428" s="102" t="s">
        <v>1333</v>
      </c>
      <c r="D428" t="s">
        <v>369</v>
      </c>
      <c r="E428" t="s">
        <v>64</v>
      </c>
      <c r="F428" t="s">
        <v>62</v>
      </c>
      <c r="G428" t="s">
        <v>1153</v>
      </c>
      <c r="H428" t="s">
        <v>1291</v>
      </c>
      <c r="I428" t="s">
        <v>139</v>
      </c>
      <c r="J428" t="s">
        <v>287</v>
      </c>
      <c r="K428" s="22">
        <f t="shared" si="101"/>
        <v>0.39650006889927725</v>
      </c>
      <c r="L428" s="22">
        <f t="shared" si="102"/>
        <v>0.39917725962597483</v>
      </c>
      <c r="M428" s="22">
        <f t="shared" si="102"/>
        <v>0.40151912336157097</v>
      </c>
      <c r="N428" s="22">
        <f t="shared" si="102"/>
        <v>0.40182204834461305</v>
      </c>
      <c r="O428" s="22">
        <f t="shared" si="102"/>
        <v>0.40234380692675509</v>
      </c>
      <c r="P428" s="22">
        <f t="shared" si="102"/>
        <v>0.40533756143141658</v>
      </c>
      <c r="Q428" s="22">
        <f t="shared" si="102"/>
        <v>0.40773146882804268</v>
      </c>
      <c r="R428" s="22">
        <f t="shared" si="102"/>
        <v>0.4077524587520438</v>
      </c>
      <c r="S428" s="22">
        <f t="shared" si="102"/>
        <v>0.39694956601748077</v>
      </c>
      <c r="T428" s="22">
        <f t="shared" si="102"/>
        <v>0.40216838368989699</v>
      </c>
      <c r="U428" s="22">
        <f t="shared" si="102"/>
        <v>0.40611893900122115</v>
      </c>
      <c r="V428" s="22">
        <f t="shared" si="102"/>
        <v>0.40984619445157972</v>
      </c>
      <c r="W428" s="22">
        <f t="shared" si="102"/>
        <v>0.41416805701435672</v>
      </c>
      <c r="X428" s="22">
        <f t="shared" si="102"/>
        <v>0.42036063160455023</v>
      </c>
      <c r="Y428" s="22">
        <f t="shared" si="102"/>
        <v>0.42680782230429931</v>
      </c>
      <c r="Z428" s="22">
        <f t="shared" si="102"/>
        <v>0.43381092675754646</v>
      </c>
      <c r="AA428" s="22">
        <f t="shared" si="102"/>
        <v>0.4401795345291673</v>
      </c>
      <c r="AB428" s="22">
        <f t="shared" si="102"/>
        <v>0.44747640522914289</v>
      </c>
      <c r="AC428" s="22">
        <f t="shared" si="102"/>
        <v>0.45590733118781618</v>
      </c>
      <c r="AD428" s="22">
        <f t="shared" si="102"/>
        <v>0.46402422732384918</v>
      </c>
      <c r="AE428" s="22">
        <f t="shared" si="102"/>
        <v>0.47256428946703954</v>
      </c>
      <c r="AF428" s="22">
        <f t="shared" si="102"/>
        <v>0.48136337732272266</v>
      </c>
      <c r="AG428" s="22">
        <f t="shared" si="102"/>
        <v>0.49115427006051043</v>
      </c>
      <c r="AH428" s="22">
        <f t="shared" si="102"/>
        <v>0.50001868003063199</v>
      </c>
      <c r="AI428" s="22">
        <f t="shared" si="102"/>
        <v>0.50922978725811852</v>
      </c>
      <c r="AJ428" s="22">
        <f t="shared" si="102"/>
        <v>0.51868165497998486</v>
      </c>
      <c r="AK428" s="22">
        <f t="shared" si="102"/>
        <v>0.52785098151313881</v>
      </c>
      <c r="AL428" s="22">
        <f t="shared" si="102"/>
        <v>0.53708980329541955</v>
      </c>
      <c r="AM428" s="22">
        <f t="shared" si="102"/>
        <v>0.54672053409535659</v>
      </c>
      <c r="AN428" s="22">
        <f t="shared" si="102"/>
        <v>0.55667014923331293</v>
      </c>
      <c r="AO428" s="22">
        <f t="shared" si="102"/>
        <v>0.5661730507090722</v>
      </c>
      <c r="AP428" s="22">
        <f t="shared" si="102"/>
        <v>0.57587669150956888</v>
      </c>
      <c r="AQ428" s="22">
        <f t="shared" si="102"/>
        <v>0.5857985598453167</v>
      </c>
      <c r="AR428" s="22">
        <f t="shared" si="102"/>
        <v>0.59640903003350576</v>
      </c>
      <c r="AS428" s="22">
        <f t="shared" si="102"/>
        <v>0.60713627699395989</v>
      </c>
      <c r="AT428" s="22">
        <f t="shared" si="102"/>
        <v>0.61355666329177083</v>
      </c>
      <c r="AU428" s="22">
        <f t="shared" si="102"/>
        <v>0.6197276036819036</v>
      </c>
      <c r="AV428" s="22">
        <f t="shared" si="102"/>
        <v>0.62655501037549211</v>
      </c>
      <c r="AW428" s="22">
        <f t="shared" si="102"/>
        <v>0.63318564946997902</v>
      </c>
      <c r="AY428" s="85"/>
    </row>
    <row r="429" spans="1:51" x14ac:dyDescent="0.25">
      <c r="A429" s="102" t="str">
        <f t="shared" si="93"/>
        <v>GS MM Volatilisation</v>
      </c>
      <c r="B429" s="102" t="s">
        <v>1022</v>
      </c>
      <c r="C429" s="102" t="s">
        <v>1333</v>
      </c>
      <c r="D429" t="s">
        <v>369</v>
      </c>
      <c r="E429" t="s">
        <v>64</v>
      </c>
      <c r="F429" t="s">
        <v>62</v>
      </c>
      <c r="G429" t="s">
        <v>1155</v>
      </c>
      <c r="H429" t="s">
        <v>1292</v>
      </c>
      <c r="I429" t="s">
        <v>139</v>
      </c>
      <c r="J429" t="s">
        <v>287</v>
      </c>
      <c r="K429" s="22">
        <f t="shared" si="101"/>
        <v>3.1281584559645491E-2</v>
      </c>
      <c r="L429" s="22">
        <f t="shared" si="102"/>
        <v>3.1492799574896264E-2</v>
      </c>
      <c r="M429" s="22">
        <f t="shared" si="102"/>
        <v>3.1677559211068809E-2</v>
      </c>
      <c r="N429" s="22">
        <f t="shared" si="102"/>
        <v>3.1701458257287304E-2</v>
      </c>
      <c r="O429" s="22">
        <f t="shared" si="102"/>
        <v>3.1742622021148185E-2</v>
      </c>
      <c r="P429" s="22">
        <f t="shared" si="102"/>
        <v>3.1978812105423256E-2</v>
      </c>
      <c r="Q429" s="22">
        <f t="shared" si="102"/>
        <v>3.2167677688381177E-2</v>
      </c>
      <c r="R429" s="22">
        <f t="shared" si="102"/>
        <v>3.2169333673169188E-2</v>
      </c>
      <c r="S429" s="22">
        <f t="shared" si="102"/>
        <v>3.1317047307865033E-2</v>
      </c>
      <c r="T429" s="22">
        <f t="shared" si="102"/>
        <v>3.1728782132462323E-2</v>
      </c>
      <c r="U429" s="22">
        <f t="shared" si="102"/>
        <v>3.2040458320493799E-2</v>
      </c>
      <c r="V429" s="22">
        <f t="shared" si="102"/>
        <v>3.2334517428401308E-2</v>
      </c>
      <c r="W429" s="22">
        <f t="shared" si="102"/>
        <v>3.2675487631982837E-2</v>
      </c>
      <c r="X429" s="22">
        <f t="shared" si="102"/>
        <v>3.316404630039068E-2</v>
      </c>
      <c r="Y429" s="22">
        <f t="shared" si="102"/>
        <v>3.3672692721578558E-2</v>
      </c>
      <c r="Z429" s="22">
        <f t="shared" si="102"/>
        <v>3.4225197554030251E-2</v>
      </c>
      <c r="AA429" s="22">
        <f t="shared" si="102"/>
        <v>3.4727644232257139E-2</v>
      </c>
      <c r="AB429" s="22">
        <f t="shared" si="102"/>
        <v>3.5303325539087042E-2</v>
      </c>
      <c r="AC429" s="22">
        <f t="shared" si="102"/>
        <v>3.5968477310748759E-2</v>
      </c>
      <c r="AD429" s="22">
        <f t="shared" si="102"/>
        <v>3.6608853927948493E-2</v>
      </c>
      <c r="AE429" s="22">
        <f t="shared" si="102"/>
        <v>3.7282615919512485E-2</v>
      </c>
      <c r="AF429" s="22">
        <f t="shared" si="102"/>
        <v>3.7976813556273109E-2</v>
      </c>
      <c r="AG429" s="22">
        <f t="shared" si="102"/>
        <v>3.8749258917863509E-2</v>
      </c>
      <c r="AH429" s="22">
        <f t="shared" si="102"/>
        <v>3.9448610095333729E-2</v>
      </c>
      <c r="AI429" s="22">
        <f t="shared" si="102"/>
        <v>4.0175313700769343E-2</v>
      </c>
      <c r="AJ429" s="22">
        <f t="shared" si="102"/>
        <v>4.0921011930302946E-2</v>
      </c>
      <c r="AK429" s="22">
        <f t="shared" si="102"/>
        <v>4.164441927824649E-2</v>
      </c>
      <c r="AL429" s="22">
        <f t="shared" si="102"/>
        <v>4.2373309403325697E-2</v>
      </c>
      <c r="AM429" s="22">
        <f t="shared" si="102"/>
        <v>4.313311890531582E-2</v>
      </c>
      <c r="AN429" s="22">
        <f t="shared" si="102"/>
        <v>4.3918086555228081E-2</v>
      </c>
      <c r="AO429" s="22">
        <f t="shared" si="102"/>
        <v>4.4667811055658022E-2</v>
      </c>
      <c r="AP429" s="22">
        <f t="shared" si="102"/>
        <v>4.5433372739114561E-2</v>
      </c>
      <c r="AQ429" s="22">
        <f t="shared" si="102"/>
        <v>4.6216151325246931E-2</v>
      </c>
      <c r="AR429" s="22">
        <f t="shared" si="102"/>
        <v>4.705325665370462E-2</v>
      </c>
      <c r="AS429" s="22">
        <f t="shared" si="102"/>
        <v>4.7899575000677964E-2</v>
      </c>
      <c r="AT429" s="22">
        <f t="shared" si="102"/>
        <v>4.8406106708069871E-2</v>
      </c>
      <c r="AU429" s="22">
        <f t="shared" si="102"/>
        <v>4.8892958561998573E-2</v>
      </c>
      <c r="AV429" s="22">
        <f t="shared" si="102"/>
        <v>4.9431601847487718E-2</v>
      </c>
      <c r="AW429" s="22">
        <f t="shared" si="102"/>
        <v>4.9954721296355649E-2</v>
      </c>
      <c r="AY429" s="85"/>
    </row>
    <row r="430" spans="1:51" x14ac:dyDescent="0.25">
      <c r="A430" s="102" t="str">
        <f t="shared" si="93"/>
        <v>GS MM Volatilisation</v>
      </c>
      <c r="B430" s="102" t="s">
        <v>1022</v>
      </c>
      <c r="C430" s="102" t="s">
        <v>1333</v>
      </c>
      <c r="D430" t="s">
        <v>369</v>
      </c>
      <c r="E430" t="s">
        <v>64</v>
      </c>
      <c r="F430" t="s">
        <v>62</v>
      </c>
      <c r="G430" t="s">
        <v>1157</v>
      </c>
      <c r="H430" t="s">
        <v>1293</v>
      </c>
      <c r="I430" t="s">
        <v>139</v>
      </c>
      <c r="J430" t="s">
        <v>287</v>
      </c>
      <c r="K430" s="22">
        <f t="shared" si="101"/>
        <v>2.8996787363609876E-4</v>
      </c>
      <c r="L430" s="22">
        <f t="shared" si="102"/>
        <v>2.9192575299913116E-4</v>
      </c>
      <c r="M430" s="22">
        <f t="shared" si="102"/>
        <v>2.9363840149788538E-4</v>
      </c>
      <c r="N430" s="22">
        <f t="shared" si="102"/>
        <v>2.9385993617112721E-4</v>
      </c>
      <c r="O430" s="22">
        <f t="shared" si="102"/>
        <v>2.9424150792478436E-4</v>
      </c>
      <c r="P430" s="22">
        <f t="shared" si="102"/>
        <v>2.964308962654098E-4</v>
      </c>
      <c r="Q430" s="22">
        <f t="shared" si="102"/>
        <v>2.9818160526127053E-4</v>
      </c>
      <c r="R430" s="22">
        <f t="shared" si="102"/>
        <v>2.9819695558301769E-4</v>
      </c>
      <c r="S430" s="22">
        <f t="shared" si="102"/>
        <v>2.9029659923741555E-4</v>
      </c>
      <c r="T430" s="22">
        <f t="shared" si="102"/>
        <v>2.9411321764952843E-4</v>
      </c>
      <c r="U430" s="22">
        <f t="shared" si="102"/>
        <v>2.970023322125765E-4</v>
      </c>
      <c r="V430" s="22">
        <f t="shared" si="102"/>
        <v>2.99728143434853E-4</v>
      </c>
      <c r="W430" s="22">
        <f t="shared" si="102"/>
        <v>3.0288880189565705E-4</v>
      </c>
      <c r="X430" s="22">
        <f t="shared" si="102"/>
        <v>3.0741754684956394E-4</v>
      </c>
      <c r="Y430" s="22">
        <f t="shared" si="102"/>
        <v>3.1213249729918828E-4</v>
      </c>
      <c r="Z430" s="22">
        <f t="shared" si="102"/>
        <v>3.1725399781442622E-4</v>
      </c>
      <c r="AA430" s="22">
        <f t="shared" si="102"/>
        <v>3.2191147910739512E-4</v>
      </c>
      <c r="AB430" s="22">
        <f t="shared" si="102"/>
        <v>3.2724781634169446E-4</v>
      </c>
      <c r="AC430" s="22">
        <f t="shared" si="102"/>
        <v>3.3341350927538441E-4</v>
      </c>
      <c r="AD430" s="22">
        <f t="shared" si="102"/>
        <v>3.3934954636013071E-4</v>
      </c>
      <c r="AE430" s="22">
        <f t="shared" si="102"/>
        <v>3.4559505261503654E-4</v>
      </c>
      <c r="AF430" s="22">
        <f t="shared" si="102"/>
        <v>3.5202998919028807E-4</v>
      </c>
      <c r="AG430" s="22">
        <f t="shared" si="102"/>
        <v>3.5919025111926287E-4</v>
      </c>
      <c r="AH430" s="22">
        <f t="shared" si="102"/>
        <v>3.6567295897152252E-4</v>
      </c>
      <c r="AI430" s="22">
        <f t="shared" si="102"/>
        <v>3.7240921297521811E-4</v>
      </c>
      <c r="AJ430" s="22">
        <f t="shared" si="102"/>
        <v>3.7932153960559638E-4</v>
      </c>
      <c r="AK430" s="22">
        <f t="shared" si="102"/>
        <v>3.8602723861057959E-4</v>
      </c>
      <c r="AL430" s="22">
        <f t="shared" si="102"/>
        <v>3.9278376078357157E-4</v>
      </c>
      <c r="AM430" s="22">
        <f t="shared" si="102"/>
        <v>3.9982689330905129E-4</v>
      </c>
      <c r="AN430" s="22">
        <f t="shared" si="102"/>
        <v>4.0710323188084528E-4</v>
      </c>
      <c r="AO430" s="22">
        <f t="shared" si="102"/>
        <v>4.1405288044446054E-4</v>
      </c>
      <c r="AP430" s="22">
        <f t="shared" si="102"/>
        <v>4.2114933340917202E-4</v>
      </c>
      <c r="AQ430" s="22">
        <f t="shared" si="102"/>
        <v>4.284053802285357E-4</v>
      </c>
      <c r="AR430" s="22">
        <f t="shared" si="102"/>
        <v>4.3616501438771657E-4</v>
      </c>
      <c r="AS430" s="22">
        <f t="shared" si="102"/>
        <v>4.4401004957201647E-4</v>
      </c>
      <c r="AT430" s="22">
        <f t="shared" si="102"/>
        <v>4.4870539746405302E-4</v>
      </c>
      <c r="AU430" s="22">
        <f t="shared" si="102"/>
        <v>4.5321832092514971E-4</v>
      </c>
      <c r="AV430" s="22">
        <f t="shared" si="102"/>
        <v>4.5821133040150263E-4</v>
      </c>
      <c r="AW430" s="22">
        <f t="shared" si="102"/>
        <v>4.630604400735748E-4</v>
      </c>
      <c r="AY430" s="85"/>
    </row>
    <row r="431" spans="1:51" x14ac:dyDescent="0.25">
      <c r="A431" s="102" t="str">
        <f t="shared" si="93"/>
        <v>GS MM Volatilisation</v>
      </c>
      <c r="B431" s="102" t="s">
        <v>1022</v>
      </c>
      <c r="C431" s="102" t="s">
        <v>1333</v>
      </c>
      <c r="D431" t="s">
        <v>369</v>
      </c>
      <c r="E431" t="s">
        <v>64</v>
      </c>
      <c r="F431" t="s">
        <v>62</v>
      </c>
      <c r="G431" t="s">
        <v>1159</v>
      </c>
      <c r="H431" t="s">
        <v>1294</v>
      </c>
      <c r="I431" t="s">
        <v>139</v>
      </c>
      <c r="J431" t="s">
        <v>287</v>
      </c>
      <c r="K431" s="22">
        <f t="shared" si="101"/>
        <v>3.2482696422712933E-3</v>
      </c>
      <c r="L431" s="22">
        <f t="shared" si="102"/>
        <v>3.2317319962183351E-3</v>
      </c>
      <c r="M431" s="22">
        <f t="shared" si="102"/>
        <v>3.2015477632972725E-3</v>
      </c>
      <c r="N431" s="22">
        <f t="shared" si="102"/>
        <v>3.1189249893783613E-3</v>
      </c>
      <c r="O431" s="22">
        <f t="shared" si="102"/>
        <v>3.0395993626659438E-3</v>
      </c>
      <c r="P431" s="22">
        <f t="shared" si="102"/>
        <v>3.013633441305081E-3</v>
      </c>
      <c r="Q431" s="22">
        <f t="shared" si="102"/>
        <v>2.9716957157217678E-3</v>
      </c>
      <c r="R431" s="22">
        <f t="shared" si="102"/>
        <v>2.8774698147158886E-3</v>
      </c>
      <c r="S431" s="22">
        <f t="shared" si="102"/>
        <v>2.5613322402579155E-3</v>
      </c>
      <c r="T431" s="22">
        <f t="shared" si="102"/>
        <v>2.623917982066072E-3</v>
      </c>
      <c r="U431" s="22">
        <f t="shared" si="102"/>
        <v>2.6577221861843617E-3</v>
      </c>
      <c r="V431" s="22">
        <f t="shared" si="102"/>
        <v>2.6845906828351748E-3</v>
      </c>
      <c r="W431" s="22">
        <f t="shared" si="102"/>
        <v>2.7207002140253378E-3</v>
      </c>
      <c r="X431" s="22">
        <f t="shared" si="102"/>
        <v>2.7900255688374769E-3</v>
      </c>
      <c r="Y431" s="22">
        <f t="shared" si="102"/>
        <v>2.8659005664794695E-3</v>
      </c>
      <c r="Z431" s="22">
        <f t="shared" si="102"/>
        <v>2.9485743375895451E-3</v>
      </c>
      <c r="AA431" s="22">
        <f t="shared" si="102"/>
        <v>3.0159847657098681E-3</v>
      </c>
      <c r="AB431" s="22">
        <f t="shared" si="102"/>
        <v>3.0969021916471581E-3</v>
      </c>
      <c r="AC431" s="22">
        <f t="shared" si="102"/>
        <v>3.1943690749044406E-3</v>
      </c>
      <c r="AD431" s="22">
        <f t="shared" si="102"/>
        <v>3.2585733035448653E-3</v>
      </c>
      <c r="AE431" s="22">
        <f t="shared" si="102"/>
        <v>3.3241557037935383E-3</v>
      </c>
      <c r="AF431" s="22">
        <f t="shared" si="102"/>
        <v>3.3880596297124936E-3</v>
      </c>
      <c r="AG431" s="22">
        <f t="shared" si="102"/>
        <v>3.4619913814758307E-3</v>
      </c>
      <c r="AH431" s="22">
        <f t="shared" si="102"/>
        <v>3.5146755709245725E-3</v>
      </c>
      <c r="AI431" s="22">
        <f t="shared" si="102"/>
        <v>3.5701775452979248E-3</v>
      </c>
      <c r="AJ431" s="22">
        <f t="shared" si="102"/>
        <v>3.6232879454531405E-3</v>
      </c>
      <c r="AK431" s="22">
        <f t="shared" si="102"/>
        <v>3.6661960797731564E-3</v>
      </c>
      <c r="AL431" s="22">
        <f t="shared" si="102"/>
        <v>3.7043821557080172E-3</v>
      </c>
      <c r="AM431" s="22">
        <f t="shared" si="102"/>
        <v>3.7423967810390727E-3</v>
      </c>
      <c r="AN431" s="22">
        <f t="shared" si="102"/>
        <v>3.8009071788089443E-3</v>
      </c>
      <c r="AO431" s="22">
        <f t="shared" si="102"/>
        <v>3.8485572102327672E-3</v>
      </c>
      <c r="AP431" s="22">
        <f t="shared" si="102"/>
        <v>3.8943125167611257E-3</v>
      </c>
      <c r="AQ431" s="22">
        <f t="shared" si="102"/>
        <v>3.9383232574175748E-3</v>
      </c>
      <c r="AR431" s="22">
        <f t="shared" si="102"/>
        <v>3.9864180340335002E-3</v>
      </c>
      <c r="AS431" s="22">
        <f t="shared" si="102"/>
        <v>4.0335263443460959E-3</v>
      </c>
      <c r="AT431" s="22">
        <f t="shared" si="102"/>
        <v>4.0238206460385395E-3</v>
      </c>
      <c r="AU431" s="22">
        <f t="shared" si="102"/>
        <v>4.0085912060413426E-3</v>
      </c>
      <c r="AV431" s="22">
        <f t="shared" si="102"/>
        <v>3.9985247622409742E-3</v>
      </c>
      <c r="AW431" s="22">
        <f t="shared" si="102"/>
        <v>3.9835451710550415E-3</v>
      </c>
      <c r="AY431" s="85"/>
    </row>
    <row r="432" spans="1:51" x14ac:dyDescent="0.25">
      <c r="A432" s="102" t="str">
        <f t="shared" si="93"/>
        <v>GS MM Volatilisation</v>
      </c>
      <c r="B432" s="102" t="s">
        <v>1022</v>
      </c>
      <c r="C432" s="102" t="s">
        <v>1333</v>
      </c>
      <c r="D432" t="s">
        <v>369</v>
      </c>
      <c r="E432" t="s">
        <v>64</v>
      </c>
      <c r="F432" t="s">
        <v>62</v>
      </c>
      <c r="G432" t="s">
        <v>1161</v>
      </c>
      <c r="H432" t="s">
        <v>1295</v>
      </c>
      <c r="I432" t="s">
        <v>139</v>
      </c>
      <c r="J432" t="s">
        <v>287</v>
      </c>
      <c r="K432" s="22">
        <f t="shared" si="101"/>
        <v>1.6169907052996448E-2</v>
      </c>
      <c r="L432" s="22">
        <f t="shared" si="102"/>
        <v>1.6087582545181053E-2</v>
      </c>
      <c r="M432" s="22">
        <f t="shared" si="102"/>
        <v>1.5937325240661746E-2</v>
      </c>
      <c r="N432" s="22">
        <f t="shared" si="102"/>
        <v>1.5526028543693155E-2</v>
      </c>
      <c r="O432" s="22">
        <f t="shared" si="102"/>
        <v>1.5131145066604845E-2</v>
      </c>
      <c r="P432" s="22">
        <f t="shared" si="102"/>
        <v>1.5001886544009729E-2</v>
      </c>
      <c r="Q432" s="22">
        <f t="shared" si="102"/>
        <v>1.4793120277850224E-2</v>
      </c>
      <c r="R432" s="22">
        <f t="shared" si="102"/>
        <v>1.4324063140036831E-2</v>
      </c>
      <c r="S432" s="22">
        <f t="shared" si="102"/>
        <v>1.2750328272579596E-2</v>
      </c>
      <c r="T432" s="22">
        <f t="shared" si="102"/>
        <v>1.3061880495557336E-2</v>
      </c>
      <c r="U432" s="22">
        <f t="shared" si="102"/>
        <v>1.3230158039847359E-2</v>
      </c>
      <c r="V432" s="22">
        <f t="shared" si="102"/>
        <v>1.3363909588008125E-2</v>
      </c>
      <c r="W432" s="22">
        <f t="shared" si="102"/>
        <v>1.3543663065205281E-2</v>
      </c>
      <c r="X432" s="22">
        <f t="shared" si="102"/>
        <v>1.3888765124818915E-2</v>
      </c>
      <c r="Y432" s="22">
        <f t="shared" si="102"/>
        <v>1.4266471348326726E-2</v>
      </c>
      <c r="Z432" s="22">
        <f t="shared" si="102"/>
        <v>1.4678021909639079E-2</v>
      </c>
      <c r="AA432" s="22">
        <f t="shared" si="102"/>
        <v>1.5013591451934262E-2</v>
      </c>
      <c r="AB432" s="22">
        <f t="shared" si="102"/>
        <v>1.5416398915744074E-2</v>
      </c>
      <c r="AC432" s="22">
        <f t="shared" si="102"/>
        <v>1.5901589683932116E-2</v>
      </c>
      <c r="AD432" s="22">
        <f t="shared" si="102"/>
        <v>1.6221198744711653E-2</v>
      </c>
      <c r="AE432" s="22">
        <f t="shared" si="102"/>
        <v>1.6547668352570915E-2</v>
      </c>
      <c r="AF432" s="22">
        <f t="shared" si="102"/>
        <v>1.6865782504482438E-2</v>
      </c>
      <c r="AG432" s="22">
        <f t="shared" si="102"/>
        <v>1.7233815237578592E-2</v>
      </c>
      <c r="AH432" s="22">
        <f t="shared" si="102"/>
        <v>1.7496077469587427E-2</v>
      </c>
      <c r="AI432" s="22">
        <f t="shared" si="102"/>
        <v>1.7772366652971647E-2</v>
      </c>
      <c r="AJ432" s="22">
        <f t="shared" si="102"/>
        <v>1.8036750564603077E-2</v>
      </c>
      <c r="AK432" s="22">
        <f t="shared" si="102"/>
        <v>1.825034753165997E-2</v>
      </c>
      <c r="AL432" s="22">
        <f t="shared" si="102"/>
        <v>1.8440438061876424E-2</v>
      </c>
      <c r="AM432" s="22">
        <f t="shared" si="102"/>
        <v>1.862967510989065E-2</v>
      </c>
      <c r="AN432" s="22">
        <f t="shared" si="102"/>
        <v>1.8920940244182623E-2</v>
      </c>
      <c r="AO432" s="22">
        <f t="shared" si="102"/>
        <v>1.9158142405348286E-2</v>
      </c>
      <c r="AP432" s="22">
        <f t="shared" si="102"/>
        <v>1.9385912613866938E-2</v>
      </c>
      <c r="AQ432" s="22">
        <f t="shared" si="102"/>
        <v>1.9604998362318136E-2</v>
      </c>
      <c r="AR432" s="22">
        <f t="shared" si="102"/>
        <v>1.9844414467894381E-2</v>
      </c>
      <c r="AS432" s="22">
        <f t="shared" si="102"/>
        <v>2.0078919937903877E-2</v>
      </c>
      <c r="AT432" s="22">
        <f t="shared" si="102"/>
        <v>2.0030604909657669E-2</v>
      </c>
      <c r="AU432" s="22">
        <f t="shared" si="102"/>
        <v>1.9954792659954267E-2</v>
      </c>
      <c r="AV432" s="22">
        <f t="shared" si="102"/>
        <v>1.9904681838337764E-2</v>
      </c>
      <c r="AW432" s="22">
        <f t="shared" si="102"/>
        <v>1.9830113337614693E-2</v>
      </c>
      <c r="AY432" s="85"/>
    </row>
    <row r="433" spans="1:51" x14ac:dyDescent="0.25">
      <c r="A433" s="102" t="str">
        <f t="shared" si="93"/>
        <v>GS MM Volatilisation</v>
      </c>
      <c r="B433" s="102" t="s">
        <v>1022</v>
      </c>
      <c r="C433" s="102" t="s">
        <v>1333</v>
      </c>
      <c r="D433" t="s">
        <v>369</v>
      </c>
      <c r="E433" t="s">
        <v>64</v>
      </c>
      <c r="F433" t="s">
        <v>62</v>
      </c>
      <c r="G433" t="s">
        <v>1163</v>
      </c>
      <c r="H433" t="s">
        <v>1296</v>
      </c>
      <c r="I433" t="s">
        <v>139</v>
      </c>
      <c r="J433" t="s">
        <v>287</v>
      </c>
      <c r="K433" s="22">
        <f t="shared" si="101"/>
        <v>0.15881310952891459</v>
      </c>
      <c r="L433" s="22">
        <f t="shared" si="102"/>
        <v>0.16473779708525871</v>
      </c>
      <c r="M433" s="22">
        <f t="shared" si="102"/>
        <v>0.17006036536738212</v>
      </c>
      <c r="N433" s="22">
        <f t="shared" si="102"/>
        <v>0.1725581026820969</v>
      </c>
      <c r="O433" s="22">
        <f t="shared" si="102"/>
        <v>0.17509405758016705</v>
      </c>
      <c r="P433" s="22">
        <f t="shared" si="102"/>
        <v>0.18069182253517682</v>
      </c>
      <c r="Q433" s="22">
        <f t="shared" si="102"/>
        <v>0.18541356320951116</v>
      </c>
      <c r="R433" s="22">
        <f t="shared" si="102"/>
        <v>0.18679194415388084</v>
      </c>
      <c r="S433" s="22">
        <f t="shared" si="102"/>
        <v>0.17296868678120739</v>
      </c>
      <c r="T433" s="22">
        <f t="shared" si="102"/>
        <v>0.18144262132443914</v>
      </c>
      <c r="U433" s="22">
        <f t="shared" si="102"/>
        <v>0.18812503294384797</v>
      </c>
      <c r="V433" s="22">
        <f t="shared" si="102"/>
        <v>0.19446239722796549</v>
      </c>
      <c r="W433" s="22">
        <f t="shared" si="102"/>
        <v>0.2016240264907645</v>
      </c>
      <c r="X433" s="22">
        <f t="shared" si="102"/>
        <v>0.21147893804143503</v>
      </c>
      <c r="Y433" s="22">
        <f t="shared" si="102"/>
        <v>0.2221363393242273</v>
      </c>
      <c r="Z433" s="22">
        <f t="shared" si="102"/>
        <v>0.23365788448441194</v>
      </c>
      <c r="AA433" s="22">
        <f t="shared" si="102"/>
        <v>0.24430091045471902</v>
      </c>
      <c r="AB433" s="22">
        <f t="shared" si="102"/>
        <v>0.25637491269914275</v>
      </c>
      <c r="AC433" s="22">
        <f t="shared" si="102"/>
        <v>0.27021906806746643</v>
      </c>
      <c r="AD433" s="22">
        <f t="shared" si="102"/>
        <v>0.28476142142999822</v>
      </c>
      <c r="AE433" s="22">
        <f t="shared" si="102"/>
        <v>0.30011305574638969</v>
      </c>
      <c r="AF433" s="22">
        <f t="shared" si="102"/>
        <v>0.31603885980078922</v>
      </c>
      <c r="AG433" s="22">
        <f t="shared" si="102"/>
        <v>0.33369229141350232</v>
      </c>
      <c r="AH433" s="22">
        <f t="shared" si="102"/>
        <v>0.35009811029288379</v>
      </c>
      <c r="AI433" s="22">
        <f t="shared" si="102"/>
        <v>0.3675707773071587</v>
      </c>
      <c r="AJ433" s="22">
        <f t="shared" si="102"/>
        <v>0.38563080115839554</v>
      </c>
      <c r="AK433" s="22">
        <f t="shared" si="102"/>
        <v>0.4034429737992129</v>
      </c>
      <c r="AL433" s="22">
        <f t="shared" si="102"/>
        <v>0.42156904095031289</v>
      </c>
      <c r="AM433" s="22">
        <f t="shared" si="102"/>
        <v>0.44054187589856841</v>
      </c>
      <c r="AN433" s="22">
        <f t="shared" si="102"/>
        <v>0.4600083648860695</v>
      </c>
      <c r="AO433" s="22">
        <f t="shared" si="102"/>
        <v>0.4789155318145385</v>
      </c>
      <c r="AP433" s="22">
        <f t="shared" si="102"/>
        <v>0.4983346210539078</v>
      </c>
      <c r="AQ433" s="22">
        <f t="shared" si="102"/>
        <v>0.51830220925788251</v>
      </c>
      <c r="AR433" s="22">
        <f t="shared" si="102"/>
        <v>0.53962685269510091</v>
      </c>
      <c r="AS433" s="22">
        <f t="shared" si="102"/>
        <v>0.56169127095769178</v>
      </c>
      <c r="AT433" s="22">
        <f t="shared" si="102"/>
        <v>0.57653019243567449</v>
      </c>
      <c r="AU433" s="22">
        <f t="shared" si="102"/>
        <v>0.59104442540925484</v>
      </c>
      <c r="AV433" s="22">
        <f t="shared" si="102"/>
        <v>0.60681048738089205</v>
      </c>
      <c r="AW433" s="22">
        <f t="shared" si="102"/>
        <v>0.62234884521273104</v>
      </c>
      <c r="AY433" s="85"/>
    </row>
    <row r="434" spans="1:51" x14ac:dyDescent="0.25">
      <c r="A434" s="102" t="str">
        <f t="shared" si="93"/>
        <v>GS MM Volatilisation</v>
      </c>
      <c r="B434" s="102" t="s">
        <v>1022</v>
      </c>
      <c r="C434" s="102" t="s">
        <v>1333</v>
      </c>
      <c r="D434" t="s">
        <v>369</v>
      </c>
      <c r="E434" t="s">
        <v>64</v>
      </c>
      <c r="F434" t="s">
        <v>62</v>
      </c>
      <c r="G434" t="s">
        <v>1165</v>
      </c>
      <c r="H434" t="s">
        <v>1297</v>
      </c>
      <c r="I434" t="s">
        <v>139</v>
      </c>
      <c r="J434" t="s">
        <v>287</v>
      </c>
      <c r="K434" s="22">
        <f t="shared" si="101"/>
        <v>1.1717139101759614E-4</v>
      </c>
      <c r="L434" s="22">
        <f t="shared" si="102"/>
        <v>1.1723462618367247E-4</v>
      </c>
      <c r="M434" s="22">
        <f t="shared" si="102"/>
        <v>1.1737999843906114E-4</v>
      </c>
      <c r="N434" s="22">
        <f t="shared" si="102"/>
        <v>1.1759581709566441E-4</v>
      </c>
      <c r="O434" s="22">
        <f t="shared" si="102"/>
        <v>1.178871134646596E-4</v>
      </c>
      <c r="P434" s="22">
        <f t="shared" si="102"/>
        <v>1.182597418054167E-4</v>
      </c>
      <c r="Q434" s="22">
        <f t="shared" si="102"/>
        <v>1.1867033947255795E-4</v>
      </c>
      <c r="R434" s="22">
        <f t="shared" si="102"/>
        <v>1.1911252923744314E-4</v>
      </c>
      <c r="S434" s="22">
        <f t="shared" si="102"/>
        <v>1.1955062486439893E-4</v>
      </c>
      <c r="T434" s="22">
        <f t="shared" si="102"/>
        <v>1.1972991314052751E-4</v>
      </c>
      <c r="U434" s="22">
        <f t="shared" si="102"/>
        <v>1.1993350054454542E-4</v>
      </c>
      <c r="V434" s="22">
        <f t="shared" si="102"/>
        <v>1.2016374349275828E-4</v>
      </c>
      <c r="W434" s="22">
        <f t="shared" si="102"/>
        <v>1.2042231214139446E-4</v>
      </c>
      <c r="X434" s="22">
        <f t="shared" si="102"/>
        <v>1.207128620599027E-4</v>
      </c>
      <c r="Y434" s="22">
        <f t="shared" si="102"/>
        <v>1.2089554719264044E-4</v>
      </c>
      <c r="Z434" s="22">
        <f t="shared" si="102"/>
        <v>1.2110125995232866E-4</v>
      </c>
      <c r="AA434" s="22">
        <f t="shared" si="102"/>
        <v>1.2132427506998271E-4</v>
      </c>
      <c r="AB434" s="22">
        <f t="shared" si="102"/>
        <v>1.2156982110770359E-4</v>
      </c>
      <c r="AC434" s="22">
        <f t="shared" si="102"/>
        <v>1.2183786994920164E-4</v>
      </c>
      <c r="AD434" s="22">
        <f t="shared" si="102"/>
        <v>1.2201528623614288E-4</v>
      </c>
      <c r="AE434" s="22">
        <f t="shared" si="102"/>
        <v>1.2220996410772502E-4</v>
      </c>
      <c r="AF434" s="22">
        <f t="shared" si="102"/>
        <v>1.2242059577670001E-4</v>
      </c>
      <c r="AG434" s="22">
        <f t="shared" si="102"/>
        <v>1.2264946134615736E-4</v>
      </c>
      <c r="AH434" s="22">
        <f t="shared" si="102"/>
        <v>1.2288846185835745E-4</v>
      </c>
      <c r="AI434" s="22">
        <f t="shared" ref="L434:AW441" si="103">AI1537</f>
        <v>1.2304136792276417E-4</v>
      </c>
      <c r="AJ434" s="22">
        <f t="shared" si="103"/>
        <v>1.2320724493915228E-4</v>
      </c>
      <c r="AK434" s="22">
        <f t="shared" si="103"/>
        <v>1.2338358070705196E-4</v>
      </c>
      <c r="AL434" s="22">
        <f t="shared" si="103"/>
        <v>1.2357134049580156E-4</v>
      </c>
      <c r="AM434" s="22">
        <f t="shared" si="103"/>
        <v>1.2377140391233165E-4</v>
      </c>
      <c r="AN434" s="22">
        <f t="shared" si="103"/>
        <v>1.2388931849227042E-4</v>
      </c>
      <c r="AO434" s="22">
        <f t="shared" si="103"/>
        <v>1.2401495917055069E-4</v>
      </c>
      <c r="AP434" s="22">
        <f t="shared" si="103"/>
        <v>1.2415054004629534E-4</v>
      </c>
      <c r="AQ434" s="22">
        <f t="shared" si="103"/>
        <v>1.2429582194532134E-4</v>
      </c>
      <c r="AR434" s="22">
        <f t="shared" si="103"/>
        <v>1.2445236467960286E-4</v>
      </c>
      <c r="AS434" s="22">
        <f t="shared" si="103"/>
        <v>1.2452291839205781E-4</v>
      </c>
      <c r="AT434" s="22">
        <f t="shared" si="103"/>
        <v>1.2458415812408247E-4</v>
      </c>
      <c r="AU434" s="22">
        <f t="shared" si="103"/>
        <v>1.2465176490232825E-4</v>
      </c>
      <c r="AV434" s="22">
        <f t="shared" si="103"/>
        <v>1.2472905780449089E-4</v>
      </c>
      <c r="AW434" s="22">
        <f t="shared" si="103"/>
        <v>1.248124658088483E-4</v>
      </c>
      <c r="AY434" s="85"/>
    </row>
    <row r="435" spans="1:51" x14ac:dyDescent="0.25">
      <c r="A435" s="102" t="str">
        <f t="shared" si="93"/>
        <v>GS MM Volatilisation</v>
      </c>
      <c r="B435" s="102" t="s">
        <v>1022</v>
      </c>
      <c r="C435" s="102" t="s">
        <v>1333</v>
      </c>
      <c r="D435" t="s">
        <v>369</v>
      </c>
      <c r="E435" t="s">
        <v>64</v>
      </c>
      <c r="F435" t="s">
        <v>62</v>
      </c>
      <c r="G435" t="s">
        <v>1167</v>
      </c>
      <c r="H435" t="s">
        <v>1298</v>
      </c>
      <c r="I435" t="s">
        <v>139</v>
      </c>
      <c r="J435" t="s">
        <v>287</v>
      </c>
      <c r="K435" s="22">
        <f t="shared" si="101"/>
        <v>8.0409045079441203E-4</v>
      </c>
      <c r="L435" s="22">
        <f t="shared" si="103"/>
        <v>8.0452440308220838E-4</v>
      </c>
      <c r="M435" s="22">
        <f t="shared" si="103"/>
        <v>8.055220223931452E-4</v>
      </c>
      <c r="N435" s="22">
        <f t="shared" si="103"/>
        <v>8.0700308120255969E-4</v>
      </c>
      <c r="O435" s="22">
        <f t="shared" si="103"/>
        <v>8.0900210695983646E-4</v>
      </c>
      <c r="P435" s="22">
        <f t="shared" si="103"/>
        <v>8.1155927460883318E-4</v>
      </c>
      <c r="Q435" s="22">
        <f t="shared" si="103"/>
        <v>8.1437700733692851E-4</v>
      </c>
      <c r="R435" s="22">
        <f t="shared" si="103"/>
        <v>8.1741154131570351E-4</v>
      </c>
      <c r="S435" s="22">
        <f t="shared" si="103"/>
        <v>8.2041797921074454E-4</v>
      </c>
      <c r="T435" s="22">
        <f t="shared" si="103"/>
        <v>8.2164834772922271E-4</v>
      </c>
      <c r="U435" s="22">
        <f t="shared" si="103"/>
        <v>8.2304546938196678E-4</v>
      </c>
      <c r="V435" s="22">
        <f t="shared" si="103"/>
        <v>8.2462551511166995E-4</v>
      </c>
      <c r="W435" s="22">
        <f t="shared" si="103"/>
        <v>8.2639994639082011E-4</v>
      </c>
      <c r="X435" s="22">
        <f t="shared" si="103"/>
        <v>8.2839384962029086E-4</v>
      </c>
      <c r="Y435" s="22">
        <f t="shared" si="103"/>
        <v>8.2964752911885125E-4</v>
      </c>
      <c r="Z435" s="22">
        <f t="shared" si="103"/>
        <v>8.3105923605716848E-4</v>
      </c>
      <c r="AA435" s="22">
        <f t="shared" si="103"/>
        <v>8.3258968068986462E-4</v>
      </c>
      <c r="AB435" s="22">
        <f t="shared" si="103"/>
        <v>8.3427474410378356E-4</v>
      </c>
      <c r="AC435" s="22">
        <f t="shared" si="103"/>
        <v>8.3611423335046113E-4</v>
      </c>
      <c r="AD435" s="22">
        <f t="shared" si="103"/>
        <v>8.373317553147042E-4</v>
      </c>
      <c r="AE435" s="22">
        <f t="shared" si="103"/>
        <v>8.3866773516576396E-4</v>
      </c>
      <c r="AF435" s="22">
        <f t="shared" si="103"/>
        <v>8.4011319819378471E-4</v>
      </c>
      <c r="AG435" s="22">
        <f t="shared" si="103"/>
        <v>8.416837916408544E-4</v>
      </c>
      <c r="AH435" s="22">
        <f t="shared" si="103"/>
        <v>8.4332393628645482E-4</v>
      </c>
      <c r="AI435" s="22">
        <f t="shared" si="103"/>
        <v>8.4437325647622322E-4</v>
      </c>
      <c r="AJ435" s="22">
        <f t="shared" si="103"/>
        <v>8.4551159002100391E-4</v>
      </c>
      <c r="AK435" s="22">
        <f t="shared" si="103"/>
        <v>8.4672169690691037E-4</v>
      </c>
      <c r="AL435" s="22">
        <f t="shared" si="103"/>
        <v>8.4801020130944032E-4</v>
      </c>
      <c r="AM435" s="22">
        <f t="shared" si="103"/>
        <v>8.4938313954451667E-4</v>
      </c>
      <c r="AN435" s="22">
        <f t="shared" si="103"/>
        <v>8.5019233014057226E-4</v>
      </c>
      <c r="AO435" s="22">
        <f t="shared" si="103"/>
        <v>8.5105454120386272E-4</v>
      </c>
      <c r="AP435" s="22">
        <f t="shared" si="103"/>
        <v>8.5198496702325278E-4</v>
      </c>
      <c r="AQ435" s="22">
        <f t="shared" si="103"/>
        <v>8.5298196626227814E-4</v>
      </c>
      <c r="AR435" s="22">
        <f t="shared" si="103"/>
        <v>8.5405624315430654E-4</v>
      </c>
      <c r="AS435" s="22">
        <f t="shared" si="103"/>
        <v>8.545404190778012E-4</v>
      </c>
      <c r="AT435" s="22">
        <f t="shared" si="103"/>
        <v>8.5496067766910582E-4</v>
      </c>
      <c r="AU435" s="22">
        <f t="shared" si="103"/>
        <v>8.5542463021182405E-4</v>
      </c>
      <c r="AV435" s="22">
        <f t="shared" si="103"/>
        <v>8.5595505392706218E-4</v>
      </c>
      <c r="AW435" s="22">
        <f t="shared" si="103"/>
        <v>8.5652744262400531E-4</v>
      </c>
      <c r="AY435" s="85"/>
    </row>
    <row r="436" spans="1:51" x14ac:dyDescent="0.25">
      <c r="A436" s="102" t="str">
        <f t="shared" si="93"/>
        <v>GS MM Volatilisation</v>
      </c>
      <c r="B436" s="102" t="s">
        <v>1022</v>
      </c>
      <c r="C436" s="102" t="s">
        <v>1333</v>
      </c>
      <c r="D436" t="s">
        <v>369</v>
      </c>
      <c r="E436" t="s">
        <v>64</v>
      </c>
      <c r="F436" t="s">
        <v>62</v>
      </c>
      <c r="G436" t="s">
        <v>1169</v>
      </c>
      <c r="H436" t="s">
        <v>1299</v>
      </c>
      <c r="I436" t="s">
        <v>139</v>
      </c>
      <c r="J436" t="s">
        <v>287</v>
      </c>
      <c r="K436" s="22">
        <f t="shared" si="101"/>
        <v>1.4482807028187922E-5</v>
      </c>
      <c r="L436" s="22">
        <f t="shared" si="103"/>
        <v>1.4520450251739282E-5</v>
      </c>
      <c r="M436" s="22">
        <f t="shared" si="103"/>
        <v>1.4571212872745464E-5</v>
      </c>
      <c r="N436" s="22">
        <f t="shared" si="103"/>
        <v>1.4633040456364911E-5</v>
      </c>
      <c r="O436" s="22">
        <f t="shared" si="103"/>
        <v>1.4707094987006923E-5</v>
      </c>
      <c r="P436" s="22">
        <f t="shared" si="103"/>
        <v>1.4794644538423194E-5</v>
      </c>
      <c r="Q436" s="22">
        <f t="shared" si="103"/>
        <v>1.4887429784482061E-5</v>
      </c>
      <c r="R436" s="22">
        <f t="shared" si="103"/>
        <v>1.4984365063470914E-5</v>
      </c>
      <c r="S436" s="22">
        <f t="shared" si="103"/>
        <v>1.5078737379247896E-5</v>
      </c>
      <c r="T436" s="22">
        <f t="shared" si="103"/>
        <v>1.5122022085784052E-5</v>
      </c>
      <c r="U436" s="22">
        <f t="shared" si="103"/>
        <v>1.5168700186651053E-5</v>
      </c>
      <c r="V436" s="22">
        <f t="shared" si="103"/>
        <v>1.5219291662698976E-5</v>
      </c>
      <c r="W436" s="22">
        <f t="shared" si="103"/>
        <v>1.5274171031448217E-5</v>
      </c>
      <c r="X436" s="22">
        <f t="shared" si="103"/>
        <v>1.5334076575093776E-5</v>
      </c>
      <c r="Y436" s="22">
        <f t="shared" si="103"/>
        <v>1.5372633836154438E-5</v>
      </c>
      <c r="Z436" s="22">
        <f t="shared" si="103"/>
        <v>1.5414710813994563E-5</v>
      </c>
      <c r="AA436" s="22">
        <f t="shared" si="103"/>
        <v>1.5459260848218299E-5</v>
      </c>
      <c r="AB436" s="22">
        <f t="shared" si="103"/>
        <v>1.550729679110253E-5</v>
      </c>
      <c r="AC436" s="22">
        <f t="shared" si="103"/>
        <v>1.5558834836357002E-5</v>
      </c>
      <c r="AD436" s="22">
        <f t="shared" si="103"/>
        <v>1.5592757830860554E-5</v>
      </c>
      <c r="AE436" s="22">
        <f t="shared" si="103"/>
        <v>1.5629324786279091E-5</v>
      </c>
      <c r="AF436" s="22">
        <f t="shared" si="103"/>
        <v>1.5668308058264363E-5</v>
      </c>
      <c r="AG436" s="22">
        <f t="shared" si="103"/>
        <v>1.5710145809478675E-5</v>
      </c>
      <c r="AH436" s="22">
        <f t="shared" si="103"/>
        <v>1.5753347197297649E-5</v>
      </c>
      <c r="AI436" s="22">
        <f t="shared" si="103"/>
        <v>1.5780128357590142E-5</v>
      </c>
      <c r="AJ436" s="22">
        <f t="shared" si="103"/>
        <v>1.5808895494916665E-5</v>
      </c>
      <c r="AK436" s="22">
        <f t="shared" si="103"/>
        <v>1.5839194459493418E-5</v>
      </c>
      <c r="AL436" s="22">
        <f t="shared" si="103"/>
        <v>1.5871212894447166E-5</v>
      </c>
      <c r="AM436" s="22">
        <f t="shared" si="103"/>
        <v>1.5905120208325659E-5</v>
      </c>
      <c r="AN436" s="22">
        <f t="shared" si="103"/>
        <v>1.5923608440521578E-5</v>
      </c>
      <c r="AO436" s="22">
        <f t="shared" si="103"/>
        <v>1.5943219194385969E-5</v>
      </c>
      <c r="AP436" s="22">
        <f t="shared" si="103"/>
        <v>1.5964364076511548E-5</v>
      </c>
      <c r="AQ436" s="22">
        <f t="shared" si="103"/>
        <v>1.5987003748719161E-5</v>
      </c>
      <c r="AR436" s="22">
        <f t="shared" si="103"/>
        <v>1.6011426014492075E-5</v>
      </c>
      <c r="AS436" s="22">
        <f t="shared" si="103"/>
        <v>1.6019956720470997E-5</v>
      </c>
      <c r="AT436" s="22">
        <f t="shared" si="103"/>
        <v>1.6026597354274649E-5</v>
      </c>
      <c r="AU436" s="22">
        <f t="shared" si="103"/>
        <v>1.6034206571030276E-5</v>
      </c>
      <c r="AV436" s="22">
        <f t="shared" si="103"/>
        <v>1.6043388029308272E-5</v>
      </c>
      <c r="AW436" s="22">
        <f t="shared" si="103"/>
        <v>1.6053496862987396E-5</v>
      </c>
      <c r="AY436" s="85"/>
    </row>
    <row r="437" spans="1:51" x14ac:dyDescent="0.25">
      <c r="A437" s="102" t="str">
        <f t="shared" si="93"/>
        <v>GS MM Volatilisation</v>
      </c>
      <c r="B437" s="102" t="s">
        <v>1022</v>
      </c>
      <c r="C437" s="102" t="s">
        <v>1333</v>
      </c>
      <c r="D437" t="s">
        <v>369</v>
      </c>
      <c r="E437" t="s">
        <v>64</v>
      </c>
      <c r="F437" t="s">
        <v>62</v>
      </c>
      <c r="G437" t="s">
        <v>1171</v>
      </c>
      <c r="H437" t="s">
        <v>1300</v>
      </c>
      <c r="I437" t="s">
        <v>139</v>
      </c>
      <c r="J437" t="s">
        <v>287</v>
      </c>
      <c r="K437" s="22">
        <f t="shared" si="101"/>
        <v>1.4734983248944019E-3</v>
      </c>
      <c r="L437" s="22">
        <f t="shared" si="103"/>
        <v>1.4773281920422968E-3</v>
      </c>
      <c r="M437" s="22">
        <f t="shared" si="103"/>
        <v>1.4824928425740808E-3</v>
      </c>
      <c r="N437" s="22">
        <f t="shared" si="103"/>
        <v>1.4887832558011719E-3</v>
      </c>
      <c r="O437" s="22">
        <f t="shared" si="103"/>
        <v>1.4963176534244689E-3</v>
      </c>
      <c r="P437" s="22">
        <f t="shared" si="103"/>
        <v>1.5052250508030326E-3</v>
      </c>
      <c r="Q437" s="22">
        <f t="shared" si="103"/>
        <v>1.5146651340946602E-3</v>
      </c>
      <c r="R437" s="22">
        <f t="shared" si="103"/>
        <v>1.5245274467620346E-3</v>
      </c>
      <c r="S437" s="22">
        <f t="shared" si="103"/>
        <v>1.5341290004486333E-3</v>
      </c>
      <c r="T437" s="22">
        <f t="shared" si="103"/>
        <v>1.5385328389069129E-3</v>
      </c>
      <c r="U437" s="22">
        <f t="shared" si="103"/>
        <v>1.5432819254136169E-3</v>
      </c>
      <c r="V437" s="22">
        <f t="shared" si="103"/>
        <v>1.5484291634501014E-3</v>
      </c>
      <c r="W437" s="22">
        <f t="shared" si="103"/>
        <v>1.5540126568824096E-3</v>
      </c>
      <c r="X437" s="22">
        <f t="shared" si="103"/>
        <v>1.5601075194350781E-3</v>
      </c>
      <c r="Y437" s="22">
        <f t="shared" si="103"/>
        <v>1.5640303818660153E-3</v>
      </c>
      <c r="Z437" s="22">
        <f t="shared" si="103"/>
        <v>1.5683113445442707E-3</v>
      </c>
      <c r="AA437" s="22">
        <f t="shared" si="103"/>
        <v>1.5728439189737231E-3</v>
      </c>
      <c r="AB437" s="22">
        <f t="shared" si="103"/>
        <v>1.5777311539715299E-3</v>
      </c>
      <c r="AC437" s="22">
        <f t="shared" si="103"/>
        <v>1.5829746971053286E-3</v>
      </c>
      <c r="AD437" s="22">
        <f t="shared" si="103"/>
        <v>1.5864260636449165E-3</v>
      </c>
      <c r="AE437" s="22">
        <f t="shared" si="103"/>
        <v>1.5901464299696787E-3</v>
      </c>
      <c r="AF437" s="22">
        <f t="shared" si="103"/>
        <v>1.5941126352679608E-3</v>
      </c>
      <c r="AG437" s="22">
        <f t="shared" si="103"/>
        <v>1.5983692587396162E-3</v>
      </c>
      <c r="AH437" s="22">
        <f t="shared" si="103"/>
        <v>1.6027646202507156E-3</v>
      </c>
      <c r="AI437" s="22">
        <f t="shared" si="103"/>
        <v>1.6054893679293186E-3</v>
      </c>
      <c r="AJ437" s="22">
        <f t="shared" si="103"/>
        <v>1.6084161713162683E-3</v>
      </c>
      <c r="AK437" s="22">
        <f t="shared" si="103"/>
        <v>1.6114988246626113E-3</v>
      </c>
      <c r="AL437" s="22">
        <f t="shared" si="103"/>
        <v>1.6147564190072887E-3</v>
      </c>
      <c r="AM437" s="22">
        <f t="shared" si="103"/>
        <v>1.6182061901810947E-3</v>
      </c>
      <c r="AN437" s="22">
        <f t="shared" si="103"/>
        <v>1.6200872053128935E-3</v>
      </c>
      <c r="AO437" s="22">
        <f t="shared" si="103"/>
        <v>1.6220824271585524E-3</v>
      </c>
      <c r="AP437" s="22">
        <f t="shared" si="103"/>
        <v>1.6242337330712453E-3</v>
      </c>
      <c r="AQ437" s="22">
        <f t="shared" si="103"/>
        <v>1.6265371207369889E-3</v>
      </c>
      <c r="AR437" s="22">
        <f t="shared" si="103"/>
        <v>1.6290218716306845E-3</v>
      </c>
      <c r="AS437" s="22">
        <f t="shared" si="103"/>
        <v>1.6298897959871744E-3</v>
      </c>
      <c r="AT437" s="22">
        <f t="shared" si="103"/>
        <v>1.6305654221117833E-3</v>
      </c>
      <c r="AU437" s="22">
        <f t="shared" si="103"/>
        <v>1.6313395930388258E-3</v>
      </c>
      <c r="AV437" s="22">
        <f t="shared" si="103"/>
        <v>1.6322737257222465E-3</v>
      </c>
      <c r="AW437" s="22">
        <f t="shared" si="103"/>
        <v>1.6333022107019772E-3</v>
      </c>
      <c r="AY437" s="85"/>
    </row>
    <row r="438" spans="1:51" x14ac:dyDescent="0.25">
      <c r="A438" s="102" t="str">
        <f t="shared" ref="A438:A459" si="104">B438&amp;" "&amp;C438</f>
        <v>GS MM Volatilisation</v>
      </c>
      <c r="B438" s="102" t="s">
        <v>1022</v>
      </c>
      <c r="C438" s="102" t="s">
        <v>1333</v>
      </c>
      <c r="D438" t="s">
        <v>369</v>
      </c>
      <c r="E438" t="s">
        <v>64</v>
      </c>
      <c r="F438" t="s">
        <v>62</v>
      </c>
      <c r="G438" t="s">
        <v>1173</v>
      </c>
      <c r="H438" t="s">
        <v>1301</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85"/>
    </row>
    <row r="439" spans="1:51" x14ac:dyDescent="0.25">
      <c r="A439" s="102" t="str">
        <f t="shared" si="104"/>
        <v>GS MM Volatilisation</v>
      </c>
      <c r="B439" s="102" t="s">
        <v>1022</v>
      </c>
      <c r="C439" s="102" t="s">
        <v>1333</v>
      </c>
      <c r="D439" t="s">
        <v>369</v>
      </c>
      <c r="E439" t="s">
        <v>64</v>
      </c>
      <c r="F439" t="s">
        <v>62</v>
      </c>
      <c r="G439" t="s">
        <v>1175</v>
      </c>
      <c r="H439" t="s">
        <v>1302</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85"/>
    </row>
    <row r="440" spans="1:51" x14ac:dyDescent="0.25">
      <c r="A440" s="102" t="str">
        <f t="shared" si="104"/>
        <v>GS MM Volatilisation</v>
      </c>
      <c r="B440" s="102" t="s">
        <v>1022</v>
      </c>
      <c r="C440" s="102" t="s">
        <v>1333</v>
      </c>
      <c r="D440" t="s">
        <v>369</v>
      </c>
      <c r="E440" t="s">
        <v>64</v>
      </c>
      <c r="F440" t="s">
        <v>62</v>
      </c>
      <c r="G440" t="s">
        <v>1177</v>
      </c>
      <c r="H440" t="s">
        <v>1303</v>
      </c>
      <c r="I440" t="s">
        <v>139</v>
      </c>
      <c r="J440" t="s">
        <v>287</v>
      </c>
      <c r="K440" s="22">
        <f t="shared" si="101"/>
        <v>0.13127680408912967</v>
      </c>
      <c r="L440" s="22">
        <f t="shared" si="103"/>
        <v>0.13104478756679175</v>
      </c>
      <c r="M440" s="22">
        <f t="shared" si="103"/>
        <v>0.13030955774266942</v>
      </c>
      <c r="N440" s="22">
        <f t="shared" si="103"/>
        <v>0.12743411073001928</v>
      </c>
      <c r="O440" s="22">
        <f t="shared" si="103"/>
        <v>0.1247149107669546</v>
      </c>
      <c r="P440" s="22">
        <f t="shared" si="103"/>
        <v>0.1242760261027246</v>
      </c>
      <c r="Q440" s="22">
        <f t="shared" si="103"/>
        <v>0.1232106270346093</v>
      </c>
      <c r="R440" s="22">
        <f t="shared" si="103"/>
        <v>0.11992927074804736</v>
      </c>
      <c r="S440" s="22">
        <f t="shared" si="103"/>
        <v>0.10697136059413564</v>
      </c>
      <c r="T440" s="22">
        <f t="shared" si="103"/>
        <v>0.10927238007305687</v>
      </c>
      <c r="U440" s="22">
        <f t="shared" si="103"/>
        <v>0.11033195793154126</v>
      </c>
      <c r="V440" s="22">
        <f t="shared" si="103"/>
        <v>0.11110365742908961</v>
      </c>
      <c r="W440" s="22">
        <f t="shared" si="103"/>
        <v>0.1122884240961687</v>
      </c>
      <c r="X440" s="22">
        <f t="shared" si="103"/>
        <v>0.11491943317032226</v>
      </c>
      <c r="Y440" s="22">
        <f t="shared" si="103"/>
        <v>0.117880487302873</v>
      </c>
      <c r="Z440" s="22">
        <f t="shared" si="103"/>
        <v>0.12113886796014842</v>
      </c>
      <c r="AA440" s="22">
        <f t="shared" si="103"/>
        <v>0.12374440018879811</v>
      </c>
      <c r="AB440" s="22">
        <f t="shared" si="103"/>
        <v>0.12693570858518674</v>
      </c>
      <c r="AC440" s="22">
        <f t="shared" si="103"/>
        <v>0.13084113615278595</v>
      </c>
      <c r="AD440" s="22">
        <f t="shared" si="103"/>
        <v>0.13453780909031221</v>
      </c>
      <c r="AE440" s="22">
        <f t="shared" si="103"/>
        <v>0.13838522984786125</v>
      </c>
      <c r="AF440" s="22">
        <f t="shared" si="103"/>
        <v>0.1422552100509078</v>
      </c>
      <c r="AG440" s="22">
        <f t="shared" si="103"/>
        <v>0.14666883461308858</v>
      </c>
      <c r="AH440" s="22">
        <f t="shared" si="103"/>
        <v>0.15024709495665656</v>
      </c>
      <c r="AI440" s="22">
        <f t="shared" si="103"/>
        <v>0.15408132184002271</v>
      </c>
      <c r="AJ440" s="22">
        <f t="shared" si="103"/>
        <v>0.15791627313476184</v>
      </c>
      <c r="AK440" s="22">
        <f t="shared" si="103"/>
        <v>0.16139685457136538</v>
      </c>
      <c r="AL440" s="22">
        <f t="shared" si="103"/>
        <v>0.16476948346525533</v>
      </c>
      <c r="AM440" s="22">
        <f t="shared" si="103"/>
        <v>0.1682466106779141</v>
      </c>
      <c r="AN440" s="22">
        <f t="shared" si="103"/>
        <v>0.17192264568830376</v>
      </c>
      <c r="AO440" s="22">
        <f t="shared" si="103"/>
        <v>0.17515461564548812</v>
      </c>
      <c r="AP440" s="22">
        <f t="shared" si="103"/>
        <v>0.17836303688392388</v>
      </c>
      <c r="AQ440" s="22">
        <f t="shared" si="103"/>
        <v>0.18155644014490915</v>
      </c>
      <c r="AR440" s="22">
        <f t="shared" si="103"/>
        <v>0.18501677268932123</v>
      </c>
      <c r="AS440" s="22">
        <f t="shared" si="103"/>
        <v>0.1885273047927761</v>
      </c>
      <c r="AT440" s="22">
        <f t="shared" si="103"/>
        <v>0.1893481182412324</v>
      </c>
      <c r="AU440" s="22">
        <f t="shared" si="103"/>
        <v>0.18994311944670875</v>
      </c>
      <c r="AV440" s="22">
        <f t="shared" si="103"/>
        <v>0.19083634950059308</v>
      </c>
      <c r="AW440" s="22">
        <f t="shared" si="103"/>
        <v>0.19153378485504027</v>
      </c>
      <c r="AY440" s="85"/>
    </row>
    <row r="441" spans="1:51" x14ac:dyDescent="0.25">
      <c r="A441" s="102" t="str">
        <f t="shared" si="104"/>
        <v>GS MM Volatilisation</v>
      </c>
      <c r="B441" s="102" t="s">
        <v>1022</v>
      </c>
      <c r="C441" s="102" t="s">
        <v>1333</v>
      </c>
      <c r="D441" t="s">
        <v>369</v>
      </c>
      <c r="E441" t="s">
        <v>64</v>
      </c>
      <c r="F441" t="s">
        <v>62</v>
      </c>
      <c r="G441" t="s">
        <v>1179</v>
      </c>
      <c r="H441" t="s">
        <v>1304</v>
      </c>
      <c r="I441" t="s">
        <v>139</v>
      </c>
      <c r="J441" t="s">
        <v>287</v>
      </c>
      <c r="K441" s="22">
        <f t="shared" si="101"/>
        <v>1.2775290998949166E-2</v>
      </c>
      <c r="L441" s="22">
        <f t="shared" si="103"/>
        <v>1.2752712154118219E-2</v>
      </c>
      <c r="M441" s="22">
        <f t="shared" si="103"/>
        <v>1.2681162766399339E-2</v>
      </c>
      <c r="N441" s="22">
        <f t="shared" si="103"/>
        <v>1.2401336695117745E-2</v>
      </c>
      <c r="O441" s="22">
        <f t="shared" si="103"/>
        <v>1.2136715911167996E-2</v>
      </c>
      <c r="P441" s="22">
        <f t="shared" si="103"/>
        <v>1.2094005553162118E-2</v>
      </c>
      <c r="Q441" s="22">
        <f t="shared" si="103"/>
        <v>1.1990325522103915E-2</v>
      </c>
      <c r="R441" s="22">
        <f t="shared" si="103"/>
        <v>1.1670998115233177E-2</v>
      </c>
      <c r="S441" s="22">
        <f t="shared" si="103"/>
        <v>1.0409990322553617E-2</v>
      </c>
      <c r="T441" s="22">
        <f t="shared" si="103"/>
        <v>1.0633915589789026E-2</v>
      </c>
      <c r="U441" s="22">
        <f t="shared" si="103"/>
        <v>1.0737029125893931E-2</v>
      </c>
      <c r="V441" s="22">
        <f t="shared" si="103"/>
        <v>1.0812127584554078E-2</v>
      </c>
      <c r="W441" s="22">
        <f t="shared" si="103"/>
        <v>1.092742395425785E-2</v>
      </c>
      <c r="X441" s="22">
        <f t="shared" ref="L441:AW448" si="105">X1544</f>
        <v>1.1183462382191907E-2</v>
      </c>
      <c r="Y441" s="22">
        <f t="shared" si="105"/>
        <v>1.1471619368260015E-2</v>
      </c>
      <c r="Z441" s="22">
        <f t="shared" si="105"/>
        <v>1.1788710886223677E-2</v>
      </c>
      <c r="AA441" s="22">
        <f t="shared" si="105"/>
        <v>1.2042270017702387E-2</v>
      </c>
      <c r="AB441" s="22">
        <f t="shared" si="105"/>
        <v>1.2352834353223334E-2</v>
      </c>
      <c r="AC441" s="22">
        <f t="shared" si="105"/>
        <v>1.2732893678993665E-2</v>
      </c>
      <c r="AD441" s="22">
        <f t="shared" si="105"/>
        <v>1.3092637906715528E-2</v>
      </c>
      <c r="AE441" s="22">
        <f t="shared" si="105"/>
        <v>1.3467052260524101E-2</v>
      </c>
      <c r="AF441" s="22">
        <f t="shared" si="105"/>
        <v>1.384366200203278E-2</v>
      </c>
      <c r="AG441" s="22">
        <f t="shared" si="105"/>
        <v>1.4273176862127078E-2</v>
      </c>
      <c r="AH441" s="22">
        <f t="shared" si="105"/>
        <v>1.4621397688161536E-2</v>
      </c>
      <c r="AI441" s="22">
        <f t="shared" si="105"/>
        <v>1.4994528071178318E-2</v>
      </c>
      <c r="AJ441" s="22">
        <f t="shared" si="105"/>
        <v>1.5367728950777933E-2</v>
      </c>
      <c r="AK441" s="22">
        <f t="shared" si="105"/>
        <v>1.5706444087901172E-2</v>
      </c>
      <c r="AL441" s="22">
        <f t="shared" si="105"/>
        <v>1.6034653750300141E-2</v>
      </c>
      <c r="AM441" s="22">
        <f t="shared" si="105"/>
        <v>1.6373032737283407E-2</v>
      </c>
      <c r="AN441" s="22">
        <f t="shared" si="105"/>
        <v>1.673076857116438E-2</v>
      </c>
      <c r="AO441" s="22">
        <f t="shared" si="105"/>
        <v>1.7045289913981791E-2</v>
      </c>
      <c r="AP441" s="22">
        <f t="shared" si="105"/>
        <v>1.7357519597303427E-2</v>
      </c>
      <c r="AQ441" s="22">
        <f t="shared" si="105"/>
        <v>1.7668287795989782E-2</v>
      </c>
      <c r="AR441" s="22">
        <f t="shared" si="105"/>
        <v>1.8005032398471E-2</v>
      </c>
      <c r="AS441" s="22">
        <f t="shared" si="105"/>
        <v>1.8346662205000568E-2</v>
      </c>
      <c r="AT441" s="22">
        <f t="shared" si="105"/>
        <v>1.8426540221018993E-2</v>
      </c>
      <c r="AU441" s="22">
        <f t="shared" si="105"/>
        <v>1.8484443165849414E-2</v>
      </c>
      <c r="AV441" s="22">
        <f t="shared" si="105"/>
        <v>1.8571368452815044E-2</v>
      </c>
      <c r="AW441" s="22">
        <f t="shared" si="105"/>
        <v>1.8639239846149461E-2</v>
      </c>
      <c r="AY441" s="85"/>
    </row>
    <row r="442" spans="1:51" x14ac:dyDescent="0.25">
      <c r="A442" s="102" t="str">
        <f t="shared" si="104"/>
        <v>GS MM Volatilisation</v>
      </c>
      <c r="B442" s="102" t="s">
        <v>1022</v>
      </c>
      <c r="C442" s="102" t="s">
        <v>1333</v>
      </c>
      <c r="D442" t="s">
        <v>369</v>
      </c>
      <c r="E442" t="s">
        <v>64</v>
      </c>
      <c r="F442" t="s">
        <v>62</v>
      </c>
      <c r="G442" t="s">
        <v>1181</v>
      </c>
      <c r="H442" t="s">
        <v>1305</v>
      </c>
      <c r="I442" t="s">
        <v>139</v>
      </c>
      <c r="J442" t="s">
        <v>287</v>
      </c>
      <c r="K442" s="22">
        <f t="shared" si="101"/>
        <v>6.4639922525530427E-2</v>
      </c>
      <c r="L442" s="22">
        <f t="shared" si="105"/>
        <v>6.6092820241884495E-2</v>
      </c>
      <c r="M442" s="22">
        <f t="shared" si="105"/>
        <v>6.7406950311631311E-2</v>
      </c>
      <c r="N442" s="22">
        <f t="shared" si="105"/>
        <v>6.8085378535523336E-2</v>
      </c>
      <c r="O442" s="22">
        <f t="shared" si="105"/>
        <v>6.8782509933711544E-2</v>
      </c>
      <c r="P442" s="22">
        <f t="shared" si="105"/>
        <v>7.0170496606956442E-2</v>
      </c>
      <c r="Q442" s="22">
        <f t="shared" si="105"/>
        <v>7.1357352719614867E-2</v>
      </c>
      <c r="R442" s="22">
        <f t="shared" si="105"/>
        <v>7.1807853842609945E-2</v>
      </c>
      <c r="S442" s="22">
        <f t="shared" si="105"/>
        <v>6.89560372793145E-2</v>
      </c>
      <c r="T442" s="22">
        <f t="shared" si="105"/>
        <v>7.1008173280929857E-2</v>
      </c>
      <c r="U442" s="22">
        <f t="shared" si="105"/>
        <v>7.2666722437194436E-2</v>
      </c>
      <c r="V442" s="22">
        <f t="shared" si="105"/>
        <v>7.4247222856444403E-2</v>
      </c>
      <c r="W442" s="22">
        <f t="shared" si="105"/>
        <v>7.600218438166105E-2</v>
      </c>
      <c r="X442" s="22">
        <f t="shared" si="105"/>
        <v>7.8331736592242102E-2</v>
      </c>
      <c r="Y442" s="22">
        <f t="shared" si="105"/>
        <v>8.0778487004079483E-2</v>
      </c>
      <c r="Z442" s="22">
        <f t="shared" si="105"/>
        <v>8.3401229369706939E-2</v>
      </c>
      <c r="AA442" s="22">
        <f t="shared" si="105"/>
        <v>8.5827271656106763E-2</v>
      </c>
      <c r="AB442" s="22">
        <f t="shared" si="105"/>
        <v>8.8549064394725929E-2</v>
      </c>
      <c r="AC442" s="22">
        <f t="shared" si="105"/>
        <v>9.1636240743728642E-2</v>
      </c>
      <c r="AD442" s="22">
        <f t="shared" si="105"/>
        <v>9.4662173779080358E-2</v>
      </c>
      <c r="AE442" s="22">
        <f t="shared" si="105"/>
        <v>9.7831321391472395E-2</v>
      </c>
      <c r="AF442" s="22">
        <f t="shared" si="105"/>
        <v>0.1010924495137356</v>
      </c>
      <c r="AG442" s="22">
        <f t="shared" si="105"/>
        <v>0.10468368456707709</v>
      </c>
      <c r="AH442" s="22">
        <f t="shared" si="105"/>
        <v>0.10798542807128246</v>
      </c>
      <c r="AI442" s="22">
        <f t="shared" si="105"/>
        <v>0.11143964262193619</v>
      </c>
      <c r="AJ442" s="22">
        <f t="shared" si="105"/>
        <v>0.11498300476041527</v>
      </c>
      <c r="AK442" s="22">
        <f t="shared" si="105"/>
        <v>0.11844428302751359</v>
      </c>
      <c r="AL442" s="22">
        <f t="shared" si="105"/>
        <v>0.12193846206930534</v>
      </c>
      <c r="AM442" s="22">
        <f t="shared" si="105"/>
        <v>0.12557241914152842</v>
      </c>
      <c r="AN442" s="22">
        <f t="shared" si="105"/>
        <v>0.12935192234708767</v>
      </c>
      <c r="AO442" s="22">
        <f t="shared" si="105"/>
        <v>0.13299431940651141</v>
      </c>
      <c r="AP442" s="22">
        <f t="shared" si="105"/>
        <v>0.13671453058130023</v>
      </c>
      <c r="AQ442" s="22">
        <f t="shared" si="105"/>
        <v>0.14051897664424154</v>
      </c>
      <c r="AR442" s="22">
        <f t="shared" si="105"/>
        <v>0.14456662668799888</v>
      </c>
      <c r="AS442" s="22">
        <f t="shared" si="105"/>
        <v>0.14869599338087189</v>
      </c>
      <c r="AT442" s="22">
        <f t="shared" si="105"/>
        <v>0.15137911693275455</v>
      </c>
      <c r="AU442" s="22">
        <f t="shared" si="105"/>
        <v>0.1539813872955596</v>
      </c>
      <c r="AV442" s="22">
        <f t="shared" si="105"/>
        <v>0.15681091101615385</v>
      </c>
      <c r="AW442" s="22">
        <f t="shared" si="105"/>
        <v>0.15957796848952543</v>
      </c>
      <c r="AY442" s="85"/>
    </row>
    <row r="443" spans="1:51" x14ac:dyDescent="0.25">
      <c r="A443" s="102" t="str">
        <f t="shared" si="104"/>
        <v>GS MM Volatilisation</v>
      </c>
      <c r="B443" s="102" t="s">
        <v>1022</v>
      </c>
      <c r="C443" s="102" t="s">
        <v>1333</v>
      </c>
      <c r="D443" t="s">
        <v>369</v>
      </c>
      <c r="E443" t="s">
        <v>64</v>
      </c>
      <c r="F443" t="s">
        <v>62</v>
      </c>
      <c r="G443" t="s">
        <v>1183</v>
      </c>
      <c r="H443" t="s">
        <v>1306</v>
      </c>
      <c r="I443" t="s">
        <v>139</v>
      </c>
      <c r="J443" t="s">
        <v>287</v>
      </c>
      <c r="K443" s="22">
        <f t="shared" si="101"/>
        <v>0.3124157271084777</v>
      </c>
      <c r="L443" s="22">
        <f t="shared" si="105"/>
        <v>0.31821414255231495</v>
      </c>
      <c r="M443" s="22">
        <f t="shared" si="105"/>
        <v>0.32201191440693633</v>
      </c>
      <c r="N443" s="22">
        <f t="shared" si="105"/>
        <v>0.3178348082585094</v>
      </c>
      <c r="O443" s="22">
        <f t="shared" si="105"/>
        <v>0.31378386599173785</v>
      </c>
      <c r="P443" s="22">
        <f t="shared" si="105"/>
        <v>0.31779798966820449</v>
      </c>
      <c r="Q443" s="22">
        <f t="shared" si="105"/>
        <v>0.31934474546532327</v>
      </c>
      <c r="R443" s="22">
        <f t="shared" si="105"/>
        <v>0.3122534460886785</v>
      </c>
      <c r="S443" s="22">
        <f t="shared" si="105"/>
        <v>0.26726842990845273</v>
      </c>
      <c r="T443" s="22">
        <f t="shared" si="105"/>
        <v>0.28155383456320437</v>
      </c>
      <c r="U443" s="22">
        <f t="shared" si="105"/>
        <v>0.29111754321840305</v>
      </c>
      <c r="V443" s="22">
        <f t="shared" si="105"/>
        <v>0.2996184601617527</v>
      </c>
      <c r="W443" s="22">
        <f t="shared" si="105"/>
        <v>0.30988409927740257</v>
      </c>
      <c r="X443" s="22">
        <f t="shared" si="105"/>
        <v>0.32626779257260974</v>
      </c>
      <c r="Y443" s="22">
        <f t="shared" si="105"/>
        <v>0.34459114138127506</v>
      </c>
      <c r="Z443" s="22">
        <f t="shared" si="105"/>
        <v>0.36451721195122694</v>
      </c>
      <c r="AA443" s="22">
        <f t="shared" si="105"/>
        <v>0.38201404405887901</v>
      </c>
      <c r="AB443" s="22">
        <f t="shared" si="105"/>
        <v>0.40238508942677492</v>
      </c>
      <c r="AC443" s="22">
        <f t="shared" si="105"/>
        <v>0.4263053965641187</v>
      </c>
      <c r="AD443" s="22">
        <f t="shared" si="105"/>
        <v>0.44998725989455773</v>
      </c>
      <c r="AE443" s="22">
        <f t="shared" si="105"/>
        <v>0.47482812670868052</v>
      </c>
      <c r="AF443" s="22">
        <f t="shared" si="105"/>
        <v>0.50027841318334143</v>
      </c>
      <c r="AG443" s="22">
        <f t="shared" si="105"/>
        <v>0.52877672683612675</v>
      </c>
      <c r="AH443" s="22">
        <f t="shared" si="105"/>
        <v>0.55394333487777203</v>
      </c>
      <c r="AI443" s="22">
        <f t="shared" si="105"/>
        <v>0.58103945126716949</v>
      </c>
      <c r="AJ443" s="22">
        <f t="shared" si="105"/>
        <v>0.60869953568846558</v>
      </c>
      <c r="AK443" s="22">
        <f t="shared" si="105"/>
        <v>0.6352030919632573</v>
      </c>
      <c r="AL443" s="22">
        <f t="shared" si="105"/>
        <v>0.66171943775292319</v>
      </c>
      <c r="AM443" s="22">
        <f t="shared" si="105"/>
        <v>0.68930855279653469</v>
      </c>
      <c r="AN443" s="22">
        <f t="shared" si="105"/>
        <v>0.71866455371182625</v>
      </c>
      <c r="AO443" s="22">
        <f t="shared" si="105"/>
        <v>0.74635733605458598</v>
      </c>
      <c r="AP443" s="22">
        <f t="shared" si="105"/>
        <v>0.7745069527648214</v>
      </c>
      <c r="AQ443" s="22">
        <f t="shared" si="105"/>
        <v>0.80317067030208755</v>
      </c>
      <c r="AR443" s="22">
        <f t="shared" si="105"/>
        <v>0.83386954359351506</v>
      </c>
      <c r="AS443" s="22">
        <f t="shared" si="105"/>
        <v>0.86568293208899882</v>
      </c>
      <c r="AT443" s="22">
        <f t="shared" si="105"/>
        <v>0.88344012524771687</v>
      </c>
      <c r="AU443" s="22">
        <f t="shared" si="105"/>
        <v>0.90027059680950883</v>
      </c>
      <c r="AV443" s="22">
        <f t="shared" si="105"/>
        <v>0.91908561041712944</v>
      </c>
      <c r="AW443" s="22">
        <f t="shared" si="105"/>
        <v>0.9371463380375723</v>
      </c>
      <c r="AY443" s="85"/>
    </row>
    <row r="444" spans="1:51" x14ac:dyDescent="0.25">
      <c r="A444" s="102" t="str">
        <f t="shared" si="104"/>
        <v>GS MM Leaching</v>
      </c>
      <c r="B444" s="102" t="s">
        <v>1022</v>
      </c>
      <c r="C444" s="102" t="s">
        <v>1334</v>
      </c>
      <c r="D444" t="s">
        <v>369</v>
      </c>
      <c r="E444" t="s">
        <v>64</v>
      </c>
      <c r="F444" t="s">
        <v>63</v>
      </c>
      <c r="G444" t="s">
        <v>1153</v>
      </c>
      <c r="H444" t="s">
        <v>1307</v>
      </c>
      <c r="I444" t="s">
        <v>139</v>
      </c>
      <c r="J444" t="s">
        <v>287</v>
      </c>
      <c r="K444" s="22">
        <f t="shared" si="101"/>
        <v>8.9301817319657029E-2</v>
      </c>
      <c r="L444" s="22">
        <f t="shared" si="105"/>
        <v>8.9904788204048389E-2</v>
      </c>
      <c r="M444" s="22">
        <f t="shared" si="105"/>
        <v>9.0432234991344826E-2</v>
      </c>
      <c r="N444" s="22">
        <f t="shared" si="105"/>
        <v>9.0500461338876806E-2</v>
      </c>
      <c r="O444" s="22">
        <f t="shared" si="105"/>
        <v>9.0617974533052939E-2</v>
      </c>
      <c r="P444" s="22">
        <f t="shared" si="105"/>
        <v>9.1292243565634368E-2</v>
      </c>
      <c r="Q444" s="22">
        <f t="shared" si="105"/>
        <v>9.1831411898207801E-2</v>
      </c>
      <c r="R444" s="22">
        <f t="shared" si="105"/>
        <v>9.1836139358568436E-2</v>
      </c>
      <c r="S444" s="22">
        <f t="shared" si="105"/>
        <v>8.9403055409342513E-2</v>
      </c>
      <c r="T444" s="22">
        <f t="shared" si="105"/>
        <v>9.0578464795021837E-2</v>
      </c>
      <c r="U444" s="22">
        <f t="shared" si="105"/>
        <v>9.1468229504779536E-2</v>
      </c>
      <c r="V444" s="22">
        <f t="shared" si="105"/>
        <v>9.2307701453058486E-2</v>
      </c>
      <c r="W444" s="22">
        <f t="shared" si="105"/>
        <v>9.3281093922152392E-2</v>
      </c>
      <c r="X444" s="22">
        <f t="shared" si="105"/>
        <v>9.4675817928952744E-2</v>
      </c>
      <c r="Y444" s="22">
        <f t="shared" si="105"/>
        <v>9.6127887906373721E-2</v>
      </c>
      <c r="Z444" s="22">
        <f t="shared" si="105"/>
        <v>9.7705163684132096E-2</v>
      </c>
      <c r="AA444" s="22">
        <f t="shared" si="105"/>
        <v>9.9139534803866503E-2</v>
      </c>
      <c r="AB444" s="22">
        <f t="shared" si="105"/>
        <v>0.10078297415070787</v>
      </c>
      <c r="AC444" s="22">
        <f t="shared" si="105"/>
        <v>0.10268183134860724</v>
      </c>
      <c r="AD444" s="22">
        <f t="shared" si="105"/>
        <v>0.10450996110897502</v>
      </c>
      <c r="AE444" s="22">
        <f t="shared" si="105"/>
        <v>0.1064333985286125</v>
      </c>
      <c r="AF444" s="22">
        <f t="shared" si="105"/>
        <v>0.10841517507268528</v>
      </c>
      <c r="AG444" s="22">
        <f t="shared" si="105"/>
        <v>0.11062033109470952</v>
      </c>
      <c r="AH444" s="22">
        <f t="shared" si="105"/>
        <v>0.11261681982671894</v>
      </c>
      <c r="AI444" s="22">
        <f t="shared" si="105"/>
        <v>0.11469139352660324</v>
      </c>
      <c r="AJ444" s="22">
        <f t="shared" si="105"/>
        <v>0.11682019256305964</v>
      </c>
      <c r="AK444" s="22">
        <f t="shared" si="105"/>
        <v>0.11888535619665287</v>
      </c>
      <c r="AL444" s="22">
        <f t="shared" si="105"/>
        <v>0.12096617191338277</v>
      </c>
      <c r="AM444" s="22">
        <f t="shared" si="105"/>
        <v>0.12313525542688207</v>
      </c>
      <c r="AN444" s="22">
        <f t="shared" si="105"/>
        <v>0.12537615973723265</v>
      </c>
      <c r="AO444" s="22">
        <f t="shared" si="105"/>
        <v>0.12751645286240365</v>
      </c>
      <c r="AP444" s="22">
        <f t="shared" si="105"/>
        <v>0.12970195754720021</v>
      </c>
      <c r="AQ444" s="22">
        <f t="shared" si="105"/>
        <v>0.131936612577774</v>
      </c>
      <c r="AR444" s="22">
        <f t="shared" si="105"/>
        <v>0.13432635811565444</v>
      </c>
      <c r="AS444" s="22">
        <f t="shared" si="105"/>
        <v>0.13674240472836932</v>
      </c>
      <c r="AT444" s="22">
        <f t="shared" si="105"/>
        <v>0.13818843767832675</v>
      </c>
      <c r="AU444" s="22">
        <f t="shared" si="105"/>
        <v>0.13957828911754586</v>
      </c>
      <c r="AV444" s="22">
        <f t="shared" si="105"/>
        <v>0.14111599332781352</v>
      </c>
      <c r="AW444" s="22">
        <f t="shared" si="105"/>
        <v>0.14260938051125654</v>
      </c>
      <c r="AY444" s="85"/>
    </row>
    <row r="445" spans="1:51" x14ac:dyDescent="0.25">
      <c r="A445" s="102" t="str">
        <f t="shared" si="104"/>
        <v>GS MM Leaching</v>
      </c>
      <c r="B445" s="102" t="s">
        <v>1022</v>
      </c>
      <c r="C445" s="102" t="s">
        <v>1334</v>
      </c>
      <c r="D445" t="s">
        <v>369</v>
      </c>
      <c r="E445" t="s">
        <v>64</v>
      </c>
      <c r="F445" t="s">
        <v>63</v>
      </c>
      <c r="G445" t="s">
        <v>1155</v>
      </c>
      <c r="H445" t="s">
        <v>1308</v>
      </c>
      <c r="I445" t="s">
        <v>139</v>
      </c>
      <c r="J445" t="s">
        <v>287</v>
      </c>
      <c r="K445" s="22">
        <f t="shared" si="101"/>
        <v>2.69668832410737E-2</v>
      </c>
      <c r="L445" s="22">
        <f t="shared" si="105"/>
        <v>2.7148965150772641E-2</v>
      </c>
      <c r="M445" s="22">
        <f t="shared" si="105"/>
        <v>2.730824069919725E-2</v>
      </c>
      <c r="N445" s="22">
        <f t="shared" si="105"/>
        <v>2.7328843325247671E-2</v>
      </c>
      <c r="O445" s="22">
        <f t="shared" si="105"/>
        <v>2.7364329328576024E-2</v>
      </c>
      <c r="P445" s="22">
        <f t="shared" si="105"/>
        <v>2.756794147019246E-2</v>
      </c>
      <c r="Q445" s="22">
        <f t="shared" si="105"/>
        <v>2.7730756627914813E-2</v>
      </c>
      <c r="R445" s="22">
        <f t="shared" si="105"/>
        <v>2.7732184201007922E-2</v>
      </c>
      <c r="S445" s="22">
        <f t="shared" si="105"/>
        <v>2.6997454575745719E-2</v>
      </c>
      <c r="T445" s="22">
        <f t="shared" si="105"/>
        <v>2.7352398390053725E-2</v>
      </c>
      <c r="U445" s="22">
        <f t="shared" si="105"/>
        <v>2.7621084759046378E-2</v>
      </c>
      <c r="V445" s="22">
        <f t="shared" si="105"/>
        <v>2.7874583990001138E-2</v>
      </c>
      <c r="W445" s="22">
        <f t="shared" si="105"/>
        <v>2.8168523820674866E-2</v>
      </c>
      <c r="X445" s="22">
        <f t="shared" si="105"/>
        <v>2.8589695086543694E-2</v>
      </c>
      <c r="Y445" s="22">
        <f t="shared" si="105"/>
        <v>2.9028183380671174E-2</v>
      </c>
      <c r="Z445" s="22">
        <f t="shared" si="105"/>
        <v>2.9504480650026085E-2</v>
      </c>
      <c r="AA445" s="22">
        <f t="shared" si="105"/>
        <v>2.9937624338152707E-2</v>
      </c>
      <c r="AB445" s="22">
        <f t="shared" si="105"/>
        <v>3.0433901326799174E-2</v>
      </c>
      <c r="AC445" s="22">
        <f t="shared" si="105"/>
        <v>3.1007308026507561E-2</v>
      </c>
      <c r="AD445" s="22">
        <f t="shared" si="105"/>
        <v>3.1559356834438362E-2</v>
      </c>
      <c r="AE445" s="22">
        <f t="shared" si="105"/>
        <v>3.2140186137510761E-2</v>
      </c>
      <c r="AF445" s="22">
        <f t="shared" si="105"/>
        <v>3.2738632376097511E-2</v>
      </c>
      <c r="AG445" s="22">
        <f t="shared" si="105"/>
        <v>3.3404533549882341E-2</v>
      </c>
      <c r="AH445" s="22">
        <f t="shared" si="105"/>
        <v>3.4007422495977352E-2</v>
      </c>
      <c r="AI445" s="22">
        <f t="shared" si="105"/>
        <v>3.4633891121352886E-2</v>
      </c>
      <c r="AJ445" s="22">
        <f t="shared" si="105"/>
        <v>3.5276734422674962E-2</v>
      </c>
      <c r="AK445" s="22">
        <f t="shared" si="105"/>
        <v>3.5900361446764215E-2</v>
      </c>
      <c r="AL445" s="22">
        <f t="shared" si="105"/>
        <v>3.6528715002866974E-2</v>
      </c>
      <c r="AM445" s="22">
        <f t="shared" si="105"/>
        <v>3.718372319423778E-2</v>
      </c>
      <c r="AN445" s="22">
        <f t="shared" si="105"/>
        <v>3.7860419444162144E-2</v>
      </c>
      <c r="AO445" s="22">
        <f t="shared" si="105"/>
        <v>3.8506733668670703E-2</v>
      </c>
      <c r="AP445" s="22">
        <f t="shared" si="105"/>
        <v>3.9166700637167727E-2</v>
      </c>
      <c r="AQ445" s="22">
        <f t="shared" si="105"/>
        <v>3.9841509763143906E-2</v>
      </c>
      <c r="AR445" s="22">
        <f t="shared" si="105"/>
        <v>4.0563152287676402E-2</v>
      </c>
      <c r="AS445" s="22">
        <f t="shared" si="105"/>
        <v>4.1292737069549959E-2</v>
      </c>
      <c r="AT445" s="22">
        <f t="shared" si="105"/>
        <v>4.1729402334542996E-2</v>
      </c>
      <c r="AU445" s="22">
        <f t="shared" si="105"/>
        <v>4.2149102208619463E-2</v>
      </c>
      <c r="AV445" s="22">
        <f t="shared" si="105"/>
        <v>4.2613449868523889E-2</v>
      </c>
      <c r="AW445" s="22">
        <f t="shared" si="105"/>
        <v>4.3064414910651432E-2</v>
      </c>
      <c r="AY445" s="85"/>
    </row>
    <row r="446" spans="1:51" x14ac:dyDescent="0.25">
      <c r="A446" s="102" t="str">
        <f t="shared" si="104"/>
        <v>GS MM Leaching</v>
      </c>
      <c r="B446" s="102" t="s">
        <v>1022</v>
      </c>
      <c r="C446" s="102" t="s">
        <v>1334</v>
      </c>
      <c r="D446" t="s">
        <v>369</v>
      </c>
      <c r="E446" t="s">
        <v>64</v>
      </c>
      <c r="F446" t="s">
        <v>63</v>
      </c>
      <c r="G446" t="s">
        <v>1157</v>
      </c>
      <c r="H446" t="s">
        <v>1309</v>
      </c>
      <c r="I446" t="s">
        <v>139</v>
      </c>
      <c r="J446" t="s">
        <v>287</v>
      </c>
      <c r="K446" s="22">
        <f t="shared" si="101"/>
        <v>1.4498393681804938E-3</v>
      </c>
      <c r="L446" s="22">
        <f t="shared" si="105"/>
        <v>1.4596287649956559E-3</v>
      </c>
      <c r="M446" s="22">
        <f t="shared" si="105"/>
        <v>1.4681920074894272E-3</v>
      </c>
      <c r="N446" s="22">
        <f t="shared" si="105"/>
        <v>1.4692996808556361E-3</v>
      </c>
      <c r="O446" s="22">
        <f t="shared" si="105"/>
        <v>1.4712075396239221E-3</v>
      </c>
      <c r="P446" s="22">
        <f t="shared" si="105"/>
        <v>1.4821544813270488E-3</v>
      </c>
      <c r="Q446" s="22">
        <f t="shared" si="105"/>
        <v>1.4909080263063527E-3</v>
      </c>
      <c r="R446" s="22">
        <f t="shared" si="105"/>
        <v>1.4909847779150886E-3</v>
      </c>
      <c r="S446" s="22">
        <f t="shared" si="105"/>
        <v>1.451482996187078E-3</v>
      </c>
      <c r="T446" s="22">
        <f t="shared" si="105"/>
        <v>1.4705660882476425E-3</v>
      </c>
      <c r="U446" s="22">
        <f t="shared" si="105"/>
        <v>1.4850116610628827E-3</v>
      </c>
      <c r="V446" s="22">
        <f t="shared" si="105"/>
        <v>1.4986407171742647E-3</v>
      </c>
      <c r="W446" s="22">
        <f t="shared" si="105"/>
        <v>1.5144440094782853E-3</v>
      </c>
      <c r="X446" s="22">
        <f t="shared" si="105"/>
        <v>1.5370877342478196E-3</v>
      </c>
      <c r="Y446" s="22">
        <f t="shared" si="105"/>
        <v>1.5606624864959412E-3</v>
      </c>
      <c r="Z446" s="22">
        <f t="shared" si="105"/>
        <v>1.5862699890721308E-3</v>
      </c>
      <c r="AA446" s="22">
        <f t="shared" si="105"/>
        <v>1.6095573955369755E-3</v>
      </c>
      <c r="AB446" s="22">
        <f t="shared" si="105"/>
        <v>1.6362390817084723E-3</v>
      </c>
      <c r="AC446" s="22">
        <f t="shared" si="105"/>
        <v>1.6670675463769219E-3</v>
      </c>
      <c r="AD446" s="22">
        <f t="shared" si="105"/>
        <v>1.6967477318006537E-3</v>
      </c>
      <c r="AE446" s="22">
        <f t="shared" si="105"/>
        <v>1.7279752630751828E-3</v>
      </c>
      <c r="AF446" s="22">
        <f t="shared" si="105"/>
        <v>1.7601499459514404E-3</v>
      </c>
      <c r="AG446" s="22">
        <f t="shared" si="105"/>
        <v>1.7959512555963141E-3</v>
      </c>
      <c r="AH446" s="22">
        <f t="shared" si="105"/>
        <v>1.8283647948576127E-3</v>
      </c>
      <c r="AI446" s="22">
        <f t="shared" si="105"/>
        <v>1.8620460648760904E-3</v>
      </c>
      <c r="AJ446" s="22">
        <f t="shared" si="105"/>
        <v>1.8966076980279822E-3</v>
      </c>
      <c r="AK446" s="22">
        <f t="shared" si="105"/>
        <v>1.9301361930528979E-3</v>
      </c>
      <c r="AL446" s="22">
        <f t="shared" si="105"/>
        <v>1.9639188039178583E-3</v>
      </c>
      <c r="AM446" s="22">
        <f t="shared" si="105"/>
        <v>1.9991344665452565E-3</v>
      </c>
      <c r="AN446" s="22">
        <f t="shared" si="105"/>
        <v>2.0355161594042262E-3</v>
      </c>
      <c r="AO446" s="22">
        <f t="shared" si="105"/>
        <v>2.0702644022223028E-3</v>
      </c>
      <c r="AP446" s="22">
        <f t="shared" si="105"/>
        <v>2.1057466670458603E-3</v>
      </c>
      <c r="AQ446" s="22">
        <f t="shared" si="105"/>
        <v>2.1420269011426783E-3</v>
      </c>
      <c r="AR446" s="22">
        <f t="shared" si="105"/>
        <v>2.1808250719385831E-3</v>
      </c>
      <c r="AS446" s="22">
        <f t="shared" si="105"/>
        <v>2.2200502478600822E-3</v>
      </c>
      <c r="AT446" s="22">
        <f t="shared" si="105"/>
        <v>2.2435269873202655E-3</v>
      </c>
      <c r="AU446" s="22">
        <f t="shared" si="105"/>
        <v>2.2660916046257488E-3</v>
      </c>
      <c r="AV446" s="22">
        <f t="shared" si="105"/>
        <v>2.2910566520075136E-3</v>
      </c>
      <c r="AW446" s="22">
        <f t="shared" si="105"/>
        <v>2.3153022003678742E-3</v>
      </c>
      <c r="AY446" s="85"/>
    </row>
    <row r="447" spans="1:51" x14ac:dyDescent="0.25">
      <c r="A447" s="102" t="str">
        <f t="shared" si="104"/>
        <v>GS MM Leaching</v>
      </c>
      <c r="B447" s="102" t="s">
        <v>1022</v>
      </c>
      <c r="C447" s="102" t="s">
        <v>1334</v>
      </c>
      <c r="D447" t="s">
        <v>369</v>
      </c>
      <c r="E447" t="s">
        <v>64</v>
      </c>
      <c r="F447" t="s">
        <v>63</v>
      </c>
      <c r="G447" t="s">
        <v>1159</v>
      </c>
      <c r="H447" t="s">
        <v>1310</v>
      </c>
      <c r="I447" t="s">
        <v>139</v>
      </c>
      <c r="J447" t="s">
        <v>287</v>
      </c>
      <c r="K447" s="22">
        <f t="shared" si="101"/>
        <v>3.0452527896293373E-2</v>
      </c>
      <c r="L447" s="22">
        <f t="shared" si="105"/>
        <v>3.0297487464546878E-2</v>
      </c>
      <c r="M447" s="22">
        <f t="shared" si="105"/>
        <v>3.0014510280911927E-2</v>
      </c>
      <c r="N447" s="22">
        <f t="shared" si="105"/>
        <v>2.9239921775422131E-2</v>
      </c>
      <c r="O447" s="22">
        <f t="shared" si="105"/>
        <v>2.8496244024993216E-2</v>
      </c>
      <c r="P447" s="22">
        <f t="shared" si="105"/>
        <v>2.8252813512235145E-2</v>
      </c>
      <c r="Q447" s="22">
        <f t="shared" si="105"/>
        <v>2.7859647334891578E-2</v>
      </c>
      <c r="R447" s="22">
        <f t="shared" si="105"/>
        <v>2.6976279512961457E-2</v>
      </c>
      <c r="S447" s="22">
        <f t="shared" si="105"/>
        <v>2.4012489752417959E-2</v>
      </c>
      <c r="T447" s="22">
        <f t="shared" si="105"/>
        <v>2.4599231081869424E-2</v>
      </c>
      <c r="U447" s="22">
        <f t="shared" si="105"/>
        <v>2.4916145495478388E-2</v>
      </c>
      <c r="V447" s="22">
        <f t="shared" si="105"/>
        <v>2.5168037651579767E-2</v>
      </c>
      <c r="W447" s="22">
        <f t="shared" si="105"/>
        <v>2.5506564506487542E-2</v>
      </c>
      <c r="X447" s="22">
        <f t="shared" si="105"/>
        <v>2.6156489707851342E-2</v>
      </c>
      <c r="Y447" s="22">
        <f t="shared" si="105"/>
        <v>2.6867817810745018E-2</v>
      </c>
      <c r="Z447" s="22">
        <f t="shared" si="105"/>
        <v>2.7642884414901984E-2</v>
      </c>
      <c r="AA447" s="22">
        <f t="shared" si="105"/>
        <v>2.8274857178530011E-2</v>
      </c>
      <c r="AB447" s="22">
        <f t="shared" si="105"/>
        <v>2.903345804669211E-2</v>
      </c>
      <c r="AC447" s="22">
        <f t="shared" si="105"/>
        <v>2.9947210077229128E-2</v>
      </c>
      <c r="AD447" s="22">
        <f t="shared" si="105"/>
        <v>3.0549124720733112E-2</v>
      </c>
      <c r="AE447" s="22">
        <f t="shared" si="105"/>
        <v>3.1163959723064422E-2</v>
      </c>
      <c r="AF447" s="22">
        <f t="shared" si="105"/>
        <v>3.1763059028554627E-2</v>
      </c>
      <c r="AG447" s="22">
        <f t="shared" si="105"/>
        <v>3.2456169201335913E-2</v>
      </c>
      <c r="AH447" s="22">
        <f t="shared" si="105"/>
        <v>3.2950083477417874E-2</v>
      </c>
      <c r="AI447" s="22">
        <f t="shared" si="105"/>
        <v>3.3470414487168046E-2</v>
      </c>
      <c r="AJ447" s="22">
        <f t="shared" si="105"/>
        <v>3.3968324488623199E-2</v>
      </c>
      <c r="AK447" s="22">
        <f t="shared" si="105"/>
        <v>3.4370588247873347E-2</v>
      </c>
      <c r="AL447" s="22">
        <f t="shared" si="105"/>
        <v>3.4728582709762659E-2</v>
      </c>
      <c r="AM447" s="22">
        <f t="shared" si="105"/>
        <v>3.5084969822241303E-2</v>
      </c>
      <c r="AN447" s="22">
        <f t="shared" si="105"/>
        <v>3.563350480133385E-2</v>
      </c>
      <c r="AO447" s="22">
        <f t="shared" si="105"/>
        <v>3.6080223845932187E-2</v>
      </c>
      <c r="AP447" s="22">
        <f t="shared" si="105"/>
        <v>3.6509179844635559E-2</v>
      </c>
      <c r="AQ447" s="22">
        <f t="shared" si="105"/>
        <v>3.6921780538289761E-2</v>
      </c>
      <c r="AR447" s="22">
        <f t="shared" si="105"/>
        <v>3.7372669069064057E-2</v>
      </c>
      <c r="AS447" s="22">
        <f t="shared" si="105"/>
        <v>3.781430947824465E-2</v>
      </c>
      <c r="AT447" s="22">
        <f t="shared" si="105"/>
        <v>3.7723318556611311E-2</v>
      </c>
      <c r="AU447" s="22">
        <f t="shared" si="105"/>
        <v>3.7580542556637592E-2</v>
      </c>
      <c r="AV447" s="22">
        <f t="shared" si="105"/>
        <v>3.7486169646009135E-2</v>
      </c>
      <c r="AW447" s="22">
        <f t="shared" si="105"/>
        <v>3.7345735978641013E-2</v>
      </c>
      <c r="AY447" s="85"/>
    </row>
    <row r="448" spans="1:51" x14ac:dyDescent="0.25">
      <c r="A448" s="102" t="str">
        <f t="shared" si="104"/>
        <v>GS MM Leaching</v>
      </c>
      <c r="B448" s="102" t="s">
        <v>1022</v>
      </c>
      <c r="C448" s="102" t="s">
        <v>1334</v>
      </c>
      <c r="D448" t="s">
        <v>369</v>
      </c>
      <c r="E448" t="s">
        <v>64</v>
      </c>
      <c r="F448" t="s">
        <v>63</v>
      </c>
      <c r="G448" t="s">
        <v>1161</v>
      </c>
      <c r="H448" t="s">
        <v>1311</v>
      </c>
      <c r="I448" t="s">
        <v>139</v>
      </c>
      <c r="J448" t="s">
        <v>287</v>
      </c>
      <c r="K448" s="22">
        <f t="shared" si="101"/>
        <v>4.0424767632491129E-2</v>
      </c>
      <c r="L448" s="22">
        <f t="shared" si="105"/>
        <v>4.0218956362952633E-2</v>
      </c>
      <c r="M448" s="22">
        <f t="shared" ref="L448:AW454" si="106">M1551</f>
        <v>3.9843313101654371E-2</v>
      </c>
      <c r="N448" s="22">
        <f t="shared" si="106"/>
        <v>3.8815071359232893E-2</v>
      </c>
      <c r="O448" s="22">
        <f t="shared" si="106"/>
        <v>3.7827862666512127E-2</v>
      </c>
      <c r="P448" s="22">
        <f t="shared" si="106"/>
        <v>3.7504716360024323E-2</v>
      </c>
      <c r="Q448" s="22">
        <f t="shared" si="106"/>
        <v>3.6982800694625562E-2</v>
      </c>
      <c r="R448" s="22">
        <f t="shared" si="106"/>
        <v>3.5810157850092082E-2</v>
      </c>
      <c r="S448" s="22">
        <f t="shared" si="106"/>
        <v>3.1875820681448994E-2</v>
      </c>
      <c r="T448" s="22">
        <f t="shared" si="106"/>
        <v>3.2654701238893337E-2</v>
      </c>
      <c r="U448" s="22">
        <f t="shared" si="106"/>
        <v>3.307539509961839E-2</v>
      </c>
      <c r="V448" s="22">
        <f t="shared" si="106"/>
        <v>3.3409773970020318E-2</v>
      </c>
      <c r="W448" s="22">
        <f t="shared" si="106"/>
        <v>3.3859157663013208E-2</v>
      </c>
      <c r="X448" s="22">
        <f t="shared" si="106"/>
        <v>3.4721912812047291E-2</v>
      </c>
      <c r="Y448" s="22">
        <f t="shared" si="106"/>
        <v>3.5666178370816821E-2</v>
      </c>
      <c r="Z448" s="22">
        <f t="shared" si="106"/>
        <v>3.6695054774097693E-2</v>
      </c>
      <c r="AA448" s="22">
        <f t="shared" si="106"/>
        <v>3.7533978629835658E-2</v>
      </c>
      <c r="AB448" s="22">
        <f t="shared" si="106"/>
        <v>3.8540997289360182E-2</v>
      </c>
      <c r="AC448" s="22">
        <f t="shared" si="106"/>
        <v>3.9753974209830296E-2</v>
      </c>
      <c r="AD448" s="22">
        <f t="shared" si="106"/>
        <v>4.0552996861779135E-2</v>
      </c>
      <c r="AE448" s="22">
        <f t="shared" si="106"/>
        <v>4.1369170881427282E-2</v>
      </c>
      <c r="AF448" s="22">
        <f t="shared" si="106"/>
        <v>4.2164456261206094E-2</v>
      </c>
      <c r="AG448" s="22">
        <f t="shared" si="106"/>
        <v>4.3084538093946481E-2</v>
      </c>
      <c r="AH448" s="22">
        <f t="shared" si="106"/>
        <v>4.3740193673968565E-2</v>
      </c>
      <c r="AI448" s="22">
        <f t="shared" si="106"/>
        <v>4.4430916632429117E-2</v>
      </c>
      <c r="AJ448" s="22">
        <f t="shared" si="106"/>
        <v>4.5091876411507692E-2</v>
      </c>
      <c r="AK448" s="22">
        <f t="shared" si="106"/>
        <v>4.5625868829149929E-2</v>
      </c>
      <c r="AL448" s="22">
        <f t="shared" si="106"/>
        <v>4.610109515469106E-2</v>
      </c>
      <c r="AM448" s="22">
        <f t="shared" si="106"/>
        <v>4.6574187774726626E-2</v>
      </c>
      <c r="AN448" s="22">
        <f t="shared" si="106"/>
        <v>4.730235061045656E-2</v>
      </c>
      <c r="AO448" s="22">
        <f t="shared" si="106"/>
        <v>4.7895356013370721E-2</v>
      </c>
      <c r="AP448" s="22">
        <f t="shared" si="106"/>
        <v>4.8464781534667351E-2</v>
      </c>
      <c r="AQ448" s="22">
        <f t="shared" si="106"/>
        <v>4.9012495905795345E-2</v>
      </c>
      <c r="AR448" s="22">
        <f t="shared" si="106"/>
        <v>4.9611036169735952E-2</v>
      </c>
      <c r="AS448" s="22">
        <f t="shared" si="106"/>
        <v>5.019729984475968E-2</v>
      </c>
      <c r="AT448" s="22">
        <f t="shared" si="106"/>
        <v>5.0076512274144176E-2</v>
      </c>
      <c r="AU448" s="22">
        <f t="shared" si="106"/>
        <v>4.9886981649885677E-2</v>
      </c>
      <c r="AV448" s="22">
        <f t="shared" si="106"/>
        <v>4.9761704595844405E-2</v>
      </c>
      <c r="AW448" s="22">
        <f t="shared" si="106"/>
        <v>4.9575283344036727E-2</v>
      </c>
      <c r="AY448" s="85"/>
    </row>
    <row r="449" spans="1:51" x14ac:dyDescent="0.25">
      <c r="A449" s="102" t="str">
        <f t="shared" si="104"/>
        <v>GS MM Leaching</v>
      </c>
      <c r="B449" s="102" t="s">
        <v>1022</v>
      </c>
      <c r="C449" s="102" t="s">
        <v>1334</v>
      </c>
      <c r="D449" t="s">
        <v>369</v>
      </c>
      <c r="E449" t="s">
        <v>64</v>
      </c>
      <c r="F449" t="s">
        <v>63</v>
      </c>
      <c r="G449" t="s">
        <v>1163</v>
      </c>
      <c r="H449" t="s">
        <v>1312</v>
      </c>
      <c r="I449" t="s">
        <v>139</v>
      </c>
      <c r="J449" t="s">
        <v>287</v>
      </c>
      <c r="K449" s="22">
        <f t="shared" si="101"/>
        <v>4.2088279910489731E-2</v>
      </c>
      <c r="L449" s="22">
        <f t="shared" si="106"/>
        <v>4.3658426789379527E-2</v>
      </c>
      <c r="M449" s="22">
        <f t="shared" si="106"/>
        <v>4.5069001422451092E-2</v>
      </c>
      <c r="N449" s="22">
        <f t="shared" si="106"/>
        <v>4.5730945940485053E-2</v>
      </c>
      <c r="O449" s="22">
        <f t="shared" si="106"/>
        <v>4.6403018793330496E-2</v>
      </c>
      <c r="P449" s="22">
        <f t="shared" si="106"/>
        <v>4.788652540684897E-2</v>
      </c>
      <c r="Q449" s="22">
        <f t="shared" si="106"/>
        <v>4.9137870108527694E-2</v>
      </c>
      <c r="R449" s="22">
        <f t="shared" si="106"/>
        <v>4.9503165411805869E-2</v>
      </c>
      <c r="S449" s="22">
        <f t="shared" si="106"/>
        <v>4.5839757980885354E-2</v>
      </c>
      <c r="T449" s="22">
        <f t="shared" si="106"/>
        <v>4.8085500350999781E-2</v>
      </c>
      <c r="U449" s="22">
        <f t="shared" si="106"/>
        <v>4.9856457493952649E-2</v>
      </c>
      <c r="V449" s="22">
        <f t="shared" si="106"/>
        <v>5.1535970996810648E-2</v>
      </c>
      <c r="W449" s="22">
        <f t="shared" si="106"/>
        <v>5.3433929282004737E-2</v>
      </c>
      <c r="X449" s="22">
        <f t="shared" si="106"/>
        <v>5.6045654957977475E-2</v>
      </c>
      <c r="Y449" s="22">
        <f t="shared" si="106"/>
        <v>5.8870054591226323E-2</v>
      </c>
      <c r="Z449" s="22">
        <f t="shared" si="106"/>
        <v>6.1923467619543808E-2</v>
      </c>
      <c r="AA449" s="22">
        <f t="shared" si="106"/>
        <v>6.4744057541003291E-2</v>
      </c>
      <c r="AB449" s="22">
        <f t="shared" si="106"/>
        <v>6.7943881457369987E-2</v>
      </c>
      <c r="AC449" s="22">
        <f t="shared" si="106"/>
        <v>7.1612827226360365E-2</v>
      </c>
      <c r="AD449" s="22">
        <f t="shared" si="106"/>
        <v>7.5466807799469487E-2</v>
      </c>
      <c r="AE449" s="22">
        <f t="shared" si="106"/>
        <v>7.9535262123601499E-2</v>
      </c>
      <c r="AF449" s="22">
        <f t="shared" si="106"/>
        <v>8.3755881572647323E-2</v>
      </c>
      <c r="AG449" s="22">
        <f t="shared" si="106"/>
        <v>8.8434352848101333E-2</v>
      </c>
      <c r="AH449" s="22">
        <f t="shared" si="106"/>
        <v>9.2782184706594648E-2</v>
      </c>
      <c r="AI449" s="22">
        <f t="shared" si="106"/>
        <v>9.7412750169741713E-2</v>
      </c>
      <c r="AJ449" s="22">
        <f t="shared" si="106"/>
        <v>0.10219897557201296</v>
      </c>
      <c r="AK449" s="22">
        <f t="shared" si="106"/>
        <v>0.10691951602452639</v>
      </c>
      <c r="AL449" s="22">
        <f t="shared" si="106"/>
        <v>0.11172324406810413</v>
      </c>
      <c r="AM449" s="22">
        <f t="shared" si="106"/>
        <v>0.11675138053848984</v>
      </c>
      <c r="AN449" s="22">
        <f t="shared" si="106"/>
        <v>0.12191034405107851</v>
      </c>
      <c r="AO449" s="22">
        <f t="shared" si="106"/>
        <v>0.12692107733600846</v>
      </c>
      <c r="AP449" s="22">
        <f t="shared" si="106"/>
        <v>0.13206747907789079</v>
      </c>
      <c r="AQ449" s="22">
        <f t="shared" si="106"/>
        <v>0.13735924273618794</v>
      </c>
      <c r="AR449" s="22">
        <f t="shared" si="106"/>
        <v>0.14301065000753557</v>
      </c>
      <c r="AS449" s="22">
        <f t="shared" si="106"/>
        <v>0.14885811067783355</v>
      </c>
      <c r="AT449" s="22">
        <f t="shared" si="106"/>
        <v>0.15279068704125651</v>
      </c>
      <c r="AU449" s="22">
        <f t="shared" si="106"/>
        <v>0.15663721521446686</v>
      </c>
      <c r="AV449" s="22">
        <f t="shared" si="106"/>
        <v>0.16081550018928234</v>
      </c>
      <c r="AW449" s="22">
        <f t="shared" si="106"/>
        <v>0.16493343954400999</v>
      </c>
      <c r="AY449" s="85"/>
    </row>
    <row r="450" spans="1:51" x14ac:dyDescent="0.25">
      <c r="A450" s="102" t="str">
        <f t="shared" si="104"/>
        <v>GS MM Leaching</v>
      </c>
      <c r="B450" s="102" t="s">
        <v>1022</v>
      </c>
      <c r="C450" s="102" t="s">
        <v>1334</v>
      </c>
      <c r="D450" t="s">
        <v>369</v>
      </c>
      <c r="E450" t="s">
        <v>64</v>
      </c>
      <c r="F450" t="s">
        <v>63</v>
      </c>
      <c r="G450" t="s">
        <v>1165</v>
      </c>
      <c r="H450" t="s">
        <v>1313</v>
      </c>
      <c r="I450" t="s">
        <v>139</v>
      </c>
      <c r="J450" t="s">
        <v>287</v>
      </c>
      <c r="K450" s="22">
        <f t="shared" si="101"/>
        <v>4.3939271631598543E-3</v>
      </c>
      <c r="L450" s="22">
        <f t="shared" si="106"/>
        <v>4.3962984818877171E-3</v>
      </c>
      <c r="M450" s="22">
        <f t="shared" si="106"/>
        <v>4.4017499414647923E-3</v>
      </c>
      <c r="N450" s="22">
        <f t="shared" si="106"/>
        <v>4.4098431410874153E-3</v>
      </c>
      <c r="O450" s="22">
        <f t="shared" si="106"/>
        <v>4.4207667549247352E-3</v>
      </c>
      <c r="P450" s="22">
        <f t="shared" si="106"/>
        <v>4.4347403177031263E-3</v>
      </c>
      <c r="Q450" s="22">
        <f t="shared" si="106"/>
        <v>4.4501377302209226E-3</v>
      </c>
      <c r="R450" s="22">
        <f t="shared" si="106"/>
        <v>4.4667198464041179E-3</v>
      </c>
      <c r="S450" s="22">
        <f t="shared" si="106"/>
        <v>4.4831484324149608E-3</v>
      </c>
      <c r="T450" s="22">
        <f t="shared" si="106"/>
        <v>4.4898717427697809E-3</v>
      </c>
      <c r="U450" s="22">
        <f t="shared" si="106"/>
        <v>4.4975062704204526E-3</v>
      </c>
      <c r="V450" s="22">
        <f t="shared" si="106"/>
        <v>4.5061403809784359E-3</v>
      </c>
      <c r="W450" s="22">
        <f t="shared" si="106"/>
        <v>4.5158367053022919E-3</v>
      </c>
      <c r="X450" s="22">
        <f t="shared" si="106"/>
        <v>4.526732327246351E-3</v>
      </c>
      <c r="Y450" s="22">
        <f t="shared" si="106"/>
        <v>4.5335830197240166E-3</v>
      </c>
      <c r="Z450" s="22">
        <f t="shared" si="106"/>
        <v>4.5412972482123245E-3</v>
      </c>
      <c r="AA450" s="22">
        <f t="shared" si="106"/>
        <v>4.5496603151243516E-3</v>
      </c>
      <c r="AB450" s="22">
        <f t="shared" si="106"/>
        <v>4.558868291538884E-3</v>
      </c>
      <c r="AC450" s="22">
        <f t="shared" si="106"/>
        <v>4.5689201230950608E-3</v>
      </c>
      <c r="AD450" s="22">
        <f t="shared" si="106"/>
        <v>4.5755732338553573E-3</v>
      </c>
      <c r="AE450" s="22">
        <f t="shared" si="106"/>
        <v>4.5828736540396882E-3</v>
      </c>
      <c r="AF450" s="22">
        <f t="shared" si="106"/>
        <v>4.5907723416262498E-3</v>
      </c>
      <c r="AG450" s="22">
        <f t="shared" si="106"/>
        <v>4.5993548004809003E-3</v>
      </c>
      <c r="AH450" s="22">
        <f t="shared" si="106"/>
        <v>4.608317319688404E-3</v>
      </c>
      <c r="AI450" s="22">
        <f t="shared" si="106"/>
        <v>4.614051297103656E-3</v>
      </c>
      <c r="AJ450" s="22">
        <f t="shared" si="106"/>
        <v>4.6202716852182099E-3</v>
      </c>
      <c r="AK450" s="22">
        <f t="shared" si="106"/>
        <v>4.6268842765144489E-3</v>
      </c>
      <c r="AL450" s="22">
        <f t="shared" si="106"/>
        <v>4.6339252685925585E-3</v>
      </c>
      <c r="AM450" s="22">
        <f t="shared" si="106"/>
        <v>4.6414276467124371E-3</v>
      </c>
      <c r="AN450" s="22">
        <f t="shared" si="106"/>
        <v>4.6458494434601398E-3</v>
      </c>
      <c r="AO450" s="22">
        <f t="shared" si="106"/>
        <v>4.650560968895651E-3</v>
      </c>
      <c r="AP450" s="22">
        <f t="shared" si="106"/>
        <v>4.6556452517360746E-3</v>
      </c>
      <c r="AQ450" s="22">
        <f t="shared" si="106"/>
        <v>4.6610933229495489E-3</v>
      </c>
      <c r="AR450" s="22">
        <f t="shared" si="106"/>
        <v>4.6669636754851076E-3</v>
      </c>
      <c r="AS450" s="22">
        <f t="shared" si="106"/>
        <v>4.6696094397021678E-3</v>
      </c>
      <c r="AT450" s="22">
        <f t="shared" si="106"/>
        <v>4.671905929653092E-3</v>
      </c>
      <c r="AU450" s="22">
        <f t="shared" si="106"/>
        <v>4.6744411838373096E-3</v>
      </c>
      <c r="AV450" s="22">
        <f t="shared" si="106"/>
        <v>4.6773396676684084E-3</v>
      </c>
      <c r="AW450" s="22">
        <f t="shared" si="106"/>
        <v>4.6804674678318113E-3</v>
      </c>
      <c r="AY450" s="85"/>
    </row>
    <row r="451" spans="1:51" x14ac:dyDescent="0.25">
      <c r="A451" s="102" t="str">
        <f t="shared" si="104"/>
        <v>GS MM Leaching</v>
      </c>
      <c r="B451" s="102" t="s">
        <v>1022</v>
      </c>
      <c r="C451" s="102" t="s">
        <v>1334</v>
      </c>
      <c r="D451" t="s">
        <v>369</v>
      </c>
      <c r="E451" t="s">
        <v>64</v>
      </c>
      <c r="F451" t="s">
        <v>63</v>
      </c>
      <c r="G451" t="s">
        <v>1167</v>
      </c>
      <c r="H451" t="s">
        <v>1314</v>
      </c>
      <c r="I451" t="s">
        <v>139</v>
      </c>
      <c r="J451" t="s">
        <v>287</v>
      </c>
      <c r="K451" s="22">
        <f t="shared" si="101"/>
        <v>3.6549565945200539E-3</v>
      </c>
      <c r="L451" s="22">
        <f t="shared" si="106"/>
        <v>3.6569291049191287E-3</v>
      </c>
      <c r="M451" s="22">
        <f t="shared" si="106"/>
        <v>3.6614637381506597E-3</v>
      </c>
      <c r="N451" s="22">
        <f t="shared" si="106"/>
        <v>3.6681958236479987E-3</v>
      </c>
      <c r="O451" s="22">
        <f t="shared" si="106"/>
        <v>3.677282304362893E-3</v>
      </c>
      <c r="P451" s="22">
        <f t="shared" si="106"/>
        <v>3.6889057936765148E-3</v>
      </c>
      <c r="Q451" s="22">
        <f t="shared" si="106"/>
        <v>3.7017136697133114E-3</v>
      </c>
      <c r="R451" s="22">
        <f t="shared" si="106"/>
        <v>3.7155070059804707E-3</v>
      </c>
      <c r="S451" s="22">
        <f t="shared" si="106"/>
        <v>3.7291726327761108E-3</v>
      </c>
      <c r="T451" s="22">
        <f t="shared" si="106"/>
        <v>3.734765216951012E-3</v>
      </c>
      <c r="U451" s="22">
        <f t="shared" si="106"/>
        <v>3.7411157699180305E-3</v>
      </c>
      <c r="V451" s="22">
        <f t="shared" si="106"/>
        <v>3.7482977959621354E-3</v>
      </c>
      <c r="W451" s="22">
        <f t="shared" si="106"/>
        <v>3.7563633926855455E-3</v>
      </c>
      <c r="X451" s="22">
        <f t="shared" si="106"/>
        <v>3.7654265891831403E-3</v>
      </c>
      <c r="Y451" s="22">
        <f t="shared" si="106"/>
        <v>3.7711251323584139E-3</v>
      </c>
      <c r="Z451" s="22">
        <f t="shared" si="106"/>
        <v>3.7775419820780388E-3</v>
      </c>
      <c r="AA451" s="22">
        <f t="shared" si="106"/>
        <v>3.7844985485902928E-3</v>
      </c>
      <c r="AB451" s="22">
        <f t="shared" si="106"/>
        <v>3.7921579277444711E-3</v>
      </c>
      <c r="AC451" s="22">
        <f t="shared" si="106"/>
        <v>3.8005192425020961E-3</v>
      </c>
      <c r="AD451" s="22">
        <f t="shared" si="106"/>
        <v>3.8060534332486559E-3</v>
      </c>
      <c r="AE451" s="22">
        <f t="shared" si="106"/>
        <v>3.812126068935291E-3</v>
      </c>
      <c r="AF451" s="22">
        <f t="shared" si="106"/>
        <v>3.8186963554262946E-3</v>
      </c>
      <c r="AG451" s="22">
        <f t="shared" si="106"/>
        <v>3.8258354165493381E-3</v>
      </c>
      <c r="AH451" s="22">
        <f t="shared" si="106"/>
        <v>3.8332906194838865E-3</v>
      </c>
      <c r="AI451" s="22">
        <f t="shared" si="106"/>
        <v>3.8380602567101062E-3</v>
      </c>
      <c r="AJ451" s="22">
        <f t="shared" si="106"/>
        <v>3.8432345000954712E-3</v>
      </c>
      <c r="AK451" s="22">
        <f t="shared" si="106"/>
        <v>3.8487349859405015E-3</v>
      </c>
      <c r="AL451" s="22">
        <f t="shared" si="106"/>
        <v>3.854591824133819E-3</v>
      </c>
      <c r="AM451" s="22">
        <f t="shared" si="106"/>
        <v>3.860832452475075E-3</v>
      </c>
      <c r="AN451" s="22">
        <f t="shared" si="106"/>
        <v>3.8645105915480556E-3</v>
      </c>
      <c r="AO451" s="22">
        <f t="shared" si="106"/>
        <v>3.868429732744831E-3</v>
      </c>
      <c r="AP451" s="22">
        <f t="shared" si="106"/>
        <v>3.8726589410147858E-3</v>
      </c>
      <c r="AQ451" s="22">
        <f t="shared" si="106"/>
        <v>3.8771907557376274E-3</v>
      </c>
      <c r="AR451" s="22">
        <f t="shared" si="106"/>
        <v>3.8820738325195756E-3</v>
      </c>
      <c r="AS451" s="22">
        <f t="shared" si="106"/>
        <v>3.8842746321718241E-3</v>
      </c>
      <c r="AT451" s="22">
        <f t="shared" si="106"/>
        <v>3.8861848984959361E-3</v>
      </c>
      <c r="AU451" s="22">
        <f t="shared" si="106"/>
        <v>3.8882937736901091E-3</v>
      </c>
      <c r="AV451" s="22">
        <f t="shared" si="106"/>
        <v>3.8907047905775548E-3</v>
      </c>
      <c r="AW451" s="22">
        <f t="shared" si="106"/>
        <v>3.893306557381843E-3</v>
      </c>
      <c r="AY451" s="85"/>
    </row>
    <row r="452" spans="1:51" x14ac:dyDescent="0.25">
      <c r="A452" s="102" t="str">
        <f t="shared" si="104"/>
        <v>GS MM Leaching</v>
      </c>
      <c r="B452" s="102" t="s">
        <v>1022</v>
      </c>
      <c r="C452" s="102" t="s">
        <v>1334</v>
      </c>
      <c r="D452" t="s">
        <v>369</v>
      </c>
      <c r="E452" t="s">
        <v>64</v>
      </c>
      <c r="F452" t="s">
        <v>63</v>
      </c>
      <c r="G452" t="s">
        <v>1169</v>
      </c>
      <c r="H452" t="s">
        <v>1315</v>
      </c>
      <c r="I452" t="s">
        <v>139</v>
      </c>
      <c r="J452" t="s">
        <v>287</v>
      </c>
      <c r="K452" s="22">
        <f t="shared" si="101"/>
        <v>5.4310526355704706E-4</v>
      </c>
      <c r="L452" s="22">
        <f t="shared" si="106"/>
        <v>5.4451688444022309E-4</v>
      </c>
      <c r="M452" s="22">
        <f t="shared" si="106"/>
        <v>5.4642048272795488E-4</v>
      </c>
      <c r="N452" s="22">
        <f t="shared" si="106"/>
        <v>5.4873901711368408E-4</v>
      </c>
      <c r="O452" s="22">
        <f t="shared" si="106"/>
        <v>5.5151606201275956E-4</v>
      </c>
      <c r="P452" s="22">
        <f t="shared" si="106"/>
        <v>5.5479917019086967E-4</v>
      </c>
      <c r="Q452" s="22">
        <f t="shared" si="106"/>
        <v>5.5827861691807733E-4</v>
      </c>
      <c r="R452" s="22">
        <f t="shared" si="106"/>
        <v>5.6191368988015911E-4</v>
      </c>
      <c r="S452" s="22">
        <f t="shared" si="106"/>
        <v>5.6545265172179603E-4</v>
      </c>
      <c r="T452" s="22">
        <f t="shared" si="106"/>
        <v>5.6707582821690196E-4</v>
      </c>
      <c r="U452" s="22">
        <f t="shared" si="106"/>
        <v>5.688262569994144E-4</v>
      </c>
      <c r="V452" s="22">
        <f t="shared" si="106"/>
        <v>5.7072343735121143E-4</v>
      </c>
      <c r="W452" s="22">
        <f t="shared" si="106"/>
        <v>5.7278141367930822E-4</v>
      </c>
      <c r="X452" s="22">
        <f t="shared" si="106"/>
        <v>5.7502787156601661E-4</v>
      </c>
      <c r="Y452" s="22">
        <f t="shared" si="106"/>
        <v>5.7647376885579151E-4</v>
      </c>
      <c r="Z452" s="22">
        <f t="shared" si="106"/>
        <v>5.7805165552479612E-4</v>
      </c>
      <c r="AA452" s="22">
        <f t="shared" si="106"/>
        <v>5.7972228180818623E-4</v>
      </c>
      <c r="AB452" s="22">
        <f t="shared" si="106"/>
        <v>5.8152362966634491E-4</v>
      </c>
      <c r="AC452" s="22">
        <f t="shared" si="106"/>
        <v>5.8345630636338756E-4</v>
      </c>
      <c r="AD452" s="22">
        <f t="shared" si="106"/>
        <v>5.8472841865727081E-4</v>
      </c>
      <c r="AE452" s="22">
        <f t="shared" si="106"/>
        <v>5.8609967948546591E-4</v>
      </c>
      <c r="AF452" s="22">
        <f t="shared" si="106"/>
        <v>5.8756155218491358E-4</v>
      </c>
      <c r="AG452" s="22">
        <f t="shared" si="106"/>
        <v>5.8913046785545045E-4</v>
      </c>
      <c r="AH452" s="22">
        <f t="shared" si="106"/>
        <v>5.907505198986619E-4</v>
      </c>
      <c r="AI452" s="22">
        <f t="shared" si="106"/>
        <v>5.9175481340963034E-4</v>
      </c>
      <c r="AJ452" s="22">
        <f t="shared" si="106"/>
        <v>5.9283358105937484E-4</v>
      </c>
      <c r="AK452" s="22">
        <f t="shared" si="106"/>
        <v>5.9396979223100309E-4</v>
      </c>
      <c r="AL452" s="22">
        <f t="shared" si="106"/>
        <v>5.951704835417687E-4</v>
      </c>
      <c r="AM452" s="22">
        <f t="shared" si="106"/>
        <v>5.9644200781221212E-4</v>
      </c>
      <c r="AN452" s="22">
        <f t="shared" si="106"/>
        <v>5.9713531651955909E-4</v>
      </c>
      <c r="AO452" s="22">
        <f t="shared" si="106"/>
        <v>5.9787071978947392E-4</v>
      </c>
      <c r="AP452" s="22">
        <f t="shared" si="106"/>
        <v>5.9866365286918302E-4</v>
      </c>
      <c r="AQ452" s="22">
        <f t="shared" si="106"/>
        <v>5.995126405769686E-4</v>
      </c>
      <c r="AR452" s="22">
        <f t="shared" si="106"/>
        <v>6.0042847554345289E-4</v>
      </c>
      <c r="AS452" s="22">
        <f t="shared" si="106"/>
        <v>6.0074837701766222E-4</v>
      </c>
      <c r="AT452" s="22">
        <f t="shared" si="106"/>
        <v>6.009974007852993E-4</v>
      </c>
      <c r="AU452" s="22">
        <f t="shared" si="106"/>
        <v>6.0128274641363551E-4</v>
      </c>
      <c r="AV452" s="22">
        <f t="shared" si="106"/>
        <v>6.0162705109906029E-4</v>
      </c>
      <c r="AW452" s="22">
        <f t="shared" si="106"/>
        <v>6.0200613236202735E-4</v>
      </c>
      <c r="AY452" s="85"/>
    </row>
    <row r="453" spans="1:51" x14ac:dyDescent="0.25">
      <c r="A453" s="102" t="str">
        <f t="shared" si="104"/>
        <v>GS MM Leaching</v>
      </c>
      <c r="B453" s="102" t="s">
        <v>1022</v>
      </c>
      <c r="C453" s="102" t="s">
        <v>1334</v>
      </c>
      <c r="D453" t="s">
        <v>369</v>
      </c>
      <c r="E453" t="s">
        <v>64</v>
      </c>
      <c r="F453" t="s">
        <v>63</v>
      </c>
      <c r="G453" t="s">
        <v>1171</v>
      </c>
      <c r="H453" t="s">
        <v>1316</v>
      </c>
      <c r="I453" t="s">
        <v>139</v>
      </c>
      <c r="J453" t="s">
        <v>287</v>
      </c>
      <c r="K453" s="22">
        <f t="shared" si="101"/>
        <v>6.697719658610918E-3</v>
      </c>
      <c r="L453" s="22">
        <f t="shared" si="106"/>
        <v>6.7151281456468035E-3</v>
      </c>
      <c r="M453" s="22">
        <f t="shared" si="106"/>
        <v>6.7386038298821848E-3</v>
      </c>
      <c r="N453" s="22">
        <f t="shared" si="106"/>
        <v>6.7671966172780547E-3</v>
      </c>
      <c r="O453" s="22">
        <f t="shared" si="106"/>
        <v>6.801443879202132E-3</v>
      </c>
      <c r="P453" s="22">
        <f t="shared" si="106"/>
        <v>6.8419320491046936E-3</v>
      </c>
      <c r="Q453" s="22">
        <f t="shared" si="106"/>
        <v>6.8848415186120908E-3</v>
      </c>
      <c r="R453" s="22">
        <f t="shared" si="106"/>
        <v>6.9296702125547019E-3</v>
      </c>
      <c r="S453" s="22">
        <f t="shared" si="106"/>
        <v>6.9733136384028775E-3</v>
      </c>
      <c r="T453" s="22">
        <f t="shared" si="106"/>
        <v>6.9933310859405127E-3</v>
      </c>
      <c r="U453" s="22">
        <f t="shared" si="106"/>
        <v>7.0149178427891682E-3</v>
      </c>
      <c r="V453" s="22">
        <f t="shared" si="106"/>
        <v>7.0383143793186411E-3</v>
      </c>
      <c r="W453" s="22">
        <f t="shared" si="106"/>
        <v>7.0636938949200419E-3</v>
      </c>
      <c r="X453" s="22">
        <f t="shared" si="106"/>
        <v>7.0913978156139906E-3</v>
      </c>
      <c r="Y453" s="22">
        <f t="shared" si="106"/>
        <v>7.1092290084818878E-3</v>
      </c>
      <c r="Z453" s="22">
        <f t="shared" si="106"/>
        <v>7.1286879297466866E-3</v>
      </c>
      <c r="AA453" s="22">
        <f t="shared" si="106"/>
        <v>7.1492905407896492E-3</v>
      </c>
      <c r="AB453" s="22">
        <f t="shared" si="106"/>
        <v>7.1715052453251351E-3</v>
      </c>
      <c r="AC453" s="22">
        <f t="shared" si="106"/>
        <v>7.1953395322969481E-3</v>
      </c>
      <c r="AD453" s="22">
        <f t="shared" si="106"/>
        <v>7.2110275620223471E-3</v>
      </c>
      <c r="AE453" s="22">
        <f t="shared" si="106"/>
        <v>7.2279383180439954E-3</v>
      </c>
      <c r="AF453" s="22">
        <f t="shared" si="106"/>
        <v>7.2459665239452764E-3</v>
      </c>
      <c r="AG453" s="22">
        <f t="shared" si="106"/>
        <v>7.2653148124528005E-3</v>
      </c>
      <c r="AH453" s="22">
        <f t="shared" si="106"/>
        <v>7.2852937284123434E-3</v>
      </c>
      <c r="AI453" s="22">
        <f t="shared" si="106"/>
        <v>7.2976789451332669E-3</v>
      </c>
      <c r="AJ453" s="22">
        <f t="shared" si="106"/>
        <v>7.3109825968921283E-3</v>
      </c>
      <c r="AK453" s="22">
        <f t="shared" si="106"/>
        <v>7.3249946575573233E-3</v>
      </c>
      <c r="AL453" s="22">
        <f t="shared" si="106"/>
        <v>7.3398019045785847E-3</v>
      </c>
      <c r="AM453" s="22">
        <f t="shared" si="106"/>
        <v>7.3554826826413384E-3</v>
      </c>
      <c r="AN453" s="22">
        <f t="shared" si="106"/>
        <v>7.3640327514222425E-3</v>
      </c>
      <c r="AO453" s="22">
        <f t="shared" si="106"/>
        <v>7.3731019416297819E-3</v>
      </c>
      <c r="AP453" s="22">
        <f t="shared" si="106"/>
        <v>7.3828806048692958E-3</v>
      </c>
      <c r="AQ453" s="22">
        <f t="shared" si="106"/>
        <v>7.3933505488044948E-3</v>
      </c>
      <c r="AR453" s="22">
        <f t="shared" si="106"/>
        <v>7.4046448710485676E-3</v>
      </c>
      <c r="AS453" s="22">
        <f t="shared" si="106"/>
        <v>7.4085899817598836E-3</v>
      </c>
      <c r="AT453" s="22">
        <f t="shared" si="106"/>
        <v>7.411661009599016E-3</v>
      </c>
      <c r="AU453" s="22">
        <f t="shared" si="106"/>
        <v>7.4151799683582981E-3</v>
      </c>
      <c r="AV453" s="22">
        <f t="shared" si="106"/>
        <v>7.4194260260102111E-3</v>
      </c>
      <c r="AW453" s="22">
        <f t="shared" si="106"/>
        <v>7.4241009577362587E-3</v>
      </c>
      <c r="AY453" s="85"/>
    </row>
    <row r="454" spans="1:51" x14ac:dyDescent="0.25">
      <c r="A454" s="102" t="str">
        <f t="shared" si="104"/>
        <v>GS MM Leaching</v>
      </c>
      <c r="B454" s="102" t="s">
        <v>1022</v>
      </c>
      <c r="C454" s="102" t="s">
        <v>1334</v>
      </c>
      <c r="D454" t="s">
        <v>369</v>
      </c>
      <c r="E454" t="s">
        <v>64</v>
      </c>
      <c r="F454" t="s">
        <v>63</v>
      </c>
      <c r="G454" t="s">
        <v>1173</v>
      </c>
      <c r="H454" t="s">
        <v>1317</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85"/>
    </row>
    <row r="455" spans="1:51" x14ac:dyDescent="0.25">
      <c r="A455" s="102" t="str">
        <f t="shared" si="104"/>
        <v>GS MM Leaching</v>
      </c>
      <c r="B455" s="102" t="s">
        <v>1022</v>
      </c>
      <c r="C455" s="102" t="s">
        <v>1334</v>
      </c>
      <c r="D455" t="s">
        <v>369</v>
      </c>
      <c r="E455" t="s">
        <v>64</v>
      </c>
      <c r="F455" t="s">
        <v>63</v>
      </c>
      <c r="G455" t="s">
        <v>1175</v>
      </c>
      <c r="H455" t="s">
        <v>1318</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85"/>
    </row>
    <row r="456" spans="1:51" x14ac:dyDescent="0.25">
      <c r="A456" s="102" t="str">
        <f t="shared" si="104"/>
        <v>GS MM Leaching</v>
      </c>
      <c r="B456" s="102" t="s">
        <v>1022</v>
      </c>
      <c r="C456" s="102" t="s">
        <v>1334</v>
      </c>
      <c r="D456" t="s">
        <v>369</v>
      </c>
      <c r="E456" t="s">
        <v>64</v>
      </c>
      <c r="F456" t="s">
        <v>63</v>
      </c>
      <c r="G456" t="s">
        <v>1177</v>
      </c>
      <c r="H456" t="s">
        <v>1319</v>
      </c>
      <c r="I456" t="s">
        <v>139</v>
      </c>
      <c r="J456" t="s">
        <v>287</v>
      </c>
      <c r="K456" s="22">
        <f t="shared" si="101"/>
        <v>2.6982078121909357E-2</v>
      </c>
      <c r="L456" s="22">
        <f t="shared" si="107"/>
        <v>2.6934390428910333E-2</v>
      </c>
      <c r="M456" s="22">
        <f t="shared" si="107"/>
        <v>2.6783274405865188E-2</v>
      </c>
      <c r="N456" s="22">
        <f t="shared" si="107"/>
        <v>2.6192267209513419E-2</v>
      </c>
      <c r="O456" s="22">
        <f t="shared" si="107"/>
        <v>2.5633374369749509E-2</v>
      </c>
      <c r="P456" s="22">
        <f t="shared" si="107"/>
        <v>2.5543167875320214E-2</v>
      </c>
      <c r="Q456" s="22">
        <f t="shared" si="107"/>
        <v>2.5324190264718272E-2</v>
      </c>
      <c r="R456" s="22">
        <f t="shared" si="107"/>
        <v>2.4649754195953832E-2</v>
      </c>
      <c r="S456" s="22">
        <f t="shared" si="107"/>
        <v>2.1986440242697105E-2</v>
      </c>
      <c r="T456" s="22">
        <f t="shared" si="107"/>
        <v>2.2459382037487714E-2</v>
      </c>
      <c r="U456" s="22">
        <f t="shared" si="107"/>
        <v>2.2677163181325274E-2</v>
      </c>
      <c r="V456" s="22">
        <f t="shared" si="107"/>
        <v>2.2835775026532532E-2</v>
      </c>
      <c r="W456" s="22">
        <f t="shared" si="107"/>
        <v>2.3079286947691565E-2</v>
      </c>
      <c r="X456" s="22">
        <f t="shared" si="107"/>
        <v>2.3620053405793831E-2</v>
      </c>
      <c r="Y456" s="22">
        <f t="shared" si="107"/>
        <v>2.4228655926871678E-2</v>
      </c>
      <c r="Z456" s="22">
        <f t="shared" si="107"/>
        <v>2.4898369682135196E-2</v>
      </c>
      <c r="AA456" s="22">
        <f t="shared" si="107"/>
        <v>2.5433899737352311E-2</v>
      </c>
      <c r="AB456" s="22">
        <f t="shared" si="107"/>
        <v>2.6089827744283384E-2</v>
      </c>
      <c r="AC456" s="22">
        <f t="shared" si="107"/>
        <v>2.6892532780101251E-2</v>
      </c>
      <c r="AD456" s="22">
        <f t="shared" si="107"/>
        <v>2.765233127370078E-2</v>
      </c>
      <c r="AE456" s="22">
        <f t="shared" si="107"/>
        <v>2.844311383554287E-2</v>
      </c>
      <c r="AF456" s="22">
        <f t="shared" si="107"/>
        <v>2.9238533170233168E-2</v>
      </c>
      <c r="AG456" s="22">
        <f t="shared" si="107"/>
        <v>3.0145690863199903E-2</v>
      </c>
      <c r="AH456" s="22">
        <f t="shared" si="107"/>
        <v>3.0881151333925026E-2</v>
      </c>
      <c r="AI456" s="22">
        <f t="shared" si="107"/>
        <v>3.1669222082767075E-2</v>
      </c>
      <c r="AJ456" s="22">
        <f t="shared" si="107"/>
        <v>3.2457441724053543E-2</v>
      </c>
      <c r="AK456" s="22">
        <f t="shared" si="107"/>
        <v>3.3172825686084956E-2</v>
      </c>
      <c r="AL456" s="22">
        <f t="shared" si="107"/>
        <v>3.3866021539857898E-2</v>
      </c>
      <c r="AM456" s="22">
        <f t="shared" si="107"/>
        <v>3.4580695535334494E-2</v>
      </c>
      <c r="AN456" s="22">
        <f t="shared" si="107"/>
        <v>3.533625219682867E-2</v>
      </c>
      <c r="AO456" s="22">
        <f t="shared" si="107"/>
        <v>3.6000537608691721E-2</v>
      </c>
      <c r="AP456" s="22">
        <f t="shared" si="107"/>
        <v>3.6659982916673862E-2</v>
      </c>
      <c r="AQ456" s="22">
        <f t="shared" si="107"/>
        <v>3.7316341493198645E-2</v>
      </c>
      <c r="AR456" s="22">
        <f t="shared" si="107"/>
        <v>3.8027563583719087E-2</v>
      </c>
      <c r="AS456" s="22">
        <f t="shared" si="107"/>
        <v>3.8749103478920827E-2</v>
      </c>
      <c r="AT456" s="22">
        <f t="shared" si="107"/>
        <v>3.891780999751282E-2</v>
      </c>
      <c r="AU456" s="22">
        <f t="shared" si="107"/>
        <v>3.9040104024398906E-2</v>
      </c>
      <c r="AV456" s="22">
        <f t="shared" si="107"/>
        <v>3.9223694745257554E-2</v>
      </c>
      <c r="AW456" s="22">
        <f t="shared" si="107"/>
        <v>3.9367042653132414E-2</v>
      </c>
      <c r="AY456" s="85"/>
    </row>
    <row r="457" spans="1:51" x14ac:dyDescent="0.25">
      <c r="A457" s="102" t="str">
        <f t="shared" si="104"/>
        <v>GS MM Leaching</v>
      </c>
      <c r="B457" s="102" t="s">
        <v>1022</v>
      </c>
      <c r="C457" s="102" t="s">
        <v>1334</v>
      </c>
      <c r="D457" t="s">
        <v>369</v>
      </c>
      <c r="E457" t="s">
        <v>64</v>
      </c>
      <c r="F457" t="s">
        <v>63</v>
      </c>
      <c r="G457" t="s">
        <v>1179</v>
      </c>
      <c r="H457" t="s">
        <v>1320</v>
      </c>
      <c r="I457" t="s">
        <v>139</v>
      </c>
      <c r="J457" t="s">
        <v>287</v>
      </c>
      <c r="K457" s="22">
        <f t="shared" si="101"/>
        <v>4.0326044819915296E-3</v>
      </c>
      <c r="L457" s="22">
        <f t="shared" si="107"/>
        <v>4.0254773213757008E-3</v>
      </c>
      <c r="M457" s="22">
        <f t="shared" si="107"/>
        <v>4.0028922873735296E-3</v>
      </c>
      <c r="N457" s="22">
        <f t="shared" si="107"/>
        <v>3.9145633507316107E-3</v>
      </c>
      <c r="O457" s="22">
        <f t="shared" si="107"/>
        <v>3.8310340628686856E-3</v>
      </c>
      <c r="P457" s="22">
        <f t="shared" si="107"/>
        <v>3.8175522579425875E-3</v>
      </c>
      <c r="Q457" s="22">
        <f t="shared" si="107"/>
        <v>3.7848249754115887E-3</v>
      </c>
      <c r="R457" s="22">
        <f t="shared" si="107"/>
        <v>3.6840271828387553E-3</v>
      </c>
      <c r="S457" s="22">
        <f t="shared" si="107"/>
        <v>3.2859817937353586E-3</v>
      </c>
      <c r="T457" s="22">
        <f t="shared" si="107"/>
        <v>3.3566652745546173E-3</v>
      </c>
      <c r="U457" s="22">
        <f t="shared" si="107"/>
        <v>3.3892137392341954E-3</v>
      </c>
      <c r="V457" s="22">
        <f t="shared" si="107"/>
        <v>3.4129190607809592E-3</v>
      </c>
      <c r="W457" s="22">
        <f t="shared" si="107"/>
        <v>3.4493131168743213E-3</v>
      </c>
      <c r="X457" s="22">
        <f t="shared" si="107"/>
        <v>3.5301333277120909E-3</v>
      </c>
      <c r="Y457" s="22">
        <f t="shared" si="107"/>
        <v>3.6210919723042977E-3</v>
      </c>
      <c r="Z457" s="22">
        <f t="shared" si="107"/>
        <v>3.7211839918635339E-3</v>
      </c>
      <c r="AA457" s="22">
        <f t="shared" si="107"/>
        <v>3.801221596496966E-3</v>
      </c>
      <c r="AB457" s="22">
        <f t="shared" si="107"/>
        <v>3.8992532680629222E-3</v>
      </c>
      <c r="AC457" s="22">
        <f t="shared" si="107"/>
        <v>4.0192214895813328E-3</v>
      </c>
      <c r="AD457" s="22">
        <f t="shared" si="107"/>
        <v>4.1327771170187903E-3</v>
      </c>
      <c r="AE457" s="22">
        <f t="shared" si="107"/>
        <v>4.250963466074527E-3</v>
      </c>
      <c r="AF457" s="22">
        <f t="shared" si="107"/>
        <v>4.3698428036719628E-3</v>
      </c>
      <c r="AG457" s="22">
        <f t="shared" si="107"/>
        <v>4.5054219893077892E-3</v>
      </c>
      <c r="AH457" s="22">
        <f t="shared" si="107"/>
        <v>4.6153401793439189E-3</v>
      </c>
      <c r="AI457" s="22">
        <f t="shared" si="107"/>
        <v>4.7331212345891162E-3</v>
      </c>
      <c r="AJ457" s="22">
        <f t="shared" si="107"/>
        <v>4.8509245425435391E-3</v>
      </c>
      <c r="AK457" s="22">
        <f t="shared" si="107"/>
        <v>4.9578421994637533E-3</v>
      </c>
      <c r="AL457" s="22">
        <f t="shared" si="107"/>
        <v>5.061443734311913E-3</v>
      </c>
      <c r="AM457" s="22">
        <f t="shared" si="107"/>
        <v>5.1682552832333995E-3</v>
      </c>
      <c r="AN457" s="22">
        <f t="shared" si="107"/>
        <v>5.2811769479685538E-3</v>
      </c>
      <c r="AO457" s="22">
        <f t="shared" si="107"/>
        <v>5.3804576748679887E-3</v>
      </c>
      <c r="AP457" s="22">
        <f t="shared" si="107"/>
        <v>5.4790150244013337E-3</v>
      </c>
      <c r="AQ457" s="22">
        <f t="shared" si="107"/>
        <v>5.5771110467139461E-3</v>
      </c>
      <c r="AR457" s="22">
        <f t="shared" si="107"/>
        <v>5.6834066914365532E-3</v>
      </c>
      <c r="AS457" s="22">
        <f t="shared" si="107"/>
        <v>5.7912443828915926E-3</v>
      </c>
      <c r="AT457" s="22">
        <f t="shared" si="107"/>
        <v>5.8164584030994289E-3</v>
      </c>
      <c r="AU457" s="22">
        <f t="shared" si="107"/>
        <v>5.8347358478060014E-3</v>
      </c>
      <c r="AV457" s="22">
        <f t="shared" si="107"/>
        <v>5.8621743853582847E-3</v>
      </c>
      <c r="AW457" s="22">
        <f t="shared" si="107"/>
        <v>5.8835984362845513E-3</v>
      </c>
      <c r="AY457" s="85"/>
    </row>
    <row r="458" spans="1:51" x14ac:dyDescent="0.25">
      <c r="A458" s="102" t="str">
        <f t="shared" si="104"/>
        <v>GS MM Leaching</v>
      </c>
      <c r="B458" s="102" t="s">
        <v>1022</v>
      </c>
      <c r="C458" s="102" t="s">
        <v>1334</v>
      </c>
      <c r="D458" t="s">
        <v>369</v>
      </c>
      <c r="E458" t="s">
        <v>64</v>
      </c>
      <c r="F458" t="s">
        <v>63</v>
      </c>
      <c r="G458" t="s">
        <v>1181</v>
      </c>
      <c r="H458" t="s">
        <v>1321</v>
      </c>
      <c r="I458" t="s">
        <v>139</v>
      </c>
      <c r="J458" t="s">
        <v>287</v>
      </c>
      <c r="K458" s="22">
        <f t="shared" si="101"/>
        <v>1.677506639935911E-2</v>
      </c>
      <c r="L458" s="22">
        <f t="shared" si="107"/>
        <v>1.7152115979727815E-2</v>
      </c>
      <c r="M458" s="22">
        <f t="shared" si="107"/>
        <v>1.7493153195060028E-2</v>
      </c>
      <c r="N458" s="22">
        <f t="shared" si="107"/>
        <v>1.7669215882921287E-2</v>
      </c>
      <c r="O458" s="22">
        <f t="shared" si="107"/>
        <v>1.7850132335738296E-2</v>
      </c>
      <c r="P458" s="22">
        <f t="shared" si="107"/>
        <v>1.8210336489694584E-2</v>
      </c>
      <c r="Q458" s="22">
        <f t="shared" si="107"/>
        <v>1.8518344131387941E-2</v>
      </c>
      <c r="R458" s="22">
        <f t="shared" si="107"/>
        <v>1.8635256187528534E-2</v>
      </c>
      <c r="S458" s="22">
        <f t="shared" si="107"/>
        <v>1.7895165383905148E-2</v>
      </c>
      <c r="T458" s="22">
        <f t="shared" si="107"/>
        <v>1.8427726629999096E-2</v>
      </c>
      <c r="U458" s="22">
        <f t="shared" si="107"/>
        <v>1.8858145961209626E-2</v>
      </c>
      <c r="V458" s="22">
        <f t="shared" si="107"/>
        <v>1.926831042987312E-2</v>
      </c>
      <c r="W458" s="22">
        <f t="shared" si="107"/>
        <v>1.9723750272057364E-2</v>
      </c>
      <c r="X458" s="22">
        <f t="shared" si="107"/>
        <v>2.0328305344007466E-2</v>
      </c>
      <c r="Y458" s="22">
        <f t="shared" si="107"/>
        <v>2.0963275174069075E-2</v>
      </c>
      <c r="Z458" s="22">
        <f t="shared" si="107"/>
        <v>2.1643917656498337E-2</v>
      </c>
      <c r="AA458" s="22">
        <f t="shared" si="107"/>
        <v>2.2273513405564039E-2</v>
      </c>
      <c r="AB458" s="22">
        <f t="shared" si="107"/>
        <v>2.2979861002091512E-2</v>
      </c>
      <c r="AC458" s="22">
        <f t="shared" si="107"/>
        <v>2.3781031334877679E-2</v>
      </c>
      <c r="AD458" s="22">
        <f t="shared" si="107"/>
        <v>2.4566308074155798E-2</v>
      </c>
      <c r="AE458" s="22">
        <f t="shared" si="107"/>
        <v>2.5388751226160661E-2</v>
      </c>
      <c r="AF458" s="22">
        <f t="shared" si="107"/>
        <v>2.6235064752699551E-2</v>
      </c>
      <c r="AG458" s="22">
        <f t="shared" si="107"/>
        <v>2.7167046167926586E-2</v>
      </c>
      <c r="AH458" s="22">
        <f t="shared" si="107"/>
        <v>2.8023900018498905E-2</v>
      </c>
      <c r="AI458" s="22">
        <f t="shared" si="107"/>
        <v>2.8920322479741228E-2</v>
      </c>
      <c r="AJ458" s="22">
        <f t="shared" si="107"/>
        <v>2.9839880128135453E-2</v>
      </c>
      <c r="AK458" s="22">
        <f t="shared" si="107"/>
        <v>3.0738135733783801E-2</v>
      </c>
      <c r="AL458" s="22">
        <f t="shared" si="107"/>
        <v>3.1644929602760906E-2</v>
      </c>
      <c r="AM458" s="22">
        <f t="shared" si="107"/>
        <v>3.2587998047109448E-2</v>
      </c>
      <c r="AN458" s="22">
        <f t="shared" si="107"/>
        <v>3.3568837979348017E-2</v>
      </c>
      <c r="AO458" s="22">
        <f t="shared" si="107"/>
        <v>3.451409673179362E-2</v>
      </c>
      <c r="AP458" s="22">
        <f t="shared" si="107"/>
        <v>3.5479549458814943E-2</v>
      </c>
      <c r="AQ458" s="22">
        <f t="shared" si="107"/>
        <v>3.6466862450927735E-2</v>
      </c>
      <c r="AR458" s="22">
        <f t="shared" si="107"/>
        <v>3.7517290662975496E-2</v>
      </c>
      <c r="AS458" s="22">
        <f t="shared" si="107"/>
        <v>3.8588925617873325E-2</v>
      </c>
      <c r="AT458" s="22">
        <f t="shared" si="107"/>
        <v>3.9285237958327314E-2</v>
      </c>
      <c r="AU458" s="22">
        <f t="shared" si="107"/>
        <v>3.9960567637255945E-2</v>
      </c>
      <c r="AV458" s="22">
        <f t="shared" si="107"/>
        <v>4.0694873101077993E-2</v>
      </c>
      <c r="AW458" s="22">
        <f t="shared" si="107"/>
        <v>4.1412967601087917E-2</v>
      </c>
      <c r="AY458" s="85"/>
    </row>
    <row r="459" spans="1:51" x14ac:dyDescent="0.25">
      <c r="A459" s="102" t="str">
        <f t="shared" si="104"/>
        <v>GS MM Leaching</v>
      </c>
      <c r="B459" s="102" t="s">
        <v>1022</v>
      </c>
      <c r="C459" s="102" t="s">
        <v>1334</v>
      </c>
      <c r="D459" t="s">
        <v>369</v>
      </c>
      <c r="E459" t="s">
        <v>64</v>
      </c>
      <c r="F459" t="s">
        <v>63</v>
      </c>
      <c r="G459" t="s">
        <v>1183</v>
      </c>
      <c r="H459" t="s">
        <v>1322</v>
      </c>
      <c r="I459" t="s">
        <v>139</v>
      </c>
      <c r="J459" t="s">
        <v>287</v>
      </c>
      <c r="K459" s="22">
        <f t="shared" si="101"/>
        <v>7.810393177711944E-2</v>
      </c>
      <c r="L459" s="22">
        <f t="shared" si="107"/>
        <v>7.9553535638078737E-2</v>
      </c>
      <c r="M459" s="22">
        <f t="shared" si="107"/>
        <v>8.0502978601734096E-2</v>
      </c>
      <c r="N459" s="22">
        <f t="shared" si="107"/>
        <v>7.9458702064627351E-2</v>
      </c>
      <c r="O459" s="22">
        <f t="shared" si="107"/>
        <v>7.8445966497934463E-2</v>
      </c>
      <c r="P459" s="22">
        <f t="shared" si="107"/>
        <v>7.944949741705111E-2</v>
      </c>
      <c r="Q459" s="22">
        <f t="shared" si="107"/>
        <v>7.9836186366330816E-2</v>
      </c>
      <c r="R459" s="22">
        <f t="shared" si="107"/>
        <v>7.8063361522169639E-2</v>
      </c>
      <c r="S459" s="22">
        <f t="shared" si="107"/>
        <v>6.6817107477113183E-2</v>
      </c>
      <c r="T459" s="22">
        <f t="shared" si="107"/>
        <v>7.0388458640801108E-2</v>
      </c>
      <c r="U459" s="22">
        <f t="shared" si="107"/>
        <v>7.2779385804600763E-2</v>
      </c>
      <c r="V459" s="22">
        <f t="shared" si="107"/>
        <v>7.4904615040438174E-2</v>
      </c>
      <c r="W459" s="22">
        <f t="shared" si="107"/>
        <v>7.7471024819350642E-2</v>
      </c>
      <c r="X459" s="22">
        <f t="shared" si="107"/>
        <v>8.1566948143152435E-2</v>
      </c>
      <c r="Y459" s="22">
        <f t="shared" si="107"/>
        <v>8.614778534531875E-2</v>
      </c>
      <c r="Z459" s="22">
        <f t="shared" si="107"/>
        <v>9.1129302987806735E-2</v>
      </c>
      <c r="AA459" s="22">
        <f t="shared" si="107"/>
        <v>9.5503511014719752E-2</v>
      </c>
      <c r="AB459" s="22">
        <f t="shared" si="107"/>
        <v>0.10059627235669374</v>
      </c>
      <c r="AC459" s="22">
        <f t="shared" si="107"/>
        <v>0.10657634914102967</v>
      </c>
      <c r="AD459" s="22">
        <f t="shared" si="107"/>
        <v>0.11249681497363943</v>
      </c>
      <c r="AE459" s="22">
        <f t="shared" si="107"/>
        <v>0.11870703167717016</v>
      </c>
      <c r="AF459" s="22">
        <f t="shared" si="107"/>
        <v>0.12506960329583536</v>
      </c>
      <c r="AG459" s="22">
        <f t="shared" si="107"/>
        <v>0.13219418170903169</v>
      </c>
      <c r="AH459" s="22">
        <f t="shared" si="107"/>
        <v>0.13848583371944298</v>
      </c>
      <c r="AI459" s="22">
        <f t="shared" si="107"/>
        <v>0.1452598628167924</v>
      </c>
      <c r="AJ459" s="22">
        <f t="shared" si="107"/>
        <v>0.15217488392211642</v>
      </c>
      <c r="AK459" s="22">
        <f t="shared" si="107"/>
        <v>0.15880077299081433</v>
      </c>
      <c r="AL459" s="22">
        <f t="shared" si="107"/>
        <v>0.16542985943823083</v>
      </c>
      <c r="AM459" s="22">
        <f t="shared" si="107"/>
        <v>0.17232713819913364</v>
      </c>
      <c r="AN459" s="22">
        <f t="shared" si="107"/>
        <v>0.17966613842795656</v>
      </c>
      <c r="AO459" s="22">
        <f t="shared" si="107"/>
        <v>0.1865893340136465</v>
      </c>
      <c r="AP459" s="22">
        <f t="shared" si="107"/>
        <v>0.19362673819120535</v>
      </c>
      <c r="AQ459" s="22">
        <f t="shared" si="107"/>
        <v>0.20079266757552186</v>
      </c>
      <c r="AR459" s="22">
        <f t="shared" si="107"/>
        <v>0.20846738589837877</v>
      </c>
      <c r="AS459" s="22">
        <f t="shared" si="107"/>
        <v>0.21642073302224971</v>
      </c>
      <c r="AT459" s="22">
        <f t="shared" si="107"/>
        <v>0.22086003131192922</v>
      </c>
      <c r="AU459" s="22">
        <f t="shared" si="107"/>
        <v>0.22506764920237721</v>
      </c>
      <c r="AV459" s="22">
        <f t="shared" si="107"/>
        <v>0.22977140260428236</v>
      </c>
      <c r="AW459" s="22">
        <f t="shared" si="107"/>
        <v>0.23428658450939308</v>
      </c>
      <c r="AY459" s="85"/>
    </row>
    <row r="462" spans="1:51" x14ac:dyDescent="0.25">
      <c r="A462" s="102" t="str">
        <f t="shared" si="0"/>
        <v>PQ Cattle</v>
      </c>
      <c r="B462" s="102" t="s">
        <v>969</v>
      </c>
      <c r="C462" s="102" t="s">
        <v>1109</v>
      </c>
      <c r="D462" t="s">
        <v>15</v>
      </c>
      <c r="E462" t="s">
        <v>16</v>
      </c>
      <c r="F462" t="s">
        <v>6</v>
      </c>
      <c r="G462" t="s">
        <v>136</v>
      </c>
      <c r="H462" t="s">
        <v>1021</v>
      </c>
      <c r="I462" t="s">
        <v>121</v>
      </c>
      <c r="J462" t="s">
        <v>286</v>
      </c>
      <c r="K462" s="100">
        <f>IF('Net zero activities &amp; levers'!$C$8="Off",('Activity data'!AD5*EF!$H4)*kgtoGg,IF('Net zero activities &amp; levers'!$C$8="On",(('Net zero supporting data'!B132*EF!$H4)+('Net zero supporting data'!B122*'Net zero supporting data'!B142))*kgtoGg,"ERROR"))</f>
        <v>72.319515891788683</v>
      </c>
      <c r="L462" s="100">
        <f>IF('Net zero activities &amp; levers'!$C$8="Off",('Activity data'!AE5*EF!$H4)*kgtoGg,IF('Net zero activities &amp; levers'!$C$8="On",(('Net zero supporting data'!C132*EF!$H4)+('Net zero supporting data'!C122*'Net zero supporting data'!C142))*kgtoGg,"ERROR"))</f>
        <v>72.807821323468076</v>
      </c>
      <c r="M462" s="100">
        <f>IF('Net zero activities &amp; levers'!$C$8="Off",('Activity data'!AF5*EF!$H4)*kgtoGg,IF('Net zero activities &amp; levers'!$C$8="On",(('Net zero supporting data'!D132*EF!$H4)+('Net zero supporting data'!D122*'Net zero supporting data'!D142))*kgtoGg,"ERROR"))</f>
        <v>73.234964885165326</v>
      </c>
      <c r="N462" s="100">
        <f>IF('Net zero activities &amp; levers'!$C$8="Off",('Activity data'!AG5*EF!$H4)*kgtoGg,IF('Net zero activities &amp; levers'!$C$8="On",(('Net zero supporting data'!E132*EF!$H4)+('Net zero supporting data'!E122*'Net zero supporting data'!E142))*kgtoGg,"ERROR"))</f>
        <v>73.290216800217806</v>
      </c>
      <c r="O462" s="100">
        <f>IF('Net zero activities &amp; levers'!$C$8="Off",('Activity data'!AH5*EF!$H4)*kgtoGg,IF('Net zero activities &amp; levers'!$C$8="On",(('Net zero supporting data'!F132*EF!$H4)+('Net zero supporting data'!F122*'Net zero supporting data'!F142))*kgtoGg,"ERROR"))</f>
        <v>73.385382806563399</v>
      </c>
      <c r="P462" s="100">
        <f>IF('Net zero activities &amp; levers'!$C$8="Off",('Activity data'!AI5*EF!$H4)*kgtoGg,IF('Net zero activities &amp; levers'!$C$8="On",(('Net zero supporting data'!G132*EF!$H4)+('Net zero supporting data'!G122*'Net zero supporting data'!G142))*kgtoGg,"ERROR"))</f>
        <v>73.931427797367633</v>
      </c>
      <c r="Q462" s="100">
        <f>IF('Net zero activities &amp; levers'!$C$8="Off",('Activity data'!AJ5*EF!$H4)*kgtoGg,IF('Net zero activities &amp; levers'!$C$8="On",(('Net zero supporting data'!H132*EF!$H4)+('Net zero supporting data'!H122*'Net zero supporting data'!H142))*kgtoGg,"ERROR"))</f>
        <v>74.368063847632101</v>
      </c>
      <c r="R462" s="100">
        <f>IF('Net zero activities &amp; levers'!$C$8="Off",('Activity data'!AK5*EF!$H4)*kgtoGg,IF('Net zero activities &amp; levers'!$C$8="On",(('Net zero supporting data'!I132*EF!$H4)+('Net zero supporting data'!I122*'Net zero supporting data'!I142))*kgtoGg,"ERROR"))</f>
        <v>74.371892298776103</v>
      </c>
      <c r="S462" s="100">
        <f>IF('Net zero activities &amp; levers'!$C$8="Off",('Activity data'!AL5*EF!$H4)*kgtoGg,IF('Net zero activities &amp; levers'!$C$8="On",(('Net zero supporting data'!J132*EF!$H4)+('Net zero supporting data'!J122*'Net zero supporting data'!J142))*kgtoGg,"ERROR"))</f>
        <v>72.401501789227453</v>
      </c>
      <c r="T462" s="100">
        <f>IF('Net zero activities &amp; levers'!$C$8="Off",('Activity data'!AM5*EF!$H4)*kgtoGg,IF('Net zero activities &amp; levers'!$C$8="On",(('Net zero supporting data'!K132*EF!$H4)+('Net zero supporting data'!K122*'Net zero supporting data'!K142))*kgtoGg,"ERROR"))</f>
        <v>73.260639388228768</v>
      </c>
      <c r="U462" s="100">
        <f>IF('Net zero activities &amp; levers'!$C$8="Off",('Activity data'!AN5*EF!$H4)*kgtoGg,IF('Net zero activities &amp; levers'!$C$8="On",(('Net zero supporting data'!L132*EF!$H4)+('Net zero supporting data'!L122*'Net zero supporting data'!L142))*kgtoGg,"ERROR"))</f>
        <v>73.705061859079706</v>
      </c>
      <c r="V462" s="100">
        <f>IF('Net zero activities &amp; levers'!$C$8="Off",('Activity data'!AO5*EF!$H4)*kgtoGg,IF('Net zero activities &amp; levers'!$C$8="On",(('Net zero supporting data'!M132*EF!$H4)+('Net zero supporting data'!M122*'Net zero supporting data'!M142))*kgtoGg,"ERROR"))</f>
        <v>73.929149776707618</v>
      </c>
      <c r="W462" s="100">
        <f>IF('Net zero activities &amp; levers'!$C$8="Off",('Activity data'!AP5*EF!$H4)*kgtoGg,IF('Net zero activities &amp; levers'!$C$8="On",(('Net zero supporting data'!N132*EF!$H4)+('Net zero supporting data'!N122*'Net zero supporting data'!N142))*kgtoGg,"ERROR"))</f>
        <v>74.083665195432715</v>
      </c>
      <c r="X462" s="100">
        <f>IF('Net zero activities &amp; levers'!$C$8="Off",('Activity data'!AQ5*EF!$H4)*kgtoGg,IF('Net zero activities &amp; levers'!$C$8="On",(('Net zero supporting data'!O132*EF!$H4)+('Net zero supporting data'!O122*'Net zero supporting data'!O142))*kgtoGg,"ERROR"))</f>
        <v>74.394887200923037</v>
      </c>
      <c r="Y462" s="100">
        <f>IF('Net zero activities &amp; levers'!$C$8="Off",('Activity data'!AR5*EF!$H4)*kgtoGg,IF('Net zero activities &amp; levers'!$C$8="On",(('Net zero supporting data'!P132*EF!$H4)+('Net zero supporting data'!P122*'Net zero supporting data'!P142))*kgtoGg,"ERROR"))</f>
        <v>74.571015354516888</v>
      </c>
      <c r="Z462" s="100">
        <f>IF('Net zero activities &amp; levers'!$C$8="Off",('Activity data'!AS5*EF!$H4)*kgtoGg,IF('Net zero activities &amp; levers'!$C$8="On",(('Net zero supporting data'!Q132*EF!$H4)+('Net zero supporting data'!Q122*'Net zero supporting data'!Q142))*kgtoGg,"ERROR"))</f>
        <v>74.663340974861711</v>
      </c>
      <c r="AA462" s="100">
        <f>IF('Net zero activities &amp; levers'!$C$8="Off",('Activity data'!AT5*EF!$H4)*kgtoGg,IF('Net zero activities &amp; levers'!$C$8="On",(('Net zero supporting data'!R132*EF!$H4)+('Net zero supporting data'!R122*'Net zero supporting data'!R142))*kgtoGg,"ERROR"))</f>
        <v>74.467015303740538</v>
      </c>
      <c r="AB462" s="100">
        <f>IF('Net zero activities &amp; levers'!$C$8="Off",('Activity data'!AU5*EF!$H4)*kgtoGg,IF('Net zero activities &amp; levers'!$C$8="On",(('Net zero supporting data'!S132*EF!$H4)+('Net zero supporting data'!S122*'Net zero supporting data'!S142))*kgtoGg,"ERROR"))</f>
        <v>74.248707269193588</v>
      </c>
      <c r="AC462" s="100">
        <f>IF('Net zero activities &amp; levers'!$C$8="Off",('Activity data'!AV5*EF!$H4)*kgtoGg,IF('Net zero activities &amp; levers'!$C$8="On",(('Net zero supporting data'!T132*EF!$H4)+('Net zero supporting data'!T122*'Net zero supporting data'!T142))*kgtoGg,"ERROR"))</f>
        <v>74.034016196803023</v>
      </c>
      <c r="AD462" s="100">
        <f>IF('Net zero activities &amp; levers'!$C$8="Off",('Activity data'!AW5*EF!$H4)*kgtoGg,IF('Net zero activities &amp; levers'!$C$8="On",(('Net zero supporting data'!U132*EF!$H4)+('Net zero supporting data'!U122*'Net zero supporting data'!U142))*kgtoGg,"ERROR"))</f>
        <v>74.941175400769538</v>
      </c>
      <c r="AE462" s="100">
        <f>IF('Net zero activities &amp; levers'!$C$8="Off",('Activity data'!AX5*EF!$H4)*kgtoGg,IF('Net zero activities &amp; levers'!$C$8="On",(('Net zero supporting data'!V132*EF!$H4)+('Net zero supporting data'!V122*'Net zero supporting data'!V142))*kgtoGg,"ERROR"))</f>
        <v>75.906592242596318</v>
      </c>
      <c r="AF462" s="100">
        <f>IF('Net zero activities &amp; levers'!$C$8="Off",('Activity data'!AY5*EF!$H4)*kgtoGg,IF('Net zero activities &amp; levers'!$C$8="On",(('Net zero supporting data'!W132*EF!$H4)+('Net zero supporting data'!W122*'Net zero supporting data'!W142))*kgtoGg,"ERROR"))</f>
        <v>76.903143728232052</v>
      </c>
      <c r="AG462" s="100">
        <f>IF('Net zero activities &amp; levers'!$C$8="Off",('Activity data'!AZ5*EF!$H4)*kgtoGg,IF('Net zero activities &amp; levers'!$C$8="On",(('Net zero supporting data'!X132*EF!$H4)+('Net zero supporting data'!X122*'Net zero supporting data'!X142))*kgtoGg,"ERROR"))</f>
        <v>78.046816134509228</v>
      </c>
      <c r="AH462" s="100">
        <f>IF('Net zero activities &amp; levers'!$C$8="Off",('Activity data'!BA5*EF!$H4)*kgtoGg,IF('Net zero activities &amp; levers'!$C$8="On",(('Net zero supporting data'!Y132*EF!$H4)+('Net zero supporting data'!Y122*'Net zero supporting data'!Y142))*kgtoGg,"ERROR"))</f>
        <v>79.032103587719263</v>
      </c>
      <c r="AI462" s="100">
        <f>IF('Net zero activities &amp; levers'!$C$8="Off",('Activity data'!BB5*EF!$H4)*kgtoGg,IF('Net zero activities &amp; levers'!$C$8="On",(('Net zero supporting data'!Z132*EF!$H4)+('Net zero supporting data'!Z122*'Net zero supporting data'!Z142))*kgtoGg,"ERROR"))</f>
        <v>80.061743747025702</v>
      </c>
      <c r="AJ462" s="100">
        <f>IF('Net zero activities &amp; levers'!$C$8="Off",('Activity data'!BC5*EF!$H4)*kgtoGg,IF('Net zero activities &amp; levers'!$C$8="On",(('Net zero supporting data'!AA132*EF!$H4)+('Net zero supporting data'!AA122*'Net zero supporting data'!AA142))*kgtoGg,"ERROR"))</f>
        <v>81.118518992873305</v>
      </c>
      <c r="AK462" s="100">
        <f>IF('Net zero activities &amp; levers'!$C$8="Off",('Activity data'!BD5*EF!$H4)*kgtoGg,IF('Net zero activities &amp; levers'!$C$8="On",(('Net zero supporting data'!AB132*EF!$H4)+('Net zero supporting data'!AB122*'Net zero supporting data'!AB142))*kgtoGg,"ERROR"))</f>
        <v>82.120643644802115</v>
      </c>
      <c r="AL462" s="100">
        <f>IF('Net zero activities &amp; levers'!$C$8="Off",('Activity data'!BE5*EF!$H4)*kgtoGg,IF('Net zero activities &amp; levers'!$C$8="On",(('Net zero supporting data'!AC132*EF!$H4)+('Net zero supporting data'!AC122*'Net zero supporting data'!AC142))*kgtoGg,"ERROR"))</f>
        <v>83.123509085229244</v>
      </c>
      <c r="AM462" s="100">
        <f>IF('Net zero activities &amp; levers'!$C$8="Off",('Activity data'!BF5*EF!$H4)*kgtoGg,IF('Net zero activities &amp; levers'!$C$8="On",(('Net zero supporting data'!AD132*EF!$H4)+('Net zero supporting data'!AD122*'Net zero supporting data'!AD142))*kgtoGg,"ERROR"))</f>
        <v>84.176801367447823</v>
      </c>
      <c r="AN462" s="100">
        <f>IF('Net zero activities &amp; levers'!$C$8="Off",('Activity data'!BG5*EF!$H4)*kgtoGg,IF('Net zero activities &amp; levers'!$C$8="On",(('Net zero supporting data'!AE132*EF!$H4)+('Net zero supporting data'!AE122*'Net zero supporting data'!AE142))*kgtoGg,"ERROR"))</f>
        <v>85.734940842406502</v>
      </c>
      <c r="AO462" s="100">
        <f>IF('Net zero activities &amp; levers'!$C$8="Off",('Activity data'!BH5*EF!$H4)*kgtoGg,IF('Net zero activities &amp; levers'!$C$8="On",(('Net zero supporting data'!AF132*EF!$H4)+('Net zero supporting data'!AF122*'Net zero supporting data'!AF142))*kgtoGg,"ERROR"))</f>
        <v>87.225196769881677</v>
      </c>
      <c r="AP462" s="100">
        <f>IF('Net zero activities &amp; levers'!$C$8="Off",('Activity data'!BI5*EF!$H4)*kgtoGg,IF('Net zero activities &amp; levers'!$C$8="On",(('Net zero supporting data'!AG132*EF!$H4)+('Net zero supporting data'!AG122*'Net zero supporting data'!AG142))*kgtoGg,"ERROR"))</f>
        <v>88.747283778238298</v>
      </c>
      <c r="AQ462" s="100">
        <f>IF('Net zero activities &amp; levers'!$C$8="Off",('Activity data'!BJ5*EF!$H4)*kgtoGg,IF('Net zero activities &amp; levers'!$C$8="On",(('Net zero supporting data'!AH132*EF!$H4)+('Net zero supporting data'!AH122*'Net zero supporting data'!AH142))*kgtoGg,"ERROR"))</f>
        <v>90.303926142397003</v>
      </c>
      <c r="AR462" s="100">
        <f>IF('Net zero activities &amp; levers'!$C$8="Off",('Activity data'!BK5*EF!$H4)*kgtoGg,IF('Net zero activities &amp; levers'!$C$8="On",(('Net zero supporting data'!AI132*EF!$H4)+('Net zero supporting data'!AI122*'Net zero supporting data'!AI142))*kgtoGg,"ERROR"))</f>
        <v>91.967687545548145</v>
      </c>
      <c r="AS462" s="100">
        <f>IF('Net zero activities &amp; levers'!$C$8="Off",('Activity data'!BL5*EF!$H4)*kgtoGg,IF('Net zero activities &amp; levers'!$C$8="On",(('Net zero supporting data'!AJ132*EF!$H4)+('Net zero supporting data'!AJ122*'Net zero supporting data'!AJ142))*kgtoGg,"ERROR"))</f>
        <v>93.650461597090327</v>
      </c>
      <c r="AT462" s="100">
        <f>IF('Net zero activities &amp; levers'!$C$8="Off",('Activity data'!BM5*EF!$H4)*kgtoGg,IF('Net zero activities &amp; levers'!$C$8="On",(('Net zero supporting data'!AK132*EF!$H4)+('Net zero supporting data'!AK122*'Net zero supporting data'!AK142))*kgtoGg,"ERROR"))</f>
        <v>94.669712548469434</v>
      </c>
      <c r="AU462" s="100">
        <f>IF('Net zero activities &amp; levers'!$C$8="Off",('Activity data'!BN5*EF!$H4)*kgtoGg,IF('Net zero activities &amp; levers'!$C$8="On",(('Net zero supporting data'!AL132*EF!$H4)+('Net zero supporting data'!AL122*'Net zero supporting data'!AL142))*kgtoGg,"ERROR"))</f>
        <v>95.65106812176542</v>
      </c>
      <c r="AV462" s="100">
        <f>IF('Net zero activities &amp; levers'!$C$8="Off",('Activity data'!BO5*EF!$H4)*kgtoGg,IF('Net zero activities &amp; levers'!$C$8="On",(('Net zero supporting data'!AM132*EF!$H4)+('Net zero supporting data'!AM122*'Net zero supporting data'!AM142))*kgtoGg,"ERROR"))</f>
        <v>96.73435760865776</v>
      </c>
      <c r="AW462" s="100">
        <f>IF('Net zero activities &amp; levers'!$C$8="Off",('Activity data'!BP5*EF!$H4)*kgtoGg,IF('Net zero activities &amp; levers'!$C$8="On",(('Net zero supporting data'!AN132*EF!$H4)+('Net zero supporting data'!AN122*'Net zero supporting data'!AN142))*kgtoGg,"ERROR"))</f>
        <v>97.787902097379828</v>
      </c>
      <c r="AY462" s="85"/>
    </row>
    <row r="463" spans="1:51" x14ac:dyDescent="0.25">
      <c r="A463" s="102" t="str">
        <f t="shared" si="0"/>
        <v>PQ Cattle</v>
      </c>
      <c r="B463" s="102" t="s">
        <v>969</v>
      </c>
      <c r="C463" s="102" t="s">
        <v>1109</v>
      </c>
      <c r="D463" t="s">
        <v>15</v>
      </c>
      <c r="E463" t="s">
        <v>16</v>
      </c>
      <c r="F463" t="s">
        <v>6</v>
      </c>
      <c r="G463" t="s">
        <v>137</v>
      </c>
      <c r="H463" t="s">
        <v>1021</v>
      </c>
      <c r="I463" t="s">
        <v>121</v>
      </c>
      <c r="J463" t="s">
        <v>286</v>
      </c>
      <c r="K463" s="100">
        <f>IF('Net zero activities &amp; levers'!$C$8="Off",('Activity data'!AD6*EF!$H5)*kgtoGg,IF('Net zero activities &amp; levers'!$C$8="On",(('Net zero supporting data'!B133*EF!$H5)+('Net zero supporting data'!B123*'Net zero supporting data'!B143))*kgtoGg,"ERROR"))</f>
        <v>57.842346035228502</v>
      </c>
      <c r="L463" s="100">
        <f>IF('Net zero activities &amp; levers'!$C$8="Off",('Activity data'!AE6*EF!$H5)*kgtoGg,IF('Net zero activities &amp; levers'!$C$8="On",(('Net zero supporting data'!C133*EF!$H5)+('Net zero supporting data'!C123*'Net zero supporting data'!C143))*kgtoGg,"ERROR"))</f>
        <v>58.232900803215919</v>
      </c>
      <c r="M463" s="100">
        <f>IF('Net zero activities &amp; levers'!$C$8="Off",('Activity data'!AF6*EF!$H5)*kgtoGg,IF('Net zero activities &amp; levers'!$C$8="On",(('Net zero supporting data'!D133*EF!$H5)+('Net zero supporting data'!D123*'Net zero supporting data'!D143))*kgtoGg,"ERROR"))</f>
        <v>58.574537295077718</v>
      </c>
      <c r="N463" s="100">
        <f>IF('Net zero activities &amp; levers'!$C$8="Off",('Activity data'!AG6*EF!$H5)*kgtoGg,IF('Net zero activities &amp; levers'!$C$8="On",(('Net zero supporting data'!E133*EF!$H5)+('Net zero supporting data'!E123*'Net zero supporting data'!E143))*kgtoGg,"ERROR"))</f>
        <v>58.618728691413338</v>
      </c>
      <c r="O463" s="100">
        <f>IF('Net zero activities &amp; levers'!$C$8="Off",('Activity data'!AH6*EF!$H5)*kgtoGg,IF('Net zero activities &amp; levers'!$C$8="On",(('Net zero supporting data'!F133*EF!$H5)+('Net zero supporting data'!F123*'Net zero supporting data'!F143))*kgtoGg,"ERROR"))</f>
        <v>58.6948440387294</v>
      </c>
      <c r="P463" s="100">
        <f>IF('Net zero activities &amp; levers'!$C$8="Off",('Activity data'!AI6*EF!$H5)*kgtoGg,IF('Net zero activities &amp; levers'!$C$8="On",(('Net zero supporting data'!G133*EF!$H5)+('Net zero supporting data'!G123*'Net zero supporting data'!G143))*kgtoGg,"ERROR"))</f>
        <v>59.13157986196363</v>
      </c>
      <c r="Q463" s="100">
        <f>IF('Net zero activities &amp; levers'!$C$8="Off",('Activity data'!AJ6*EF!$H5)*kgtoGg,IF('Net zero activities &amp; levers'!$C$8="On",(('Net zero supporting data'!H133*EF!$H5)+('Net zero supporting data'!H123*'Net zero supporting data'!H143))*kgtoGg,"ERROR"))</f>
        <v>59.480808603326388</v>
      </c>
      <c r="R463" s="100">
        <f>IF('Net zero activities &amp; levers'!$C$8="Off",('Activity data'!AK6*EF!$H5)*kgtoGg,IF('Net zero activities &amp; levers'!$C$8="On",(('Net zero supporting data'!I133*EF!$H5)+('Net zero supporting data'!I123*'Net zero supporting data'!I143))*kgtoGg,"ERROR"))</f>
        <v>59.483870661930055</v>
      </c>
      <c r="S463" s="100">
        <f>IF('Net zero activities &amp; levers'!$C$8="Off",('Activity data'!AL6*EF!$H5)*kgtoGg,IF('Net zero activities &amp; levers'!$C$8="On",(('Net zero supporting data'!J133*EF!$H5)+('Net zero supporting data'!J123*'Net zero supporting data'!J143))*kgtoGg,"ERROR"))</f>
        <v>57.907919713248667</v>
      </c>
      <c r="T463" s="100">
        <f>IF('Net zero activities &amp; levers'!$C$8="Off",('Activity data'!AM6*EF!$H5)*kgtoGg,IF('Net zero activities &amp; levers'!$C$8="On",(('Net zero supporting data'!K133*EF!$H5)+('Net zero supporting data'!K123*'Net zero supporting data'!K143))*kgtoGg,"ERROR"))</f>
        <v>58.595072187660506</v>
      </c>
      <c r="U463" s="100">
        <f>IF('Net zero activities &amp; levers'!$C$8="Off",('Activity data'!AN6*EF!$H5)*kgtoGg,IF('Net zero activities &amp; levers'!$C$8="On",(('Net zero supporting data'!L133*EF!$H5)+('Net zero supporting data'!L123*'Net zero supporting data'!L143))*kgtoGg,"ERROR"))</f>
        <v>58.950528637109862</v>
      </c>
      <c r="V463" s="100">
        <f>IF('Net zero activities &amp; levers'!$C$8="Off",('Activity data'!AO6*EF!$H5)*kgtoGg,IF('Net zero activities &amp; levers'!$C$8="On",(('Net zero supporting data'!M133*EF!$H5)+('Net zero supporting data'!M123*'Net zero supporting data'!M143))*kgtoGg,"ERROR"))</f>
        <v>59.129757863327889</v>
      </c>
      <c r="W463" s="100">
        <f>IF('Net zero activities &amp; levers'!$C$8="Off",('Activity data'!AP6*EF!$H5)*kgtoGg,IF('Net zero activities &amp; levers'!$C$8="On",(('Net zero supporting data'!N133*EF!$H5)+('Net zero supporting data'!N123*'Net zero supporting data'!N143))*kgtoGg,"ERROR"))</f>
        <v>59.253341853174398</v>
      </c>
      <c r="X463" s="100">
        <f>IF('Net zero activities &amp; levers'!$C$8="Off",('Activity data'!AQ6*EF!$H5)*kgtoGg,IF('Net zero activities &amp; levers'!$C$8="On",(('Net zero supporting data'!O133*EF!$H5)+('Net zero supporting data'!O123*'Net zero supporting data'!O143))*kgtoGg,"ERROR"))</f>
        <v>59.502262365339945</v>
      </c>
      <c r="Y463" s="100">
        <f>IF('Net zero activities &amp; levers'!$C$8="Off",('Activity data'!AR6*EF!$H5)*kgtoGg,IF('Net zero activities &amp; levers'!$C$8="On",(('Net zero supporting data'!P133*EF!$H5)+('Net zero supporting data'!P123*'Net zero supporting data'!P143))*kgtoGg,"ERROR"))</f>
        <v>59.643132578325961</v>
      </c>
      <c r="Z463" s="100">
        <f>IF('Net zero activities &amp; levers'!$C$8="Off",('Activity data'!AS6*EF!$H5)*kgtoGg,IF('Net zero activities &amp; levers'!$C$8="On",(('Net zero supporting data'!Q133*EF!$H5)+('Net zero supporting data'!Q123*'Net zero supporting data'!Q143))*kgtoGg,"ERROR"))</f>
        <v>59.716976137896957</v>
      </c>
      <c r="AA463" s="100">
        <f>IF('Net zero activities &amp; levers'!$C$8="Off",('Activity data'!AT6*EF!$H5)*kgtoGg,IF('Net zero activities &amp; levers'!$C$8="On",(('Net zero supporting data'!R133*EF!$H5)+('Net zero supporting data'!R123*'Net zero supporting data'!R143))*kgtoGg,"ERROR"))</f>
        <v>59.559951616029572</v>
      </c>
      <c r="AB463" s="100">
        <f>IF('Net zero activities &amp; levers'!$C$8="Off",('Activity data'!AU6*EF!$H5)*kgtoGg,IF('Net zero activities &amp; levers'!$C$8="On",(('Net zero supporting data'!S133*EF!$H5)+('Net zero supporting data'!S123*'Net zero supporting data'!S143))*kgtoGg,"ERROR"))</f>
        <v>59.385345235983699</v>
      </c>
      <c r="AC463" s="100">
        <f>IF('Net zero activities &amp; levers'!$C$8="Off",('Activity data'!AV6*EF!$H5)*kgtoGg,IF('Net zero activities &amp; levers'!$C$8="On",(('Net zero supporting data'!T133*EF!$H5)+('Net zero supporting data'!T123*'Net zero supporting data'!T143))*kgtoGg,"ERROR"))</f>
        <v>59.213631762148083</v>
      </c>
      <c r="AD463" s="100">
        <f>IF('Net zero activities &amp; levers'!$C$8="Off",('Activity data'!AW6*EF!$H5)*kgtoGg,IF('Net zero activities &amp; levers'!$C$8="On",(('Net zero supporting data'!U133*EF!$H5)+('Net zero supporting data'!U123*'Net zero supporting data'!U143))*kgtoGg,"ERROR"))</f>
        <v>60.279967217281609</v>
      </c>
      <c r="AE463" s="100">
        <f>IF('Net zero activities &amp; levers'!$C$8="Off",('Activity data'!AX6*EF!$H5)*kgtoGg,IF('Net zero activities &amp; levers'!$C$8="On",(('Net zero supporting data'!V133*EF!$H5)+('Net zero supporting data'!V123*'Net zero supporting data'!V143))*kgtoGg,"ERROR"))</f>
        <v>61.401709442295875</v>
      </c>
      <c r="AF463" s="100">
        <f>IF('Net zero activities &amp; levers'!$C$8="Off",('Activity data'!AY6*EF!$H5)*kgtoGg,IF('Net zero activities &amp; levers'!$C$8="On",(('Net zero supporting data'!W133*EF!$H5)+('Net zero supporting data'!W123*'Net zero supporting data'!W143))*kgtoGg,"ERROR"))</f>
        <v>62.557560029604097</v>
      </c>
      <c r="AG463" s="100">
        <f>IF('Net zero activities &amp; levers'!$C$8="Off",('Activity data'!AZ6*EF!$H5)*kgtoGg,IF('Net zero activities &amp; levers'!$C$8="On",(('Net zero supporting data'!X133*EF!$H5)+('Net zero supporting data'!X123*'Net zero supporting data'!X143))*kgtoGg,"ERROR"))</f>
        <v>63.842789705042328</v>
      </c>
      <c r="AH463" s="100">
        <f>IF('Net zero activities &amp; levers'!$C$8="Off",('Activity data'!BA6*EF!$H5)*kgtoGg,IF('Net zero activities &amp; levers'!$C$8="On",(('Net zero supporting data'!Y133*EF!$H5)+('Net zero supporting data'!Y123*'Net zero supporting data'!Y143))*kgtoGg,"ERROR"))</f>
        <v>65.008077030165794</v>
      </c>
      <c r="AI463" s="100">
        <f>IF('Net zero activities &amp; levers'!$C$8="Off",('Activity data'!BB6*EF!$H5)*kgtoGg,IF('Net zero activities &amp; levers'!$C$8="On",(('Net zero supporting data'!Z133*EF!$H5)+('Net zero supporting data'!Z123*'Net zero supporting data'!Z143))*kgtoGg,"ERROR"))</f>
        <v>66.218910493586407</v>
      </c>
      <c r="AJ463" s="100">
        <f>IF('Net zero activities &amp; levers'!$C$8="Off",('Activity data'!BC6*EF!$H5)*kgtoGg,IF('Net zero activities &amp; levers'!$C$8="On",(('Net zero supporting data'!AA133*EF!$H5)+('Net zero supporting data'!AA123*'Net zero supporting data'!AA143))*kgtoGg,"ERROR"))</f>
        <v>67.461538727031495</v>
      </c>
      <c r="AK463" s="100">
        <f>IF('Net zero activities &amp; levers'!$C$8="Off",('Activity data'!BD6*EF!$H5)*kgtoGg,IF('Net zero activities &amp; levers'!$C$8="On",(('Net zero supporting data'!AB133*EF!$H5)+('Net zero supporting data'!AB123*'Net zero supporting data'!AB143))*kgtoGg,"ERROR"))</f>
        <v>68.667904486111851</v>
      </c>
      <c r="AL463" s="100">
        <f>IF('Net zero activities &amp; levers'!$C$8="Off",('Activity data'!BE6*EF!$H5)*kgtoGg,IF('Net zero activities &amp; levers'!$C$8="On",(('Net zero supporting data'!AC133*EF!$H5)+('Net zero supporting data'!AC123*'Net zero supporting data'!AC143))*kgtoGg,"ERROR"))</f>
        <v>69.883791108294659</v>
      </c>
      <c r="AM463" s="100">
        <f>IF('Net zero activities &amp; levers'!$C$8="Off",('Activity data'!BF6*EF!$H5)*kgtoGg,IF('Net zero activities &amp; levers'!$C$8="On",(('Net zero supporting data'!AD133*EF!$H5)+('Net zero supporting data'!AD123*'Net zero supporting data'!AD143))*kgtoGg,"ERROR"))</f>
        <v>71.151163522804609</v>
      </c>
      <c r="AN463" s="100">
        <f>IF('Net zero activities &amp; levers'!$C$8="Off",('Activity data'!BG6*EF!$H5)*kgtoGg,IF('Net zero activities &amp; levers'!$C$8="On",(('Net zero supporting data'!AE133*EF!$H5)+('Net zero supporting data'!AE123*'Net zero supporting data'!AE143))*kgtoGg,"ERROR"))</f>
        <v>72.460546939287994</v>
      </c>
      <c r="AO463" s="100">
        <f>IF('Net zero activities &amp; levers'!$C$8="Off",('Activity data'!BH6*EF!$H5)*kgtoGg,IF('Net zero activities &amp; levers'!$C$8="On",(('Net zero supporting data'!AF133*EF!$H5)+('Net zero supporting data'!AF123*'Net zero supporting data'!AF143))*kgtoGg,"ERROR"))</f>
        <v>73.712290109719135</v>
      </c>
      <c r="AP463" s="100">
        <f>IF('Net zero activities &amp; levers'!$C$8="Off",('Activity data'!BI6*EF!$H5)*kgtoGg,IF('Net zero activities &amp; levers'!$C$8="On",(('Net zero supporting data'!AG133*EF!$H5)+('Net zero supporting data'!AG123*'Net zero supporting data'!AG143))*kgtoGg,"ERROR"))</f>
        <v>74.990669406129598</v>
      </c>
      <c r="AQ463" s="100">
        <f>IF('Net zero activities &amp; levers'!$C$8="Off",('Activity data'!BJ6*EF!$H5)*kgtoGg,IF('Net zero activities &amp; levers'!$C$8="On",(('Net zero supporting data'!AH133*EF!$H5)+('Net zero supporting data'!AH123*'Net zero supporting data'!AH143))*kgtoGg,"ERROR"))</f>
        <v>76.297978311217548</v>
      </c>
      <c r="AR463" s="100">
        <f>IF('Net zero activities &amp; levers'!$C$8="Off",('Activity data'!BK6*EF!$H5)*kgtoGg,IF('Net zero activities &amp; levers'!$C$8="On",(('Net zero supporting data'!AI133*EF!$H5)+('Net zero supporting data'!AI123*'Net zero supporting data'!AI143))*kgtoGg,"ERROR"))</f>
        <v>77.695510597732451</v>
      </c>
      <c r="AS463" s="100">
        <f>IF('Net zero activities &amp; levers'!$C$8="Off",('Activity data'!BL6*EF!$H5)*kgtoGg,IF('Net zero activities &amp; levers'!$C$8="On",(('Net zero supporting data'!AJ133*EF!$H5)+('Net zero supporting data'!AJ123*'Net zero supporting data'!AJ143))*kgtoGg,"ERROR"))</f>
        <v>79.108812337028439</v>
      </c>
      <c r="AT463" s="100">
        <f>IF('Net zero activities &amp; levers'!$C$8="Off",('Activity data'!BM6*EF!$H5)*kgtoGg,IF('Net zero activities &amp; levers'!$C$8="On",(('Net zero supporting data'!AK133*EF!$H5)+('Net zero supporting data'!AK123*'Net zero supporting data'!AK143))*kgtoGg,"ERROR"))</f>
        <v>79.961384912157797</v>
      </c>
      <c r="AU463" s="100">
        <f>IF('Net zero activities &amp; levers'!$C$8="Off",('Activity data'!BN6*EF!$H5)*kgtoGg,IF('Net zero activities &amp; levers'!$C$8="On",(('Net zero supporting data'!AL133*EF!$H5)+('Net zero supporting data'!AL123*'Net zero supporting data'!AL143))*kgtoGg,"ERROR"))</f>
        <v>80.781777106166004</v>
      </c>
      <c r="AV463" s="100">
        <f>IF('Net zero activities &amp; levers'!$C$8="Off",('Activity data'!BO6*EF!$H5)*kgtoGg,IF('Net zero activities &amp; levers'!$C$8="On",(('Net zero supporting data'!AM133*EF!$H5)+('Net zero supporting data'!AM123*'Net zero supporting data'!AM143))*kgtoGg,"ERROR"))</f>
        <v>81.688079101887524</v>
      </c>
      <c r="AW463" s="100">
        <f>IF('Net zero activities &amp; levers'!$C$8="Off",('Activity data'!BP6*EF!$H5)*kgtoGg,IF('Net zero activities &amp; levers'!$C$8="On",(('Net zero supporting data'!AN133*EF!$H5)+('Net zero supporting data'!AN123*'Net zero supporting data'!AN143))*kgtoGg,"ERROR"))</f>
        <v>82.569078328860783</v>
      </c>
      <c r="AY463" s="85"/>
    </row>
    <row r="464" spans="1:51" x14ac:dyDescent="0.25">
      <c r="A464" s="102" t="str">
        <f t="shared" si="0"/>
        <v>PQ Cattle</v>
      </c>
      <c r="B464" s="102" t="s">
        <v>969</v>
      </c>
      <c r="C464" s="102" t="s">
        <v>1109</v>
      </c>
      <c r="D464" t="s">
        <v>15</v>
      </c>
      <c r="E464" t="s">
        <v>16</v>
      </c>
      <c r="F464" t="s">
        <v>67</v>
      </c>
      <c r="G464" t="s">
        <v>307</v>
      </c>
      <c r="H464" t="s">
        <v>1021</v>
      </c>
      <c r="I464" t="s">
        <v>121</v>
      </c>
      <c r="J464" t="s">
        <v>286</v>
      </c>
      <c r="K464" s="100">
        <f>IF('Net zero activities &amp; levers'!$C$8="Off",('Activity data'!AD7*EF!$H6)*kgtoGg,IF('Net zero activities &amp; levers'!$C$8="On",(('Net zero supporting data'!B134*EF!$H6)+('Net zero supporting data'!B124*'Net zero supporting data'!B144))*kgtoGg,"ERROR"))</f>
        <v>26.152753652516633</v>
      </c>
      <c r="L464" s="100">
        <f>IF('Net zero activities &amp; levers'!$C$8="Off",('Activity data'!AE7*EF!$H6)*kgtoGg,IF('Net zero activities &amp; levers'!$C$8="On",(('Net zero supporting data'!C134*EF!$H6)+('Net zero supporting data'!C124*'Net zero supporting data'!C144))*kgtoGg,"ERROR"))</f>
        <v>26.329338513524345</v>
      </c>
      <c r="M464" s="100">
        <f>IF('Net zero activities &amp; levers'!$C$8="Off",('Activity data'!AF7*EF!$H6)*kgtoGg,IF('Net zero activities &amp; levers'!$C$8="On",(('Net zero supporting data'!D134*EF!$H6)+('Net zero supporting data'!D124*'Net zero supporting data'!D144))*kgtoGg,"ERROR"))</f>
        <v>26.483805536783215</v>
      </c>
      <c r="N464" s="100">
        <f>IF('Net zero activities &amp; levers'!$C$8="Off",('Activity data'!AG7*EF!$H6)*kgtoGg,IF('Net zero activities &amp; levers'!$C$8="On",(('Net zero supporting data'!E134*EF!$H6)+('Net zero supporting data'!E124*'Net zero supporting data'!E144))*kgtoGg,"ERROR"))</f>
        <v>26.503786170024174</v>
      </c>
      <c r="O464" s="100">
        <f>IF('Net zero activities &amp; levers'!$C$8="Off",('Activity data'!AH7*EF!$H6)*kgtoGg,IF('Net zero activities &amp; levers'!$C$8="On",(('Net zero supporting data'!F134*EF!$H6)+('Net zero supporting data'!F124*'Net zero supporting data'!F144))*kgtoGg,"ERROR"))</f>
        <v>26.538200851723289</v>
      </c>
      <c r="P464" s="100">
        <f>IF('Net zero activities &amp; levers'!$C$8="Off",('Activity data'!AI7*EF!$H6)*kgtoGg,IF('Net zero activities &amp; levers'!$C$8="On",(('Net zero supporting data'!G134*EF!$H6)+('Net zero supporting data'!G124*'Net zero supporting data'!G144))*kgtoGg,"ERROR"))</f>
        <v>26.735665947439109</v>
      </c>
      <c r="Q464" s="100">
        <f>IF('Net zero activities &amp; levers'!$C$8="Off",('Activity data'!AJ7*EF!$H6)*kgtoGg,IF('Net zero activities &amp; levers'!$C$8="On",(('Net zero supporting data'!H134*EF!$H6)+('Net zero supporting data'!H124*'Net zero supporting data'!H144))*kgtoGg,"ERROR"))</f>
        <v>26.893565719271944</v>
      </c>
      <c r="R464" s="100">
        <f>IF('Net zero activities &amp; levers'!$C$8="Off",('Activity data'!AK7*EF!$H6)*kgtoGg,IF('Net zero activities &amp; levers'!$C$8="On",(('Net zero supporting data'!I134*EF!$H6)+('Net zero supporting data'!I124*'Net zero supporting data'!I144))*kgtoGg,"ERROR"))</f>
        <v>26.894950193966014</v>
      </c>
      <c r="S464" s="100">
        <f>IF('Net zero activities &amp; levers'!$C$8="Off",('Activity data'!AL7*EF!$H6)*kgtoGg,IF('Net zero activities &amp; levers'!$C$8="On",(('Net zero supporting data'!J134*EF!$H6)+('Net zero supporting data'!J124*'Net zero supporting data'!J144))*kgtoGg,"ERROR"))</f>
        <v>26.182402039293791</v>
      </c>
      <c r="T464" s="100">
        <f>IF('Net zero activities &amp; levers'!$C$8="Off",('Activity data'!AM7*EF!$H6)*kgtoGg,IF('Net zero activities &amp; levers'!$C$8="On",(('Net zero supporting data'!K134*EF!$H6)+('Net zero supporting data'!K124*'Net zero supporting data'!K144))*kgtoGg,"ERROR"))</f>
        <v>26.502954845672352</v>
      </c>
      <c r="U464" s="100">
        <f>IF('Net zero activities &amp; levers'!$C$8="Off",('Activity data'!AN7*EF!$H6)*kgtoGg,IF('Net zero activities &amp; levers'!$C$8="On",(('Net zero supporting data'!L134*EF!$H6)+('Net zero supporting data'!L124*'Net zero supporting data'!L144))*kgtoGg,"ERROR"))</f>
        <v>26.693040749911741</v>
      </c>
      <c r="V464" s="100">
        <f>IF('Net zero activities &amp; levers'!$C$8="Off",('Activity data'!AO7*EF!$H6)*kgtoGg,IF('Net zero activities &amp; levers'!$C$8="On",(('Net zero supporting data'!M134*EF!$H6)+('Net zero supporting data'!M124*'Net zero supporting data'!M144))*kgtoGg,"ERROR"))</f>
        <v>26.822550617802698</v>
      </c>
      <c r="W464" s="100">
        <f>IF('Net zero activities &amp; levers'!$C$8="Off",('Activity data'!AP7*EF!$H6)*kgtoGg,IF('Net zero activities &amp; levers'!$C$8="On",(('Net zero supporting data'!N134*EF!$H6)+('Net zero supporting data'!N124*'Net zero supporting data'!N144))*kgtoGg,"ERROR"))</f>
        <v>26.945836146059523</v>
      </c>
      <c r="X464" s="100">
        <f>IF('Net zero activities &amp; levers'!$C$8="Off",('Activity data'!AQ7*EF!$H6)*kgtoGg,IF('Net zero activities &amp; levers'!$C$8="On",(('Net zero supporting data'!O134*EF!$H6)+('Net zero supporting data'!O124*'Net zero supporting data'!O144))*kgtoGg,"ERROR"))</f>
        <v>27.145414925246399</v>
      </c>
      <c r="Y464" s="100">
        <f>IF('Net zero activities &amp; levers'!$C$8="Off",('Activity data'!AR7*EF!$H6)*kgtoGg,IF('Net zero activities &amp; levers'!$C$8="On",(('Net zero supporting data'!P134*EF!$H6)+('Net zero supporting data'!P124*'Net zero supporting data'!P144))*kgtoGg,"ERROR"))</f>
        <v>27.315448215544556</v>
      </c>
      <c r="Z464" s="100">
        <f>IF('Net zero activities &amp; levers'!$C$8="Off",('Activity data'!AS7*EF!$H6)*kgtoGg,IF('Net zero activities &amp; levers'!$C$8="On",(('Net zero supporting data'!Q134*EF!$H6)+('Net zero supporting data'!Q124*'Net zero supporting data'!Q144))*kgtoGg,"ERROR"))</f>
        <v>27.474874071743233</v>
      </c>
      <c r="AA464" s="100">
        <f>IF('Net zero activities &amp; levers'!$C$8="Off",('Activity data'!AT7*EF!$H6)*kgtoGg,IF('Net zero activities &amp; levers'!$C$8="On",(('Net zero supporting data'!R134*EF!$H6)+('Net zero supporting data'!R124*'Net zero supporting data'!R144))*kgtoGg,"ERROR"))</f>
        <v>27.548307801231996</v>
      </c>
      <c r="AB464" s="100">
        <f>IF('Net zero activities &amp; levers'!$C$8="Off",('Activity data'!AU7*EF!$H6)*kgtoGg,IF('Net zero activities &amp; levers'!$C$8="On",(('Net zero supporting data'!S134*EF!$H6)+('Net zero supporting data'!S124*'Net zero supporting data'!S144))*kgtoGg,"ERROR"))</f>
        <v>27.634138196056526</v>
      </c>
      <c r="AC464" s="100">
        <f>IF('Net zero activities &amp; levers'!$C$8="Off",('Activity data'!AV7*EF!$H6)*kgtoGg,IF('Net zero activities &amp; levers'!$C$8="On",(('Net zero supporting data'!T134*EF!$H6)+('Net zero supporting data'!T124*'Net zero supporting data'!T144))*kgtoGg,"ERROR"))</f>
        <v>27.742892224221279</v>
      </c>
      <c r="AD464" s="100">
        <f>IF('Net zero activities &amp; levers'!$C$8="Off",('Activity data'!AW7*EF!$H6)*kgtoGg,IF('Net zero activities &amp; levers'!$C$8="On",(('Net zero supporting data'!U134*EF!$H6)+('Net zero supporting data'!U124*'Net zero supporting data'!U144))*kgtoGg,"ERROR"))</f>
        <v>28.2406856685412</v>
      </c>
      <c r="AE464" s="100">
        <f>IF('Net zero activities &amp; levers'!$C$8="Off",('Activity data'!AX7*EF!$H6)*kgtoGg,IF('Net zero activities &amp; levers'!$C$8="On",(('Net zero supporting data'!V134*EF!$H6)+('Net zero supporting data'!V124*'Net zero supporting data'!V144))*kgtoGg,"ERROR"))</f>
        <v>28.764371847746187</v>
      </c>
      <c r="AF464" s="100">
        <f>IF('Net zero activities &amp; levers'!$C$8="Off",('Activity data'!AY7*EF!$H6)*kgtoGg,IF('Net zero activities &amp; levers'!$C$8="On",(('Net zero supporting data'!W134*EF!$H6)+('Net zero supporting data'!W124*'Net zero supporting data'!W144))*kgtoGg,"ERROR"))</f>
        <v>29.303968960072702</v>
      </c>
      <c r="AG464" s="100">
        <f>IF('Net zero activities &amp; levers'!$C$8="Off",('Activity data'!AZ7*EF!$H6)*kgtoGg,IF('Net zero activities &amp; levers'!$C$8="On",(('Net zero supporting data'!X134*EF!$H6)+('Net zero supporting data'!X124*'Net zero supporting data'!X144))*kgtoGg,"ERROR"))</f>
        <v>29.904098991170681</v>
      </c>
      <c r="AH464" s="100">
        <f>IF('Net zero activities &amp; levers'!$C$8="Off",('Activity data'!BA7*EF!$H6)*kgtoGg,IF('Net zero activities &amp; levers'!$C$8="On",(('Net zero supporting data'!Y134*EF!$H6)+('Net zero supporting data'!Y124*'Net zero supporting data'!Y144))*kgtoGg,"ERROR"))</f>
        <v>30.447975130861334</v>
      </c>
      <c r="AI464" s="100">
        <f>IF('Net zero activities &amp; levers'!$C$8="Off",('Activity data'!BB7*EF!$H6)*kgtoGg,IF('Net zero activities &amp; levers'!$C$8="On",(('Net zero supporting data'!Z134*EF!$H6)+('Net zero supporting data'!Z124*'Net zero supporting data'!Z144))*kgtoGg,"ERROR"))</f>
        <v>31.013113448079459</v>
      </c>
      <c r="AJ464" s="100">
        <f>IF('Net zero activities &amp; levers'!$C$8="Off",('Activity data'!BC7*EF!$H6)*kgtoGg,IF('Net zero activities &amp; levers'!$C$8="On",(('Net zero supporting data'!AA134*EF!$H6)+('Net zero supporting data'!AA124*'Net zero supporting data'!AA144))*kgtoGg,"ERROR"))</f>
        <v>31.59306996020986</v>
      </c>
      <c r="AK464" s="100">
        <f>IF('Net zero activities &amp; levers'!$C$8="Off",('Activity data'!BD7*EF!$H6)*kgtoGg,IF('Net zero activities &amp; levers'!$C$8="On",(('Net zero supporting data'!AB134*EF!$H6)+('Net zero supporting data'!AB124*'Net zero supporting data'!AB144))*kgtoGg,"ERROR"))</f>
        <v>32.155971846684693</v>
      </c>
      <c r="AL464" s="100">
        <f>IF('Net zero activities &amp; levers'!$C$8="Off",('Activity data'!BE7*EF!$H6)*kgtoGg,IF('Net zero activities &amp; levers'!$C$8="On",(('Net zero supporting data'!AC134*EF!$H6)+('Net zero supporting data'!AC124*'Net zero supporting data'!AC144))*kgtoGg,"ERROR"))</f>
        <v>32.723260567268376</v>
      </c>
      <c r="AM464" s="100">
        <f>IF('Net zero activities &amp; levers'!$C$8="Off",('Activity data'!BF7*EF!$H6)*kgtoGg,IF('Net zero activities &amp; levers'!$C$8="On",(('Net zero supporting data'!AD134*EF!$H6)+('Net zero supporting data'!AD124*'Net zero supporting data'!AD144))*kgtoGg,"ERROR"))</f>
        <v>33.314584240285946</v>
      </c>
      <c r="AN464" s="100">
        <f>IF('Net zero activities &amp; levers'!$C$8="Off",('Activity data'!BG7*EF!$H6)*kgtoGg,IF('Net zero activities &amp; levers'!$C$8="On",(('Net zero supporting data'!AE134*EF!$H6)+('Net zero supporting data'!AE124*'Net zero supporting data'!AE144))*kgtoGg,"ERROR"))</f>
        <v>33.925502266122507</v>
      </c>
      <c r="AO464" s="100">
        <f>IF('Net zero activities &amp; levers'!$C$8="Off",('Activity data'!BH7*EF!$H6)*kgtoGg,IF('Net zero activities &amp; levers'!$C$8="On",(('Net zero supporting data'!AF134*EF!$H6)+('Net zero supporting data'!AF124*'Net zero supporting data'!AF144))*kgtoGg,"ERROR"))</f>
        <v>34.509357910702569</v>
      </c>
      <c r="AP464" s="100">
        <f>IF('Net zero activities &amp; levers'!$C$8="Off",('Activity data'!BI7*EF!$H6)*kgtoGg,IF('Net zero activities &amp; levers'!$C$8="On",(('Net zero supporting data'!AG134*EF!$H6)+('Net zero supporting data'!AG124*'Net zero supporting data'!AG144))*kgtoGg,"ERROR"))</f>
        <v>35.105608935744002</v>
      </c>
      <c r="AQ464" s="100">
        <f>IF('Net zero activities &amp; levers'!$C$8="Off",('Activity data'!BJ7*EF!$H6)*kgtoGg,IF('Net zero activities &amp; levers'!$C$8="On",(('Net zero supporting data'!AH134*EF!$H6)+('Net zero supporting data'!AH124*'Net zero supporting data'!AH144))*kgtoGg,"ERROR"))</f>
        <v>35.715326587631239</v>
      </c>
      <c r="AR464" s="100">
        <f>IF('Net zero activities &amp; levers'!$C$8="Off",('Activity data'!BK7*EF!$H6)*kgtoGg,IF('Net zero activities &amp; levers'!$C$8="On",(('Net zero supporting data'!AI134*EF!$H6)+('Net zero supporting data'!AI124*'Net zero supporting data'!AI144))*kgtoGg,"ERROR"))</f>
        <v>36.367198304675505</v>
      </c>
      <c r="AS464" s="100">
        <f>IF('Net zero activities &amp; levers'!$C$8="Off",('Activity data'!BL7*EF!$H6)*kgtoGg,IF('Net zero activities &amp; levers'!$C$8="On",(('Net zero supporting data'!AJ134*EF!$H6)+('Net zero supporting data'!AJ124*'Net zero supporting data'!AJ144))*kgtoGg,"ERROR"))</f>
        <v>37.026368382389542</v>
      </c>
      <c r="AT464" s="100">
        <f>IF('Net zero activities &amp; levers'!$C$8="Off",('Activity data'!BM7*EF!$H6)*kgtoGg,IF('Net zero activities &amp; levers'!$C$8="On",(('Net zero supporting data'!AK134*EF!$H6)+('Net zero supporting data'!AK124*'Net zero supporting data'!AK144))*kgtoGg,"ERROR"))</f>
        <v>37.423026190865457</v>
      </c>
      <c r="AU464" s="100">
        <f>IF('Net zero activities &amp; levers'!$C$8="Off",('Activity data'!BN7*EF!$H6)*kgtoGg,IF('Net zero activities &amp; levers'!$C$8="On",(('Net zero supporting data'!AL134*EF!$H6)+('Net zero supporting data'!AL124*'Net zero supporting data'!AL144))*kgtoGg,"ERROR"))</f>
        <v>37.804574239597727</v>
      </c>
      <c r="AV464" s="100">
        <f>IF('Net zero activities &amp; levers'!$C$8="Off",('Activity data'!BO7*EF!$H6)*kgtoGg,IF('Net zero activities &amp; levers'!$C$8="On",(('Net zero supporting data'!AM134*EF!$H6)+('Net zero supporting data'!AM124*'Net zero supporting data'!AM144))*kgtoGg,"ERROR"))</f>
        <v>38.226276225660683</v>
      </c>
      <c r="AW464" s="100">
        <f>IF('Net zero activities &amp; levers'!$C$8="Off",('Activity data'!BP7*EF!$H6)*kgtoGg,IF('Net zero activities &amp; levers'!$C$8="On",(('Net zero supporting data'!AN134*EF!$H6)+('Net zero supporting data'!AN124*'Net zero supporting data'!AN144))*kgtoGg,"ERROR"))</f>
        <v>38.636085431366574</v>
      </c>
      <c r="AY464" s="85"/>
    </row>
    <row r="465" spans="1:51" x14ac:dyDescent="0.25">
      <c r="A465" s="102" t="str">
        <f t="shared" si="0"/>
        <v>PQ Cattle</v>
      </c>
      <c r="B465" s="102" t="s">
        <v>969</v>
      </c>
      <c r="C465" s="102" t="s">
        <v>1109</v>
      </c>
      <c r="D465" t="s">
        <v>15</v>
      </c>
      <c r="E465" t="s">
        <v>16</v>
      </c>
      <c r="F465" t="s">
        <v>67</v>
      </c>
      <c r="G465" t="s">
        <v>122</v>
      </c>
      <c r="H465" t="s">
        <v>1021</v>
      </c>
      <c r="I465" t="s">
        <v>121</v>
      </c>
      <c r="J465" t="s">
        <v>286</v>
      </c>
      <c r="K465" s="100">
        <f>IF('Net zero activities &amp; levers'!$C$8="Off",('Activity data'!AD8*EF!$H7)*kgtoGg,IF('Net zero activities &amp; levers'!$C$8="On",(('Net zero supporting data'!B135*EF!$H7)+('Net zero supporting data'!B125*'Net zero supporting data'!B145))*kgtoGg,"ERROR"))</f>
        <v>465.52056336079949</v>
      </c>
      <c r="L465" s="100">
        <f>IF('Net zero activities &amp; levers'!$C$8="Off",('Activity data'!AE8*EF!$H7)*kgtoGg,IF('Net zero activities &amp; levers'!$C$8="On",(('Net zero supporting data'!C135*EF!$H7)+('Net zero supporting data'!C125*'Net zero supporting data'!C145))*kgtoGg,"ERROR"))</f>
        <v>463.15049709319385</v>
      </c>
      <c r="M465" s="100">
        <f>IF('Net zero activities &amp; levers'!$C$8="Off",('Activity data'!AF8*EF!$H7)*kgtoGg,IF('Net zero activities &amp; levers'!$C$8="On",(('Net zero supporting data'!D135*EF!$H7)+('Net zero supporting data'!D125*'Net zero supporting data'!D145))*kgtoGg,"ERROR"))</f>
        <v>458.82469207652616</v>
      </c>
      <c r="N465" s="100">
        <f>IF('Net zero activities &amp; levers'!$C$8="Off",('Activity data'!AG8*EF!$H7)*kgtoGg,IF('Net zero activities &amp; levers'!$C$8="On",(('Net zero supporting data'!E135*EF!$H7)+('Net zero supporting data'!E125*'Net zero supporting data'!E145))*kgtoGg,"ERROR"))</f>
        <v>446.98374150991339</v>
      </c>
      <c r="O465" s="100">
        <f>IF('Net zero activities &amp; levers'!$C$8="Off",('Activity data'!AH8*EF!$H7)*kgtoGg,IF('Net zero activities &amp; levers'!$C$8="On",(('Net zero supporting data'!F135*EF!$H7)+('Net zero supporting data'!F125*'Net zero supporting data'!F145))*kgtoGg,"ERROR"))</f>
        <v>435.61531631652565</v>
      </c>
      <c r="P465" s="100">
        <f>IF('Net zero activities &amp; levers'!$C$8="Off",('Activity data'!AI8*EF!$H7)*kgtoGg,IF('Net zero activities &amp; levers'!$C$8="On",(('Net zero supporting data'!G135*EF!$H7)+('Net zero supporting data'!G125*'Net zero supporting data'!G145))*kgtoGg,"ERROR"))</f>
        <v>431.8940518676672</v>
      </c>
      <c r="Q465" s="100">
        <f>IF('Net zero activities &amp; levers'!$C$8="Off",('Activity data'!AJ8*EF!$H7)*kgtoGg,IF('Net zero activities &amp; levers'!$C$8="On",(('Net zero supporting data'!H135*EF!$H7)+('Net zero supporting data'!H125*'Net zero supporting data'!H145))*kgtoGg,"ERROR"))</f>
        <v>425.88381386723944</v>
      </c>
      <c r="R465" s="100">
        <f>IF('Net zero activities &amp; levers'!$C$8="Off",('Activity data'!AK8*EF!$H7)*kgtoGg,IF('Net zero activities &amp; levers'!$C$8="On",(('Net zero supporting data'!I135*EF!$H7)+('Net zero supporting data'!I125*'Net zero supporting data'!I145))*kgtoGg,"ERROR"))</f>
        <v>412.37997971855566</v>
      </c>
      <c r="S465" s="100">
        <f>IF('Net zero activities &amp; levers'!$C$8="Off",('Activity data'!AL8*EF!$H7)*kgtoGg,IF('Net zero activities &amp; levers'!$C$8="On",(('Net zero supporting data'!J135*EF!$H7)+('Net zero supporting data'!J125*'Net zero supporting data'!J145))*kgtoGg,"ERROR"))</f>
        <v>367.07322936568551</v>
      </c>
      <c r="T465" s="100">
        <f>IF('Net zero activities &amp; levers'!$C$8="Off",('Activity data'!AM8*EF!$H7)*kgtoGg,IF('Net zero activities &amp; levers'!$C$8="On",(('Net zero supporting data'!K135*EF!$H7)+('Net zero supporting data'!K125*'Net zero supporting data'!K145))*kgtoGg,"ERROR"))</f>
        <v>375.71284950983323</v>
      </c>
      <c r="U465" s="100">
        <f>IF('Net zero activities &amp; levers'!$C$8="Off",('Activity data'!AN8*EF!$H7)*kgtoGg,IF('Net zero activities &amp; levers'!$C$8="On",(('Net zero supporting data'!L135*EF!$H7)+('Net zero supporting data'!L125*'Net zero supporting data'!L145))*kgtoGg,"ERROR"))</f>
        <v>379.59488871907502</v>
      </c>
      <c r="V465" s="100">
        <f>IF('Net zero activities &amp; levers'!$C$8="Off",('Activity data'!AO8*EF!$H7)*kgtoGg,IF('Net zero activities &amp; levers'!$C$8="On",(('Net zero supporting data'!M135*EF!$H7)+('Net zero supporting data'!M125*'Net zero supporting data'!M145))*kgtoGg,"ERROR"))</f>
        <v>381.89778370333397</v>
      </c>
      <c r="W465" s="100">
        <f>IF('Net zero activities &amp; levers'!$C$8="Off",('Activity data'!AP8*EF!$H7)*kgtoGg,IF('Net zero activities &amp; levers'!$C$8="On",(('Net zero supporting data'!N135*EF!$H7)+('Net zero supporting data'!N125*'Net zero supporting data'!N145))*kgtoGg,"ERROR"))</f>
        <v>384.96626187976261</v>
      </c>
      <c r="X465" s="100">
        <f>IF('Net zero activities &amp; levers'!$C$8="Off",('Activity data'!AQ8*EF!$H7)*kgtoGg,IF('Net zero activities &amp; levers'!$C$8="On",(('Net zero supporting data'!O135*EF!$H7)+('Net zero supporting data'!O125*'Net zero supporting data'!O145))*kgtoGg,"ERROR"))</f>
        <v>392.18709318778048</v>
      </c>
      <c r="Y465" s="100">
        <f>IF('Net zero activities &amp; levers'!$C$8="Off",('Activity data'!AR8*EF!$H7)*kgtoGg,IF('Net zero activities &amp; levers'!$C$8="On",(('Net zero supporting data'!P135*EF!$H7)+('Net zero supporting data'!P125*'Net zero supporting data'!P145))*kgtoGg,"ERROR"))</f>
        <v>399.7712346285648</v>
      </c>
      <c r="Z465" s="100">
        <f>IF('Net zero activities &amp; levers'!$C$8="Off",('Activity data'!AS8*EF!$H7)*kgtoGg,IF('Net zero activities &amp; levers'!$C$8="On",(('Net zero supporting data'!Q135*EF!$H7)+('Net zero supporting data'!Q125*'Net zero supporting data'!Q145))*kgtoGg,"ERROR"))</f>
        <v>407.75396589517965</v>
      </c>
      <c r="AA465" s="100">
        <f>IF('Net zero activities &amp; levers'!$C$8="Off",('Activity data'!AT8*EF!$H7)*kgtoGg,IF('Net zero activities &amp; levers'!$C$8="On",(('Net zero supporting data'!R135*EF!$H7)+('Net zero supporting data'!R125*'Net zero supporting data'!R145))*kgtoGg,"ERROR"))</f>
        <v>413.11275911719179</v>
      </c>
      <c r="AB465" s="100">
        <f>IF('Net zero activities &amp; levers'!$C$8="Off",('Activity data'!AU8*EF!$H7)*kgtoGg,IF('Net zero activities &amp; levers'!$C$8="On",(('Net zero supporting data'!S135*EF!$H7)+('Net zero supporting data'!S125*'Net zero supporting data'!S145))*kgtoGg,"ERROR"))</f>
        <v>419.83556886346446</v>
      </c>
      <c r="AC465" s="100">
        <f>IF('Net zero activities &amp; levers'!$C$8="Off",('Activity data'!AV8*EF!$H7)*kgtoGg,IF('Net zero activities &amp; levers'!$C$8="On",(('Net zero supporting data'!T135*EF!$H7)+('Net zero supporting data'!T125*'Net zero supporting data'!T145))*kgtoGg,"ERROR"))</f>
        <v>428.29988181121155</v>
      </c>
      <c r="AD465" s="100">
        <f>IF('Net zero activities &amp; levers'!$C$8="Off",('Activity data'!AW8*EF!$H7)*kgtoGg,IF('Net zero activities &amp; levers'!$C$8="On",(('Net zero supporting data'!U135*EF!$H7)+('Net zero supporting data'!U125*'Net zero supporting data'!U145))*kgtoGg,"ERROR"))</f>
        <v>437.33415258197999</v>
      </c>
      <c r="AE465" s="100">
        <f>IF('Net zero activities &amp; levers'!$C$8="Off",('Activity data'!AX8*EF!$H7)*kgtoGg,IF('Net zero activities &amp; levers'!$C$8="On",(('Net zero supporting data'!V135*EF!$H7)+('Net zero supporting data'!V125*'Net zero supporting data'!V145))*kgtoGg,"ERROR"))</f>
        <v>446.56693863891513</v>
      </c>
      <c r="AF465" s="100">
        <f>IF('Net zero activities &amp; levers'!$C$8="Off",('Activity data'!AY8*EF!$H7)*kgtoGg,IF('Net zero activities &amp; levers'!$C$8="On",(('Net zero supporting data'!W135*EF!$H7)+('Net zero supporting data'!W125*'Net zero supporting data'!W145))*kgtoGg,"ERROR"))</f>
        <v>455.58818996730463</v>
      </c>
      <c r="AG465" s="100">
        <f>IF('Net zero activities &amp; levers'!$C$8="Off",('Activity data'!AZ8*EF!$H7)*kgtoGg,IF('Net zero activities &amp; levers'!$C$8="On",(('Net zero supporting data'!X135*EF!$H7)+('Net zero supporting data'!X125*'Net zero supporting data'!X145))*kgtoGg,"ERROR"))</f>
        <v>465.97101911952939</v>
      </c>
      <c r="AH465" s="100">
        <f>IF('Net zero activities &amp; levers'!$C$8="Off",('Activity data'!BA8*EF!$H7)*kgtoGg,IF('Net zero activities &amp; levers'!$C$8="On",(('Net zero supporting data'!Y135*EF!$H7)+('Net zero supporting data'!Y125*'Net zero supporting data'!Y145))*kgtoGg,"ERROR"))</f>
        <v>473.51059384525979</v>
      </c>
      <c r="AI465" s="100">
        <f>IF('Net zero activities &amp; levers'!$C$8="Off",('Activity data'!BB8*EF!$H7)*kgtoGg,IF('Net zero activities &amp; levers'!$C$8="On",(('Net zero supporting data'!Z135*EF!$H7)+('Net zero supporting data'!Z125*'Net zero supporting data'!Z145))*kgtoGg,"ERROR"))</f>
        <v>481.44023474357368</v>
      </c>
      <c r="AJ465" s="100">
        <f>IF('Net zero activities &amp; levers'!$C$8="Off",('Activity data'!BC8*EF!$H7)*kgtoGg,IF('Net zero activities &amp; levers'!$C$8="On",(('Net zero supporting data'!AA135*EF!$H7)+('Net zero supporting data'!AA125*'Net zero supporting data'!AA145))*kgtoGg,"ERROR"))</f>
        <v>489.05866369902407</v>
      </c>
      <c r="AK465" s="100">
        <f>IF('Net zero activities &amp; levers'!$C$8="Off",('Activity data'!BD8*EF!$H7)*kgtoGg,IF('Net zero activities &amp; levers'!$C$8="On",(('Net zero supporting data'!AB135*EF!$H7)+('Net zero supporting data'!AB125*'Net zero supporting data'!AB145))*kgtoGg,"ERROR"))</f>
        <v>495.31095088166592</v>
      </c>
      <c r="AL465" s="100">
        <f>IF('Net zero activities &amp; levers'!$C$8="Off",('Activity data'!BE8*EF!$H7)*kgtoGg,IF('Net zero activities &amp; levers'!$C$8="On",(('Net zero supporting data'!AC135*EF!$H7)+('Net zero supporting data'!AC125*'Net zero supporting data'!AC145))*kgtoGg,"ERROR"))</f>
        <v>500.93344528969584</v>
      </c>
      <c r="AM465" s="100">
        <f>IF('Net zero activities &amp; levers'!$C$8="Off",('Activity data'!BF8*EF!$H7)*kgtoGg,IF('Net zero activities &amp; levers'!$C$8="On",(('Net zero supporting data'!AD135*EF!$H7)+('Net zero supporting data'!AD125*'Net zero supporting data'!AD145))*kgtoGg,"ERROR"))</f>
        <v>506.53957320423376</v>
      </c>
      <c r="AN465" s="100">
        <f>IF('Net zero activities &amp; levers'!$C$8="Off",('Activity data'!BG8*EF!$H7)*kgtoGg,IF('Net zero activities &amp; levers'!$C$8="On",(('Net zero supporting data'!AE135*EF!$H7)+('Net zero supporting data'!AE125*'Net zero supporting data'!AE145))*kgtoGg,"ERROR"))</f>
        <v>514.70891743368907</v>
      </c>
      <c r="AO465" s="100">
        <f>IF('Net zero activities &amp; levers'!$C$8="Off",('Activity data'!BH8*EF!$H7)*kgtoGg,IF('Net zero activities &amp; levers'!$C$8="On",(('Net zero supporting data'!AF135*EF!$H7)+('Net zero supporting data'!AF125*'Net zero supporting data'!AF145))*kgtoGg,"ERROR"))</f>
        <v>521.4155452915146</v>
      </c>
      <c r="AP465" s="100">
        <f>IF('Net zero activities &amp; levers'!$C$8="Off",('Activity data'!BI8*EF!$H7)*kgtoGg,IF('Net zero activities &amp; levers'!$C$8="On",(('Net zero supporting data'!AG135*EF!$H7)+('Net zero supporting data'!AG125*'Net zero supporting data'!AG145))*kgtoGg,"ERROR"))</f>
        <v>527.87112938168298</v>
      </c>
      <c r="AQ465" s="100">
        <f>IF('Net zero activities &amp; levers'!$C$8="Off",('Activity data'!BJ8*EF!$H7)*kgtoGg,IF('Net zero activities &amp; levers'!$C$8="On",(('Net zero supporting data'!AH135*EF!$H7)+('Net zero supporting data'!AH125*'Net zero supporting data'!AH145))*kgtoGg,"ERROR"))</f>
        <v>534.09559965636163</v>
      </c>
      <c r="AR465" s="100">
        <f>IF('Net zero activities &amp; levers'!$C$8="Off",('Activity data'!BK8*EF!$H7)*kgtoGg,IF('Net zero activities &amp; levers'!$C$8="On",(('Net zero supporting data'!AI135*EF!$H7)+('Net zero supporting data'!AI125*'Net zero supporting data'!AI145))*kgtoGg,"ERROR"))</f>
        <v>540.8785627071029</v>
      </c>
      <c r="AS465" s="100">
        <f>IF('Net zero activities &amp; levers'!$C$8="Off",('Activity data'!BL8*EF!$H7)*kgtoGg,IF('Net zero activities &amp; levers'!$C$8="On",(('Net zero supporting data'!AJ135*EF!$H7)+('Net zero supporting data'!AJ125*'Net zero supporting data'!AJ145))*kgtoGg,"ERROR"))</f>
        <v>547.53325167137086</v>
      </c>
      <c r="AT465" s="100">
        <f>IF('Net zero activities &amp; levers'!$C$8="Off",('Activity data'!BM8*EF!$H7)*kgtoGg,IF('Net zero activities &amp; levers'!$C$8="On",(('Net zero supporting data'!AK135*EF!$H7)+('Net zero supporting data'!AK125*'Net zero supporting data'!AK145))*kgtoGg,"ERROR"))</f>
        <v>546.48520837710271</v>
      </c>
      <c r="AU465" s="100">
        <f>IF('Net zero activities &amp; levers'!$C$8="Off",('Activity data'!BN8*EF!$H7)*kgtoGg,IF('Net zero activities &amp; levers'!$C$8="On",(('Net zero supporting data'!AL135*EF!$H7)+('Net zero supporting data'!AL125*'Net zero supporting data'!AL145))*kgtoGg,"ERROR"))</f>
        <v>544.68499787345149</v>
      </c>
      <c r="AV465" s="100">
        <f>IF('Net zero activities &amp; levers'!$C$8="Off",('Activity data'!BO8*EF!$H7)*kgtoGg,IF('Net zero activities &amp; levers'!$C$8="On",(('Net zero supporting data'!AM135*EF!$H7)+('Net zero supporting data'!AM125*'Net zero supporting data'!AM145))*kgtoGg,"ERROR"))</f>
        <v>543.58284992615211</v>
      </c>
      <c r="AW465" s="100">
        <f>IF('Net zero activities &amp; levers'!$C$8="Off",('Activity data'!BP8*EF!$H7)*kgtoGg,IF('Net zero activities &amp; levers'!$C$8="On",(('Net zero supporting data'!AN135*EF!$H7)+('Net zero supporting data'!AN125*'Net zero supporting data'!AN145))*kgtoGg,"ERROR"))</f>
        <v>541.81073179856571</v>
      </c>
      <c r="AY465" s="85"/>
    </row>
    <row r="466" spans="1:51" x14ac:dyDescent="0.25">
      <c r="A466" s="102" t="str">
        <f t="shared" si="0"/>
        <v>PQ Cattle</v>
      </c>
      <c r="B466" s="102" t="s">
        <v>969</v>
      </c>
      <c r="C466" s="102" t="s">
        <v>1109</v>
      </c>
      <c r="D466" t="s">
        <v>15</v>
      </c>
      <c r="E466" t="s">
        <v>16</v>
      </c>
      <c r="F466" t="s">
        <v>67</v>
      </c>
      <c r="G466" t="s">
        <v>123</v>
      </c>
      <c r="H466" t="s">
        <v>1021</v>
      </c>
      <c r="I466" t="s">
        <v>121</v>
      </c>
      <c r="J466" t="s">
        <v>286</v>
      </c>
      <c r="K466" s="100">
        <f>IF('Net zero activities &amp; levers'!$C$8="Off",('Activity data'!AD9*EF!$H8)*kgtoGg,IF('Net zero activities &amp; levers'!$C$8="On",(('Net zero supporting data'!B136*EF!$H8)+('Net zero supporting data'!B126*'Net zero supporting data'!B146))*kgtoGg,"ERROR"))</f>
        <v>327.80986528142375</v>
      </c>
      <c r="L466" s="100">
        <f>IF('Net zero activities &amp; levers'!$C$8="Off",('Activity data'!AE9*EF!$H8)*kgtoGg,IF('Net zero activities &amp; levers'!$C$8="On",(('Net zero supporting data'!C136*EF!$H8)+('Net zero supporting data'!C126*'Net zero supporting data'!C146))*kgtoGg,"ERROR"))</f>
        <v>326.14091407917653</v>
      </c>
      <c r="M466" s="100">
        <f>IF('Net zero activities &amp; levers'!$C$8="Off",('Activity data'!AF9*EF!$H8)*kgtoGg,IF('Net zero activities &amp; levers'!$C$8="On",(('Net zero supporting data'!D136*EF!$H8)+('Net zero supporting data'!D126*'Net zero supporting data'!D146))*kgtoGg,"ERROR"))</f>
        <v>323.0947724662044</v>
      </c>
      <c r="N466" s="100">
        <f>IF('Net zero activities &amp; levers'!$C$8="Off",('Activity data'!AG9*EF!$H8)*kgtoGg,IF('Net zero activities &amp; levers'!$C$8="On",(('Net zero supporting data'!E136*EF!$H8)+('Net zero supporting data'!E126*'Net zero supporting data'!E146))*kgtoGg,"ERROR"))</f>
        <v>314.75662219842133</v>
      </c>
      <c r="O466" s="100">
        <f>IF('Net zero activities &amp; levers'!$C$8="Off",('Activity data'!AH9*EF!$H8)*kgtoGg,IF('Net zero activities &amp; levers'!$C$8="On",(('Net zero supporting data'!F136*EF!$H8)+('Net zero supporting data'!F126*'Net zero supporting data'!F146))*kgtoGg,"ERROR"))</f>
        <v>306.75121443683565</v>
      </c>
      <c r="P466" s="100">
        <f>IF('Net zero activities &amp; levers'!$C$8="Off",('Activity data'!AI9*EF!$H8)*kgtoGg,IF('Net zero activities &amp; levers'!$C$8="On",(('Net zero supporting data'!G136*EF!$H8)+('Net zero supporting data'!G126*'Net zero supporting data'!G146))*kgtoGg,"ERROR"))</f>
        <v>304.13077767492297</v>
      </c>
      <c r="Q466" s="100">
        <f>IF('Net zero activities &amp; levers'!$C$8="Off",('Activity data'!AJ9*EF!$H8)*kgtoGg,IF('Net zero activities &amp; levers'!$C$8="On",(('Net zero supporting data'!H136*EF!$H8)+('Net zero supporting data'!H126*'Net zero supporting data'!H146))*kgtoGg,"ERROR"))</f>
        <v>299.89849350898703</v>
      </c>
      <c r="R466" s="100">
        <f>IF('Net zero activities &amp; levers'!$C$8="Off",('Activity data'!AK9*EF!$H8)*kgtoGg,IF('Net zero activities &amp; levers'!$C$8="On",(('Net zero supporting data'!I136*EF!$H8)+('Net zero supporting data'!I126*'Net zero supporting data'!I146))*kgtoGg,"ERROR"))</f>
        <v>290.38937532717256</v>
      </c>
      <c r="S466" s="100">
        <f>IF('Net zero activities &amp; levers'!$C$8="Off",('Activity data'!AL9*EF!$H8)*kgtoGg,IF('Net zero activities &amp; levers'!$C$8="On",(('Net zero supporting data'!J136*EF!$H8)+('Net zero supporting data'!J126*'Net zero supporting data'!J146))*kgtoGg,"ERROR"))</f>
        <v>258.48530728280883</v>
      </c>
      <c r="T466" s="100">
        <f>IF('Net zero activities &amp; levers'!$C$8="Off",('Activity data'!AM9*EF!$H8)*kgtoGg,IF('Net zero activities &amp; levers'!$C$8="On",(('Net zero supporting data'!K136*EF!$H8)+('Net zero supporting data'!K126*'Net zero supporting data'!K146))*kgtoGg,"ERROR"))</f>
        <v>264.68528926045656</v>
      </c>
      <c r="U466" s="100">
        <f>IF('Net zero activities &amp; levers'!$C$8="Off",('Activity data'!AN9*EF!$H8)*kgtoGg,IF('Net zero activities &amp; levers'!$C$8="On",(('Net zero supporting data'!L136*EF!$H8)+('Net zero supporting data'!L126*'Net zero supporting data'!L146))*kgtoGg,"ERROR"))</f>
        <v>267.75616417782629</v>
      </c>
      <c r="V466" s="100">
        <f>IF('Net zero activities &amp; levers'!$C$8="Off",('Activity data'!AO9*EF!$H8)*kgtoGg,IF('Net zero activities &amp; levers'!$C$8="On",(('Net zero supporting data'!M136*EF!$H8)+('Net zero supporting data'!M126*'Net zero supporting data'!M146))*kgtoGg,"ERROR"))</f>
        <v>269.91694962163194</v>
      </c>
      <c r="W466" s="100">
        <f>IF('Net zero activities &amp; levers'!$C$8="Off",('Activity data'!AP9*EF!$H8)*kgtoGg,IF('Net zero activities &amp; levers'!$C$8="On",(('Net zero supporting data'!N136*EF!$H8)+('Net zero supporting data'!N126*'Net zero supporting data'!N146))*kgtoGg,"ERROR"))</f>
        <v>272.80723538692786</v>
      </c>
      <c r="X466" s="100">
        <f>IF('Net zero activities &amp; levers'!$C$8="Off",('Activity data'!AQ9*EF!$H8)*kgtoGg,IF('Net zero activities &amp; levers'!$C$8="On",(('Net zero supporting data'!O136*EF!$H8)+('Net zero supporting data'!O126*'Net zero supporting data'!O146))*kgtoGg,"ERROR"))</f>
        <v>278.82672682212683</v>
      </c>
      <c r="Y466" s="100">
        <f>IF('Net zero activities &amp; levers'!$C$8="Off",('Activity data'!AR9*EF!$H8)*kgtoGg,IF('Net zero activities &amp; levers'!$C$8="On",(('Net zero supporting data'!P136*EF!$H8)+('Net zero supporting data'!P126*'Net zero supporting data'!P146))*kgtoGg,"ERROR"))</f>
        <v>285.29358000535871</v>
      </c>
      <c r="Z466" s="100">
        <f>IF('Net zero activities &amp; levers'!$C$8="Off",('Activity data'!AS9*EF!$H8)*kgtoGg,IF('Net zero activities &amp; levers'!$C$8="On",(('Net zero supporting data'!Q136*EF!$H8)+('Net zero supporting data'!Q126*'Net zero supporting data'!Q146))*kgtoGg,"ERROR"))</f>
        <v>292.23049099636097</v>
      </c>
      <c r="AA466" s="100">
        <f>IF('Net zero activities &amp; levers'!$C$8="Off",('Activity data'!AT9*EF!$H8)*kgtoGg,IF('Net zero activities &amp; levers'!$C$8="On",(('Net zero supporting data'!R136*EF!$H8)+('Net zero supporting data'!R126*'Net zero supporting data'!R146))*kgtoGg,"ERROR"))</f>
        <v>297.45902445115496</v>
      </c>
      <c r="AB466" s="100">
        <f>IF('Net zero activities &amp; levers'!$C$8="Off",('Activity data'!AU9*EF!$H8)*kgtoGg,IF('Net zero activities &amp; levers'!$C$8="On",(('Net zero supporting data'!S136*EF!$H8)+('Net zero supporting data'!S126*'Net zero supporting data'!S146))*kgtoGg,"ERROR"))</f>
        <v>303.83185158424311</v>
      </c>
      <c r="AC466" s="100">
        <f>IF('Net zero activities &amp; levers'!$C$8="Off",('Activity data'!AV9*EF!$H8)*kgtoGg,IF('Net zero activities &amp; levers'!$C$8="On",(('Net zero supporting data'!T136*EF!$H8)+('Net zero supporting data'!T126*'Net zero supporting data'!T146))*kgtoGg,"ERROR"))</f>
        <v>311.63242693691058</v>
      </c>
      <c r="AD466" s="100">
        <f>IF('Net zero activities &amp; levers'!$C$8="Off",('Activity data'!AW9*EF!$H8)*kgtoGg,IF('Net zero activities &amp; levers'!$C$8="On",(('Net zero supporting data'!U136*EF!$H8)+('Net zero supporting data'!U126*'Net zero supporting data'!U146))*kgtoGg,"ERROR"))</f>
        <v>317.01509387801195</v>
      </c>
      <c r="AE466" s="100">
        <f>IF('Net zero activities &amp; levers'!$C$8="Off",('Activity data'!AX9*EF!$H8)*kgtoGg,IF('Net zero activities &amp; levers'!$C$8="On",(('Net zero supporting data'!V136*EF!$H8)+('Net zero supporting data'!V126*'Net zero supporting data'!V146))*kgtoGg,"ERROR"))</f>
        <v>322.53342439529871</v>
      </c>
      <c r="AF466" s="100">
        <f>IF('Net zero activities &amp; levers'!$C$8="Off",('Activity data'!AY9*EF!$H8)*kgtoGg,IF('Net zero activities &amp; levers'!$C$8="On",(('Net zero supporting data'!W136*EF!$H8)+('Net zero supporting data'!W126*'Net zero supporting data'!W146))*kgtoGg,"ERROR"))</f>
        <v>327.89223167468407</v>
      </c>
      <c r="AG466" s="100">
        <f>IF('Net zero activities &amp; levers'!$C$8="Off",('Activity data'!AZ9*EF!$H8)*kgtoGg,IF('Net zero activities &amp; levers'!$C$8="On",(('Net zero supporting data'!X136*EF!$H8)+('Net zero supporting data'!X126*'Net zero supporting data'!X146))*kgtoGg,"ERROR"))</f>
        <v>334.22343260777399</v>
      </c>
      <c r="AH466" s="100">
        <f>IF('Net zero activities &amp; levers'!$C$8="Off",('Activity data'!BA9*EF!$H8)*kgtoGg,IF('Net zero activities &amp; levers'!$C$8="On",(('Net zero supporting data'!Y136*EF!$H8)+('Net zero supporting data'!Y126*'Net zero supporting data'!Y146))*kgtoGg,"ERROR"))</f>
        <v>338.51181118273638</v>
      </c>
      <c r="AI466" s="100">
        <f>IF('Net zero activities &amp; levers'!$C$8="Off",('Activity data'!BB9*EF!$H8)*kgtoGg,IF('Net zero activities &amp; levers'!$C$8="On",(('Net zero supporting data'!Z136*EF!$H8)+('Net zero supporting data'!Z126*'Net zero supporting data'!Z146))*kgtoGg,"ERROR"))</f>
        <v>343.08366184769272</v>
      </c>
      <c r="AJ466" s="100">
        <f>IF('Net zero activities &amp; levers'!$C$8="Off",('Activity data'!BC9*EF!$H8)*kgtoGg,IF('Net zero activities &amp; levers'!$C$8="On",(('Net zero supporting data'!AA136*EF!$H8)+('Net zero supporting data'!AA126*'Net zero supporting data'!AA146))*kgtoGg,"ERROR"))</f>
        <v>347.4391523024338</v>
      </c>
      <c r="AK466" s="100">
        <f>IF('Net zero activities &amp; levers'!$C$8="Off",('Activity data'!BD9*EF!$H8)*kgtoGg,IF('Net zero activities &amp; levers'!$C$8="On",(('Net zero supporting data'!AB136*EF!$H8)+('Net zero supporting data'!AB126*'Net zero supporting data'!AB146))*kgtoGg,"ERROR"))</f>
        <v>350.83413711760687</v>
      </c>
      <c r="AL466" s="100">
        <f>IF('Net zero activities &amp; levers'!$C$8="Off",('Activity data'!BE9*EF!$H8)*kgtoGg,IF('Net zero activities &amp; levers'!$C$8="On",(('Net zero supporting data'!AC136*EF!$H8)+('Net zero supporting data'!AC126*'Net zero supporting data'!AC146))*kgtoGg,"ERROR"))</f>
        <v>353.79826490858949</v>
      </c>
      <c r="AM466" s="100">
        <f>IF('Net zero activities &amp; levers'!$C$8="Off",('Activity data'!BF9*EF!$H8)*kgtoGg,IF('Net zero activities &amp; levers'!$C$8="On",(('Net zero supporting data'!AD136*EF!$H8)+('Net zero supporting data'!AD126*'Net zero supporting data'!AD146))*kgtoGg,"ERROR"))</f>
        <v>356.76805641204953</v>
      </c>
      <c r="AN466" s="100">
        <f>IF('Net zero activities &amp; levers'!$C$8="Off",('Activity data'!BG9*EF!$H8)*kgtoGg,IF('Net zero activities &amp; levers'!$C$8="On",(('Net zero supporting data'!AE136*EF!$H8)+('Net zero supporting data'!AE126*'Net zero supporting data'!AE146))*kgtoGg,"ERROR"))</f>
        <v>362.52127060997498</v>
      </c>
      <c r="AO466" s="100">
        <f>IF('Net zero activities &amp; levers'!$C$8="Off",('Activity data'!BH9*EF!$H8)*kgtoGg,IF('Net zero activities &amp; levers'!$C$8="On",(('Net zero supporting data'!AF136*EF!$H8)+('Net zero supporting data'!AF126*'Net zero supporting data'!AF146))*kgtoGg,"ERROR"))</f>
        <v>367.24423940535132</v>
      </c>
      <c r="AP466" s="100">
        <f>IF('Net zero activities &amp; levers'!$C$8="Off",('Activity data'!BI9*EF!$H8)*kgtoGg,IF('Net zero activities &amp; levers'!$C$8="On",(('Net zero supporting data'!AG136*EF!$H8)+('Net zero supporting data'!AG126*'Net zero supporting data'!AG146))*kgtoGg,"ERROR"))</f>
        <v>371.7903778878287</v>
      </c>
      <c r="AQ466" s="100">
        <f>IF('Net zero activities &amp; levers'!$C$8="Off",('Activity data'!BJ9*EF!$H8)*kgtoGg,IF('Net zero activities &amp; levers'!$C$8="On",(('Net zero supporting data'!AH136*EF!$H8)+('Net zero supporting data'!AH126*'Net zero supporting data'!AH146))*kgtoGg,"ERROR"))</f>
        <v>376.17372423346654</v>
      </c>
      <c r="AR466" s="100">
        <f>IF('Net zero activities &amp; levers'!$C$8="Off",('Activity data'!BK9*EF!$H8)*kgtoGg,IF('Net zero activities &amp; levers'!$C$8="On",(('Net zero supporting data'!AI136*EF!$H8)+('Net zero supporting data'!AI126*'Net zero supporting data'!AI146))*kgtoGg,"ERROR"))</f>
        <v>380.95041562075573</v>
      </c>
      <c r="AS466" s="100">
        <f>IF('Net zero activities &amp; levers'!$C$8="Off",('Activity data'!BL9*EF!$H8)*kgtoGg,IF('Net zero activities &amp; levers'!$C$8="On",(('Net zero supporting data'!AJ136*EF!$H8)+('Net zero supporting data'!AJ126*'Net zero supporting data'!AJ146))*kgtoGg,"ERROR"))</f>
        <v>385.63674677672003</v>
      </c>
      <c r="AT466" s="100">
        <f>IF('Net zero activities &amp; levers'!$C$8="Off",('Activity data'!BM9*EF!$H8)*kgtoGg,IF('Net zero activities &amp; levers'!$C$8="On",(('Net zero supporting data'!AK136*EF!$H8)+('Net zero supporting data'!AK126*'Net zero supporting data'!AK146))*kgtoGg,"ERROR"))</f>
        <v>384.89789112774429</v>
      </c>
      <c r="AU466" s="100">
        <f>IF('Net zero activities &amp; levers'!$C$8="Off",('Activity data'!BN9*EF!$H8)*kgtoGg,IF('Net zero activities &amp; levers'!$C$8="On",(('Net zero supporting data'!AL136*EF!$H8)+('Net zero supporting data'!AL126*'Net zero supporting data'!AL146))*kgtoGg,"ERROR"))</f>
        <v>383.62927774373173</v>
      </c>
      <c r="AV466" s="100">
        <f>IF('Net zero activities &amp; levers'!$C$8="Off",('Activity data'!BO9*EF!$H8)*kgtoGg,IF('Net zero activities &amp; levers'!$C$8="On",(('Net zero supporting data'!AM136*EF!$H8)+('Net zero supporting data'!AM126*'Net zero supporting data'!AM146))*kgtoGg,"ERROR"))</f>
        <v>382.85232865662891</v>
      </c>
      <c r="AW466" s="100">
        <f>IF('Net zero activities &amp; levers'!$C$8="Off",('Activity data'!BP9*EF!$H8)*kgtoGg,IF('Net zero activities &amp; levers'!$C$8="On",(('Net zero supporting data'!AN136*EF!$H8)+('Net zero supporting data'!AN126*'Net zero supporting data'!AN146))*kgtoGg,"ERROR"))</f>
        <v>381.60351635674846</v>
      </c>
      <c r="AY466" s="85"/>
    </row>
    <row r="467" spans="1:51" x14ac:dyDescent="0.25">
      <c r="A467" s="102" t="str">
        <f t="shared" si="0"/>
        <v>PQ Cattle</v>
      </c>
      <c r="B467" s="102" t="s">
        <v>969</v>
      </c>
      <c r="C467" s="102" t="s">
        <v>1109</v>
      </c>
      <c r="D467" t="s">
        <v>15</v>
      </c>
      <c r="E467" t="s">
        <v>16</v>
      </c>
      <c r="F467" t="s">
        <v>67</v>
      </c>
      <c r="G467" t="s">
        <v>135</v>
      </c>
      <c r="H467" t="s">
        <v>1021</v>
      </c>
      <c r="I467" t="s">
        <v>121</v>
      </c>
      <c r="J467" t="s">
        <v>286</v>
      </c>
      <c r="K467" s="100">
        <f>IF('Net zero activities &amp; levers'!$C$8="Off",('Activity data'!AD10*EF!$H9)*kgtoGg,IF('Net zero activities &amp; levers'!$C$8="On",(('Net zero supporting data'!B137*EF!$H9)+('Net zero supporting data'!B127*'Net zero supporting data'!B147))*kgtoGg,"ERROR"))</f>
        <v>31.983141266454435</v>
      </c>
      <c r="L467" s="100">
        <f>IF('Net zero activities &amp; levers'!$C$8="Off",('Activity data'!AE10*EF!$H9)*kgtoGg,IF('Net zero activities &amp; levers'!$C$8="On",(('Net zero supporting data'!C137*EF!$H9)+('Net zero supporting data'!C127*'Net zero supporting data'!C147))*kgtoGg,"ERROR"))</f>
        <v>33.176305480896438</v>
      </c>
      <c r="M467" s="100">
        <f>IF('Net zero activities &amp; levers'!$C$8="Off",('Activity data'!AF10*EF!$H9)*kgtoGg,IF('Net zero activities &amp; levers'!$C$8="On",(('Net zero supporting data'!D137*EF!$H9)+('Net zero supporting data'!D127*'Net zero supporting data'!D147))*kgtoGg,"ERROR"))</f>
        <v>34.248209769984797</v>
      </c>
      <c r="N467" s="100">
        <f>IF('Net zero activities &amp; levers'!$C$8="Off",('Activity data'!AG10*EF!$H9)*kgtoGg,IF('Net zero activities &amp; levers'!$C$8="On",(('Net zero supporting data'!E137*EF!$H9)+('Net zero supporting data'!E127*'Net zero supporting data'!E147))*kgtoGg,"ERROR"))</f>
        <v>34.751225456913808</v>
      </c>
      <c r="O467" s="100">
        <f>IF('Net zero activities &amp; levers'!$C$8="Off",('Activity data'!AH10*EF!$H9)*kgtoGg,IF('Net zero activities &amp; levers'!$C$8="On",(('Net zero supporting data'!F137*EF!$H9)+('Net zero supporting data'!F127*'Net zero supporting data'!F147))*kgtoGg,"ERROR"))</f>
        <v>35.261937727399058</v>
      </c>
      <c r="P467" s="100">
        <f>IF('Net zero activities &amp; levers'!$C$8="Off",('Activity data'!AI10*EF!$H9)*kgtoGg,IF('Net zero activities &amp; levers'!$C$8="On",(('Net zero supporting data'!G137*EF!$H9)+('Net zero supporting data'!G127*'Net zero supporting data'!G147))*kgtoGg,"ERROR"))</f>
        <v>36.389263474395328</v>
      </c>
      <c r="Q467" s="100">
        <f>IF('Net zero activities &amp; levers'!$C$8="Off",('Activity data'!AJ10*EF!$H9)*kgtoGg,IF('Net zero activities &amp; levers'!$C$8="On",(('Net zero supporting data'!H137*EF!$H9)+('Net zero supporting data'!H127*'Net zero supporting data'!H147))*kgtoGg,"ERROR"))</f>
        <v>37.34016796495505</v>
      </c>
      <c r="R467" s="100">
        <f>IF('Net zero activities &amp; levers'!$C$8="Off",('Activity data'!AK10*EF!$H9)*kgtoGg,IF('Net zero activities &amp; levers'!$C$8="On",(('Net zero supporting data'!I137*EF!$H9)+('Net zero supporting data'!I127*'Net zero supporting data'!I147))*kgtoGg,"ERROR"))</f>
        <v>37.617758099633058</v>
      </c>
      <c r="S467" s="100">
        <f>IF('Net zero activities &amp; levers'!$C$8="Off",('Activity data'!AL10*EF!$H9)*kgtoGg,IF('Net zero activities &amp; levers'!$C$8="On",(('Net zero supporting data'!J137*EF!$H9)+('Net zero supporting data'!J127*'Net zero supporting data'!J147))*kgtoGg,"ERROR"))</f>
        <v>34.833912391780601</v>
      </c>
      <c r="T467" s="100">
        <f>IF('Net zero activities &amp; levers'!$C$8="Off",('Activity data'!AM10*EF!$H9)*kgtoGg,IF('Net zero activities &amp; levers'!$C$8="On",(('Net zero supporting data'!K137*EF!$H9)+('Net zero supporting data'!K127*'Net zero supporting data'!K147))*kgtoGg,"ERROR"))</f>
        <v>36.494580646141046</v>
      </c>
      <c r="U467" s="100">
        <f>IF('Net zero activities &amp; levers'!$C$8="Off",('Activity data'!AN10*EF!$H9)*kgtoGg,IF('Net zero activities &amp; levers'!$C$8="On",(('Net zero supporting data'!L137*EF!$H9)+('Net zero supporting data'!L127*'Net zero supporting data'!L147))*kgtoGg,"ERROR"))</f>
        <v>37.700145939013481</v>
      </c>
      <c r="V467" s="100">
        <f>IF('Net zero activities &amp; levers'!$C$8="Off",('Activity data'!AO10*EF!$H9)*kgtoGg,IF('Net zero activities &amp; levers'!$C$8="On",(('Net zero supporting data'!M137*EF!$H9)+('Net zero supporting data'!M127*'Net zero supporting data'!M147))*kgtoGg,"ERROR"))</f>
        <v>38.739424490335608</v>
      </c>
      <c r="W467" s="100">
        <f>IF('Net zero activities &amp; levers'!$C$8="Off",('Activity data'!AP10*EF!$H9)*kgtoGg,IF('Net zero activities &amp; levers'!$C$8="On",(('Net zero supporting data'!N137*EF!$H9)+('Net zero supporting data'!N127*'Net zero supporting data'!N147))*kgtoGg,"ERROR"))</f>
        <v>39.842567076183904</v>
      </c>
      <c r="X467" s="100">
        <f>IF('Net zero activities &amp; levers'!$C$8="Off",('Activity data'!AQ10*EF!$H9)*kgtoGg,IF('Net zero activities &amp; levers'!$C$8="On",(('Net zero supporting data'!O137*EF!$H9)+('Net zero supporting data'!O127*'Net zero supporting data'!O147))*kgtoGg,"ERROR"))</f>
        <v>41.368609586893996</v>
      </c>
      <c r="Y467" s="100">
        <f>IF('Net zero activities &amp; levers'!$C$8="Off",('Activity data'!AR10*EF!$H9)*kgtoGg,IF('Net zero activities &amp; levers'!$C$8="On",(('Net zero supporting data'!P137*EF!$H9)+('Net zero supporting data'!P127*'Net zero supporting data'!P147))*kgtoGg,"ERROR"))</f>
        <v>42.93123963382746</v>
      </c>
      <c r="Z467" s="100">
        <f>IF('Net zero activities &amp; levers'!$C$8="Off",('Activity data'!AS10*EF!$H9)*kgtoGg,IF('Net zero activities &amp; levers'!$C$8="On",(('Net zero supporting data'!Q137*EF!$H9)+('Net zero supporting data'!Q127*'Net zero supporting data'!Q147))*kgtoGg,"ERROR"))</f>
        <v>44.531796937653972</v>
      </c>
      <c r="AA467" s="100">
        <f>IF('Net zero activities &amp; levers'!$C$8="Off",('Activity data'!AT10*EF!$H9)*kgtoGg,IF('Net zero activities &amp; levers'!$C$8="On",(('Net zero supporting data'!R137*EF!$H9)+('Net zero supporting data'!R127*'Net zero supporting data'!R147))*kgtoGg,"ERROR"))</f>
        <v>45.832178809601054</v>
      </c>
      <c r="AB467" s="100">
        <f>IF('Net zero activities &amp; levers'!$C$8="Off",('Activity data'!AU10*EF!$H9)*kgtoGg,IF('Net zero activities &amp; levers'!$C$8="On",(('Net zero supporting data'!S137*EF!$H9)+('Net zero supporting data'!S127*'Net zero supporting data'!S147))*kgtoGg,"ERROR"))</f>
        <v>47.262958351646155</v>
      </c>
      <c r="AC467" s="100">
        <f>IF('Net zero activities &amp; levers'!$C$8="Off",('Activity data'!AV10*EF!$H9)*kgtoGg,IF('Net zero activities &amp; levers'!$C$8="On",(('Net zero supporting data'!T137*EF!$H9)+('Net zero supporting data'!T127*'Net zero supporting data'!T147))*kgtoGg,"ERROR"))</f>
        <v>48.868419085169528</v>
      </c>
      <c r="AD467" s="100">
        <f>IF('Net zero activities &amp; levers'!$C$8="Off",('Activity data'!AW10*EF!$H9)*kgtoGg,IF('Net zero activities &amp; levers'!$C$8="On",(('Net zero supporting data'!U137*EF!$H9)+('Net zero supporting data'!U127*'Net zero supporting data'!U147))*kgtoGg,"ERROR"))</f>
        <v>51.577794436565107</v>
      </c>
      <c r="AE467" s="100">
        <f>IF('Net zero activities &amp; levers'!$C$8="Off",('Activity data'!AX10*EF!$H9)*kgtoGg,IF('Net zero activities &amp; levers'!$C$8="On",(('Net zero supporting data'!V137*EF!$H9)+('Net zero supporting data'!V127*'Net zero supporting data'!V147))*kgtoGg,"ERROR"))</f>
        <v>54.441481445543957</v>
      </c>
      <c r="AF467" s="100">
        <f>IF('Net zero activities &amp; levers'!$C$8="Off",('Activity data'!AY10*EF!$H9)*kgtoGg,IF('Net zero activities &amp; levers'!$C$8="On",(('Net zero supporting data'!W137*EF!$H9)+('Net zero supporting data'!W127*'Net zero supporting data'!W147))*kgtoGg,"ERROR"))</f>
        <v>57.417476916149418</v>
      </c>
      <c r="AG467" s="100">
        <f>IF('Net zero activities &amp; levers'!$C$8="Off",('Activity data'!AZ10*EF!$H9)*kgtoGg,IF('Net zero activities &amp; levers'!$C$8="On",(('Net zero supporting data'!X137*EF!$H9)+('Net zero supporting data'!X127*'Net zero supporting data'!X147))*kgtoGg,"ERROR"))</f>
        <v>60.715685244790684</v>
      </c>
      <c r="AH467" s="100">
        <f>IF('Net zero activities &amp; levers'!$C$8="Off",('Activity data'!BA10*EF!$H9)*kgtoGg,IF('Net zero activities &amp; levers'!$C$8="On",(('Net zero supporting data'!Y137*EF!$H9)+('Net zero supporting data'!Y127*'Net zero supporting data'!Y147))*kgtoGg,"ERROR"))</f>
        <v>63.796362269688451</v>
      </c>
      <c r="AI467" s="100">
        <f>IF('Net zero activities &amp; levers'!$C$8="Off",('Activity data'!BB10*EF!$H9)*kgtoGg,IF('Net zero activities &amp; levers'!$C$8="On",(('Net zero supporting data'!Z137*EF!$H9)+('Net zero supporting data'!Z127*'Net zero supporting data'!Z147))*kgtoGg,"ERROR"))</f>
        <v>67.080020982550366</v>
      </c>
      <c r="AJ467" s="100">
        <f>IF('Net zero activities &amp; levers'!$C$8="Off",('Activity data'!BC10*EF!$H9)*kgtoGg,IF('Net zero activities &amp; levers'!$C$8="On",(('Net zero supporting data'!AA137*EF!$H9)+('Net zero supporting data'!AA127*'Net zero supporting data'!AA147))*kgtoGg,"ERROR"))</f>
        <v>70.480023974737136</v>
      </c>
      <c r="AK467" s="100">
        <f>IF('Net zero activities &amp; levers'!$C$8="Off",('Activity data'!BD10*EF!$H9)*kgtoGg,IF('Net zero activities &amp; levers'!$C$8="On",(('Net zero supporting data'!AB137*EF!$H9)+('Net zero supporting data'!AB127*'Net zero supporting data'!AB147))*kgtoGg,"ERROR"))</f>
        <v>73.844232234895429</v>
      </c>
      <c r="AL467" s="100">
        <f>IF('Net zero activities &amp; levers'!$C$8="Off",('Activity data'!BE10*EF!$H9)*kgtoGg,IF('Net zero activities &amp; levers'!$C$8="On",(('Net zero supporting data'!AC137*EF!$H9)+('Net zero supporting data'!AC127*'Net zero supporting data'!AC147))*kgtoGg,"ERROR"))</f>
        <v>77.275178961108438</v>
      </c>
      <c r="AM467" s="100">
        <f>IF('Net zero activities &amp; levers'!$C$8="Off",('Activity data'!BF10*EF!$H9)*kgtoGg,IF('Net zero activities &amp; levers'!$C$8="On",(('Net zero supporting data'!AD137*EF!$H9)+('Net zero supporting data'!AD127*'Net zero supporting data'!AD147))*kgtoGg,"ERROR"))</f>
        <v>80.870708853884864</v>
      </c>
      <c r="AN467" s="100">
        <f>IF('Net zero activities &amp; levers'!$C$8="Off",('Activity data'!BG10*EF!$H9)*kgtoGg,IF('Net zero activities &amp; levers'!$C$8="On",(('Net zero supporting data'!AE137*EF!$H9)+('Net zero supporting data'!AE127*'Net zero supporting data'!AE147))*kgtoGg,"ERROR"))</f>
        <v>84.506840230784988</v>
      </c>
      <c r="AO467" s="100">
        <f>IF('Net zero activities &amp; levers'!$C$8="Off",('Activity data'!BH10*EF!$H9)*kgtoGg,IF('Net zero activities &amp; levers'!$C$8="On",(('Net zero supporting data'!AF137*EF!$H9)+('Net zero supporting data'!AF127*'Net zero supporting data'!AF147))*kgtoGg,"ERROR"))</f>
        <v>88.045773185141144</v>
      </c>
      <c r="AP467" s="100">
        <f>IF('Net zero activities &amp; levers'!$C$8="Off",('Activity data'!BI10*EF!$H9)*kgtoGg,IF('Net zero activities &amp; levers'!$C$8="On",(('Net zero supporting data'!AG137*EF!$H9)+('Net zero supporting data'!AG127*'Net zero supporting data'!AG147))*kgtoGg,"ERROR"))</f>
        <v>91.683976074167546</v>
      </c>
      <c r="AQ467" s="100">
        <f>IF('Net zero activities &amp; levers'!$C$8="Off",('Activity data'!BJ10*EF!$H9)*kgtoGg,IF('Net zero activities &amp; levers'!$C$8="On",(('Net zero supporting data'!AH137*EF!$H9)+('Net zero supporting data'!AH127*'Net zero supporting data'!AH147))*kgtoGg,"ERROR"))</f>
        <v>95.428370974671793</v>
      </c>
      <c r="AR467" s="100">
        <f>IF('Net zero activities &amp; levers'!$C$8="Off",('Activity data'!BK10*EF!$H9)*kgtoGg,IF('Net zero activities &amp; levers'!$C$8="On",(('Net zero supporting data'!AI137*EF!$H9)+('Net zero supporting data'!AI127*'Net zero supporting data'!AI147))*kgtoGg,"ERROR"))</f>
        <v>99.427889234123555</v>
      </c>
      <c r="AS467" s="100">
        <f>IF('Net zero activities &amp; levers'!$C$8="Off",('Activity data'!BL10*EF!$H9)*kgtoGg,IF('Net zero activities &amp; levers'!$C$8="On",(('Net zero supporting data'!AJ137*EF!$H9)+('Net zero supporting data'!AJ127*'Net zero supporting data'!AJ147))*kgtoGg,"ERROR"))</f>
        <v>103.56946494725747</v>
      </c>
      <c r="AT467" s="100">
        <f>IF('Net zero activities &amp; levers'!$C$8="Off",('Activity data'!BM10*EF!$H9)*kgtoGg,IF('Net zero activities &amp; levers'!$C$8="On",(('Net zero supporting data'!AK137*EF!$H9)+('Net zero supporting data'!AK127*'Net zero supporting data'!AK147))*kgtoGg,"ERROR"))</f>
        <v>106.38608928007956</v>
      </c>
      <c r="AU467" s="100">
        <f>IF('Net zero activities &amp; levers'!$C$8="Off",('Activity data'!BN10*EF!$H9)*kgtoGg,IF('Net zero activities &amp; levers'!$C$8="On",(('Net zero supporting data'!AL137*EF!$H9)+('Net zero supporting data'!AL127*'Net zero supporting data'!AL147))*kgtoGg,"ERROR"))</f>
        <v>109.14686856247337</v>
      </c>
      <c r="AV467" s="100">
        <f>IF('Net zero activities &amp; levers'!$C$8="Off",('Activity data'!BO10*EF!$H9)*kgtoGg,IF('Net zero activities &amp; levers'!$C$8="On",(('Net zero supporting data'!AM137*EF!$H9)+('Net zero supporting data'!AM127*'Net zero supporting data'!AM147))*kgtoGg,"ERROR"))</f>
        <v>112.14250961720651</v>
      </c>
      <c r="AW467" s="100">
        <f>IF('Net zero activities &amp; levers'!$C$8="Off",('Activity data'!BP10*EF!$H9)*kgtoGg,IF('Net zero activities &amp; levers'!$C$8="On",(('Net zero supporting data'!AN137*EF!$H9)+('Net zero supporting data'!AN127*'Net zero supporting data'!AN147))*kgtoGg,"ERROR"))</f>
        <v>115.10035247669269</v>
      </c>
      <c r="AY467" s="85"/>
    </row>
    <row r="468" spans="1:51" x14ac:dyDescent="0.25">
      <c r="A468" s="102" t="str">
        <f t="shared" si="0"/>
        <v>PQ Sheep</v>
      </c>
      <c r="B468" s="102" t="s">
        <v>969</v>
      </c>
      <c r="C468" s="102" t="s">
        <v>152</v>
      </c>
      <c r="D468" t="s">
        <v>15</v>
      </c>
      <c r="E468" t="s">
        <v>16</v>
      </c>
      <c r="F468" t="s">
        <v>18</v>
      </c>
      <c r="G468" t="s">
        <v>122</v>
      </c>
      <c r="H468" t="s">
        <v>1021</v>
      </c>
      <c r="I468" t="s">
        <v>121</v>
      </c>
      <c r="J468" t="s">
        <v>286</v>
      </c>
      <c r="K468" s="100">
        <f>IF('Net zero activities &amp; levers'!$C$8="Off",('Activity data'!AD11*EF!$H10)*kgtoGg,IF('Net zero activities &amp; levers'!$C$8="On",(('Net zero supporting data'!B138*EF!$H10)+('Net zero supporting data'!B128*'Net zero supporting data'!B148))*kgtoGg,"ERROR"))</f>
        <v>132.57119038642557</v>
      </c>
      <c r="L468" s="100">
        <f>IF('Net zero activities &amp; levers'!$C$8="Off",('Activity data'!AE11*EF!$H10)*kgtoGg,IF('Net zero activities &amp; levers'!$C$8="On",(('Net zero supporting data'!C138*EF!$H10)+('Net zero supporting data'!C128*'Net zero supporting data'!C148))*kgtoGg,"ERROR"))</f>
        <v>132.64273653065254</v>
      </c>
      <c r="M468" s="100">
        <f>IF('Net zero activities &amp; levers'!$C$8="Off",('Activity data'!AF11*EF!$H10)*kgtoGg,IF('Net zero activities &amp; levers'!$C$8="On",(('Net zero supporting data'!D138*EF!$H10)+('Net zero supporting data'!D128*'Net zero supporting data'!D148))*kgtoGg,"ERROR"))</f>
        <v>132.80721501621684</v>
      </c>
      <c r="N468" s="100">
        <f>IF('Net zero activities &amp; levers'!$C$8="Off",('Activity data'!AG11*EF!$H10)*kgtoGg,IF('Net zero activities &amp; levers'!$C$8="On",(('Net zero supporting data'!E138*EF!$H10)+('Net zero supporting data'!E128*'Net zero supporting data'!E148))*kgtoGg,"ERROR"))</f>
        <v>133.051398651531</v>
      </c>
      <c r="O468" s="100">
        <f>IF('Net zero activities &amp; levers'!$C$8="Off",('Activity data'!AH11*EF!$H10)*kgtoGg,IF('Net zero activities &amp; levers'!$C$8="On",(('Net zero supporting data'!F138*EF!$H10)+('Net zero supporting data'!F128*'Net zero supporting data'!F148))*kgtoGg,"ERROR"))</f>
        <v>133.38098001143086</v>
      </c>
      <c r="P468" s="100">
        <f>IF('Net zero activities &amp; levers'!$C$8="Off",('Activity data'!AI11*EF!$H10)*kgtoGg,IF('Net zero activities &amp; levers'!$C$8="On",(('Net zero supporting data'!G138*EF!$H10)+('Net zero supporting data'!G128*'Net zero supporting data'!G148))*kgtoGg,"ERROR"))</f>
        <v>133.80258277876908</v>
      </c>
      <c r="Q468" s="100">
        <f>IF('Net zero activities &amp; levers'!$C$8="Off",('Activity data'!AJ11*EF!$H10)*kgtoGg,IF('Net zero activities &amp; levers'!$C$8="On",(('Net zero supporting data'!H138*EF!$H10)+('Net zero supporting data'!H128*'Net zero supporting data'!H148))*kgtoGg,"ERROR"))</f>
        <v>134.26714516921325</v>
      </c>
      <c r="R468" s="100">
        <f>IF('Net zero activities &amp; levers'!$C$8="Off",('Activity data'!AK11*EF!$H10)*kgtoGg,IF('Net zero activities &amp; levers'!$C$8="On",(('Net zero supporting data'!I138*EF!$H10)+('Net zero supporting data'!I128*'Net zero supporting data'!I148))*kgtoGg,"ERROR"))</f>
        <v>134.76745179695249</v>
      </c>
      <c r="S468" s="100">
        <f>IF('Net zero activities &amp; levers'!$C$8="Off",('Activity data'!AL11*EF!$H10)*kgtoGg,IF('Net zero activities &amp; levers'!$C$8="On",(('Net zero supporting data'!J138*EF!$H10)+('Net zero supporting data'!J128*'Net zero supporting data'!J148))*kgtoGg,"ERROR"))</f>
        <v>135.2631261954914</v>
      </c>
      <c r="T468" s="100">
        <f>IF('Net zero activities &amp; levers'!$C$8="Off",('Activity data'!AM11*EF!$H10)*kgtoGg,IF('Net zero activities &amp; levers'!$C$8="On",(('Net zero supporting data'!K138*EF!$H10)+('Net zero supporting data'!K128*'Net zero supporting data'!K148))*kgtoGg,"ERROR"))</f>
        <v>135.34412297600852</v>
      </c>
      <c r="U468" s="100">
        <f>IF('Net zero activities &amp; levers'!$C$8="Off",('Activity data'!AN11*EF!$H10)*kgtoGg,IF('Net zero activities &amp; levers'!$C$8="On",(('Net zero supporting data'!L138*EF!$H10)+('Net zero supporting data'!L128*'Net zero supporting data'!L148))*kgtoGg,"ERROR"))</f>
        <v>135.21175240542595</v>
      </c>
      <c r="V468" s="100">
        <f>IF('Net zero activities &amp; levers'!$C$8="Off",('Activity data'!AO11*EF!$H10)*kgtoGg,IF('Net zero activities &amp; levers'!$C$8="On",(('Net zero supporting data'!M138*EF!$H10)+('Net zero supporting data'!M128*'Net zero supporting data'!M148))*kgtoGg,"ERROR"))</f>
        <v>134.87277948835398</v>
      </c>
      <c r="W468" s="100">
        <f>IF('Net zero activities &amp; levers'!$C$8="Off",('Activity data'!AP11*EF!$H10)*kgtoGg,IF('Net zero activities &amp; levers'!$C$8="On",(('Net zero supporting data'!N138*EF!$H10)+('Net zero supporting data'!N128*'Net zero supporting data'!N148))*kgtoGg,"ERROR"))</f>
        <v>134.3327801779289</v>
      </c>
      <c r="X468" s="100">
        <f>IF('Net zero activities &amp; levers'!$C$8="Off",('Activity data'!AQ11*EF!$H10)*kgtoGg,IF('Net zero activities &amp; levers'!$C$8="On",(('Net zero supporting data'!O138*EF!$H10)+('Net zero supporting data'!O128*'Net zero supporting data'!O148))*kgtoGg,"ERROR"))</f>
        <v>133.59909639377855</v>
      </c>
      <c r="Y468" s="100">
        <f>IF('Net zero activities &amp; levers'!$C$8="Off",('Activity data'!AR11*EF!$H10)*kgtoGg,IF('Net zero activities &amp; levers'!$C$8="On",(('Net zero supporting data'!P138*EF!$H10)+('Net zero supporting data'!P128*'Net zero supporting data'!P148))*kgtoGg,"ERROR"))</f>
        <v>132.52123569431646</v>
      </c>
      <c r="Z468" s="100">
        <f>IF('Net zero activities &amp; levers'!$C$8="Off",('Activity data'!AS11*EF!$H10)*kgtoGg,IF('Net zero activities &amp; levers'!$C$8="On",(('Net zero supporting data'!Q138*EF!$H10)+('Net zero supporting data'!Q128*'Net zero supporting data'!Q148))*kgtoGg,"ERROR"))</f>
        <v>131.24864552160832</v>
      </c>
      <c r="AA468" s="100">
        <f>IF('Net zero activities &amp; levers'!$C$8="Off",('Activity data'!AT11*EF!$H10)*kgtoGg,IF('Net zero activities &amp; levers'!$C$8="On",(('Net zero supporting data'!R138*EF!$H10)+('Net zero supporting data'!R128*'Net zero supporting data'!R148))*kgtoGg,"ERROR"))</f>
        <v>129.77831823691051</v>
      </c>
      <c r="AB468" s="100">
        <f>IF('Net zero activities &amp; levers'!$C$8="Off",('Activity data'!AU11*EF!$H10)*kgtoGg,IF('Net zero activities &amp; levers'!$C$8="On",(('Net zero supporting data'!S138*EF!$H10)+('Net zero supporting data'!S128*'Net zero supporting data'!S148))*kgtoGg,"ERROR"))</f>
        <v>128.11884440778334</v>
      </c>
      <c r="AC468" s="100">
        <f>IF('Net zero activities &amp; levers'!$C$8="Off",('Activity data'!AV11*EF!$H10)*kgtoGg,IF('Net zero activities &amp; levers'!$C$8="On",(('Net zero supporting data'!T138*EF!$H10)+('Net zero supporting data'!T128*'Net zero supporting data'!T148))*kgtoGg,"ERROR"))</f>
        <v>126.27276084187167</v>
      </c>
      <c r="AD468" s="100">
        <f>IF('Net zero activities &amp; levers'!$C$8="Off",('Activity data'!AW11*EF!$H10)*kgtoGg,IF('Net zero activities &amp; levers'!$C$8="On",(('Net zero supporting data'!U138*EF!$H10)+('Net zero supporting data'!U128*'Net zero supporting data'!U148))*kgtoGg,"ERROR"))</f>
        <v>126.45779690251024</v>
      </c>
      <c r="AE468" s="100">
        <f>IF('Net zero activities &amp; levers'!$C$8="Off",('Activity data'!AX11*EF!$H10)*kgtoGg,IF('Net zero activities &amp; levers'!$C$8="On",(('Net zero supporting data'!V138*EF!$H10)+('Net zero supporting data'!V128*'Net zero supporting data'!V148))*kgtoGg,"ERROR"))</f>
        <v>126.66072657585049</v>
      </c>
      <c r="AF468" s="100">
        <f>IF('Net zero activities &amp; levers'!$C$8="Off",('Activity data'!AY11*EF!$H10)*kgtoGg,IF('Net zero activities &amp; levers'!$C$8="On",(('Net zero supporting data'!W138*EF!$H10)+('Net zero supporting data'!W128*'Net zero supporting data'!W148))*kgtoGg,"ERROR"))</f>
        <v>126.8801949270069</v>
      </c>
      <c r="AG468" s="100">
        <f>IF('Net zero activities &amp; levers'!$C$8="Off",('Activity data'!AZ11*EF!$H10)*kgtoGg,IF('Net zero activities &amp; levers'!$C$8="On",(('Net zero supporting data'!X138*EF!$H10)+('Net zero supporting data'!X128*'Net zero supporting data'!X148))*kgtoGg,"ERROR"))</f>
        <v>127.11856559726149</v>
      </c>
      <c r="AH468" s="100">
        <f>IF('Net zero activities &amp; levers'!$C$8="Off",('Activity data'!BA11*EF!$H10)*kgtoGg,IF('Net zero activities &amp; levers'!$C$8="On",(('Net zero supporting data'!Y138*EF!$H10)+('Net zero supporting data'!Y128*'Net zero supporting data'!Y148))*kgtoGg,"ERROR"))</f>
        <v>127.36744496259492</v>
      </c>
      <c r="AI468" s="100">
        <f>IF('Net zero activities &amp; levers'!$C$8="Off",('Activity data'!BB11*EF!$H10)*kgtoGg,IF('Net zero activities &amp; levers'!$C$8="On",(('Net zero supporting data'!Z138*EF!$H10)+('Net zero supporting data'!Z128*'Net zero supporting data'!Z148))*kgtoGg,"ERROR"))</f>
        <v>127.52709568036397</v>
      </c>
      <c r="AJ468" s="100">
        <f>IF('Net zero activities &amp; levers'!$C$8="Off",('Activity data'!BC11*EF!$H10)*kgtoGg,IF('Net zero activities &amp; levers'!$C$8="On",(('Net zero supporting data'!AA138*EF!$H10)+('Net zero supporting data'!AA128*'Net zero supporting data'!AA148))*kgtoGg,"ERROR"))</f>
        <v>127.7001932684767</v>
      </c>
      <c r="AK468" s="100">
        <f>IF('Net zero activities &amp; levers'!$C$8="Off",('Activity data'!BD11*EF!$H10)*kgtoGg,IF('Net zero activities &amp; levers'!$C$8="On",(('Net zero supporting data'!AB138*EF!$H10)+('Net zero supporting data'!AB128*'Net zero supporting data'!AB148))*kgtoGg,"ERROR"))</f>
        <v>127.88413426168167</v>
      </c>
      <c r="AL468" s="100">
        <f>IF('Net zero activities &amp; levers'!$C$8="Off",('Activity data'!BE11*EF!$H10)*kgtoGg,IF('Net zero activities &amp; levers'!$C$8="On",(('Net zero supporting data'!AC138*EF!$H10)+('Net zero supporting data'!AC128*'Net zero supporting data'!AC148))*kgtoGg,"ERROR"))</f>
        <v>128.07991944654808</v>
      </c>
      <c r="AM468" s="100">
        <f>IF('Net zero activities &amp; levers'!$C$8="Off",('Activity data'!BF11*EF!$H10)*kgtoGg,IF('Net zero activities &amp; levers'!$C$8="On",(('Net zero supporting data'!AD138*EF!$H10)+('Net zero supporting data'!AD128*'Net zero supporting data'!AD148))*kgtoGg,"ERROR"))</f>
        <v>128.28846085773975</v>
      </c>
      <c r="AN468" s="100">
        <f>IF('Net zero activities &amp; levers'!$C$8="Off",('Activity data'!BG11*EF!$H10)*kgtoGg,IF('Net zero activities &amp; levers'!$C$8="On",(('Net zero supporting data'!AE138*EF!$H10)+('Net zero supporting data'!AE128*'Net zero supporting data'!AE148))*kgtoGg,"ERROR"))</f>
        <v>128.41185842535927</v>
      </c>
      <c r="AO468" s="100">
        <f>IF('Net zero activities &amp; levers'!$C$8="Off",('Activity data'!BH11*EF!$H10)*kgtoGg,IF('Net zero activities &amp; levers'!$C$8="On",(('Net zero supporting data'!AF138*EF!$H10)+('Net zero supporting data'!AF128*'Net zero supporting data'!AF148))*kgtoGg,"ERROR"))</f>
        <v>128.5432664492061</v>
      </c>
      <c r="AP468" s="100">
        <f>IF('Net zero activities &amp; levers'!$C$8="Off",('Activity data'!BI11*EF!$H10)*kgtoGg,IF('Net zero activities &amp; levers'!$C$8="On",(('Net zero supporting data'!AG138*EF!$H10)+('Net zero supporting data'!AG128*'Net zero supporting data'!AG148))*kgtoGg,"ERROR"))</f>
        <v>128.68498011625269</v>
      </c>
      <c r="AQ468" s="100">
        <f>IF('Net zero activities &amp; levers'!$C$8="Off",('Activity data'!BJ11*EF!$H10)*kgtoGg,IF('Net zero activities &amp; levers'!$C$8="On",(('Net zero supporting data'!AH138*EF!$H10)+('Net zero supporting data'!AH128*'Net zero supporting data'!AH148))*kgtoGg,"ERROR"))</f>
        <v>128.83675179845901</v>
      </c>
      <c r="AR468" s="100">
        <f>IF('Net zero activities &amp; levers'!$C$8="Off",('Activity data'!BK11*EF!$H10)*kgtoGg,IF('Net zero activities &amp; levers'!$C$8="On",(('Net zero supporting data'!AI138*EF!$H10)+('Net zero supporting data'!AI128*'Net zero supporting data'!AI148))*kgtoGg,"ERROR"))</f>
        <v>129.00019858476662</v>
      </c>
      <c r="AS468" s="100">
        <f>IF('Net zero activities &amp; levers'!$C$8="Off",('Activity data'!BL11*EF!$H10)*kgtoGg,IF('Net zero activities &amp; levers'!$C$8="On",(('Net zero supporting data'!AJ138*EF!$H10)+('Net zero supporting data'!AJ128*'Net zero supporting data'!AJ148))*kgtoGg,"ERROR"))</f>
        <v>129.07451623477832</v>
      </c>
      <c r="AT468" s="100">
        <f>IF('Net zero activities &amp; levers'!$C$8="Off",('Activity data'!BM11*EF!$H10)*kgtoGg,IF('Net zero activities &amp; levers'!$C$8="On",(('Net zero supporting data'!AK138*EF!$H10)+('Net zero supporting data'!AK128*'Net zero supporting data'!AK148))*kgtoGg,"ERROR"))</f>
        <v>129.13918071198432</v>
      </c>
      <c r="AU468" s="100">
        <f>IF('Net zero activities &amp; levers'!$C$8="Off",('Activity data'!BN11*EF!$H10)*kgtoGg,IF('Net zero activities &amp; levers'!$C$8="On",(('Net zero supporting data'!AL138*EF!$H10)+('Net zero supporting data'!AL128*'Net zero supporting data'!AL148))*kgtoGg,"ERROR"))</f>
        <v>129.21044625303841</v>
      </c>
      <c r="AV468" s="100">
        <f>IF('Net zero activities &amp; levers'!$C$8="Off",('Activity data'!BO11*EF!$H10)*kgtoGg,IF('Net zero activities &amp; levers'!$C$8="On",(('Net zero supporting data'!AM138*EF!$H10)+('Net zero supporting data'!AM128*'Net zero supporting data'!AM148))*kgtoGg,"ERROR"))</f>
        <v>129.29175353222152</v>
      </c>
      <c r="AW468" s="100">
        <f>IF('Net zero activities &amp; levers'!$C$8="Off",('Activity data'!BP11*EF!$H10)*kgtoGg,IF('Net zero activities &amp; levers'!$C$8="On",(('Net zero supporting data'!AN138*EF!$H10)+('Net zero supporting data'!AN128*'Net zero supporting data'!AN148))*kgtoGg,"ERROR"))</f>
        <v>129.37940113947053</v>
      </c>
      <c r="AY468" s="85"/>
    </row>
    <row r="469" spans="1:51" x14ac:dyDescent="0.25">
      <c r="A469" s="102" t="str">
        <f t="shared" si="0"/>
        <v>PQ Sheep</v>
      </c>
      <c r="B469" s="102" t="s">
        <v>969</v>
      </c>
      <c r="C469" s="102" t="s">
        <v>152</v>
      </c>
      <c r="D469" t="s">
        <v>15</v>
      </c>
      <c r="E469" t="s">
        <v>16</v>
      </c>
      <c r="F469" t="s">
        <v>18</v>
      </c>
      <c r="G469" t="s">
        <v>123</v>
      </c>
      <c r="H469" t="s">
        <v>1021</v>
      </c>
      <c r="I469" t="s">
        <v>121</v>
      </c>
      <c r="J469" t="s">
        <v>286</v>
      </c>
      <c r="K469" s="100">
        <f>IF('Net zero activities &amp; levers'!$C$8="Off",('Activity data'!AD12*EF!$H11)*kgtoGg,IF('Net zero activities &amp; levers'!$C$8="On",(('Net zero supporting data'!B139*EF!$H11)+('Net zero supporting data'!B129*'Net zero supporting data'!B149))*kgtoGg,"ERROR"))</f>
        <v>14.367245816070934</v>
      </c>
      <c r="L469" s="100">
        <f>IF('Net zero activities &amp; levers'!$C$8="Off",('Activity data'!AE12*EF!$H11)*kgtoGg,IF('Net zero activities &amp; levers'!$C$8="On",(('Net zero supporting data'!C139*EF!$H11)+('Net zero supporting data'!C129*'Net zero supporting data'!C149))*kgtoGg,"ERROR"))</f>
        <v>14.374999544752898</v>
      </c>
      <c r="M469" s="100">
        <f>IF('Net zero activities &amp; levers'!$C$8="Off",('Activity data'!AF12*EF!$H11)*kgtoGg,IF('Net zero activities &amp; levers'!$C$8="On",(('Net zero supporting data'!D139*EF!$H11)+('Net zero supporting data'!D129*'Net zero supporting data'!D149))*kgtoGg,"ERROR"))</f>
        <v>14.392824705910984</v>
      </c>
      <c r="N469" s="100">
        <f>IF('Net zero activities &amp; levers'!$C$8="Off",('Activity data'!AG12*EF!$H11)*kgtoGg,IF('Net zero activities &amp; levers'!$C$8="On",(('Net zero supporting data'!E139*EF!$H11)+('Net zero supporting data'!E129*'Net zero supporting data'!E149))*kgtoGg,"ERROR"))</f>
        <v>14.419287818315681</v>
      </c>
      <c r="O469" s="100">
        <f>IF('Net zero activities &amp; levers'!$C$8="Off",('Activity data'!AH12*EF!$H11)*kgtoGg,IF('Net zero activities &amp; levers'!$C$8="On",(('Net zero supporting data'!F139*EF!$H11)+('Net zero supporting data'!F129*'Net zero supporting data'!F149))*kgtoGg,"ERROR"))</f>
        <v>14.455005808025765</v>
      </c>
      <c r="P469" s="100">
        <f>IF('Net zero activities &amp; levers'!$C$8="Off",('Activity data'!AI12*EF!$H11)*kgtoGg,IF('Net zero activities &amp; levers'!$C$8="On",(('Net zero supporting data'!G139*EF!$H11)+('Net zero supporting data'!G129*'Net zero supporting data'!G149))*kgtoGg,"ERROR"))</f>
        <v>14.500696508829069</v>
      </c>
      <c r="Q469" s="100">
        <f>IF('Net zero activities &amp; levers'!$C$8="Off",('Activity data'!AJ12*EF!$H11)*kgtoGg,IF('Net zero activities &amp; levers'!$C$8="On",(('Net zero supporting data'!H139*EF!$H11)+('Net zero supporting data'!H129*'Net zero supporting data'!H149))*kgtoGg,"ERROR"))</f>
        <v>14.551042907929491</v>
      </c>
      <c r="R469" s="100">
        <f>IF('Net zero activities &amp; levers'!$C$8="Off",('Activity data'!AK12*EF!$H11)*kgtoGg,IF('Net zero activities &amp; levers'!$C$8="On",(('Net zero supporting data'!I139*EF!$H11)+('Net zero supporting data'!I129*'Net zero supporting data'!I149))*kgtoGg,"ERROR"))</f>
        <v>14.605263046431578</v>
      </c>
      <c r="S469" s="100">
        <f>IF('Net zero activities &amp; levers'!$C$8="Off",('Activity data'!AL12*EF!$H11)*kgtoGg,IF('Net zero activities &amp; levers'!$C$8="On",(('Net zero supporting data'!J139*EF!$H11)+('Net zero supporting data'!J129*'Net zero supporting data'!J149))*kgtoGg,"ERROR"))</f>
        <v>14.658981172577873</v>
      </c>
      <c r="T469" s="100">
        <f>IF('Net zero activities &amp; levers'!$C$8="Off",('Activity data'!AM12*EF!$H11)*kgtoGg,IF('Net zero activities &amp; levers'!$C$8="On",(('Net zero supporting data'!K139*EF!$H11)+('Net zero supporting data'!K129*'Net zero supporting data'!K149))*kgtoGg,"ERROR"))</f>
        <v>14.672161077327875</v>
      </c>
      <c r="U469" s="100">
        <f>IF('Net zero activities &amp; levers'!$C$8="Off",('Activity data'!AN12*EF!$H11)*kgtoGg,IF('Net zero activities &amp; levers'!$C$8="On",(('Net zero supporting data'!L139*EF!$H11)+('Net zero supporting data'!L129*'Net zero supporting data'!L149))*kgtoGg,"ERROR"))</f>
        <v>14.67091852426918</v>
      </c>
      <c r="V469" s="100">
        <f>IF('Net zero activities &amp; levers'!$C$8="Off",('Activity data'!AO12*EF!$H11)*kgtoGg,IF('Net zero activities &amp; levers'!$C$8="On",(('Net zero supporting data'!M139*EF!$H11)+('Net zero supporting data'!M129*'Net zero supporting data'!M149))*kgtoGg,"ERROR"))</f>
        <v>14.655838592155803</v>
      </c>
      <c r="W469" s="100">
        <f>IF('Net zero activities &amp; levers'!$C$8="Off",('Activity data'!AP12*EF!$H11)*kgtoGg,IF('Net zero activities &amp; levers'!$C$8="On",(('Net zero supporting data'!N139*EF!$H11)+('Net zero supporting data'!N129*'Net zero supporting data'!N149))*kgtoGg,"ERROR"))</f>
        <v>14.627392402579783</v>
      </c>
      <c r="X469" s="100">
        <f>IF('Net zero activities &amp; levers'!$C$8="Off",('Activity data'!AQ12*EF!$H11)*kgtoGg,IF('Net zero activities &amp; levers'!$C$8="On",(('Net zero supporting data'!O139*EF!$H11)+('Net zero supporting data'!O129*'Net zero supporting data'!O149))*kgtoGg,"ERROR"))</f>
        <v>14.586259815523041</v>
      </c>
      <c r="Y469" s="100">
        <f>IF('Net zero activities &amp; levers'!$C$8="Off",('Activity data'!AR12*EF!$H11)*kgtoGg,IF('Net zero activities &amp; levers'!$C$8="On",(('Net zero supporting data'!P139*EF!$H11)+('Net zero supporting data'!P129*'Net zero supporting data'!P149))*kgtoGg,"ERROR"))</f>
        <v>14.515852019795162</v>
      </c>
      <c r="Z469" s="100">
        <f>IF('Net zero activities &amp; levers'!$C$8="Off",('Activity data'!AS12*EF!$H11)*kgtoGg,IF('Net zero activities &amp; levers'!$C$8="On",(('Net zero supporting data'!Q139*EF!$H11)+('Net zero supporting data'!Q129*'Net zero supporting data'!Q149))*kgtoGg,"ERROR"))</f>
        <v>14.432316368864264</v>
      </c>
      <c r="AA469" s="100">
        <f>IF('Net zero activities &amp; levers'!$C$8="Off",('Activity data'!AT12*EF!$H11)*kgtoGg,IF('Net zero activities &amp; levers'!$C$8="On",(('Net zero supporting data'!R139*EF!$H11)+('Net zero supporting data'!R129*'Net zero supporting data'!R149))*kgtoGg,"ERROR"))</f>
        <v>14.335201557428759</v>
      </c>
      <c r="AB469" s="100">
        <f>IF('Net zero activities &amp; levers'!$C$8="Off",('Activity data'!AU12*EF!$H11)*kgtoGg,IF('Net zero activities &amp; levers'!$C$8="On",(('Net zero supporting data'!S139*EF!$H11)+('Net zero supporting data'!S129*'Net zero supporting data'!S149))*kgtoGg,"ERROR"))</f>
        <v>14.225341951363307</v>
      </c>
      <c r="AC469" s="100">
        <f>IF('Net zero activities &amp; levers'!$C$8="Off",('Activity data'!AV12*EF!$H11)*kgtoGg,IF('Net zero activities &amp; levers'!$C$8="On",(('Net zero supporting data'!T139*EF!$H11)+('Net zero supporting data'!T129*'Net zero supporting data'!T149))*kgtoGg,"ERROR"))</f>
        <v>14.102919683836486</v>
      </c>
      <c r="AD469" s="100">
        <f>IF('Net zero activities &amp; levers'!$C$8="Off",('Activity data'!AW12*EF!$H11)*kgtoGg,IF('Net zero activities &amp; levers'!$C$8="On",(('Net zero supporting data'!U139*EF!$H11)+('Net zero supporting data'!U129*'Net zero supporting data'!U149))*kgtoGg,"ERROR"))</f>
        <v>14.123539831678878</v>
      </c>
      <c r="AE469" s="100">
        <f>IF('Net zero activities &amp; levers'!$C$8="Off",('Activity data'!AX12*EF!$H11)*kgtoGg,IF('Net zero activities &amp; levers'!$C$8="On",(('Net zero supporting data'!V139*EF!$H11)+('Net zero supporting data'!V129*'Net zero supporting data'!V149))*kgtoGg,"ERROR"))</f>
        <v>14.146158302189464</v>
      </c>
      <c r="AF469" s="100">
        <f>IF('Net zero activities &amp; levers'!$C$8="Off",('Activity data'!AY12*EF!$H11)*kgtoGg,IF('Net zero activities &amp; levers'!$C$8="On",(('Net zero supporting data'!W139*EF!$H11)+('Net zero supporting data'!W129*'Net zero supporting data'!W149))*kgtoGg,"ERROR"))</f>
        <v>14.170623749921894</v>
      </c>
      <c r="AG469" s="100">
        <f>IF('Net zero activities &amp; levers'!$C$8="Off",('Activity data'!AZ12*EF!$H11)*kgtoGg,IF('Net zero activities &amp; levers'!$C$8="On",(('Net zero supporting data'!X139*EF!$H11)+('Net zero supporting data'!X129*'Net zero supporting data'!X149))*kgtoGg,"ERROR"))</f>
        <v>14.197200139495164</v>
      </c>
      <c r="AH469" s="100">
        <f>IF('Net zero activities &amp; levers'!$C$8="Off",('Activity data'!BA12*EF!$H11)*kgtoGg,IF('Net zero activities &amp; levers'!$C$8="On",(('Net zero supporting data'!Y139*EF!$H11)+('Net zero supporting data'!Y129*'Net zero supporting data'!Y149))*kgtoGg,"ERROR"))</f>
        <v>14.224950013944895</v>
      </c>
      <c r="AI469" s="100">
        <f>IF('Net zero activities &amp; levers'!$C$8="Off",('Activity data'!BB12*EF!$H11)*kgtoGg,IF('Net zero activities &amp; levers'!$C$8="On",(('Net zero supporting data'!Z139*EF!$H11)+('Net zero supporting data'!Z129*'Net zero supporting data'!Z149))*kgtoGg,"ERROR"))</f>
        <v>14.242734297929932</v>
      </c>
      <c r="AJ469" s="100">
        <f>IF('Net zero activities &amp; levers'!$C$8="Off",('Activity data'!BC12*EF!$H11)*kgtoGg,IF('Net zero activities &amp; levers'!$C$8="On",(('Net zero supporting data'!AA139*EF!$H11)+('Net zero supporting data'!AA129*'Net zero supporting data'!AA149))*kgtoGg,"ERROR"))</f>
        <v>14.262020262284103</v>
      </c>
      <c r="AK469" s="100">
        <f>IF('Net zero activities &amp; levers'!$C$8="Off",('Activity data'!BD12*EF!$H11)*kgtoGg,IF('Net zero activities &amp; levers'!$C$8="On",(('Net zero supporting data'!AB139*EF!$H11)+('Net zero supporting data'!AB129*'Net zero supporting data'!AB149))*kgtoGg,"ERROR"))</f>
        <v>14.282517128907077</v>
      </c>
      <c r="AL469" s="100">
        <f>IF('Net zero activities &amp; levers'!$C$8="Off",('Activity data'!BE12*EF!$H11)*kgtoGg,IF('Net zero activities &amp; levers'!$C$8="On",(('Net zero supporting data'!AC139*EF!$H11)+('Net zero supporting data'!AC129*'Net zero supporting data'!AC149))*kgtoGg,"ERROR"))</f>
        <v>14.30433665676239</v>
      </c>
      <c r="AM469" s="100">
        <f>IF('Net zero activities &amp; levers'!$C$8="Off",('Activity data'!BF12*EF!$H11)*kgtoGg,IF('Net zero activities &amp; levers'!$C$8="On",(('Net zero supporting data'!AD139*EF!$H11)+('Net zero supporting data'!AD129*'Net zero supporting data'!AD149))*kgtoGg,"ERROR"))</f>
        <v>14.327580691325865</v>
      </c>
      <c r="AN469" s="100">
        <f>IF('Net zero activities &amp; levers'!$C$8="Off",('Activity data'!BG12*EF!$H11)*kgtoGg,IF('Net zero activities &amp; levers'!$C$8="On",(('Net zero supporting data'!AE139*EF!$H11)+('Net zero supporting data'!AE129*'Net zero supporting data'!AE149))*kgtoGg,"ERROR"))</f>
        <v>14.341315526089815</v>
      </c>
      <c r="AO469" s="100">
        <f>IF('Net zero activities &amp; levers'!$C$8="Off",('Activity data'!BH12*EF!$H11)*kgtoGg,IF('Net zero activities &amp; levers'!$C$8="On",(('Net zero supporting data'!AF139*EF!$H11)+('Net zero supporting data'!AF129*'Net zero supporting data'!AF149))*kgtoGg,"ERROR"))</f>
        <v>14.355944894570101</v>
      </c>
      <c r="AP469" s="100">
        <f>IF('Net zero activities &amp; levers'!$C$8="Off",('Activity data'!BI12*EF!$H11)*kgtoGg,IF('Net zero activities &amp; levers'!$C$8="On",(('Net zero supporting data'!AG139*EF!$H11)+('Net zero supporting data'!AG129*'Net zero supporting data'!AG149))*kgtoGg,"ERROR"))</f>
        <v>14.371725117871982</v>
      </c>
      <c r="AQ469" s="100">
        <f>IF('Net zero activities &amp; levers'!$C$8="Off",('Activity data'!BJ12*EF!$H11)*kgtoGg,IF('Net zero activities &amp; levers'!$C$8="On",(('Net zero supporting data'!AH139*EF!$H11)+('Net zero supporting data'!AH129*'Net zero supporting data'!AH149))*kgtoGg,"ERROR"))</f>
        <v>14.388628529429932</v>
      </c>
      <c r="AR469" s="100">
        <f>IF('Net zero activities &amp; levers'!$C$8="Off",('Activity data'!BK12*EF!$H11)*kgtoGg,IF('Net zero activities &amp; levers'!$C$8="On",(('Net zero supporting data'!AI139*EF!$H11)+('Net zero supporting data'!AI129*'Net zero supporting data'!AI149))*kgtoGg,"ERROR"))</f>
        <v>14.406835715982224</v>
      </c>
      <c r="AS469" s="100">
        <f>IF('Net zero activities &amp; levers'!$C$8="Off",('Activity data'!BL12*EF!$H11)*kgtoGg,IF('Net zero activities &amp; levers'!$C$8="On",(('Net zero supporting data'!AJ139*EF!$H11)+('Net zero supporting data'!AJ129*'Net zero supporting data'!AJ149))*kgtoGg,"ERROR"))</f>
        <v>14.415088810698096</v>
      </c>
      <c r="AT469" s="100">
        <f>IF('Net zero activities &amp; levers'!$C$8="Off",('Activity data'!BM12*EF!$H11)*kgtoGg,IF('Net zero activities &amp; levers'!$C$8="On",(('Net zero supporting data'!AK139*EF!$H11)+('Net zero supporting data'!AK129*'Net zero supporting data'!AK149))*kgtoGg,"ERROR"))</f>
        <v>14.422263786088443</v>
      </c>
      <c r="AU469" s="100">
        <f>IF('Net zero activities &amp; levers'!$C$8="Off",('Activity data'!BN12*EF!$H11)*kgtoGg,IF('Net zero activities &amp; levers'!$C$8="On",(('Net zero supporting data'!AL139*EF!$H11)+('Net zero supporting data'!AL129*'Net zero supporting data'!AL149))*kgtoGg,"ERROR"))</f>
        <v>14.430175919916836</v>
      </c>
      <c r="AV469" s="100">
        <f>IF('Net zero activities &amp; levers'!$C$8="Off",('Activity data'!BO12*EF!$H11)*kgtoGg,IF('Net zero activities &amp; levers'!$C$8="On",(('Net zero supporting data'!AM139*EF!$H11)+('Net zero supporting data'!AM129*'Net zero supporting data'!AM149))*kgtoGg,"ERROR"))</f>
        <v>14.439209457025125</v>
      </c>
      <c r="AW469" s="100">
        <f>IF('Net zero activities &amp; levers'!$C$8="Off",('Activity data'!BP12*EF!$H11)*kgtoGg,IF('Net zero activities &amp; levers'!$C$8="On",(('Net zero supporting data'!AN139*EF!$H11)+('Net zero supporting data'!AN129*'Net zero supporting data'!AN149))*kgtoGg,"ERROR"))</f>
        <v>14.448951017047106</v>
      </c>
      <c r="AY469" s="85"/>
    </row>
    <row r="470" spans="1:51" x14ac:dyDescent="0.25">
      <c r="A470" s="102" t="str">
        <f t="shared" si="0"/>
        <v>PQ Goats</v>
      </c>
      <c r="B470" s="102" t="s">
        <v>969</v>
      </c>
      <c r="C470" s="102" t="s">
        <v>153</v>
      </c>
      <c r="D470" t="s">
        <v>15</v>
      </c>
      <c r="E470" t="s">
        <v>16</v>
      </c>
      <c r="F470" t="s">
        <v>19</v>
      </c>
      <c r="G470" t="s">
        <v>122</v>
      </c>
      <c r="H470" t="s">
        <v>1021</v>
      </c>
      <c r="I470" t="s">
        <v>121</v>
      </c>
      <c r="J470" t="s">
        <v>286</v>
      </c>
      <c r="K470" s="100">
        <f>IF('Net zero activities &amp; levers'!$C$8="Off",('Activity data'!AD13*EF!$H12)*kgtoGg,IF('Net zero activities &amp; levers'!$C$8="On",(('Net zero supporting data'!B140*EF!$H12)+('Net zero supporting data'!B130*'Net zero supporting data'!B150))*kgtoGg,"ERROR"))</f>
        <v>15.11994504352057</v>
      </c>
      <c r="L470" s="100">
        <f>IF('Net zero activities &amp; levers'!$C$8="Off",('Activity data'!AE13*EF!$H12)*kgtoGg,IF('Net zero activities &amp; levers'!$C$8="On",(('Net zero supporting data'!C140*EF!$H12)+('Net zero supporting data'!C130*'Net zero supporting data'!C150))*kgtoGg,"ERROR"))</f>
        <v>15.159244294711982</v>
      </c>
      <c r="M470" s="100">
        <f>IF('Net zero activities &amp; levers'!$C$8="Off",('Activity data'!AF13*EF!$H12)*kgtoGg,IF('Net zero activities &amp; levers'!$C$8="On",(('Net zero supporting data'!D140*EF!$H12)+('Net zero supporting data'!D130*'Net zero supporting data'!D150))*kgtoGg,"ERROR"))</f>
        <v>15.212240101283504</v>
      </c>
      <c r="N470" s="100">
        <f>IF('Net zero activities &amp; levers'!$C$8="Off",('Activity data'!AG13*EF!$H12)*kgtoGg,IF('Net zero activities &amp; levers'!$C$8="On",(('Net zero supporting data'!E140*EF!$H12)+('Net zero supporting data'!E130*'Net zero supporting data'!E150))*kgtoGg,"ERROR"))</f>
        <v>15.276787648225215</v>
      </c>
      <c r="O470" s="100">
        <f>IF('Net zero activities &amp; levers'!$C$8="Off",('Activity data'!AH13*EF!$H12)*kgtoGg,IF('Net zero activities &amp; levers'!$C$8="On",(('Net zero supporting data'!F140*EF!$H12)+('Net zero supporting data'!F130*'Net zero supporting data'!F150))*kgtoGg,"ERROR"))</f>
        <v>15.354100038796439</v>
      </c>
      <c r="P470" s="100">
        <f>IF('Net zero activities &amp; levers'!$C$8="Off",('Activity data'!AI13*EF!$H12)*kgtoGg,IF('Net zero activities &amp; levers'!$C$8="On",(('Net zero supporting data'!G140*EF!$H12)+('Net zero supporting data'!G130*'Net zero supporting data'!G150))*kgtoGg,"ERROR"))</f>
        <v>15.445501132757192</v>
      </c>
      <c r="Q470" s="100">
        <f>IF('Net zero activities &amp; levers'!$C$8="Off",('Activity data'!AJ13*EF!$H12)*kgtoGg,IF('Net zero activities &amp; levers'!$C$8="On",(('Net zero supporting data'!H140*EF!$H12)+('Net zero supporting data'!H130*'Net zero supporting data'!H150))*kgtoGg,"ERROR"))</f>
        <v>15.542368253787608</v>
      </c>
      <c r="R470" s="100">
        <f>IF('Net zero activities &amp; levers'!$C$8="Off",('Activity data'!AK13*EF!$H12)*kgtoGg,IF('Net zero activities &amp; levers'!$C$8="On",(('Net zero supporting data'!I140*EF!$H12)+('Net zero supporting data'!I130*'Net zero supporting data'!I150))*kgtoGg,"ERROR"))</f>
        <v>15.643567978967758</v>
      </c>
      <c r="S470" s="100">
        <f>IF('Net zero activities &amp; levers'!$C$8="Off",('Activity data'!AL13*EF!$H12)*kgtoGg,IF('Net zero activities &amp; levers'!$C$8="On",(('Net zero supporting data'!J140*EF!$H12)+('Net zero supporting data'!J130*'Net zero supporting data'!J150))*kgtoGg,"ERROR"))</f>
        <v>15.742091989223546</v>
      </c>
      <c r="T470" s="100">
        <f>IF('Net zero activities &amp; levers'!$C$8="Off",('Activity data'!AM13*EF!$H12)*kgtoGg,IF('Net zero activities &amp; levers'!$C$8="On",(('Net zero supporting data'!K140*EF!$H12)+('Net zero supporting data'!K130*'Net zero supporting data'!K150))*kgtoGg,"ERROR"))</f>
        <v>15.787280907558081</v>
      </c>
      <c r="U470" s="100">
        <f>IF('Net zero activities &amp; levers'!$C$8="Off",('Activity data'!AN13*EF!$H12)*kgtoGg,IF('Net zero activities &amp; levers'!$C$8="On",(('Net zero supporting data'!L140*EF!$H12)+('Net zero supporting data'!L130*'Net zero supporting data'!L150))*kgtoGg,"ERROR"))</f>
        <v>15.836012504856258</v>
      </c>
      <c r="V470" s="100">
        <f>IF('Net zero activities &amp; levers'!$C$8="Off",('Activity data'!AO13*EF!$H12)*kgtoGg,IF('Net zero activities &amp; levers'!$C$8="On",(('Net zero supporting data'!M140*EF!$H12)+('Net zero supporting data'!M130*'Net zero supporting data'!M150))*kgtoGg,"ERROR"))</f>
        <v>15.888829637337995</v>
      </c>
      <c r="W470" s="100">
        <f>IF('Net zero activities &amp; levers'!$C$8="Off",('Activity data'!AP13*EF!$H12)*kgtoGg,IF('Net zero activities &amp; levers'!$C$8="On",(('Net zero supporting data'!N140*EF!$H12)+('Net zero supporting data'!N130*'Net zero supporting data'!N150))*kgtoGg,"ERROR"))</f>
        <v>15.946123298566558</v>
      </c>
      <c r="X470" s="100">
        <f>IF('Net zero activities &amp; levers'!$C$8="Off",('Activity data'!AQ13*EF!$H12)*kgtoGg,IF('Net zero activities &amp; levers'!$C$8="On",(('Net zero supporting data'!O140*EF!$H12)+('Net zero supporting data'!O130*'Net zero supporting data'!O150))*kgtoGg,"ERROR"))</f>
        <v>16.008664249775823</v>
      </c>
      <c r="Y470" s="100">
        <f>IF('Net zero activities &amp; levers'!$C$8="Off",('Activity data'!AR13*EF!$H12)*kgtoGg,IF('Net zero activities &amp; levers'!$C$8="On",(('Net zero supporting data'!P140*EF!$H12)+('Net zero supporting data'!P130*'Net zero supporting data'!P150))*kgtoGg,"ERROR"))</f>
        <v>16.048917749469023</v>
      </c>
      <c r="Z470" s="100">
        <f>IF('Net zero activities &amp; levers'!$C$8="Off",('Activity data'!AS13*EF!$H12)*kgtoGg,IF('Net zero activities &amp; levers'!$C$8="On",(('Net zero supporting data'!Q140*EF!$H12)+('Net zero supporting data'!Q130*'Net zero supporting data'!Q150))*kgtoGg,"ERROR"))</f>
        <v>16.092845807842092</v>
      </c>
      <c r="AA470" s="100">
        <f>IF('Net zero activities &amp; levers'!$C$8="Off",('Activity data'!AT13*EF!$H12)*kgtoGg,IF('Net zero activities &amp; levers'!$C$8="On",(('Net zero supporting data'!R140*EF!$H12)+('Net zero supporting data'!R130*'Net zero supporting data'!R150))*kgtoGg,"ERROR"))</f>
        <v>16.139355719065712</v>
      </c>
      <c r="AB470" s="100">
        <f>IF('Net zero activities &amp; levers'!$C$8="Off",('Activity data'!AU13*EF!$H12)*kgtoGg,IF('Net zero activities &amp; levers'!$C$8="On",(('Net zero supporting data'!S140*EF!$H12)+('Net zero supporting data'!S130*'Net zero supporting data'!S150))*kgtoGg,"ERROR"))</f>
        <v>16.189504893539258</v>
      </c>
      <c r="AC470" s="100">
        <f>IF('Net zero activities &amp; levers'!$C$8="Off",('Activity data'!AV13*EF!$H12)*kgtoGg,IF('Net zero activities &amp; levers'!$C$8="On",(('Net zero supporting data'!T140*EF!$H12)+('Net zero supporting data'!T130*'Net zero supporting data'!T150))*kgtoGg,"ERROR"))</f>
        <v>16.243310237377745</v>
      </c>
      <c r="AD470" s="100">
        <f>IF('Net zero activities &amp; levers'!$C$8="Off",('Activity data'!AW13*EF!$H12)*kgtoGg,IF('Net zero activities &amp; levers'!$C$8="On",(('Net zero supporting data'!U140*EF!$H12)+('Net zero supporting data'!U130*'Net zero supporting data'!U150))*kgtoGg,"ERROR"))</f>
        <v>16.187391987384249</v>
      </c>
      <c r="AE470" s="100">
        <f>IF('Net zero activities &amp; levers'!$C$8="Off",('Activity data'!AX13*EF!$H12)*kgtoGg,IF('Net zero activities &amp; levers'!$C$8="On",(('Net zero supporting data'!V140*EF!$H12)+('Net zero supporting data'!V130*'Net zero supporting data'!V150))*kgtoGg,"ERROR"))</f>
        <v>16.133805635993223</v>
      </c>
      <c r="AF470" s="100">
        <f>IF('Net zero activities &amp; levers'!$C$8="Off",('Activity data'!AY13*EF!$H12)*kgtoGg,IF('Net zero activities &amp; levers'!$C$8="On",(('Net zero supporting data'!W140*EF!$H12)+('Net zero supporting data'!W130*'Net zero supporting data'!W150))*kgtoGg,"ERROR"))</f>
        <v>16.082271063891277</v>
      </c>
      <c r="AG470" s="100">
        <f>IF('Net zero activities &amp; levers'!$C$8="Off",('Activity data'!AZ13*EF!$H12)*kgtoGg,IF('Net zero activities &amp; levers'!$C$8="On",(('Net zero supporting data'!X140*EF!$H12)+('Net zero supporting data'!X130*'Net zero supporting data'!X150))*kgtoGg,"ERROR"))</f>
        <v>16.03319298339208</v>
      </c>
      <c r="AH470" s="100">
        <f>IF('Net zero activities &amp; levers'!$C$8="Off",('Activity data'!BA13*EF!$H12)*kgtoGg,IF('Net zero activities &amp; levers'!$C$8="On",(('Net zero supporting data'!Y140*EF!$H12)+('Net zero supporting data'!Y130*'Net zero supporting data'!Y150))*kgtoGg,"ERROR"))</f>
        <v>15.985008468441301</v>
      </c>
      <c r="AI470" s="100">
        <f>IF('Net zero activities &amp; levers'!$C$8="Off",('Activity data'!BB13*EF!$H12)*kgtoGg,IF('Net zero activities &amp; levers'!$C$8="On",(('Net zero supporting data'!Z140*EF!$H12)+('Net zero supporting data'!Z130*'Net zero supporting data'!Z150))*kgtoGg,"ERROR"))</f>
        <v>15.91975233944347</v>
      </c>
      <c r="AJ470" s="100">
        <f>IF('Net zero activities &amp; levers'!$C$8="Off",('Activity data'!BC13*EF!$H12)*kgtoGg,IF('Net zero activities &amp; levers'!$C$8="On",(('Net zero supporting data'!AA140*EF!$H12)+('Net zero supporting data'!AA130*'Net zero supporting data'!AA150))*kgtoGg,"ERROR"))</f>
        <v>15.856174388883117</v>
      </c>
      <c r="AK470" s="100">
        <f>IF('Net zero activities &amp; levers'!$C$8="Off",('Activity data'!BD13*EF!$H12)*kgtoGg,IF('Net zero activities &amp; levers'!$C$8="On",(('Net zero supporting data'!AB140*EF!$H12)+('Net zero supporting data'!AB130*'Net zero supporting data'!AB150))*kgtoGg,"ERROR"))</f>
        <v>15.793786870716051</v>
      </c>
      <c r="AL470" s="100">
        <f>IF('Net zero activities &amp; levers'!$C$8="Off",('Activity data'!BE13*EF!$H12)*kgtoGg,IF('Net zero activities &amp; levers'!$C$8="On",(('Net zero supporting data'!AC140*EF!$H12)+('Net zero supporting data'!AC130*'Net zero supporting data'!AC150))*kgtoGg,"ERROR"))</f>
        <v>15.732748873279785</v>
      </c>
      <c r="AM470" s="100">
        <f>IF('Net zero activities &amp; levers'!$C$8="Off",('Activity data'!BF13*EF!$H12)*kgtoGg,IF('Net zero activities &amp; levers'!$C$8="On",(('Net zero supporting data'!AD140*EF!$H12)+('Net zero supporting data'!AD130*'Net zero supporting data'!AD150))*kgtoGg,"ERROR"))</f>
        <v>15.673197119791519</v>
      </c>
      <c r="AN470" s="100">
        <f>IF('Net zero activities &amp; levers'!$C$8="Off",('Activity data'!BG13*EF!$H12)*kgtoGg,IF('Net zero activities &amp; levers'!$C$8="On",(('Net zero supporting data'!AE140*EF!$H12)+('Net zero supporting data'!AE130*'Net zero supporting data'!AE150))*kgtoGg,"ERROR"))</f>
        <v>15.691415762832731</v>
      </c>
      <c r="AO470" s="100">
        <f>IF('Net zero activities &amp; levers'!$C$8="Off",('Activity data'!BH13*EF!$H12)*kgtoGg,IF('Net zero activities &amp; levers'!$C$8="On",(('Net zero supporting data'!AF140*EF!$H12)+('Net zero supporting data'!AF130*'Net zero supporting data'!AF150))*kgtoGg,"ERROR"))</f>
        <v>15.710740559310755</v>
      </c>
      <c r="AP470" s="100">
        <f>IF('Net zero activities &amp; levers'!$C$8="Off",('Activity data'!BI13*EF!$H12)*kgtoGg,IF('Net zero activities &amp; levers'!$C$8="On",(('Net zero supporting data'!AG140*EF!$H12)+('Net zero supporting data'!AG130*'Net zero supporting data'!AG150))*kgtoGg,"ERROR"))</f>
        <v>15.731577113910035</v>
      </c>
      <c r="AQ470" s="100">
        <f>IF('Net zero activities &amp; levers'!$C$8="Off",('Activity data'!BJ13*EF!$H12)*kgtoGg,IF('Net zero activities &amp; levers'!$C$8="On",(('Net zero supporting data'!AH140*EF!$H12)+('Net zero supporting data'!AH130*'Net zero supporting data'!AH150))*kgtoGg,"ERROR"))</f>
        <v>15.753886662067469</v>
      </c>
      <c r="AR470" s="100">
        <f>IF('Net zero activities &amp; levers'!$C$8="Off",('Activity data'!BK13*EF!$H12)*kgtoGg,IF('Net zero activities &amp; levers'!$C$8="On",(('Net zero supporting data'!AI140*EF!$H12)+('Net zero supporting data'!AI130*'Net zero supporting data'!AI150))*kgtoGg,"ERROR"))</f>
        <v>15.77795281061317</v>
      </c>
      <c r="AS470" s="100">
        <f>IF('Net zero activities &amp; levers'!$C$8="Off",('Activity data'!BL13*EF!$H12)*kgtoGg,IF('Net zero activities &amp; levers'!$C$8="On",(('Net zero supporting data'!AJ140*EF!$H12)+('Net zero supporting data'!AJ130*'Net zero supporting data'!AJ150))*kgtoGg,"ERROR"))</f>
        <v>15.786359124720033</v>
      </c>
      <c r="AT470" s="100">
        <f>IF('Net zero activities &amp; levers'!$C$8="Off",('Activity data'!BM13*EF!$H12)*kgtoGg,IF('Net zero activities &amp; levers'!$C$8="On",(('Net zero supporting data'!AK140*EF!$H12)+('Net zero supporting data'!AK130*'Net zero supporting data'!AK150))*kgtoGg,"ERROR"))</f>
        <v>15.792902927045434</v>
      </c>
      <c r="AU470" s="100">
        <f>IF('Net zero activities &amp; levers'!$C$8="Off",('Activity data'!BN13*EF!$H12)*kgtoGg,IF('Net zero activities &amp; levers'!$C$8="On",(('Net zero supporting data'!AL140*EF!$H12)+('Net zero supporting data'!AL130*'Net zero supporting data'!AL150))*kgtoGg,"ERROR"))</f>
        <v>15.80040118877349</v>
      </c>
      <c r="AV470" s="100">
        <f>IF('Net zero activities &amp; levers'!$C$8="Off",('Activity data'!BO13*EF!$H12)*kgtoGg,IF('Net zero activities &amp; levers'!$C$8="On",(('Net zero supporting data'!AM140*EF!$H12)+('Net zero supporting data'!AM130*'Net zero supporting data'!AM150))*kgtoGg,"ERROR"))</f>
        <v>15.80944876612929</v>
      </c>
      <c r="AW470" s="100">
        <f>IF('Net zero activities &amp; levers'!$C$8="Off",('Activity data'!BP13*EF!$H12)*kgtoGg,IF('Net zero activities &amp; levers'!$C$8="On",(('Net zero supporting data'!AN140*EF!$H12)+('Net zero supporting data'!AN130*'Net zero supporting data'!AN150))*kgtoGg,"ERROR"))</f>
        <v>15.819410196211482</v>
      </c>
      <c r="AY470" s="85"/>
    </row>
    <row r="471" spans="1:51" x14ac:dyDescent="0.25">
      <c r="A471" s="102" t="str">
        <f t="shared" si="0"/>
        <v>PQ Goats</v>
      </c>
      <c r="B471" s="102" t="s">
        <v>969</v>
      </c>
      <c r="C471" s="102" t="s">
        <v>153</v>
      </c>
      <c r="D471" t="s">
        <v>15</v>
      </c>
      <c r="E471" t="s">
        <v>16</v>
      </c>
      <c r="F471" t="s">
        <v>19</v>
      </c>
      <c r="G471" t="s">
        <v>123</v>
      </c>
      <c r="H471" t="s">
        <v>1021</v>
      </c>
      <c r="I471" t="s">
        <v>121</v>
      </c>
      <c r="J471" t="s">
        <v>286</v>
      </c>
      <c r="K471" s="100">
        <f>IF('Net zero activities &amp; levers'!$C$8="Off",('Activity data'!AD14*EF!$H13)*kgtoGg,IF('Net zero activities &amp; levers'!$C$8="On",(('Net zero supporting data'!B141*EF!$H13)+('Net zero supporting data'!B131*'Net zero supporting data'!B151))*kgtoGg,"ERROR"))</f>
        <v>22.375967695369447</v>
      </c>
      <c r="L471" s="100">
        <f>IF('Net zero activities &amp; levers'!$C$8="Off",('Activity data'!AE14*EF!$H13)*kgtoGg,IF('Net zero activities &amp; levers'!$C$8="On",(('Net zero supporting data'!C141*EF!$H13)+('Net zero supporting data'!C131*'Net zero supporting data'!C151))*kgtoGg,"ERROR"))</f>
        <v>22.434126555906317</v>
      </c>
      <c r="M471" s="100">
        <f>IF('Net zero activities &amp; levers'!$C$8="Off",('Activity data'!AF14*EF!$H13)*kgtoGg,IF('Net zero activities &amp; levers'!$C$8="On",(('Net zero supporting data'!D141*EF!$H13)+('Net zero supporting data'!D131*'Net zero supporting data'!D151))*kgtoGg,"ERROR"))</f>
        <v>22.512554913444735</v>
      </c>
      <c r="N471" s="100">
        <f>IF('Net zero activities &amp; levers'!$C$8="Off",('Activity data'!AG14*EF!$H13)*kgtoGg,IF('Net zero activities &amp; levers'!$C$8="On",(('Net zero supporting data'!E141*EF!$H13)+('Net zero supporting data'!E131*'Net zero supporting data'!E151))*kgtoGg,"ERROR"))</f>
        <v>22.60807866178018</v>
      </c>
      <c r="O471" s="100">
        <f>IF('Net zero activities &amp; levers'!$C$8="Off",('Activity data'!AH14*EF!$H13)*kgtoGg,IF('Net zero activities &amp; levers'!$C$8="On",(('Net zero supporting data'!F141*EF!$H13)+('Net zero supporting data'!F131*'Net zero supporting data'!F151))*kgtoGg,"ERROR"))</f>
        <v>22.722493069299134</v>
      </c>
      <c r="P471" s="100">
        <f>IF('Net zero activities &amp; levers'!$C$8="Off",('Activity data'!AI14*EF!$H13)*kgtoGg,IF('Net zero activities &amp; levers'!$C$8="On",(('Net zero supporting data'!G141*EF!$H13)+('Net zero supporting data'!G131*'Net zero supporting data'!G151))*kgtoGg,"ERROR"))</f>
        <v>22.85775731264793</v>
      </c>
      <c r="Q471" s="100">
        <f>IF('Net zero activities &amp; levers'!$C$8="Off",('Activity data'!AJ14*EF!$H13)*kgtoGg,IF('Net zero activities &amp; levers'!$C$8="On",(('Net zero supporting data'!H141*EF!$H13)+('Net zero supporting data'!H131*'Net zero supporting data'!H151))*kgtoGg,"ERROR"))</f>
        <v>23.001110715367403</v>
      </c>
      <c r="R471" s="100">
        <f>IF('Net zero activities &amp; levers'!$C$8="Off",('Activity data'!AK14*EF!$H13)*kgtoGg,IF('Net zero activities &amp; levers'!$C$8="On",(('Net zero supporting data'!I141*EF!$H13)+('Net zero supporting data'!I131*'Net zero supporting data'!I151))*kgtoGg,"ERROR"))</f>
        <v>23.150875927799948</v>
      </c>
      <c r="S471" s="100">
        <f>IF('Net zero activities &amp; levers'!$C$8="Off",('Activity data'!AL14*EF!$H13)*kgtoGg,IF('Net zero activities &amp; levers'!$C$8="On",(('Net zero supporting data'!J141*EF!$H13)+('Net zero supporting data'!J131*'Net zero supporting data'!J151))*kgtoGg,"ERROR"))</f>
        <v>23.296681356613096</v>
      </c>
      <c r="T471" s="100">
        <f>IF('Net zero activities &amp; levers'!$C$8="Off",('Activity data'!AM14*EF!$H13)*kgtoGg,IF('Net zero activities &amp; levers'!$C$8="On",(('Net zero supporting data'!K141*EF!$H13)+('Net zero supporting data'!K131*'Net zero supporting data'!K151))*kgtoGg,"ERROR"))</f>
        <v>23.363556320373338</v>
      </c>
      <c r="U471" s="100">
        <f>IF('Net zero activities &amp; levers'!$C$8="Off",('Activity data'!AN14*EF!$H13)*kgtoGg,IF('Net zero activities &amp; levers'!$C$8="On",(('Net zero supporting data'!L141*EF!$H13)+('Net zero supporting data'!L131*'Net zero supporting data'!L151))*kgtoGg,"ERROR"))</f>
        <v>23.435674085599938</v>
      </c>
      <c r="V471" s="100">
        <f>IF('Net zero activities &amp; levers'!$C$8="Off",('Activity data'!AO14*EF!$H13)*kgtoGg,IF('Net zero activities &amp; levers'!$C$8="On",(('Net zero supporting data'!M141*EF!$H13)+('Net zero supporting data'!M131*'Net zero supporting data'!M151))*kgtoGg,"ERROR"))</f>
        <v>23.513838023813449</v>
      </c>
      <c r="W471" s="100">
        <f>IF('Net zero activities &amp; levers'!$C$8="Off",('Activity data'!AP14*EF!$H13)*kgtoGg,IF('Net zero activities &amp; levers'!$C$8="On",(('Net zero supporting data'!N141*EF!$H13)+('Net zero supporting data'!N131*'Net zero supporting data'!N151))*kgtoGg,"ERROR"))</f>
        <v>23.598626765380281</v>
      </c>
      <c r="X471" s="100">
        <f>IF('Net zero activities &amp; levers'!$C$8="Off",('Activity data'!AQ14*EF!$H13)*kgtoGg,IF('Net zero activities &amp; levers'!$C$8="On",(('Net zero supporting data'!O141*EF!$H13)+('Net zero supporting data'!O131*'Net zero supporting data'!O151))*kgtoGg,"ERROR"))</f>
        <v>23.691180957863665</v>
      </c>
      <c r="Y471" s="100">
        <f>IF('Net zero activities &amp; levers'!$C$8="Off",('Activity data'!AR14*EF!$H13)*kgtoGg,IF('Net zero activities &amp; levers'!$C$8="On",(('Net zero supporting data'!P141*EF!$H13)+('Net zero supporting data'!P131*'Net zero supporting data'!P151))*kgtoGg,"ERROR"))</f>
        <v>23.750752008298576</v>
      </c>
      <c r="Z471" s="100">
        <f>IF('Net zero activities &amp; levers'!$C$8="Off",('Activity data'!AS14*EF!$H13)*kgtoGg,IF('Net zero activities &amp; levers'!$C$8="On",(('Net zero supporting data'!Q141*EF!$H13)+('Net zero supporting data'!Q131*'Net zero supporting data'!Q151))*kgtoGg,"ERROR"))</f>
        <v>23.815761028651949</v>
      </c>
      <c r="AA471" s="100">
        <f>IF('Net zero activities &amp; levers'!$C$8="Off",('Activity data'!AT14*EF!$H13)*kgtoGg,IF('Net zero activities &amp; levers'!$C$8="On",(('Net zero supporting data'!R141*EF!$H13)+('Net zero supporting data'!R131*'Net zero supporting data'!R151))*kgtoGg,"ERROR"))</f>
        <v>23.884590926383627</v>
      </c>
      <c r="AB471" s="100">
        <f>IF('Net zero activities &amp; levers'!$C$8="Off",('Activity data'!AU14*EF!$H13)*kgtoGg,IF('Net zero activities &amp; levers'!$C$8="On",(('Net zero supporting data'!S141*EF!$H13)+('Net zero supporting data'!S131*'Net zero supporting data'!S151))*kgtoGg,"ERROR"))</f>
        <v>23.958806560417987</v>
      </c>
      <c r="AC471" s="100">
        <f>IF('Net zero activities &amp; levers'!$C$8="Off",('Activity data'!AV14*EF!$H13)*kgtoGg,IF('Net zero activities &amp; levers'!$C$8="On",(('Net zero supporting data'!T141*EF!$H13)+('Net zero supporting data'!T131*'Net zero supporting data'!T151))*kgtoGg,"ERROR"))</f>
        <v>24.038432950071041</v>
      </c>
      <c r="AD471" s="100">
        <f>IF('Net zero activities &amp; levers'!$C$8="Off",('Activity data'!AW14*EF!$H13)*kgtoGg,IF('Net zero activities &amp; levers'!$C$8="On",(('Net zero supporting data'!U141*EF!$H13)+('Net zero supporting data'!U131*'Net zero supporting data'!U151))*kgtoGg,"ERROR"))</f>
        <v>24.023261862426772</v>
      </c>
      <c r="AE471" s="100">
        <f>IF('Net zero activities &amp; levers'!$C$8="Off",('Activity data'!AX14*EF!$H13)*kgtoGg,IF('Net zero activities &amp; levers'!$C$8="On",(('Net zero supporting data'!V141*EF!$H13)+('Net zero supporting data'!V131*'Net zero supporting data'!V151))*kgtoGg,"ERROR"))</f>
        <v>24.011858722769528</v>
      </c>
      <c r="AF471" s="100">
        <f>IF('Net zero activities &amp; levers'!$C$8="Off",('Activity data'!AY14*EF!$H13)*kgtoGg,IF('Net zero activities &amp; levers'!$C$8="On",(('Net zero supporting data'!W141*EF!$H13)+('Net zero supporting data'!W131*'Net zero supporting data'!W151))*kgtoGg,"ERROR"))</f>
        <v>24.003840401673017</v>
      </c>
      <c r="AG471" s="100">
        <f>IF('Net zero activities &amp; levers'!$C$8="Off",('Activity data'!AZ14*EF!$H13)*kgtoGg,IF('Net zero activities &amp; levers'!$C$8="On",(('Net zero supporting data'!X141*EF!$H13)+('Net zero supporting data'!X131*'Net zero supporting data'!X151))*kgtoGg,"ERROR"))</f>
        <v>23.999844846615254</v>
      </c>
      <c r="AH471" s="100">
        <f>IF('Net zero activities &amp; levers'!$C$8="Off",('Activity data'!BA14*EF!$H13)*kgtoGg,IF('Net zero activities &amp; levers'!$C$8="On",(('Net zero supporting data'!Y141*EF!$H13)+('Net zero supporting data'!Y131*'Net zero supporting data'!Y151))*kgtoGg,"ERROR"))</f>
        <v>23.997563894962202</v>
      </c>
      <c r="AI471" s="100">
        <f>IF('Net zero activities &amp; levers'!$C$8="Off",('Activity data'!BB14*EF!$H13)*kgtoGg,IF('Net zero activities &amp; levers'!$C$8="On",(('Net zero supporting data'!Z141*EF!$H13)+('Net zero supporting data'!Z131*'Net zero supporting data'!Z151))*kgtoGg,"ERROR"))</f>
        <v>23.969966181252499</v>
      </c>
      <c r="AJ471" s="100">
        <f>IF('Net zero activities &amp; levers'!$C$8="Off",('Activity data'!BC14*EF!$H13)*kgtoGg,IF('Net zero activities &amp; levers'!$C$8="On",(('Net zero supporting data'!AA141*EF!$H13)+('Net zero supporting data'!AA131*'Net zero supporting data'!AA151))*kgtoGg,"ERROR"))</f>
        <v>23.94514440288776</v>
      </c>
      <c r="AK471" s="100">
        <f>IF('Net zero activities &amp; levers'!$C$8="Off",('Activity data'!BD14*EF!$H13)*kgtoGg,IF('Net zero activities &amp; levers'!$C$8="On",(('Net zero supporting data'!AB141*EF!$H13)+('Net zero supporting data'!AB131*'Net zero supporting data'!AB151))*kgtoGg,"ERROR"))</f>
        <v>23.922386821619746</v>
      </c>
      <c r="AL471" s="100">
        <f>IF('Net zero activities &amp; levers'!$C$8="Off",('Activity data'!BE14*EF!$H13)*kgtoGg,IF('Net zero activities &amp; levers'!$C$8="On",(('Net zero supporting data'!AC141*EF!$H13)+('Net zero supporting data'!AC131*'Net zero supporting data'!AC151))*kgtoGg,"ERROR"))</f>
        <v>23.901956109173931</v>
      </c>
      <c r="AM471" s="100">
        <f>IF('Net zero activities &amp; levers'!$C$8="Off",('Activity data'!BF14*EF!$H13)*kgtoGg,IF('Net zero activities &amp; levers'!$C$8="On",(('Net zero supporting data'!AD141*EF!$H13)+('Net zero supporting data'!AD131*'Net zero supporting data'!AD151))*kgtoGg,"ERROR"))</f>
        <v>23.884084302002172</v>
      </c>
      <c r="AN471" s="100">
        <f>IF('Net zero activities &amp; levers'!$C$8="Off",('Activity data'!BG14*EF!$H13)*kgtoGg,IF('Net zero activities &amp; levers'!$C$8="On",(('Net zero supporting data'!AE141*EF!$H13)+('Net zero supporting data'!AE131*'Net zero supporting data'!AE151))*kgtoGg,"ERROR"))</f>
        <v>23.911847342493445</v>
      </c>
      <c r="AO471" s="100">
        <f>IF('Net zero activities &amp; levers'!$C$8="Off",('Activity data'!BH14*EF!$H13)*kgtoGg,IF('Net zero activities &amp; levers'!$C$8="On",(('Net zero supporting data'!AF141*EF!$H13)+('Net zero supporting data'!AF131*'Net zero supporting data'!AF151))*kgtoGg,"ERROR"))</f>
        <v>23.941296028978556</v>
      </c>
      <c r="AP471" s="100">
        <f>IF('Net zero activities &amp; levers'!$C$8="Off",('Activity data'!BI14*EF!$H13)*kgtoGg,IF('Net zero activities &amp; levers'!$C$8="On",(('Net zero supporting data'!AG141*EF!$H13)+('Net zero supporting data'!AG131*'Net zero supporting data'!AG151))*kgtoGg,"ERROR"))</f>
        <v>23.973048454652076</v>
      </c>
      <c r="AQ471" s="100">
        <f>IF('Net zero activities &amp; levers'!$C$8="Off",('Activity data'!BJ14*EF!$H13)*kgtoGg,IF('Net zero activities &amp; levers'!$C$8="On",(('Net zero supporting data'!AH141*EF!$H13)+('Net zero supporting data'!AH131*'Net zero supporting data'!AH151))*kgtoGg,"ERROR"))</f>
        <v>24.007045546940205</v>
      </c>
      <c r="AR471" s="100">
        <f>IF('Net zero activities &amp; levers'!$C$8="Off",('Activity data'!BK14*EF!$H13)*kgtoGg,IF('Net zero activities &amp; levers'!$C$8="On",(('Net zero supporting data'!AI141*EF!$H13)+('Net zero supporting data'!AI131*'Net zero supporting data'!AI151))*kgtoGg,"ERROR"))</f>
        <v>24.043719488848602</v>
      </c>
      <c r="AS471" s="100">
        <f>IF('Net zero activities &amp; levers'!$C$8="Off",('Activity data'!BL14*EF!$H13)*kgtoGg,IF('Net zero activities &amp; levers'!$C$8="On",(('Net zero supporting data'!AJ141*EF!$H13)+('Net zero supporting data'!AJ131*'Net zero supporting data'!AJ151))*kgtoGg,"ERROR"))</f>
        <v>24.056529709588048</v>
      </c>
      <c r="AT471" s="100">
        <f>IF('Net zero activities &amp; levers'!$C$8="Off",('Activity data'!BM14*EF!$H13)*kgtoGg,IF('Net zero activities &amp; levers'!$C$8="On",(('Net zero supporting data'!AK141*EF!$H13)+('Net zero supporting data'!AK131*'Net zero supporting data'!AK151))*kgtoGg,"ERROR"))</f>
        <v>24.066501684367722</v>
      </c>
      <c r="AU471" s="100">
        <f>IF('Net zero activities &amp; levers'!$C$8="Off",('Activity data'!BN14*EF!$H13)*kgtoGg,IF('Net zero activities &amp; levers'!$C$8="On",(('Net zero supporting data'!AL141*EF!$H13)+('Net zero supporting data'!AL131*'Net zero supporting data'!AL151))*kgtoGg,"ERROR"))</f>
        <v>24.077928141513812</v>
      </c>
      <c r="AV471" s="100">
        <f>IF('Net zero activities &amp; levers'!$C$8="Off",('Activity data'!BO14*EF!$H13)*kgtoGg,IF('Net zero activities &amp; levers'!$C$8="On",(('Net zero supporting data'!AM141*EF!$H13)+('Net zero supporting data'!AM131*'Net zero supporting data'!AM151))*kgtoGg,"ERROR"))</f>
        <v>24.09171557101164</v>
      </c>
      <c r="AW471" s="100">
        <f>IF('Net zero activities &amp; levers'!$C$8="Off",('Activity data'!BP14*EF!$H13)*kgtoGg,IF('Net zero activities &amp; levers'!$C$8="On",(('Net zero supporting data'!AN141*EF!$H13)+('Net zero supporting data'!AN131*'Net zero supporting data'!AN151))*kgtoGg,"ERROR"))</f>
        <v>24.106895603141222</v>
      </c>
      <c r="AY471" s="85"/>
    </row>
    <row r="472" spans="1:51" x14ac:dyDescent="0.25">
      <c r="A472" s="102" t="str">
        <f t="shared" ref="A472:A611" si="108">B472&amp;" "&amp;C472</f>
        <v>PQ Horses</v>
      </c>
      <c r="B472" s="102" t="s">
        <v>969</v>
      </c>
      <c r="C472" s="102" t="s">
        <v>3</v>
      </c>
      <c r="D472" t="s">
        <v>15</v>
      </c>
      <c r="E472" t="s">
        <v>16</v>
      </c>
      <c r="F472" t="s">
        <v>20</v>
      </c>
      <c r="G472" t="s">
        <v>3</v>
      </c>
      <c r="H472" t="s">
        <v>1021</v>
      </c>
      <c r="I472" t="s">
        <v>121</v>
      </c>
      <c r="J472" t="s">
        <v>286</v>
      </c>
      <c r="K472" s="28">
        <f>K1389</f>
        <v>5.5625078668475236</v>
      </c>
      <c r="L472" s="28">
        <f t="shared" ref="L472:AW479" si="109">L1389</f>
        <v>5.5999708339814545</v>
      </c>
      <c r="M472" s="28">
        <f t="shared" si="109"/>
        <v>5.6226370840776179</v>
      </c>
      <c r="N472" s="28">
        <f t="shared" si="109"/>
        <v>5.5928142970106265</v>
      </c>
      <c r="O472" s="28">
        <f t="shared" si="109"/>
        <v>5.5623376589201499</v>
      </c>
      <c r="P472" s="28">
        <f t="shared" si="109"/>
        <v>5.5812216853376206</v>
      </c>
      <c r="Q472" s="28">
        <f t="shared" si="109"/>
        <v>5.5836612172513842</v>
      </c>
      <c r="R472" s="28">
        <f t="shared" si="109"/>
        <v>5.5315877353552168</v>
      </c>
      <c r="S472" s="28">
        <f t="shared" si="109"/>
        <v>5.2455147526194601</v>
      </c>
      <c r="T472" s="28">
        <f t="shared" si="109"/>
        <v>5.332808287437901</v>
      </c>
      <c r="U472" s="28">
        <f t="shared" si="109"/>
        <v>5.3901753132609427</v>
      </c>
      <c r="V472" s="28">
        <f t="shared" si="109"/>
        <v>5.440230309739654</v>
      </c>
      <c r="W472" s="28">
        <f t="shared" si="109"/>
        <v>5.5003068027462358</v>
      </c>
      <c r="X472" s="28">
        <f t="shared" si="109"/>
        <v>5.5968430891840955</v>
      </c>
      <c r="Y472" s="28">
        <f t="shared" si="109"/>
        <v>5.7072120457799942</v>
      </c>
      <c r="Z472" s="28">
        <f t="shared" si="109"/>
        <v>5.8264820494807026</v>
      </c>
      <c r="AA472" s="28">
        <f t="shared" si="109"/>
        <v>5.9301104930204529</v>
      </c>
      <c r="AB472" s="28">
        <f t="shared" si="109"/>
        <v>6.0502396904604057</v>
      </c>
      <c r="AC472" s="28">
        <f t="shared" si="109"/>
        <v>6.1907930019013007</v>
      </c>
      <c r="AD472" s="28">
        <f t="shared" si="109"/>
        <v>6.3320471664105931</v>
      </c>
      <c r="AE472" s="28">
        <f t="shared" si="109"/>
        <v>6.4794646415598249</v>
      </c>
      <c r="AF472" s="28">
        <f t="shared" si="109"/>
        <v>6.6296689370175557</v>
      </c>
      <c r="AG472" s="28">
        <f t="shared" si="109"/>
        <v>6.7972348352901832</v>
      </c>
      <c r="AH472" s="28">
        <f t="shared" si="109"/>
        <v>6.9438088425470355</v>
      </c>
      <c r="AI472" s="28">
        <f t="shared" si="109"/>
        <v>7.1048815884414847</v>
      </c>
      <c r="AJ472" s="28">
        <f t="shared" si="109"/>
        <v>7.268627225560472</v>
      </c>
      <c r="AK472" s="28">
        <f t="shared" si="109"/>
        <v>7.42471904610154</v>
      </c>
      <c r="AL472" s="28">
        <f t="shared" si="109"/>
        <v>7.5801220888649867</v>
      </c>
      <c r="AM472" s="28">
        <f t="shared" si="109"/>
        <v>7.7411228012577773</v>
      </c>
      <c r="AN472" s="28">
        <f t="shared" si="109"/>
        <v>7.9163247577118536</v>
      </c>
      <c r="AO472" s="28">
        <f t="shared" si="109"/>
        <v>8.0810947340099517</v>
      </c>
      <c r="AP472" s="28">
        <f t="shared" si="109"/>
        <v>8.2480372843312519</v>
      </c>
      <c r="AQ472" s="28">
        <f t="shared" si="109"/>
        <v>8.4174605770969908</v>
      </c>
      <c r="AR472" s="28">
        <f t="shared" si="109"/>
        <v>8.5983802423376101</v>
      </c>
      <c r="AS472" s="28">
        <f t="shared" si="109"/>
        <v>8.7907471853609671</v>
      </c>
      <c r="AT472" s="28">
        <f t="shared" si="109"/>
        <v>8.8991507547228217</v>
      </c>
      <c r="AU472" s="28">
        <f t="shared" si="109"/>
        <v>9.0016825973480952</v>
      </c>
      <c r="AV472" s="28">
        <f t="shared" si="109"/>
        <v>9.1156705075973274</v>
      </c>
      <c r="AW472" s="28">
        <f t="shared" si="109"/>
        <v>9.2247946500114306</v>
      </c>
      <c r="AY472" s="85"/>
    </row>
    <row r="473" spans="1:51" x14ac:dyDescent="0.25">
      <c r="A473" s="102" t="str">
        <f t="shared" si="108"/>
        <v>PQ Mules&amp;Asses</v>
      </c>
      <c r="B473" s="102" t="s">
        <v>969</v>
      </c>
      <c r="C473" s="102" t="s">
        <v>1324</v>
      </c>
      <c r="D473" t="s">
        <v>15</v>
      </c>
      <c r="E473" t="s">
        <v>16</v>
      </c>
      <c r="F473" t="s">
        <v>140</v>
      </c>
      <c r="G473" t="s">
        <v>124</v>
      </c>
      <c r="H473" t="s">
        <v>1021</v>
      </c>
      <c r="I473" t="s">
        <v>121</v>
      </c>
      <c r="J473" t="s">
        <v>286</v>
      </c>
      <c r="K473" s="28">
        <f t="shared" ref="K473:Z511" si="110">K1390</f>
        <v>1.67</v>
      </c>
      <c r="L473" s="28">
        <f t="shared" si="110"/>
        <v>1.67</v>
      </c>
      <c r="M473" s="28">
        <f t="shared" si="110"/>
        <v>1.67</v>
      </c>
      <c r="N473" s="28">
        <f t="shared" si="110"/>
        <v>1.67</v>
      </c>
      <c r="O473" s="28">
        <f t="shared" si="110"/>
        <v>1.67</v>
      </c>
      <c r="P473" s="28">
        <f t="shared" si="110"/>
        <v>1.67</v>
      </c>
      <c r="Q473" s="28">
        <f t="shared" si="110"/>
        <v>1.67</v>
      </c>
      <c r="R473" s="28">
        <f t="shared" si="110"/>
        <v>1.67</v>
      </c>
      <c r="S473" s="28">
        <f t="shared" si="110"/>
        <v>1.67</v>
      </c>
      <c r="T473" s="28">
        <f t="shared" si="110"/>
        <v>1.67</v>
      </c>
      <c r="U473" s="28">
        <f t="shared" si="110"/>
        <v>1.67</v>
      </c>
      <c r="V473" s="28">
        <f t="shared" si="110"/>
        <v>1.67</v>
      </c>
      <c r="W473" s="28">
        <f t="shared" si="110"/>
        <v>1.67</v>
      </c>
      <c r="X473" s="28">
        <f t="shared" si="110"/>
        <v>1.67</v>
      </c>
      <c r="Y473" s="28">
        <f t="shared" si="110"/>
        <v>1.67</v>
      </c>
      <c r="Z473" s="28">
        <f t="shared" si="110"/>
        <v>1.67</v>
      </c>
      <c r="AA473" s="28">
        <f t="shared" si="109"/>
        <v>1.67</v>
      </c>
      <c r="AB473" s="28">
        <f t="shared" si="109"/>
        <v>1.67</v>
      </c>
      <c r="AC473" s="28">
        <f t="shared" si="109"/>
        <v>1.67</v>
      </c>
      <c r="AD473" s="28">
        <f t="shared" si="109"/>
        <v>1.67</v>
      </c>
      <c r="AE473" s="28">
        <f t="shared" si="109"/>
        <v>1.67</v>
      </c>
      <c r="AF473" s="28">
        <f t="shared" si="109"/>
        <v>1.67</v>
      </c>
      <c r="AG473" s="28">
        <f t="shared" si="109"/>
        <v>1.67</v>
      </c>
      <c r="AH473" s="28">
        <f t="shared" si="109"/>
        <v>1.67</v>
      </c>
      <c r="AI473" s="28">
        <f t="shared" si="109"/>
        <v>1.67</v>
      </c>
      <c r="AJ473" s="28">
        <f t="shared" si="109"/>
        <v>1.67</v>
      </c>
      <c r="AK473" s="28">
        <f t="shared" si="109"/>
        <v>1.67</v>
      </c>
      <c r="AL473" s="28">
        <f t="shared" si="109"/>
        <v>1.67</v>
      </c>
      <c r="AM473" s="28">
        <f t="shared" si="109"/>
        <v>1.67</v>
      </c>
      <c r="AN473" s="28">
        <f t="shared" si="109"/>
        <v>1.67</v>
      </c>
      <c r="AO473" s="28">
        <f t="shared" si="109"/>
        <v>1.67</v>
      </c>
      <c r="AP473" s="28">
        <f t="shared" si="109"/>
        <v>1.67</v>
      </c>
      <c r="AQ473" s="28">
        <f t="shared" si="109"/>
        <v>1.67</v>
      </c>
      <c r="AR473" s="28">
        <f t="shared" si="109"/>
        <v>1.67</v>
      </c>
      <c r="AS473" s="28">
        <f t="shared" si="109"/>
        <v>1.67</v>
      </c>
      <c r="AT473" s="28">
        <f t="shared" si="109"/>
        <v>1.67</v>
      </c>
      <c r="AU473" s="28">
        <f t="shared" si="109"/>
        <v>1.67</v>
      </c>
      <c r="AV473" s="28">
        <f t="shared" si="109"/>
        <v>1.67</v>
      </c>
      <c r="AW473" s="28">
        <f t="shared" si="109"/>
        <v>1.67</v>
      </c>
      <c r="AY473" s="85"/>
    </row>
    <row r="474" spans="1:51" x14ac:dyDescent="0.25">
      <c r="A474" s="102" t="str">
        <f t="shared" si="108"/>
        <v>PQ Swine</v>
      </c>
      <c r="B474" s="102" t="s">
        <v>969</v>
      </c>
      <c r="C474" s="102" t="s">
        <v>155</v>
      </c>
      <c r="D474" t="s">
        <v>15</v>
      </c>
      <c r="E474" t="s">
        <v>16</v>
      </c>
      <c r="F474" t="s">
        <v>21</v>
      </c>
      <c r="G474" t="s">
        <v>122</v>
      </c>
      <c r="H474" t="s">
        <v>1021</v>
      </c>
      <c r="I474" t="s">
        <v>121</v>
      </c>
      <c r="J474" t="s">
        <v>286</v>
      </c>
      <c r="K474" s="28">
        <f t="shared" si="110"/>
        <v>1.8474255451679995</v>
      </c>
      <c r="L474" s="28">
        <f t="shared" si="109"/>
        <v>1.8441604348292597</v>
      </c>
      <c r="M474" s="28">
        <f t="shared" si="109"/>
        <v>1.8338137298795358</v>
      </c>
      <c r="N474" s="28">
        <f t="shared" si="109"/>
        <v>1.7933482851133742</v>
      </c>
      <c r="O474" s="28">
        <f t="shared" si="109"/>
        <v>1.7550816658957487</v>
      </c>
      <c r="P474" s="28">
        <f t="shared" si="109"/>
        <v>1.7489053520701128</v>
      </c>
      <c r="Q474" s="28">
        <f t="shared" si="109"/>
        <v>1.7339122581424293</v>
      </c>
      <c r="R474" s="28">
        <f t="shared" si="109"/>
        <v>1.6877345539497199</v>
      </c>
      <c r="S474" s="28">
        <f t="shared" si="109"/>
        <v>1.5053811336602128</v>
      </c>
      <c r="T474" s="28">
        <f t="shared" si="109"/>
        <v>1.5377628037868112</v>
      </c>
      <c r="U474" s="28">
        <f t="shared" si="109"/>
        <v>1.552673977291076</v>
      </c>
      <c r="V474" s="28">
        <f t="shared" si="109"/>
        <v>1.5635339108098432</v>
      </c>
      <c r="W474" s="28">
        <f t="shared" si="109"/>
        <v>1.5802068350253002</v>
      </c>
      <c r="X474" s="28">
        <f t="shared" si="109"/>
        <v>1.6172323659778973</v>
      </c>
      <c r="Y474" s="28">
        <f t="shared" si="109"/>
        <v>1.6589025382757046</v>
      </c>
      <c r="Z474" s="28">
        <f t="shared" si="109"/>
        <v>1.7047569121988</v>
      </c>
      <c r="AA474" s="28">
        <f t="shared" si="109"/>
        <v>1.7414239138931573</v>
      </c>
      <c r="AB474" s="28">
        <f t="shared" si="109"/>
        <v>1.7863343967077348</v>
      </c>
      <c r="AC474" s="28">
        <f t="shared" si="109"/>
        <v>1.8412944995472851</v>
      </c>
      <c r="AD474" s="28">
        <f t="shared" si="109"/>
        <v>1.8933168508248233</v>
      </c>
      <c r="AE474" s="28">
        <f t="shared" si="109"/>
        <v>1.9474606383722404</v>
      </c>
      <c r="AF474" s="28">
        <f t="shared" si="109"/>
        <v>2.0019218993391705</v>
      </c>
      <c r="AG474" s="28">
        <f t="shared" si="109"/>
        <v>2.0640337310487364</v>
      </c>
      <c r="AH474" s="28">
        <f t="shared" si="109"/>
        <v>2.1143896915844675</v>
      </c>
      <c r="AI474" s="28">
        <f t="shared" si="109"/>
        <v>2.1683478050489855</v>
      </c>
      <c r="AJ474" s="28">
        <f t="shared" si="109"/>
        <v>2.2223161129731017</v>
      </c>
      <c r="AK474" s="28">
        <f t="shared" si="109"/>
        <v>2.2712974627449407</v>
      </c>
      <c r="AL474" s="28">
        <f t="shared" si="109"/>
        <v>2.3187596234531931</v>
      </c>
      <c r="AM474" s="28">
        <f t="shared" si="109"/>
        <v>2.3676923627976345</v>
      </c>
      <c r="AN474" s="28">
        <f t="shared" si="109"/>
        <v>2.4194242817017155</v>
      </c>
      <c r="AO474" s="28">
        <f t="shared" si="109"/>
        <v>2.4649069844651375</v>
      </c>
      <c r="AP474" s="28">
        <f t="shared" si="109"/>
        <v>2.5100582920146528</v>
      </c>
      <c r="AQ474" s="28">
        <f t="shared" si="109"/>
        <v>2.5549982553333939</v>
      </c>
      <c r="AR474" s="28">
        <f t="shared" si="109"/>
        <v>2.6036946475230054</v>
      </c>
      <c r="AS474" s="28">
        <f t="shared" si="109"/>
        <v>2.653097485519059</v>
      </c>
      <c r="AT474" s="28">
        <f t="shared" si="109"/>
        <v>2.6646485873532106</v>
      </c>
      <c r="AU474" s="28">
        <f t="shared" si="109"/>
        <v>2.6730218901162521</v>
      </c>
      <c r="AV474" s="28">
        <f t="shared" si="109"/>
        <v>2.6855920926795118</v>
      </c>
      <c r="AW474" s="28">
        <f t="shared" si="109"/>
        <v>2.6954069255347832</v>
      </c>
      <c r="AY474" s="85"/>
    </row>
    <row r="475" spans="1:51" x14ac:dyDescent="0.25">
      <c r="A475" s="102" t="str">
        <f t="shared" si="108"/>
        <v>PQ Swine</v>
      </c>
      <c r="B475" s="102" t="s">
        <v>969</v>
      </c>
      <c r="C475" s="102" t="s">
        <v>155</v>
      </c>
      <c r="D475" t="s">
        <v>15</v>
      </c>
      <c r="E475" t="s">
        <v>16</v>
      </c>
      <c r="F475" t="s">
        <v>21</v>
      </c>
      <c r="G475" t="s">
        <v>123</v>
      </c>
      <c r="H475" t="s">
        <v>1021</v>
      </c>
      <c r="I475" t="s">
        <v>121</v>
      </c>
      <c r="J475" t="s">
        <v>286</v>
      </c>
      <c r="K475" s="28">
        <f t="shared" si="110"/>
        <v>0.25598228499623599</v>
      </c>
      <c r="L475" s="28">
        <f t="shared" si="109"/>
        <v>0.25552986600297178</v>
      </c>
      <c r="M475" s="28">
        <f t="shared" si="109"/>
        <v>0.2540962097551519</v>
      </c>
      <c r="N475" s="28">
        <f t="shared" si="109"/>
        <v>0.24848925198533875</v>
      </c>
      <c r="O475" s="28">
        <f t="shared" si="109"/>
        <v>0.24318696705589768</v>
      </c>
      <c r="P475" s="28">
        <f t="shared" si="109"/>
        <v>0.24233116697774282</v>
      </c>
      <c r="Q475" s="28">
        <f t="shared" si="109"/>
        <v>0.24025369952428582</v>
      </c>
      <c r="R475" s="28">
        <f t="shared" si="109"/>
        <v>0.23385524180779091</v>
      </c>
      <c r="S475" s="28">
        <f t="shared" si="109"/>
        <v>0.20858805562825686</v>
      </c>
      <c r="T475" s="28">
        <f t="shared" si="109"/>
        <v>0.21307491245054205</v>
      </c>
      <c r="U475" s="28">
        <f t="shared" si="109"/>
        <v>0.21514102887703648</v>
      </c>
      <c r="V475" s="28">
        <f t="shared" si="109"/>
        <v>0.21664579890921035</v>
      </c>
      <c r="W475" s="28">
        <f t="shared" si="109"/>
        <v>0.21895602637651193</v>
      </c>
      <c r="X475" s="28">
        <f t="shared" si="109"/>
        <v>0.22408634409959116</v>
      </c>
      <c r="Y475" s="28">
        <f t="shared" si="109"/>
        <v>0.22986023087347443</v>
      </c>
      <c r="Z475" s="28">
        <f t="shared" si="109"/>
        <v>0.23621388742250649</v>
      </c>
      <c r="AA475" s="28">
        <f t="shared" si="109"/>
        <v>0.24129452674907209</v>
      </c>
      <c r="AB475" s="28">
        <f t="shared" si="109"/>
        <v>0.24751739621259586</v>
      </c>
      <c r="AC475" s="28">
        <f t="shared" si="109"/>
        <v>0.25513275735410096</v>
      </c>
      <c r="AD475" s="28">
        <f t="shared" si="109"/>
        <v>0.26234105886629538</v>
      </c>
      <c r="AE475" s="28">
        <f t="shared" si="109"/>
        <v>0.26984331003467904</v>
      </c>
      <c r="AF475" s="28">
        <f t="shared" si="109"/>
        <v>0.27738955083586025</v>
      </c>
      <c r="AG475" s="28">
        <f t="shared" si="109"/>
        <v>0.28599586714879749</v>
      </c>
      <c r="AH475" s="28">
        <f t="shared" si="109"/>
        <v>0.29297327085247121</v>
      </c>
      <c r="AI475" s="28">
        <f t="shared" si="109"/>
        <v>0.30044979471826921</v>
      </c>
      <c r="AJ475" s="28">
        <f t="shared" si="109"/>
        <v>0.30792773114495187</v>
      </c>
      <c r="AK475" s="28">
        <f t="shared" si="109"/>
        <v>0.31471466654789126</v>
      </c>
      <c r="AL475" s="28">
        <f t="shared" si="109"/>
        <v>0.32129110064599836</v>
      </c>
      <c r="AM475" s="28">
        <f t="shared" si="109"/>
        <v>0.32807130050914157</v>
      </c>
      <c r="AN475" s="28">
        <f t="shared" si="109"/>
        <v>0.33523935923981285</v>
      </c>
      <c r="AO475" s="28">
        <f t="shared" si="109"/>
        <v>0.3415415164291174</v>
      </c>
      <c r="AP475" s="28">
        <f t="shared" si="109"/>
        <v>0.34779775495917498</v>
      </c>
      <c r="AQ475" s="28">
        <f t="shared" si="109"/>
        <v>0.35402470928925173</v>
      </c>
      <c r="AR475" s="28">
        <f t="shared" si="109"/>
        <v>0.36077216050663552</v>
      </c>
      <c r="AS475" s="28">
        <f t="shared" si="109"/>
        <v>0.36761749800270155</v>
      </c>
      <c r="AT475" s="28">
        <f t="shared" si="109"/>
        <v>0.36921803743957582</v>
      </c>
      <c r="AU475" s="28">
        <f t="shared" si="109"/>
        <v>0.37037825587428075</v>
      </c>
      <c r="AV475" s="28">
        <f t="shared" si="109"/>
        <v>0.37212000356388308</v>
      </c>
      <c r="AW475" s="28">
        <f t="shared" si="109"/>
        <v>0.37347996275017875</v>
      </c>
      <c r="AY475" s="85"/>
    </row>
    <row r="476" spans="1:51" x14ac:dyDescent="0.25">
      <c r="A476" s="102" t="str">
        <f t="shared" si="108"/>
        <v>PQ Cattle MMCH4</v>
      </c>
      <c r="B476" s="102" t="s">
        <v>969</v>
      </c>
      <c r="C476" s="102" t="s">
        <v>1230</v>
      </c>
      <c r="D476" t="s">
        <v>15</v>
      </c>
      <c r="E476" t="s">
        <v>22</v>
      </c>
      <c r="F476" t="s">
        <v>6</v>
      </c>
      <c r="G476" t="s">
        <v>136</v>
      </c>
      <c r="H476" t="s">
        <v>1228</v>
      </c>
      <c r="I476" t="s">
        <v>121</v>
      </c>
      <c r="J476" t="s">
        <v>286</v>
      </c>
      <c r="K476" s="28">
        <f t="shared" si="110"/>
        <v>7.3588045650103595</v>
      </c>
      <c r="L476" s="28">
        <f t="shared" si="109"/>
        <v>7.4084916265932694</v>
      </c>
      <c r="M476" s="28">
        <f t="shared" si="109"/>
        <v>7.4519552194142697</v>
      </c>
      <c r="N476" s="28">
        <f t="shared" si="109"/>
        <v>7.4575773262508553</v>
      </c>
      <c r="O476" s="28">
        <f t="shared" si="109"/>
        <v>7.4672608540413012</v>
      </c>
      <c r="P476" s="28">
        <f t="shared" si="109"/>
        <v>7.5228231503520746</v>
      </c>
      <c r="Q476" s="28">
        <f t="shared" si="109"/>
        <v>7.5672526424513036</v>
      </c>
      <c r="R476" s="28">
        <f t="shared" si="109"/>
        <v>7.5676422029096111</v>
      </c>
      <c r="S476" s="28">
        <f t="shared" si="109"/>
        <v>7.3671469631707884</v>
      </c>
      <c r="T476" s="28">
        <f t="shared" si="109"/>
        <v>7.4640051034943111</v>
      </c>
      <c r="U476" s="28">
        <f t="shared" si="109"/>
        <v>7.5373250515588941</v>
      </c>
      <c r="V476" s="28">
        <f t="shared" si="109"/>
        <v>7.6065006875157843</v>
      </c>
      <c r="W476" s="28">
        <f t="shared" si="109"/>
        <v>7.686711876493888</v>
      </c>
      <c r="X476" s="28">
        <f t="shared" si="109"/>
        <v>7.801642363870573</v>
      </c>
      <c r="Y476" s="28">
        <f t="shared" si="109"/>
        <v>7.9212983742327268</v>
      </c>
      <c r="Z476" s="28">
        <f t="shared" si="109"/>
        <v>8.051271811974777</v>
      </c>
      <c r="AA476" s="28">
        <f t="shared" si="109"/>
        <v>8.1694693701055154</v>
      </c>
      <c r="AB476" s="28">
        <f t="shared" si="109"/>
        <v>8.304894934006013</v>
      </c>
      <c r="AC476" s="28">
        <f t="shared" si="109"/>
        <v>8.4613678864677428</v>
      </c>
      <c r="AD476" s="28">
        <f t="shared" si="109"/>
        <v>8.6120126328996225</v>
      </c>
      <c r="AE476" s="28">
        <f t="shared" si="109"/>
        <v>8.7705110877908012</v>
      </c>
      <c r="AF476" s="28">
        <f t="shared" si="109"/>
        <v>8.9338169052653935</v>
      </c>
      <c r="AG476" s="28">
        <f t="shared" si="109"/>
        <v>9.1155300292362771</v>
      </c>
      <c r="AH476" s="28">
        <f t="shared" si="109"/>
        <v>9.2800481861570177</v>
      </c>
      <c r="AI476" s="28">
        <f t="shared" si="109"/>
        <v>9.4510008371933658</v>
      </c>
      <c r="AJ476" s="28">
        <f t="shared" si="109"/>
        <v>9.6264218592694402</v>
      </c>
      <c r="AK476" s="28">
        <f t="shared" si="109"/>
        <v>9.7965990855623915</v>
      </c>
      <c r="AL476" s="28">
        <f t="shared" si="109"/>
        <v>9.9680661021899084</v>
      </c>
      <c r="AM476" s="28">
        <f t="shared" si="109"/>
        <v>10.146806716212263</v>
      </c>
      <c r="AN476" s="28">
        <f t="shared" si="109"/>
        <v>10.331465633171717</v>
      </c>
      <c r="AO476" s="28">
        <f t="shared" si="109"/>
        <v>10.50783381125248</v>
      </c>
      <c r="AP476" s="28">
        <f t="shared" si="109"/>
        <v>10.68792759135736</v>
      </c>
      <c r="AQ476" s="28">
        <f t="shared" si="109"/>
        <v>10.872071544232886</v>
      </c>
      <c r="AR476" s="28">
        <f t="shared" si="109"/>
        <v>11.068995536388829</v>
      </c>
      <c r="AS476" s="28">
        <f t="shared" si="109"/>
        <v>11.268086835721329</v>
      </c>
      <c r="AT476" s="28">
        <f t="shared" si="109"/>
        <v>11.387245372385955</v>
      </c>
      <c r="AU476" s="28">
        <f t="shared" si="109"/>
        <v>11.501774341925307</v>
      </c>
      <c r="AV476" s="28">
        <f t="shared" si="109"/>
        <v>11.628486934141081</v>
      </c>
      <c r="AW476" s="28">
        <f t="shared" si="109"/>
        <v>11.75154763718939</v>
      </c>
      <c r="AY476" s="85"/>
    </row>
    <row r="477" spans="1:51" x14ac:dyDescent="0.25">
      <c r="A477" s="102" t="str">
        <f t="shared" si="108"/>
        <v>PQ Cattle MMCH4</v>
      </c>
      <c r="B477" s="102" t="s">
        <v>969</v>
      </c>
      <c r="C477" s="102" t="s">
        <v>1230</v>
      </c>
      <c r="D477" t="s">
        <v>15</v>
      </c>
      <c r="E477" t="s">
        <v>22</v>
      </c>
      <c r="F477" t="s">
        <v>6</v>
      </c>
      <c r="G477" t="s">
        <v>137</v>
      </c>
      <c r="H477" t="s">
        <v>1228</v>
      </c>
      <c r="I477" t="s">
        <v>121</v>
      </c>
      <c r="J477" t="s">
        <v>286</v>
      </c>
      <c r="K477" s="28">
        <f t="shared" si="110"/>
        <v>2.0965784624729791</v>
      </c>
      <c r="L477" s="28">
        <f t="shared" si="109"/>
        <v>2.11073467796396</v>
      </c>
      <c r="M477" s="28">
        <f t="shared" si="109"/>
        <v>2.123117780654781</v>
      </c>
      <c r="N477" s="28">
        <f t="shared" si="109"/>
        <v>2.1247195609443885</v>
      </c>
      <c r="O477" s="28">
        <f t="shared" si="109"/>
        <v>2.1274784704420999</v>
      </c>
      <c r="P477" s="28">
        <f t="shared" si="109"/>
        <v>2.1433085842522419</v>
      </c>
      <c r="Q477" s="28">
        <f t="shared" si="109"/>
        <v>2.1559668788721003</v>
      </c>
      <c r="R477" s="28">
        <f t="shared" si="109"/>
        <v>2.1560778675604801</v>
      </c>
      <c r="S477" s="28">
        <f t="shared" si="109"/>
        <v>2.0989552741078059</v>
      </c>
      <c r="T477" s="28">
        <f t="shared" si="109"/>
        <v>2.1265508827591137</v>
      </c>
      <c r="U477" s="28">
        <f t="shared" si="109"/>
        <v>2.14744028437643</v>
      </c>
      <c r="V477" s="28">
        <f t="shared" si="109"/>
        <v>2.1671489404759119</v>
      </c>
      <c r="W477" s="28">
        <f t="shared" si="109"/>
        <v>2.1900017081741403</v>
      </c>
      <c r="X477" s="28">
        <f t="shared" si="109"/>
        <v>2.2227462636772444</v>
      </c>
      <c r="Y477" s="28">
        <f t="shared" si="109"/>
        <v>2.2568371560245644</v>
      </c>
      <c r="Z477" s="28">
        <f t="shared" si="109"/>
        <v>2.2938675606040304</v>
      </c>
      <c r="AA477" s="28">
        <f t="shared" si="109"/>
        <v>2.3275429290017851</v>
      </c>
      <c r="AB477" s="28">
        <f t="shared" si="109"/>
        <v>2.3661266851042466</v>
      </c>
      <c r="AC477" s="28">
        <f t="shared" si="109"/>
        <v>2.4107069996366737</v>
      </c>
      <c r="AD477" s="28">
        <f t="shared" si="109"/>
        <v>2.4536268146777656</v>
      </c>
      <c r="AE477" s="28">
        <f t="shared" si="109"/>
        <v>2.4987842100025621</v>
      </c>
      <c r="AF477" s="28">
        <f t="shared" si="109"/>
        <v>2.545311258885167</v>
      </c>
      <c r="AG477" s="28">
        <f t="shared" si="109"/>
        <v>2.5970826870703236</v>
      </c>
      <c r="AH477" s="28">
        <f t="shared" si="109"/>
        <v>2.6439551405291128</v>
      </c>
      <c r="AI477" s="28">
        <f t="shared" si="109"/>
        <v>2.6926608294897441</v>
      </c>
      <c r="AJ477" s="28">
        <f t="shared" si="109"/>
        <v>2.74263959078182</v>
      </c>
      <c r="AK477" s="28">
        <f t="shared" si="109"/>
        <v>2.7911243554330865</v>
      </c>
      <c r="AL477" s="28">
        <f t="shared" si="109"/>
        <v>2.83997659099796</v>
      </c>
      <c r="AM477" s="28">
        <f t="shared" si="109"/>
        <v>2.8909011288651962</v>
      </c>
      <c r="AN477" s="28">
        <f t="shared" si="109"/>
        <v>2.9435118355065453</v>
      </c>
      <c r="AO477" s="28">
        <f t="shared" si="109"/>
        <v>2.9937604486288318</v>
      </c>
      <c r="AP477" s="28">
        <f t="shared" si="109"/>
        <v>3.045070513634303</v>
      </c>
      <c r="AQ477" s="28">
        <f t="shared" si="109"/>
        <v>3.0975345031563459</v>
      </c>
      <c r="AR477" s="28">
        <f t="shared" si="109"/>
        <v>3.1536396214606754</v>
      </c>
      <c r="AS477" s="28">
        <f t="shared" si="109"/>
        <v>3.2103622217904881</v>
      </c>
      <c r="AT477" s="28">
        <f t="shared" si="109"/>
        <v>3.2443113801604118</v>
      </c>
      <c r="AU477" s="28">
        <f t="shared" si="109"/>
        <v>3.2769415402284139</v>
      </c>
      <c r="AV477" s="28">
        <f t="shared" si="109"/>
        <v>3.3130429055271864</v>
      </c>
      <c r="AW477" s="28">
        <f t="shared" si="109"/>
        <v>3.3481038202869873</v>
      </c>
      <c r="AY477" s="85"/>
    </row>
    <row r="478" spans="1:51" x14ac:dyDescent="0.25">
      <c r="A478" s="102" t="str">
        <f t="shared" si="108"/>
        <v>PQ Cattle MMCH4</v>
      </c>
      <c r="B478" s="102" t="s">
        <v>969</v>
      </c>
      <c r="C478" s="102" t="s">
        <v>1230</v>
      </c>
      <c r="D478" t="s">
        <v>15</v>
      </c>
      <c r="E478" t="s">
        <v>22</v>
      </c>
      <c r="F478" t="s">
        <v>67</v>
      </c>
      <c r="G478" t="s">
        <v>307</v>
      </c>
      <c r="H478" t="s">
        <v>1228</v>
      </c>
      <c r="I478" t="s">
        <v>121</v>
      </c>
      <c r="J478" t="s">
        <v>286</v>
      </c>
      <c r="K478" s="28">
        <f t="shared" si="110"/>
        <v>0.43302356896670435</v>
      </c>
      <c r="L478" s="28">
        <f t="shared" si="109"/>
        <v>0.43594736841646864</v>
      </c>
      <c r="M478" s="28">
        <f t="shared" si="109"/>
        <v>0.43850495231711395</v>
      </c>
      <c r="N478" s="28">
        <f t="shared" si="109"/>
        <v>0.43883578115568184</v>
      </c>
      <c r="O478" s="28">
        <f t="shared" si="109"/>
        <v>0.43940560139305368</v>
      </c>
      <c r="P478" s="28">
        <f t="shared" si="109"/>
        <v>0.44267512481033205</v>
      </c>
      <c r="Q478" s="28">
        <f t="shared" si="109"/>
        <v>0.44528954636022133</v>
      </c>
      <c r="R478" s="28">
        <f t="shared" si="109"/>
        <v>0.44531246976557798</v>
      </c>
      <c r="S478" s="28">
        <f t="shared" si="109"/>
        <v>0.43351447139430072</v>
      </c>
      <c r="T478" s="28">
        <f t="shared" si="109"/>
        <v>0.43921401909064739</v>
      </c>
      <c r="U478" s="28">
        <f t="shared" si="109"/>
        <v>0.44352847877046275</v>
      </c>
      <c r="V478" s="28">
        <f t="shared" si="109"/>
        <v>0.44759906938106581</v>
      </c>
      <c r="W478" s="28">
        <f t="shared" si="109"/>
        <v>0.45231903918261634</v>
      </c>
      <c r="X478" s="28">
        <f t="shared" si="109"/>
        <v>0.45908204116035195</v>
      </c>
      <c r="Y478" s="28">
        <f t="shared" si="109"/>
        <v>0.46612311314393218</v>
      </c>
      <c r="Z478" s="28">
        <f t="shared" si="109"/>
        <v>0.47377130673090989</v>
      </c>
      <c r="AA478" s="28">
        <f t="shared" si="109"/>
        <v>0.48072655714050544</v>
      </c>
      <c r="AB478" s="28">
        <f t="shared" si="109"/>
        <v>0.48869557717513923</v>
      </c>
      <c r="AC478" s="28">
        <f t="shared" si="109"/>
        <v>0.4979031156717999</v>
      </c>
      <c r="AD478" s="28">
        <f t="shared" si="109"/>
        <v>0.50676769757090157</v>
      </c>
      <c r="AE478" s="28">
        <f t="shared" si="109"/>
        <v>0.51609442530315108</v>
      </c>
      <c r="AF478" s="28">
        <f t="shared" si="109"/>
        <v>0.52570403883360262</v>
      </c>
      <c r="AG478" s="28">
        <f t="shared" si="109"/>
        <v>0.53639681709328069</v>
      </c>
      <c r="AH478" s="28">
        <f t="shared" si="109"/>
        <v>0.54607776986764511</v>
      </c>
      <c r="AI478" s="28">
        <f t="shared" si="109"/>
        <v>0.55613735582649237</v>
      </c>
      <c r="AJ478" s="28">
        <f t="shared" si="109"/>
        <v>0.5664598798696433</v>
      </c>
      <c r="AK478" s="28">
        <f t="shared" si="109"/>
        <v>0.57647383651643525</v>
      </c>
      <c r="AL478" s="28">
        <f t="shared" si="109"/>
        <v>0.58656368994903785</v>
      </c>
      <c r="AM478" s="28">
        <f t="shared" si="109"/>
        <v>0.5970815529958805</v>
      </c>
      <c r="AN478" s="28">
        <f t="shared" si="109"/>
        <v>0.60794767432807506</v>
      </c>
      <c r="AO478" s="28">
        <f t="shared" si="109"/>
        <v>0.61832593308600126</v>
      </c>
      <c r="AP478" s="28">
        <f t="shared" si="109"/>
        <v>0.62892342221902187</v>
      </c>
      <c r="AQ478" s="28">
        <f t="shared" si="109"/>
        <v>0.63975924085958458</v>
      </c>
      <c r="AR478" s="28">
        <f t="shared" si="109"/>
        <v>0.65134709173199301</v>
      </c>
      <c r="AS478" s="28">
        <f t="shared" si="109"/>
        <v>0.66306247623847858</v>
      </c>
      <c r="AT478" s="28">
        <f t="shared" si="109"/>
        <v>0.67007427473965175</v>
      </c>
      <c r="AU478" s="28">
        <f t="shared" si="109"/>
        <v>0.67681364968865065</v>
      </c>
      <c r="AV478" s="28">
        <f t="shared" si="109"/>
        <v>0.68426996116282568</v>
      </c>
      <c r="AW478" s="28">
        <f t="shared" si="109"/>
        <v>0.6915113798420095</v>
      </c>
      <c r="AY478" s="85"/>
    </row>
    <row r="479" spans="1:51" x14ac:dyDescent="0.25">
      <c r="A479" s="102" t="str">
        <f t="shared" si="108"/>
        <v>PQ Cattle MMCH4</v>
      </c>
      <c r="B479" s="102" t="s">
        <v>969</v>
      </c>
      <c r="C479" s="102" t="s">
        <v>1230</v>
      </c>
      <c r="D479" t="s">
        <v>15</v>
      </c>
      <c r="E479" t="s">
        <v>22</v>
      </c>
      <c r="F479" t="s">
        <v>67</v>
      </c>
      <c r="G479" t="s">
        <v>122</v>
      </c>
      <c r="H479" t="s">
        <v>1228</v>
      </c>
      <c r="I479" t="s">
        <v>121</v>
      </c>
      <c r="J479" t="s">
        <v>286</v>
      </c>
      <c r="K479" s="28">
        <f t="shared" si="110"/>
        <v>9.5339728940472587E-2</v>
      </c>
      <c r="L479" s="28">
        <f t="shared" si="109"/>
        <v>9.4854333679105063E-2</v>
      </c>
      <c r="M479" s="28">
        <f t="shared" si="109"/>
        <v>9.3968398426833952E-2</v>
      </c>
      <c r="N479" s="28">
        <f t="shared" si="109"/>
        <v>9.1543343324502313E-2</v>
      </c>
      <c r="O479" s="28">
        <f t="shared" si="109"/>
        <v>8.9215062552987667E-2</v>
      </c>
      <c r="P479" s="28">
        <f t="shared" ref="L479:AW485" si="111">P1396</f>
        <v>8.8452938660310093E-2</v>
      </c>
      <c r="Q479" s="28">
        <f t="shared" si="111"/>
        <v>8.7222027489186615E-2</v>
      </c>
      <c r="R479" s="28">
        <f t="shared" si="111"/>
        <v>8.4456409837201651E-2</v>
      </c>
      <c r="S479" s="28">
        <f t="shared" si="111"/>
        <v>7.5177478598092318E-2</v>
      </c>
      <c r="T479" s="28">
        <f t="shared" si="111"/>
        <v>7.7014428210242056E-2</v>
      </c>
      <c r="U479" s="28">
        <f t="shared" si="111"/>
        <v>7.8006612977093048E-2</v>
      </c>
      <c r="V479" s="28">
        <f t="shared" si="111"/>
        <v>7.8795228292272187E-2</v>
      </c>
      <c r="W479" s="28">
        <f t="shared" si="111"/>
        <v>7.9855076548413395E-2</v>
      </c>
      <c r="X479" s="28">
        <f t="shared" si="111"/>
        <v>8.1889840057722874E-2</v>
      </c>
      <c r="Y479" s="28">
        <f t="shared" si="111"/>
        <v>8.4116841663257197E-2</v>
      </c>
      <c r="Z479" s="28">
        <f t="shared" si="111"/>
        <v>8.6543393580483491E-2</v>
      </c>
      <c r="AA479" s="28">
        <f t="shared" si="111"/>
        <v>8.8521952214014571E-2</v>
      </c>
      <c r="AB479" s="28">
        <f t="shared" si="111"/>
        <v>9.0896953770236252E-2</v>
      </c>
      <c r="AC479" s="28">
        <f t="shared" si="111"/>
        <v>9.3757697259475761E-2</v>
      </c>
      <c r="AD479" s="28">
        <f t="shared" si="111"/>
        <v>9.5642150962380226E-2</v>
      </c>
      <c r="AE479" s="28">
        <f t="shared" si="111"/>
        <v>9.7567055281161469E-2</v>
      </c>
      <c r="AF479" s="28">
        <f t="shared" si="111"/>
        <v>9.9442694820459449E-2</v>
      </c>
      <c r="AG479" s="28">
        <f t="shared" si="111"/>
        <v>0.10161266035579665</v>
      </c>
      <c r="AH479" s="28">
        <f t="shared" si="111"/>
        <v>0.10315899021589392</v>
      </c>
      <c r="AI479" s="28">
        <f t="shared" si="111"/>
        <v>0.10478802467890617</v>
      </c>
      <c r="AJ479" s="28">
        <f t="shared" si="111"/>
        <v>0.10634686421883358</v>
      </c>
      <c r="AK479" s="28">
        <f t="shared" si="111"/>
        <v>0.10760625778708158</v>
      </c>
      <c r="AL479" s="28">
        <f t="shared" si="111"/>
        <v>0.10872705455886196</v>
      </c>
      <c r="AM479" s="28">
        <f t="shared" si="111"/>
        <v>0.10984281909628571</v>
      </c>
      <c r="AN479" s="28">
        <f t="shared" si="111"/>
        <v>0.11156015357830804</v>
      </c>
      <c r="AO479" s="28">
        <f t="shared" si="111"/>
        <v>0.11295872622782972</v>
      </c>
      <c r="AP479" s="28">
        <f t="shared" si="111"/>
        <v>0.11430168694304664</v>
      </c>
      <c r="AQ479" s="28">
        <f t="shared" si="111"/>
        <v>0.11559344303067282</v>
      </c>
      <c r="AR479" s="28">
        <f t="shared" si="111"/>
        <v>0.11700506936438095</v>
      </c>
      <c r="AS479" s="28">
        <f t="shared" si="111"/>
        <v>0.11838774199647999</v>
      </c>
      <c r="AT479" s="28">
        <f t="shared" si="111"/>
        <v>0.11810287074263501</v>
      </c>
      <c r="AU479" s="28">
        <f t="shared" si="111"/>
        <v>0.117655872543239</v>
      </c>
      <c r="AV479" s="28">
        <f t="shared" si="111"/>
        <v>0.11736041307434758</v>
      </c>
      <c r="AW479" s="28">
        <f t="shared" si="111"/>
        <v>0.11692074816946382</v>
      </c>
      <c r="AY479" s="85"/>
    </row>
    <row r="480" spans="1:51" x14ac:dyDescent="0.25">
      <c r="A480" s="102" t="str">
        <f t="shared" si="108"/>
        <v>PQ Cattle MMCH4</v>
      </c>
      <c r="B480" s="102" t="s">
        <v>969</v>
      </c>
      <c r="C480" s="102" t="s">
        <v>1230</v>
      </c>
      <c r="D480" t="s">
        <v>15</v>
      </c>
      <c r="E480" t="s">
        <v>22</v>
      </c>
      <c r="F480" t="s">
        <v>67</v>
      </c>
      <c r="G480" t="s">
        <v>123</v>
      </c>
      <c r="H480" t="s">
        <v>1228</v>
      </c>
      <c r="I480" t="s">
        <v>121</v>
      </c>
      <c r="J480" t="s">
        <v>286</v>
      </c>
      <c r="K480" s="28">
        <f t="shared" si="110"/>
        <v>7.0033293869835936E-2</v>
      </c>
      <c r="L480" s="28">
        <f t="shared" si="111"/>
        <v>6.9676739164256679E-2</v>
      </c>
      <c r="M480" s="28">
        <f t="shared" si="111"/>
        <v>6.9025961523482296E-2</v>
      </c>
      <c r="N480" s="28">
        <f t="shared" si="111"/>
        <v>6.724459924650146E-2</v>
      </c>
      <c r="O480" s="28">
        <f t="shared" si="111"/>
        <v>6.5534324072709205E-2</v>
      </c>
      <c r="P480" s="28">
        <f t="shared" si="111"/>
        <v>6.4974494008849484E-2</v>
      </c>
      <c r="Q480" s="28">
        <f t="shared" si="111"/>
        <v>6.4070308893861602E-2</v>
      </c>
      <c r="R480" s="28">
        <f t="shared" si="111"/>
        <v>6.2038781052262654E-2</v>
      </c>
      <c r="S480" s="28">
        <f t="shared" si="111"/>
        <v>5.5222796514774769E-2</v>
      </c>
      <c r="T480" s="28">
        <f t="shared" si="111"/>
        <v>5.657215667597356E-2</v>
      </c>
      <c r="U480" s="28">
        <f t="shared" si="111"/>
        <v>5.7300981564844748E-2</v>
      </c>
      <c r="V480" s="28">
        <f t="shared" si="111"/>
        <v>5.7880271318780145E-2</v>
      </c>
      <c r="W480" s="28">
        <f t="shared" si="111"/>
        <v>5.865879948541796E-2</v>
      </c>
      <c r="X480" s="28">
        <f t="shared" si="111"/>
        <v>6.0153466948675183E-2</v>
      </c>
      <c r="Y480" s="28">
        <f t="shared" si="111"/>
        <v>6.1789345921924234E-2</v>
      </c>
      <c r="Z480" s="28">
        <f t="shared" si="111"/>
        <v>6.3571807707772474E-2</v>
      </c>
      <c r="AA480" s="28">
        <f t="shared" si="111"/>
        <v>6.5025188997615446E-2</v>
      </c>
      <c r="AB480" s="28">
        <f t="shared" si="111"/>
        <v>6.6769783656910539E-2</v>
      </c>
      <c r="AC480" s="28">
        <f t="shared" si="111"/>
        <v>6.8871187674885259E-2</v>
      </c>
      <c r="AD480" s="28">
        <f t="shared" si="111"/>
        <v>7.0255442711335062E-2</v>
      </c>
      <c r="AE480" s="28">
        <f t="shared" si="111"/>
        <v>7.1669411382388193E-2</v>
      </c>
      <c r="AF480" s="28">
        <f t="shared" si="111"/>
        <v>7.3047191836657727E-2</v>
      </c>
      <c r="AG480" s="28">
        <f t="shared" si="111"/>
        <v>7.4641174069589936E-2</v>
      </c>
      <c r="AH480" s="28">
        <f t="shared" si="111"/>
        <v>7.5777054931801216E-2</v>
      </c>
      <c r="AI480" s="28">
        <f t="shared" si="111"/>
        <v>7.6973687757802431E-2</v>
      </c>
      <c r="AJ480" s="28">
        <f t="shared" si="111"/>
        <v>7.8118757801622474E-2</v>
      </c>
      <c r="AK480" s="28">
        <f t="shared" si="111"/>
        <v>7.904386510833572E-2</v>
      </c>
      <c r="AL480" s="28">
        <f t="shared" si="111"/>
        <v>7.9867163963480023E-2</v>
      </c>
      <c r="AM480" s="28">
        <f t="shared" si="111"/>
        <v>8.0686766311916805E-2</v>
      </c>
      <c r="AN480" s="28">
        <f t="shared" si="111"/>
        <v>8.1948261302398337E-2</v>
      </c>
      <c r="AO480" s="28">
        <f t="shared" si="111"/>
        <v>8.2975604787121515E-2</v>
      </c>
      <c r="AP480" s="28">
        <f t="shared" si="111"/>
        <v>8.3962097652893697E-2</v>
      </c>
      <c r="AQ480" s="28">
        <f t="shared" si="111"/>
        <v>8.491097735601684E-2</v>
      </c>
      <c r="AR480" s="28">
        <f t="shared" si="111"/>
        <v>8.5947909629284627E-2</v>
      </c>
      <c r="AS480" s="28">
        <f t="shared" si="111"/>
        <v>8.6963573506722666E-2</v>
      </c>
      <c r="AT480" s="28">
        <f t="shared" si="111"/>
        <v>8.6754316857293221E-2</v>
      </c>
      <c r="AU480" s="28">
        <f t="shared" si="111"/>
        <v>8.6425967316073798E-2</v>
      </c>
      <c r="AV480" s="28">
        <f t="shared" si="111"/>
        <v>8.6208932927142212E-2</v>
      </c>
      <c r="AW480" s="28">
        <f t="shared" si="111"/>
        <v>8.5885970172473555E-2</v>
      </c>
      <c r="AY480" s="85"/>
    </row>
    <row r="481" spans="1:51" x14ac:dyDescent="0.25">
      <c r="A481" s="102" t="str">
        <f t="shared" si="108"/>
        <v>PQ Cattle MMCH4</v>
      </c>
      <c r="B481" s="102" t="s">
        <v>969</v>
      </c>
      <c r="C481" s="102" t="s">
        <v>1230</v>
      </c>
      <c r="D481" t="s">
        <v>15</v>
      </c>
      <c r="E481" t="s">
        <v>22</v>
      </c>
      <c r="F481" t="s">
        <v>67</v>
      </c>
      <c r="G481" t="s">
        <v>135</v>
      </c>
      <c r="H481" t="s">
        <v>1228</v>
      </c>
      <c r="I481" t="s">
        <v>121</v>
      </c>
      <c r="J481" t="s">
        <v>286</v>
      </c>
      <c r="K481" s="28">
        <f t="shared" si="110"/>
        <v>0.47241651785764616</v>
      </c>
      <c r="L481" s="28">
        <f t="shared" si="111"/>
        <v>0.49004050540543137</v>
      </c>
      <c r="M481" s="28">
        <f t="shared" si="111"/>
        <v>0.50587338709485186</v>
      </c>
      <c r="N481" s="28">
        <f t="shared" si="111"/>
        <v>0.51330333017852303</v>
      </c>
      <c r="O481" s="28">
        <f t="shared" si="111"/>
        <v>0.52084695794290625</v>
      </c>
      <c r="P481" s="28">
        <f t="shared" si="111"/>
        <v>0.53749845878988001</v>
      </c>
      <c r="Q481" s="28">
        <f t="shared" si="111"/>
        <v>0.55154407690171303</v>
      </c>
      <c r="R481" s="28">
        <f t="shared" si="111"/>
        <v>0.55564430469746628</v>
      </c>
      <c r="S481" s="28">
        <f t="shared" si="111"/>
        <v>0.51452468218759118</v>
      </c>
      <c r="T481" s="28">
        <f t="shared" si="111"/>
        <v>0.53973183707135297</v>
      </c>
      <c r="U481" s="28">
        <f t="shared" si="111"/>
        <v>0.55960980330157661</v>
      </c>
      <c r="V481" s="28">
        <f t="shared" si="111"/>
        <v>0.57846136773715073</v>
      </c>
      <c r="W481" s="28">
        <f t="shared" si="111"/>
        <v>0.59976484808933772</v>
      </c>
      <c r="X481" s="28">
        <f t="shared" si="111"/>
        <v>0.6290799531985618</v>
      </c>
      <c r="Y481" s="28">
        <f t="shared" si="111"/>
        <v>0.66078220006195243</v>
      </c>
      <c r="Z481" s="28">
        <f t="shared" si="111"/>
        <v>0.6950549893868353</v>
      </c>
      <c r="AA481" s="28">
        <f t="shared" si="111"/>
        <v>0.72671447444619408</v>
      </c>
      <c r="AB481" s="28">
        <f t="shared" si="111"/>
        <v>0.76263064102611711</v>
      </c>
      <c r="AC481" s="28">
        <f t="shared" si="111"/>
        <v>0.80381242816688792</v>
      </c>
      <c r="AD481" s="28">
        <f t="shared" si="111"/>
        <v>0.84707112360683778</v>
      </c>
      <c r="AE481" s="28">
        <f t="shared" si="111"/>
        <v>0.89273716244132828</v>
      </c>
      <c r="AF481" s="28">
        <f t="shared" si="111"/>
        <v>0.94011116650043791</v>
      </c>
      <c r="AG481" s="28">
        <f t="shared" si="111"/>
        <v>0.99262429161620569</v>
      </c>
      <c r="AH481" s="28">
        <f t="shared" si="111"/>
        <v>1.0414261811490693</v>
      </c>
      <c r="AI481" s="28">
        <f t="shared" si="111"/>
        <v>1.0934015913217856</v>
      </c>
      <c r="AJ481" s="28">
        <f t="shared" si="111"/>
        <v>1.1471241939805665</v>
      </c>
      <c r="AK481" s="28">
        <f t="shared" si="111"/>
        <v>1.2001095211957744</v>
      </c>
      <c r="AL481" s="28">
        <f t="shared" si="111"/>
        <v>1.2540285808463096</v>
      </c>
      <c r="AM481" s="28">
        <f t="shared" si="111"/>
        <v>1.310466494861908</v>
      </c>
      <c r="AN481" s="28">
        <f t="shared" si="111"/>
        <v>1.3683728665063422</v>
      </c>
      <c r="AO481" s="28">
        <f t="shared" si="111"/>
        <v>1.4246154398643955</v>
      </c>
      <c r="AP481" s="28">
        <f t="shared" si="111"/>
        <v>1.482380812922339</v>
      </c>
      <c r="AQ481" s="28">
        <f t="shared" si="111"/>
        <v>1.541777789137452</v>
      </c>
      <c r="AR481" s="28">
        <f t="shared" si="111"/>
        <v>1.6052115562052296</v>
      </c>
      <c r="AS481" s="28">
        <f t="shared" si="111"/>
        <v>1.670845908904999</v>
      </c>
      <c r="AT481" s="28">
        <f t="shared" si="111"/>
        <v>1.7149867964815078</v>
      </c>
      <c r="AU481" s="28">
        <f t="shared" si="111"/>
        <v>1.7581618430572761</v>
      </c>
      <c r="AV481" s="28">
        <f t="shared" si="111"/>
        <v>1.8050606672101563</v>
      </c>
      <c r="AW481" s="28">
        <f t="shared" si="111"/>
        <v>1.8512821467965566</v>
      </c>
      <c r="AY481" s="85"/>
    </row>
    <row r="482" spans="1:51" x14ac:dyDescent="0.25">
      <c r="A482" s="102" t="str">
        <f t="shared" si="108"/>
        <v>PQ Sheep MMCH4</v>
      </c>
      <c r="B482" s="102" t="s">
        <v>969</v>
      </c>
      <c r="C482" s="102" t="s">
        <v>1325</v>
      </c>
      <c r="D482" t="s">
        <v>15</v>
      </c>
      <c r="E482" t="s">
        <v>22</v>
      </c>
      <c r="F482" t="s">
        <v>18</v>
      </c>
      <c r="G482" t="s">
        <v>122</v>
      </c>
      <c r="H482" t="s">
        <v>1228</v>
      </c>
      <c r="I482" t="s">
        <v>121</v>
      </c>
      <c r="J482" t="s">
        <v>286</v>
      </c>
      <c r="K482" s="28">
        <f t="shared" si="110"/>
        <v>3.6049467288640238E-2</v>
      </c>
      <c r="L482" s="28">
        <f t="shared" si="111"/>
        <v>3.6068922498919492E-2</v>
      </c>
      <c r="M482" s="28">
        <f t="shared" si="111"/>
        <v>3.6113648368603188E-2</v>
      </c>
      <c r="N482" s="28">
        <f t="shared" si="111"/>
        <v>3.6180048088995075E-2</v>
      </c>
      <c r="O482" s="28">
        <f t="shared" si="111"/>
        <v>3.6269669615497352E-2</v>
      </c>
      <c r="P482" s="28">
        <f t="shared" si="111"/>
        <v>3.6384314095385159E-2</v>
      </c>
      <c r="Q482" s="28">
        <f t="shared" si="111"/>
        <v>3.6510640385803414E-2</v>
      </c>
      <c r="R482" s="28">
        <f t="shared" si="111"/>
        <v>3.6646686440443228E-2</v>
      </c>
      <c r="S482" s="28">
        <f t="shared" si="111"/>
        <v>3.6781472874538444E-2</v>
      </c>
      <c r="T482" s="28">
        <f t="shared" si="111"/>
        <v>3.6836633496849083E-2</v>
      </c>
      <c r="U482" s="28">
        <f t="shared" si="111"/>
        <v>3.6899270096088746E-2</v>
      </c>
      <c r="V482" s="28">
        <f t="shared" si="111"/>
        <v>3.6970107657697912E-2</v>
      </c>
      <c r="W482" s="28">
        <f t="shared" si="111"/>
        <v>3.7049660029312891E-2</v>
      </c>
      <c r="X482" s="28">
        <f t="shared" si="111"/>
        <v>3.7139051899563943E-2</v>
      </c>
      <c r="Y482" s="28">
        <f t="shared" si="111"/>
        <v>3.7195257613770766E-2</v>
      </c>
      <c r="Z482" s="28">
        <f t="shared" si="111"/>
        <v>3.7258548109316066E-2</v>
      </c>
      <c r="AA482" s="28">
        <f t="shared" si="111"/>
        <v>3.7327161924675951E-2</v>
      </c>
      <c r="AB482" s="28">
        <f t="shared" si="111"/>
        <v>3.740270770234231E-2</v>
      </c>
      <c r="AC482" s="28">
        <f t="shared" si="111"/>
        <v>3.7485176791933403E-2</v>
      </c>
      <c r="AD482" s="28">
        <f t="shared" si="111"/>
        <v>3.7539761469788754E-2</v>
      </c>
      <c r="AE482" s="28">
        <f t="shared" si="111"/>
        <v>3.7599656922957594E-2</v>
      </c>
      <c r="AF482" s="28">
        <f t="shared" si="111"/>
        <v>3.7664460791843352E-2</v>
      </c>
      <c r="AG482" s="28">
        <f t="shared" si="111"/>
        <v>3.7734874583025615E-2</v>
      </c>
      <c r="AH482" s="28">
        <f t="shared" si="111"/>
        <v>3.7808406535422022E-2</v>
      </c>
      <c r="AI482" s="28">
        <f t="shared" si="111"/>
        <v>3.7855450290038166E-2</v>
      </c>
      <c r="AJ482" s="28">
        <f t="shared" si="111"/>
        <v>3.790648474498734E-2</v>
      </c>
      <c r="AK482" s="28">
        <f t="shared" si="111"/>
        <v>3.7960736985585587E-2</v>
      </c>
      <c r="AL482" s="28">
        <f t="shared" si="111"/>
        <v>3.8018503990857662E-2</v>
      </c>
      <c r="AM482" s="28">
        <f t="shared" si="111"/>
        <v>3.8080056384553931E-2</v>
      </c>
      <c r="AN482" s="28">
        <f t="shared" si="111"/>
        <v>3.8116334504626079E-2</v>
      </c>
      <c r="AO482" s="28">
        <f t="shared" si="111"/>
        <v>3.8154989670212594E-2</v>
      </c>
      <c r="AP482" s="28">
        <f t="shared" si="111"/>
        <v>3.8196703080821404E-2</v>
      </c>
      <c r="AQ482" s="28">
        <f t="shared" si="111"/>
        <v>3.8241401151067764E-2</v>
      </c>
      <c r="AR482" s="28">
        <f t="shared" si="111"/>
        <v>3.828956377958781E-2</v>
      </c>
      <c r="AS482" s="28">
        <f t="shared" si="111"/>
        <v>3.8311270646145826E-2</v>
      </c>
      <c r="AT482" s="28">
        <f t="shared" si="111"/>
        <v>3.8330111932378036E-2</v>
      </c>
      <c r="AU482" s="28">
        <f t="shared" si="111"/>
        <v>3.8350912132151166E-2</v>
      </c>
      <c r="AV482" s="28">
        <f t="shared" si="111"/>
        <v>3.8374692407557622E-2</v>
      </c>
      <c r="AW482" s="28">
        <f t="shared" si="111"/>
        <v>3.8400354082293926E-2</v>
      </c>
      <c r="AY482" s="85"/>
    </row>
    <row r="483" spans="1:51" x14ac:dyDescent="0.25">
      <c r="A483" s="102" t="str">
        <f t="shared" si="108"/>
        <v>PQ Sheep MMCH4</v>
      </c>
      <c r="B483" s="102" t="s">
        <v>969</v>
      </c>
      <c r="C483" s="102" t="s">
        <v>1325</v>
      </c>
      <c r="D483" t="s">
        <v>15</v>
      </c>
      <c r="E483" t="s">
        <v>22</v>
      </c>
      <c r="F483" t="s">
        <v>18</v>
      </c>
      <c r="G483" t="s">
        <v>123</v>
      </c>
      <c r="H483" t="s">
        <v>1228</v>
      </c>
      <c r="I483" t="s">
        <v>121</v>
      </c>
      <c r="J483" t="s">
        <v>286</v>
      </c>
      <c r="K483" s="28">
        <f t="shared" si="110"/>
        <v>4.1170209951421942E-3</v>
      </c>
      <c r="L483" s="28">
        <f t="shared" si="111"/>
        <v>4.1192428728898823E-3</v>
      </c>
      <c r="M483" s="28">
        <f t="shared" si="111"/>
        <v>4.12435078039485E-3</v>
      </c>
      <c r="N483" s="28">
        <f t="shared" si="111"/>
        <v>4.1319339449597016E-3</v>
      </c>
      <c r="O483" s="28">
        <f t="shared" si="111"/>
        <v>4.1421691504697385E-3</v>
      </c>
      <c r="P483" s="28">
        <f t="shared" si="111"/>
        <v>4.1552620965289999E-3</v>
      </c>
      <c r="Q483" s="28">
        <f t="shared" si="111"/>
        <v>4.1696891610325101E-3</v>
      </c>
      <c r="R483" s="28">
        <f t="shared" si="111"/>
        <v>4.1852262689396433E-3</v>
      </c>
      <c r="S483" s="28">
        <f t="shared" si="111"/>
        <v>4.2006195221765729E-3</v>
      </c>
      <c r="T483" s="28">
        <f t="shared" si="111"/>
        <v>4.2069191281690734E-3</v>
      </c>
      <c r="U483" s="28">
        <f t="shared" si="111"/>
        <v>4.2140725263613192E-3</v>
      </c>
      <c r="V483" s="28">
        <f t="shared" si="111"/>
        <v>4.2221625135462756E-3</v>
      </c>
      <c r="W483" s="28">
        <f t="shared" si="111"/>
        <v>4.2312477735732788E-3</v>
      </c>
      <c r="X483" s="28">
        <f t="shared" si="111"/>
        <v>4.2414567512447637E-3</v>
      </c>
      <c r="Y483" s="28">
        <f t="shared" si="111"/>
        <v>4.2478757117132681E-3</v>
      </c>
      <c r="Z483" s="28">
        <f t="shared" si="111"/>
        <v>4.2551037879804332E-3</v>
      </c>
      <c r="AA483" s="28">
        <f t="shared" si="111"/>
        <v>4.2629398127441735E-3</v>
      </c>
      <c r="AB483" s="28">
        <f t="shared" si="111"/>
        <v>4.2715675006447032E-3</v>
      </c>
      <c r="AC483" s="28">
        <f t="shared" si="111"/>
        <v>4.2809858637671951E-3</v>
      </c>
      <c r="AD483" s="28">
        <f t="shared" si="111"/>
        <v>4.2872196941576481E-3</v>
      </c>
      <c r="AE483" s="28">
        <f t="shared" si="111"/>
        <v>4.294060040402857E-3</v>
      </c>
      <c r="AF483" s="28">
        <f t="shared" si="111"/>
        <v>4.3014609511190394E-3</v>
      </c>
      <c r="AG483" s="28">
        <f t="shared" si="111"/>
        <v>4.3095025417013294E-3</v>
      </c>
      <c r="AH483" s="28">
        <f t="shared" si="111"/>
        <v>4.3179002411570773E-3</v>
      </c>
      <c r="AI483" s="28">
        <f t="shared" si="111"/>
        <v>4.3232728621695939E-3</v>
      </c>
      <c r="AJ483" s="28">
        <f t="shared" si="111"/>
        <v>4.3291012401819257E-3</v>
      </c>
      <c r="AK483" s="28">
        <f t="shared" si="111"/>
        <v>4.335297104653045E-3</v>
      </c>
      <c r="AL483" s="28">
        <f t="shared" si="111"/>
        <v>4.3418943720031399E-3</v>
      </c>
      <c r="AM483" s="28">
        <f t="shared" si="111"/>
        <v>4.3489239487544346E-3</v>
      </c>
      <c r="AN483" s="28">
        <f t="shared" si="111"/>
        <v>4.3530670829873327E-3</v>
      </c>
      <c r="AO483" s="28">
        <f t="shared" si="111"/>
        <v>4.3574816871482253E-3</v>
      </c>
      <c r="AP483" s="28">
        <f t="shared" si="111"/>
        <v>4.362245557467872E-3</v>
      </c>
      <c r="AQ483" s="28">
        <f t="shared" si="111"/>
        <v>4.3673502901445905E-3</v>
      </c>
      <c r="AR483" s="28">
        <f t="shared" si="111"/>
        <v>4.3728506918900767E-3</v>
      </c>
      <c r="AS483" s="28">
        <f t="shared" si="111"/>
        <v>4.3753297195173796E-3</v>
      </c>
      <c r="AT483" s="28">
        <f t="shared" si="111"/>
        <v>4.3774814842126074E-3</v>
      </c>
      <c r="AU483" s="28">
        <f t="shared" si="111"/>
        <v>4.3798569661714264E-3</v>
      </c>
      <c r="AV483" s="28">
        <f t="shared" si="111"/>
        <v>4.3825727869721814E-3</v>
      </c>
      <c r="AW483" s="28">
        <f t="shared" si="111"/>
        <v>4.385503472544146E-3</v>
      </c>
      <c r="AY483" s="85"/>
    </row>
    <row r="484" spans="1:51" x14ac:dyDescent="0.25">
      <c r="A484" s="102" t="str">
        <f t="shared" si="108"/>
        <v>PQ Goats MMCH4</v>
      </c>
      <c r="B484" s="102" t="s">
        <v>969</v>
      </c>
      <c r="C484" s="102" t="s">
        <v>1326</v>
      </c>
      <c r="D484" t="s">
        <v>15</v>
      </c>
      <c r="E484" t="s">
        <v>22</v>
      </c>
      <c r="F484" t="s">
        <v>19</v>
      </c>
      <c r="G484" t="s">
        <v>122</v>
      </c>
      <c r="H484" t="s">
        <v>1228</v>
      </c>
      <c r="I484" t="s">
        <v>121</v>
      </c>
      <c r="J484" t="s">
        <v>286</v>
      </c>
      <c r="K484" s="28">
        <f t="shared" si="110"/>
        <v>1.5786050776084536E-2</v>
      </c>
      <c r="L484" s="28">
        <f t="shared" si="111"/>
        <v>1.5827081346829606E-2</v>
      </c>
      <c r="M484" s="28">
        <f t="shared" si="111"/>
        <v>1.5882411871580165E-2</v>
      </c>
      <c r="N484" s="28">
        <f t="shared" si="111"/>
        <v>1.5949803045989901E-2</v>
      </c>
      <c r="O484" s="28">
        <f t="shared" si="111"/>
        <v>1.6030521416305728E-2</v>
      </c>
      <c r="P484" s="28">
        <f t="shared" si="111"/>
        <v>1.6125949164627635E-2</v>
      </c>
      <c r="Q484" s="28">
        <f t="shared" si="111"/>
        <v>1.6227083744595871E-2</v>
      </c>
      <c r="R484" s="28">
        <f t="shared" si="111"/>
        <v>1.6332741800602117E-2</v>
      </c>
      <c r="S484" s="28">
        <f t="shared" si="111"/>
        <v>1.6435606263672888E-2</v>
      </c>
      <c r="T484" s="28">
        <f t="shared" si="111"/>
        <v>1.6482785969504622E-2</v>
      </c>
      <c r="U484" s="28">
        <f t="shared" si="111"/>
        <v>1.6533664426214255E-2</v>
      </c>
      <c r="V484" s="28">
        <f t="shared" si="111"/>
        <v>1.6588808405428729E-2</v>
      </c>
      <c r="W484" s="28">
        <f t="shared" si="111"/>
        <v>1.6648626125843623E-2</v>
      </c>
      <c r="X484" s="28">
        <f t="shared" si="111"/>
        <v>1.671392230440329E-2</v>
      </c>
      <c r="Y484" s="28">
        <f t="shared" si="111"/>
        <v>1.6755949162850392E-2</v>
      </c>
      <c r="Z484" s="28">
        <f t="shared" si="111"/>
        <v>1.6801812461822448E-2</v>
      </c>
      <c r="AA484" s="28">
        <f t="shared" si="111"/>
        <v>1.6850371356583897E-2</v>
      </c>
      <c r="AB484" s="28">
        <f t="shared" si="111"/>
        <v>1.6902729841508243E-2</v>
      </c>
      <c r="AC484" s="28">
        <f t="shared" si="111"/>
        <v>1.6958905567505546E-2</v>
      </c>
      <c r="AD484" s="28">
        <f t="shared" si="111"/>
        <v>1.6995881142245144E-2</v>
      </c>
      <c r="AE484" s="28">
        <f t="shared" si="111"/>
        <v>1.7035738596248386E-2</v>
      </c>
      <c r="AF484" s="28">
        <f t="shared" si="111"/>
        <v>1.7078229800458981E-2</v>
      </c>
      <c r="AG484" s="28">
        <f t="shared" si="111"/>
        <v>1.7123832345859253E-2</v>
      </c>
      <c r="AH484" s="28">
        <f t="shared" si="111"/>
        <v>1.7170921235490962E-2</v>
      </c>
      <c r="AI484" s="28">
        <f t="shared" si="111"/>
        <v>1.720011231394674E-2</v>
      </c>
      <c r="AJ484" s="28">
        <f t="shared" si="111"/>
        <v>1.7231468078725984E-2</v>
      </c>
      <c r="AK484" s="28">
        <f t="shared" si="111"/>
        <v>1.7264493513114532E-2</v>
      </c>
      <c r="AL484" s="28">
        <f t="shared" si="111"/>
        <v>1.7299393145414187E-2</v>
      </c>
      <c r="AM484" s="28">
        <f t="shared" si="111"/>
        <v>1.7336351628498631E-2</v>
      </c>
      <c r="AN484" s="28">
        <f t="shared" si="111"/>
        <v>1.7356503534937538E-2</v>
      </c>
      <c r="AO484" s="28">
        <f t="shared" si="111"/>
        <v>1.7377878973805026E-2</v>
      </c>
      <c r="AP484" s="28">
        <f t="shared" si="111"/>
        <v>1.7400926590350561E-2</v>
      </c>
      <c r="AQ484" s="28">
        <f t="shared" si="111"/>
        <v>1.7425603506526253E-2</v>
      </c>
      <c r="AR484" s="28">
        <f t="shared" si="111"/>
        <v>1.7452223423977883E-2</v>
      </c>
      <c r="AS484" s="28">
        <f t="shared" si="111"/>
        <v>1.7461521770457056E-2</v>
      </c>
      <c r="AT484" s="28">
        <f t="shared" si="111"/>
        <v>1.7468759965525583E-2</v>
      </c>
      <c r="AU484" s="28">
        <f t="shared" si="111"/>
        <v>1.7477053902041951E-2</v>
      </c>
      <c r="AV484" s="28">
        <f t="shared" si="111"/>
        <v>1.7487061559141349E-2</v>
      </c>
      <c r="AW484" s="28">
        <f t="shared" si="111"/>
        <v>1.7498080042052506E-2</v>
      </c>
      <c r="AY484" s="85"/>
    </row>
    <row r="485" spans="1:51" x14ac:dyDescent="0.25">
      <c r="A485" s="102" t="str">
        <f t="shared" si="108"/>
        <v>PQ Goats MMCH4</v>
      </c>
      <c r="B485" s="102" t="s">
        <v>969</v>
      </c>
      <c r="C485" s="102" t="s">
        <v>1326</v>
      </c>
      <c r="D485" t="s">
        <v>15</v>
      </c>
      <c r="E485" t="s">
        <v>22</v>
      </c>
      <c r="F485" t="s">
        <v>19</v>
      </c>
      <c r="G485" t="s">
        <v>123</v>
      </c>
      <c r="H485" t="s">
        <v>1228</v>
      </c>
      <c r="I485" t="s">
        <v>121</v>
      </c>
      <c r="J485" t="s">
        <v>286</v>
      </c>
      <c r="K485" s="28">
        <f t="shared" si="110"/>
        <v>2.6586118821625565E-2</v>
      </c>
      <c r="L485" s="28">
        <f t="shared" si="111"/>
        <v>2.6655220564969766E-2</v>
      </c>
      <c r="M485" s="28">
        <f t="shared" si="111"/>
        <v>2.674840561336134E-2</v>
      </c>
      <c r="N485" s="28">
        <f t="shared" si="111"/>
        <v>2.6861902636511708E-2</v>
      </c>
      <c r="O485" s="28">
        <f t="shared" si="111"/>
        <v>2.6997844691604787E-2</v>
      </c>
      <c r="P485" s="28">
        <f t="shared" si="111"/>
        <v>2.7158559584249745E-2</v>
      </c>
      <c r="Q485" s="28">
        <f t="shared" si="111"/>
        <v>2.7328885652380994E-2</v>
      </c>
      <c r="R485" s="28">
        <f t="shared" si="111"/>
        <v>2.7506829944546809E-2</v>
      </c>
      <c r="S485" s="28">
        <f t="shared" si="111"/>
        <v>2.7680069399842709E-2</v>
      </c>
      <c r="T485" s="28">
        <f t="shared" si="111"/>
        <v>2.7759527225172408E-2</v>
      </c>
      <c r="U485" s="28">
        <f t="shared" si="111"/>
        <v>2.7845214311494997E-2</v>
      </c>
      <c r="V485" s="28">
        <f t="shared" si="111"/>
        <v>2.7938085188732656E-2</v>
      </c>
      <c r="W485" s="28">
        <f t="shared" si="111"/>
        <v>2.8038827359472312E-2</v>
      </c>
      <c r="X485" s="28">
        <f t="shared" si="111"/>
        <v>2.814879608986658E-2</v>
      </c>
      <c r="Y485" s="28">
        <f t="shared" si="111"/>
        <v>2.821957573375743E-2</v>
      </c>
      <c r="Z485" s="28">
        <f t="shared" si="111"/>
        <v>2.8296816529021451E-2</v>
      </c>
      <c r="AA485" s="28">
        <f t="shared" si="111"/>
        <v>2.8378597119004759E-2</v>
      </c>
      <c r="AB485" s="28">
        <f t="shared" si="111"/>
        <v>2.8466776798727306E-2</v>
      </c>
      <c r="AC485" s="28">
        <f t="shared" si="111"/>
        <v>2.8561385295015548E-2</v>
      </c>
      <c r="AD485" s="28">
        <f t="shared" si="111"/>
        <v>2.8623657806200815E-2</v>
      </c>
      <c r="AE485" s="28">
        <f t="shared" si="111"/>
        <v>2.8690783841907163E-2</v>
      </c>
      <c r="AF485" s="28">
        <f t="shared" si="111"/>
        <v>2.876234551493359E-2</v>
      </c>
      <c r="AG485" s="28">
        <f t="shared" si="111"/>
        <v>2.8839147161385727E-2</v>
      </c>
      <c r="AH485" s="28">
        <f t="shared" si="111"/>
        <v>2.891845203837394E-2</v>
      </c>
      <c r="AI485" s="28">
        <f t="shared" si="111"/>
        <v>2.8967614269723933E-2</v>
      </c>
      <c r="AJ485" s="28">
        <f t="shared" si="111"/>
        <v>2.9020422163223609E-2</v>
      </c>
      <c r="AK485" s="28">
        <f t="shared" si="111"/>
        <v>2.9076042035175369E-2</v>
      </c>
      <c r="AL485" s="28">
        <f t="shared" si="111"/>
        <v>2.9134818342455165E-2</v>
      </c>
      <c r="AM485" s="28">
        <f t="shared" si="111"/>
        <v>2.9197062068684575E-2</v>
      </c>
      <c r="AN485" s="28">
        <f t="shared" si="111"/>
        <v>2.9231000954772463E-2</v>
      </c>
      <c r="AO485" s="28">
        <f t="shared" si="111"/>
        <v>2.926700045620928E-2</v>
      </c>
      <c r="AP485" s="28">
        <f t="shared" si="111"/>
        <v>2.9305816160068741E-2</v>
      </c>
      <c r="AQ485" s="28">
        <f t="shared" ref="L485:AW492" si="112">AQ1402</f>
        <v>2.9347375853174006E-2</v>
      </c>
      <c r="AR485" s="28">
        <f t="shared" si="112"/>
        <v>2.9392207856974665E-2</v>
      </c>
      <c r="AS485" s="28">
        <f t="shared" si="112"/>
        <v>2.9407867691587285E-2</v>
      </c>
      <c r="AT485" s="28">
        <f t="shared" si="112"/>
        <v>2.9420057916797852E-2</v>
      </c>
      <c r="AU485" s="28">
        <f t="shared" si="112"/>
        <v>2.9434026171737036E-2</v>
      </c>
      <c r="AV485" s="28">
        <f t="shared" si="112"/>
        <v>2.9450880593691244E-2</v>
      </c>
      <c r="AW485" s="28">
        <f t="shared" si="112"/>
        <v>2.9469437400587745E-2</v>
      </c>
      <c r="AY485" s="85"/>
    </row>
    <row r="486" spans="1:51" x14ac:dyDescent="0.25">
      <c r="A486" s="102" t="str">
        <f t="shared" si="108"/>
        <v>PQ Horses MMCH4</v>
      </c>
      <c r="B486" s="102" t="s">
        <v>969</v>
      </c>
      <c r="C486" s="102" t="s">
        <v>1327</v>
      </c>
      <c r="D486" t="s">
        <v>15</v>
      </c>
      <c r="E486" t="s">
        <v>22</v>
      </c>
      <c r="F486" t="s">
        <v>20</v>
      </c>
      <c r="G486" t="s">
        <v>3</v>
      </c>
      <c r="H486" t="s">
        <v>1228</v>
      </c>
      <c r="I486" t="s">
        <v>121</v>
      </c>
      <c r="J486" t="s">
        <v>286</v>
      </c>
      <c r="K486" s="28">
        <f t="shared" si="110"/>
        <v>4.1409780786531561E-3</v>
      </c>
      <c r="L486" s="28">
        <f t="shared" si="112"/>
        <v>4.1688671764084162E-3</v>
      </c>
      <c r="M486" s="28">
        <f t="shared" si="112"/>
        <v>4.1857409403688933E-3</v>
      </c>
      <c r="N486" s="28">
        <f t="shared" si="112"/>
        <v>4.1635395322190223E-3</v>
      </c>
      <c r="O486" s="28">
        <f t="shared" si="112"/>
        <v>4.1408513683072233E-3</v>
      </c>
      <c r="P486" s="28">
        <f t="shared" si="112"/>
        <v>4.1549094768624506E-3</v>
      </c>
      <c r="Q486" s="28">
        <f t="shared" si="112"/>
        <v>4.1567255728426969E-3</v>
      </c>
      <c r="R486" s="28">
        <f t="shared" si="112"/>
        <v>4.1179597585422178E-3</v>
      </c>
      <c r="S486" s="28">
        <f t="shared" si="112"/>
        <v>3.9049943158389311E-3</v>
      </c>
      <c r="T486" s="28">
        <f t="shared" si="112"/>
        <v>3.9699795028704365E-3</v>
      </c>
      <c r="U486" s="28">
        <f t="shared" si="112"/>
        <v>4.0126860665387013E-3</v>
      </c>
      <c r="V486" s="28">
        <f t="shared" si="112"/>
        <v>4.0499492305839649E-3</v>
      </c>
      <c r="W486" s="28">
        <f t="shared" si="112"/>
        <v>4.09467284204442E-3</v>
      </c>
      <c r="X486" s="28">
        <f t="shared" si="112"/>
        <v>4.1665387441703824E-3</v>
      </c>
      <c r="Y486" s="28">
        <f t="shared" si="112"/>
        <v>4.248702300747329E-3</v>
      </c>
      <c r="Z486" s="28">
        <f t="shared" si="112"/>
        <v>4.3374921923911899E-3</v>
      </c>
      <c r="AA486" s="28">
        <f t="shared" si="112"/>
        <v>4.414637811470782E-3</v>
      </c>
      <c r="AB486" s="28">
        <f t="shared" si="112"/>
        <v>4.5040673251205239E-3</v>
      </c>
      <c r="AC486" s="28">
        <f t="shared" si="112"/>
        <v>4.6087014569709678E-3</v>
      </c>
      <c r="AD486" s="28">
        <f t="shared" si="112"/>
        <v>4.7138573349945522E-3</v>
      </c>
      <c r="AE486" s="28">
        <f t="shared" si="112"/>
        <v>4.8236014553834257E-3</v>
      </c>
      <c r="AF486" s="28">
        <f t="shared" si="112"/>
        <v>4.9354202086686252E-3</v>
      </c>
      <c r="AG486" s="28">
        <f t="shared" si="112"/>
        <v>5.0601637107160246E-3</v>
      </c>
      <c r="AH486" s="28">
        <f t="shared" si="112"/>
        <v>5.1692799161183493E-3</v>
      </c>
      <c r="AI486" s="28">
        <f t="shared" si="112"/>
        <v>5.2891896269508833E-3</v>
      </c>
      <c r="AJ486" s="28">
        <f t="shared" si="112"/>
        <v>5.4110891568061297E-3</v>
      </c>
      <c r="AK486" s="28">
        <f t="shared" si="112"/>
        <v>5.5272908454311459E-3</v>
      </c>
      <c r="AL486" s="28">
        <f t="shared" si="112"/>
        <v>5.6429797772661562E-3</v>
      </c>
      <c r="AM486" s="28">
        <f t="shared" si="112"/>
        <v>5.7628358631585681E-3</v>
      </c>
      <c r="AN486" s="28">
        <f t="shared" si="112"/>
        <v>5.8932639862966018E-3</v>
      </c>
      <c r="AO486" s="28">
        <f t="shared" si="112"/>
        <v>6.015926079762964E-3</v>
      </c>
      <c r="AP486" s="28">
        <f t="shared" si="112"/>
        <v>6.1402055338910435E-3</v>
      </c>
      <c r="AQ486" s="28">
        <f t="shared" si="112"/>
        <v>6.266331762949981E-3</v>
      </c>
      <c r="AR486" s="28">
        <f t="shared" si="112"/>
        <v>6.4010164026291104E-3</v>
      </c>
      <c r="AS486" s="28">
        <f t="shared" si="112"/>
        <v>6.544222904657609E-3</v>
      </c>
      <c r="AT486" s="28">
        <f t="shared" si="112"/>
        <v>6.6249233396269902E-3</v>
      </c>
      <c r="AU486" s="28">
        <f t="shared" si="112"/>
        <v>6.7012526002480271E-3</v>
      </c>
      <c r="AV486" s="28">
        <f t="shared" si="112"/>
        <v>6.7861102667668991E-3</v>
      </c>
      <c r="AW486" s="28">
        <f t="shared" si="112"/>
        <v>6.8673471283418426E-3</v>
      </c>
      <c r="AY486" s="85"/>
    </row>
    <row r="487" spans="1:51" x14ac:dyDescent="0.25">
      <c r="A487" s="102" t="str">
        <f t="shared" si="108"/>
        <v>PQ Mules MMCH4</v>
      </c>
      <c r="B487" s="102" t="s">
        <v>969</v>
      </c>
      <c r="C487" s="102" t="s">
        <v>1328</v>
      </c>
      <c r="D487" t="s">
        <v>15</v>
      </c>
      <c r="E487" t="s">
        <v>22</v>
      </c>
      <c r="F487" t="s">
        <v>140</v>
      </c>
      <c r="G487" t="s">
        <v>124</v>
      </c>
      <c r="H487" t="s">
        <v>1228</v>
      </c>
      <c r="I487" t="s">
        <v>121</v>
      </c>
      <c r="J487" t="s">
        <v>286</v>
      </c>
      <c r="K487" s="28">
        <f t="shared" si="110"/>
        <v>7.515E-4</v>
      </c>
      <c r="L487" s="28">
        <f t="shared" si="112"/>
        <v>7.515E-4</v>
      </c>
      <c r="M487" s="28">
        <f t="shared" si="112"/>
        <v>7.515E-4</v>
      </c>
      <c r="N487" s="28">
        <f t="shared" si="112"/>
        <v>7.515E-4</v>
      </c>
      <c r="O487" s="28">
        <f t="shared" si="112"/>
        <v>7.515E-4</v>
      </c>
      <c r="P487" s="28">
        <f t="shared" si="112"/>
        <v>7.515E-4</v>
      </c>
      <c r="Q487" s="28">
        <f t="shared" si="112"/>
        <v>7.515E-4</v>
      </c>
      <c r="R487" s="28">
        <f t="shared" si="112"/>
        <v>7.515E-4</v>
      </c>
      <c r="S487" s="28">
        <f t="shared" si="112"/>
        <v>7.515E-4</v>
      </c>
      <c r="T487" s="28">
        <f t="shared" si="112"/>
        <v>7.515E-4</v>
      </c>
      <c r="U487" s="28">
        <f t="shared" si="112"/>
        <v>7.515E-4</v>
      </c>
      <c r="V487" s="28">
        <f t="shared" si="112"/>
        <v>7.515E-4</v>
      </c>
      <c r="W487" s="28">
        <f t="shared" si="112"/>
        <v>7.515E-4</v>
      </c>
      <c r="X487" s="28">
        <f t="shared" si="112"/>
        <v>7.515E-4</v>
      </c>
      <c r="Y487" s="28">
        <f t="shared" si="112"/>
        <v>7.515E-4</v>
      </c>
      <c r="Z487" s="28">
        <f t="shared" si="112"/>
        <v>7.515E-4</v>
      </c>
      <c r="AA487" s="28">
        <f t="shared" si="112"/>
        <v>7.515E-4</v>
      </c>
      <c r="AB487" s="28">
        <f t="shared" si="112"/>
        <v>7.515E-4</v>
      </c>
      <c r="AC487" s="28">
        <f t="shared" si="112"/>
        <v>7.515E-4</v>
      </c>
      <c r="AD487" s="28">
        <f t="shared" si="112"/>
        <v>7.515E-4</v>
      </c>
      <c r="AE487" s="28">
        <f t="shared" si="112"/>
        <v>7.515E-4</v>
      </c>
      <c r="AF487" s="28">
        <f t="shared" si="112"/>
        <v>7.515E-4</v>
      </c>
      <c r="AG487" s="28">
        <f t="shared" si="112"/>
        <v>7.515E-4</v>
      </c>
      <c r="AH487" s="28">
        <f t="shared" si="112"/>
        <v>7.515E-4</v>
      </c>
      <c r="AI487" s="28">
        <f t="shared" si="112"/>
        <v>7.515E-4</v>
      </c>
      <c r="AJ487" s="28">
        <f t="shared" si="112"/>
        <v>7.515E-4</v>
      </c>
      <c r="AK487" s="28">
        <f t="shared" si="112"/>
        <v>7.515E-4</v>
      </c>
      <c r="AL487" s="28">
        <f t="shared" si="112"/>
        <v>7.515E-4</v>
      </c>
      <c r="AM487" s="28">
        <f t="shared" si="112"/>
        <v>7.515E-4</v>
      </c>
      <c r="AN487" s="28">
        <f t="shared" si="112"/>
        <v>7.515E-4</v>
      </c>
      <c r="AO487" s="28">
        <f t="shared" si="112"/>
        <v>7.515E-4</v>
      </c>
      <c r="AP487" s="28">
        <f t="shared" si="112"/>
        <v>7.515E-4</v>
      </c>
      <c r="AQ487" s="28">
        <f t="shared" si="112"/>
        <v>7.515E-4</v>
      </c>
      <c r="AR487" s="28">
        <f t="shared" si="112"/>
        <v>7.515E-4</v>
      </c>
      <c r="AS487" s="28">
        <f t="shared" si="112"/>
        <v>7.515E-4</v>
      </c>
      <c r="AT487" s="28">
        <f t="shared" si="112"/>
        <v>7.515E-4</v>
      </c>
      <c r="AU487" s="28">
        <f t="shared" si="112"/>
        <v>7.515E-4</v>
      </c>
      <c r="AV487" s="28">
        <f t="shared" si="112"/>
        <v>7.515E-4</v>
      </c>
      <c r="AW487" s="28">
        <f t="shared" si="112"/>
        <v>7.515E-4</v>
      </c>
      <c r="AY487" s="85"/>
    </row>
    <row r="488" spans="1:51" x14ac:dyDescent="0.25">
      <c r="A488" s="102" t="str">
        <f t="shared" si="108"/>
        <v>PQ Swine MMCH4</v>
      </c>
      <c r="B488" s="102" t="s">
        <v>969</v>
      </c>
      <c r="C488" s="102" t="s">
        <v>1231</v>
      </c>
      <c r="D488" t="s">
        <v>15</v>
      </c>
      <c r="E488" t="s">
        <v>22</v>
      </c>
      <c r="F488" t="s">
        <v>21</v>
      </c>
      <c r="G488" t="s">
        <v>122</v>
      </c>
      <c r="H488" t="s">
        <v>1228</v>
      </c>
      <c r="I488" t="s">
        <v>121</v>
      </c>
      <c r="J488" t="s">
        <v>286</v>
      </c>
      <c r="K488" s="28">
        <f t="shared" si="110"/>
        <v>23.371743761076022</v>
      </c>
      <c r="L488" s="28">
        <f t="shared" si="112"/>
        <v>23.330436915239524</v>
      </c>
      <c r="M488" s="28">
        <f t="shared" si="112"/>
        <v>23.199540957083649</v>
      </c>
      <c r="N488" s="28">
        <f t="shared" si="112"/>
        <v>22.687613421640428</v>
      </c>
      <c r="O488" s="28">
        <f t="shared" si="112"/>
        <v>22.203503184399075</v>
      </c>
      <c r="P488" s="28">
        <f t="shared" si="112"/>
        <v>22.125366761256988</v>
      </c>
      <c r="Q488" s="28">
        <f t="shared" si="112"/>
        <v>21.935689428722483</v>
      </c>
      <c r="R488" s="28">
        <f t="shared" si="112"/>
        <v>21.35149621309353</v>
      </c>
      <c r="S488" s="28">
        <f t="shared" si="112"/>
        <v>19.044546726490758</v>
      </c>
      <c r="T488" s="28">
        <f t="shared" si="112"/>
        <v>19.454206590041967</v>
      </c>
      <c r="U488" s="28">
        <f t="shared" si="112"/>
        <v>19.642847548932107</v>
      </c>
      <c r="V488" s="28">
        <f t="shared" si="112"/>
        <v>19.780236351488622</v>
      </c>
      <c r="W488" s="28">
        <f t="shared" si="112"/>
        <v>19.991165183522316</v>
      </c>
      <c r="X488" s="28">
        <f t="shared" si="112"/>
        <v>20.459574437852073</v>
      </c>
      <c r="Y488" s="28">
        <f t="shared" si="112"/>
        <v>20.986742957293373</v>
      </c>
      <c r="Z488" s="28">
        <f t="shared" si="112"/>
        <v>21.566845728123951</v>
      </c>
      <c r="AA488" s="28">
        <f t="shared" si="112"/>
        <v>22.030719235951583</v>
      </c>
      <c r="AB488" s="28">
        <f t="shared" si="112"/>
        <v>22.598880859175789</v>
      </c>
      <c r="AC488" s="28">
        <f t="shared" si="112"/>
        <v>23.294180025092402</v>
      </c>
      <c r="AD488" s="28">
        <f t="shared" si="112"/>
        <v>23.952313754534117</v>
      </c>
      <c r="AE488" s="28">
        <f t="shared" si="112"/>
        <v>24.63728573195543</v>
      </c>
      <c r="AF488" s="28">
        <f t="shared" si="112"/>
        <v>25.326274059281189</v>
      </c>
      <c r="AG488" s="28">
        <f t="shared" si="112"/>
        <v>26.11204960463073</v>
      </c>
      <c r="AH488" s="28">
        <f t="shared" si="112"/>
        <v>26.749101858001481</v>
      </c>
      <c r="AI488" s="28">
        <f t="shared" si="112"/>
        <v>27.431724876299679</v>
      </c>
      <c r="AJ488" s="28">
        <f t="shared" si="112"/>
        <v>28.114476864503132</v>
      </c>
      <c r="AK488" s="28">
        <f t="shared" si="112"/>
        <v>28.734138944489672</v>
      </c>
      <c r="AL488" s="28">
        <f t="shared" si="112"/>
        <v>29.334581793903347</v>
      </c>
      <c r="AM488" s="28">
        <f t="shared" si="112"/>
        <v>29.953628904341453</v>
      </c>
      <c r="AN488" s="28">
        <f t="shared" si="112"/>
        <v>30.608088379613569</v>
      </c>
      <c r="AO488" s="28">
        <f t="shared" si="112"/>
        <v>31.183489146008849</v>
      </c>
      <c r="AP488" s="28">
        <f t="shared" si="112"/>
        <v>31.754697438156203</v>
      </c>
      <c r="AQ488" s="28">
        <f t="shared" si="112"/>
        <v>32.323232018651169</v>
      </c>
      <c r="AR488" s="28">
        <f t="shared" si="112"/>
        <v>32.939289105942862</v>
      </c>
      <c r="AS488" s="28">
        <f t="shared" si="112"/>
        <v>33.564283425055578</v>
      </c>
      <c r="AT488" s="28">
        <f t="shared" si="112"/>
        <v>33.710416184198159</v>
      </c>
      <c r="AU488" s="28">
        <f t="shared" si="112"/>
        <v>33.816346670611303</v>
      </c>
      <c r="AV488" s="28">
        <f t="shared" si="112"/>
        <v>33.97537205277176</v>
      </c>
      <c r="AW488" s="28">
        <f t="shared" si="112"/>
        <v>34.099539307658524</v>
      </c>
      <c r="AY488" s="85"/>
    </row>
    <row r="489" spans="1:51" x14ac:dyDescent="0.25">
      <c r="A489" s="102" t="str">
        <f t="shared" si="108"/>
        <v>PQ Swine MMCH4</v>
      </c>
      <c r="B489" s="102" t="s">
        <v>969</v>
      </c>
      <c r="C489" s="102" t="s">
        <v>1231</v>
      </c>
      <c r="D489" t="s">
        <v>15</v>
      </c>
      <c r="E489" t="s">
        <v>22</v>
      </c>
      <c r="F489" t="s">
        <v>21</v>
      </c>
      <c r="G489" t="s">
        <v>123</v>
      </c>
      <c r="H489" t="s">
        <v>1228</v>
      </c>
      <c r="I489" t="s">
        <v>121</v>
      </c>
      <c r="J489" t="s">
        <v>286</v>
      </c>
      <c r="K489" s="28">
        <f t="shared" si="110"/>
        <v>7.8242315709845453E-2</v>
      </c>
      <c r="L489" s="28">
        <f t="shared" si="112"/>
        <v>7.8104031493402004E-2</v>
      </c>
      <c r="M489" s="28">
        <f t="shared" si="112"/>
        <v>7.7665827010763841E-2</v>
      </c>
      <c r="N489" s="28">
        <f t="shared" si="112"/>
        <v>7.5952031229919295E-2</v>
      </c>
      <c r="O489" s="28">
        <f t="shared" si="112"/>
        <v>7.4331360286072609E-2</v>
      </c>
      <c r="P489" s="28">
        <f t="shared" si="112"/>
        <v>7.4069780544722574E-2</v>
      </c>
      <c r="Q489" s="28">
        <f t="shared" si="112"/>
        <v>7.343479182129313E-2</v>
      </c>
      <c r="R489" s="28">
        <f t="shared" si="112"/>
        <v>7.1479069968441278E-2</v>
      </c>
      <c r="S489" s="28">
        <f t="shared" si="112"/>
        <v>6.3756023202968359E-2</v>
      </c>
      <c r="T489" s="28">
        <f t="shared" si="112"/>
        <v>6.5127454308207822E-2</v>
      </c>
      <c r="U489" s="28">
        <f t="shared" si="112"/>
        <v>6.5758973531256606E-2</v>
      </c>
      <c r="V489" s="28">
        <f t="shared" si="112"/>
        <v>6.6218914311650043E-2</v>
      </c>
      <c r="W489" s="28">
        <f t="shared" si="112"/>
        <v>6.6925047342929228E-2</v>
      </c>
      <c r="X489" s="28">
        <f t="shared" si="112"/>
        <v>6.8493155616464185E-2</v>
      </c>
      <c r="Y489" s="28">
        <f t="shared" si="112"/>
        <v>7.0257974114907237E-2</v>
      </c>
      <c r="Z489" s="28">
        <f t="shared" si="112"/>
        <v>7.2200002258099263E-2</v>
      </c>
      <c r="AA489" s="28">
        <f t="shared" si="112"/>
        <v>7.3752926071568817E-2</v>
      </c>
      <c r="AB489" s="28">
        <f t="shared" si="112"/>
        <v>7.5654978462394759E-2</v>
      </c>
      <c r="AC489" s="28">
        <f t="shared" si="112"/>
        <v>7.7982653171161778E-2</v>
      </c>
      <c r="AD489" s="28">
        <f t="shared" si="112"/>
        <v>8.0185907988803429E-2</v>
      </c>
      <c r="AE489" s="28">
        <f t="shared" si="112"/>
        <v>8.247901004647068E-2</v>
      </c>
      <c r="AF489" s="28">
        <f t="shared" si="112"/>
        <v>8.4785557764009881E-2</v>
      </c>
      <c r="AG489" s="28">
        <f t="shared" si="112"/>
        <v>8.7416123070767446E-2</v>
      </c>
      <c r="AH489" s="28">
        <f t="shared" si="112"/>
        <v>8.9548802773294175E-2</v>
      </c>
      <c r="AI489" s="28">
        <f t="shared" si="112"/>
        <v>9.1834041147225251E-2</v>
      </c>
      <c r="AJ489" s="28">
        <f t="shared" si="112"/>
        <v>9.4119711277731624E-2</v>
      </c>
      <c r="AK489" s="28">
        <f t="shared" si="112"/>
        <v>9.6194173354304288E-2</v>
      </c>
      <c r="AL489" s="28">
        <f t="shared" si="112"/>
        <v>9.820429461311192E-2</v>
      </c>
      <c r="AM489" s="28">
        <f t="shared" si="112"/>
        <v>0.10027669793694233</v>
      </c>
      <c r="AN489" s="28">
        <f t="shared" si="112"/>
        <v>0.10246765233927585</v>
      </c>
      <c r="AO489" s="28">
        <f t="shared" si="112"/>
        <v>0.10439393943553288</v>
      </c>
      <c r="AP489" s="28">
        <f t="shared" si="112"/>
        <v>0.10630619125495884</v>
      </c>
      <c r="AQ489" s="28">
        <f t="shared" si="112"/>
        <v>0.10820949220647513</v>
      </c>
      <c r="AR489" s="28">
        <f t="shared" si="112"/>
        <v>0.1102718857365395</v>
      </c>
      <c r="AS489" s="28">
        <f t="shared" si="112"/>
        <v>0.11236419871638305</v>
      </c>
      <c r="AT489" s="28">
        <f t="shared" si="112"/>
        <v>0.11285341191302209</v>
      </c>
      <c r="AU489" s="28">
        <f t="shared" si="112"/>
        <v>0.11320803870706722</v>
      </c>
      <c r="AV489" s="28">
        <f t="shared" si="112"/>
        <v>0.11374041293999027</v>
      </c>
      <c r="AW489" s="28">
        <f t="shared" si="112"/>
        <v>0.11415609153278124</v>
      </c>
      <c r="AY489" s="85"/>
    </row>
    <row r="490" spans="1:51" x14ac:dyDescent="0.25">
      <c r="A490" s="102" t="str">
        <f t="shared" si="108"/>
        <v>PQ Poultry MMCH4</v>
      </c>
      <c r="B490" s="102" t="s">
        <v>969</v>
      </c>
      <c r="C490" s="102" t="s">
        <v>1232</v>
      </c>
      <c r="D490" t="s">
        <v>15</v>
      </c>
      <c r="E490" t="s">
        <v>22</v>
      </c>
      <c r="F490" t="s">
        <v>28</v>
      </c>
      <c r="G490" t="s">
        <v>131</v>
      </c>
      <c r="H490" t="s">
        <v>1228</v>
      </c>
      <c r="I490" t="s">
        <v>121</v>
      </c>
      <c r="J490" t="s">
        <v>286</v>
      </c>
      <c r="K490" s="28">
        <f t="shared" si="110"/>
        <v>0.55747442882718667</v>
      </c>
      <c r="L490" s="28">
        <f t="shared" si="112"/>
        <v>0.57000466235661118</v>
      </c>
      <c r="M490" s="28">
        <f t="shared" si="112"/>
        <v>0.58133812133078289</v>
      </c>
      <c r="N490" s="28">
        <f t="shared" si="112"/>
        <v>0.58718909348293968</v>
      </c>
      <c r="O490" s="28">
        <f t="shared" si="112"/>
        <v>0.59320136752099994</v>
      </c>
      <c r="P490" s="28">
        <f t="shared" si="112"/>
        <v>0.60517178839490071</v>
      </c>
      <c r="Q490" s="28">
        <f t="shared" si="112"/>
        <v>0.61540759790167998</v>
      </c>
      <c r="R490" s="28">
        <f t="shared" si="112"/>
        <v>0.61929285714109983</v>
      </c>
      <c r="S490" s="28">
        <f t="shared" si="112"/>
        <v>0.59469792033381752</v>
      </c>
      <c r="T490" s="28">
        <f t="shared" si="112"/>
        <v>0.6123961678050206</v>
      </c>
      <c r="U490" s="28">
        <f t="shared" si="112"/>
        <v>0.62670000214524924</v>
      </c>
      <c r="V490" s="28">
        <f t="shared" si="112"/>
        <v>0.64033072034628857</v>
      </c>
      <c r="W490" s="28">
        <f t="shared" si="112"/>
        <v>0.65546604439463374</v>
      </c>
      <c r="X490" s="28">
        <f t="shared" si="112"/>
        <v>0.67555681395741984</v>
      </c>
      <c r="Y490" s="28">
        <f t="shared" si="112"/>
        <v>0.69665833659280063</v>
      </c>
      <c r="Z490" s="28">
        <f t="shared" si="112"/>
        <v>0.7192776675745407</v>
      </c>
      <c r="AA490" s="28">
        <f t="shared" si="112"/>
        <v>0.74020059701318874</v>
      </c>
      <c r="AB490" s="28">
        <f t="shared" si="112"/>
        <v>0.7636741686553643</v>
      </c>
      <c r="AC490" s="28">
        <f t="shared" si="112"/>
        <v>0.79029892011866243</v>
      </c>
      <c r="AD490" s="28">
        <f t="shared" si="112"/>
        <v>0.81639549054517768</v>
      </c>
      <c r="AE490" s="28">
        <f t="shared" si="112"/>
        <v>0.84372718721281392</v>
      </c>
      <c r="AF490" s="28">
        <f t="shared" si="112"/>
        <v>0.87185215188264154</v>
      </c>
      <c r="AG490" s="28">
        <f t="shared" si="112"/>
        <v>0.90282405951998446</v>
      </c>
      <c r="AH490" s="28">
        <f t="shared" si="112"/>
        <v>0.93129930364506475</v>
      </c>
      <c r="AI490" s="28">
        <f t="shared" si="112"/>
        <v>0.96108950462978437</v>
      </c>
      <c r="AJ490" s="28">
        <f t="shared" si="112"/>
        <v>0.99164854163197635</v>
      </c>
      <c r="AK490" s="28">
        <f t="shared" si="112"/>
        <v>1.0214996622641284</v>
      </c>
      <c r="AL490" s="28">
        <f t="shared" si="112"/>
        <v>1.0516345292230644</v>
      </c>
      <c r="AM490" s="28">
        <f t="shared" si="112"/>
        <v>1.0829748845958596</v>
      </c>
      <c r="AN490" s="28">
        <f t="shared" si="112"/>
        <v>1.1155704742631816</v>
      </c>
      <c r="AO490" s="28">
        <f t="shared" si="112"/>
        <v>1.1469836186626363</v>
      </c>
      <c r="AP490" s="28">
        <f t="shared" si="112"/>
        <v>1.1790678557525369</v>
      </c>
      <c r="AQ490" s="28">
        <f t="shared" si="112"/>
        <v>1.2118785602379014</v>
      </c>
      <c r="AR490" s="28">
        <f t="shared" si="112"/>
        <v>1.246786730113024</v>
      </c>
      <c r="AS490" s="28">
        <f t="shared" si="112"/>
        <v>1.2823996493212451</v>
      </c>
      <c r="AT490" s="28">
        <f t="shared" si="112"/>
        <v>1.3055397260898673</v>
      </c>
      <c r="AU490" s="28">
        <f t="shared" si="112"/>
        <v>1.3279825002684047</v>
      </c>
      <c r="AV490" s="28">
        <f t="shared" si="112"/>
        <v>1.3523851767933999</v>
      </c>
      <c r="AW490" s="28">
        <f t="shared" si="112"/>
        <v>1.3762491253290834</v>
      </c>
      <c r="AY490" s="85"/>
    </row>
    <row r="491" spans="1:51" x14ac:dyDescent="0.25">
      <c r="A491" s="102" t="str">
        <f t="shared" si="108"/>
        <v>PQ Poultry MMCH4</v>
      </c>
      <c r="B491" s="102" t="s">
        <v>969</v>
      </c>
      <c r="C491" s="102" t="s">
        <v>1232</v>
      </c>
      <c r="D491" t="s">
        <v>15</v>
      </c>
      <c r="E491" t="s">
        <v>22</v>
      </c>
      <c r="F491" t="s">
        <v>28</v>
      </c>
      <c r="G491" t="s">
        <v>132</v>
      </c>
      <c r="H491" t="s">
        <v>1228</v>
      </c>
      <c r="I491" t="s">
        <v>121</v>
      </c>
      <c r="J491" t="s">
        <v>286</v>
      </c>
      <c r="K491" s="28">
        <f t="shared" si="110"/>
        <v>2.2247786627421906</v>
      </c>
      <c r="L491" s="28">
        <f t="shared" si="112"/>
        <v>2.2660704090846675</v>
      </c>
      <c r="M491" s="28">
        <f t="shared" si="112"/>
        <v>2.2931151480493956</v>
      </c>
      <c r="N491" s="28">
        <f t="shared" si="112"/>
        <v>2.263369089113628</v>
      </c>
      <c r="O491" s="28">
        <f t="shared" si="112"/>
        <v>2.2345214699411633</v>
      </c>
      <c r="P491" s="28">
        <f t="shared" si="112"/>
        <v>2.2631068961220624</v>
      </c>
      <c r="Q491" s="28">
        <f t="shared" si="112"/>
        <v>2.2741216722530595</v>
      </c>
      <c r="R491" s="28">
        <f t="shared" si="112"/>
        <v>2.2236230251769533</v>
      </c>
      <c r="S491" s="28">
        <f t="shared" si="112"/>
        <v>1.9032751826814061</v>
      </c>
      <c r="T491" s="28">
        <f t="shared" si="112"/>
        <v>2.0050045794652438</v>
      </c>
      <c r="U491" s="28">
        <f t="shared" si="112"/>
        <v>2.0731097774643854</v>
      </c>
      <c r="V491" s="28">
        <f t="shared" si="112"/>
        <v>2.1336466102427849</v>
      </c>
      <c r="W491" s="28">
        <f t="shared" si="112"/>
        <v>2.2067504039451395</v>
      </c>
      <c r="X491" s="28">
        <f t="shared" si="112"/>
        <v>2.3234221592291906</v>
      </c>
      <c r="Y491" s="28">
        <f t="shared" si="112"/>
        <v>2.453906612866656</v>
      </c>
      <c r="Z491" s="28">
        <f t="shared" si="112"/>
        <v>2.5958043881375255</v>
      </c>
      <c r="AA491" s="28">
        <f t="shared" si="112"/>
        <v>2.7204030410253512</v>
      </c>
      <c r="AB491" s="28">
        <f t="shared" si="112"/>
        <v>2.8654695762209732</v>
      </c>
      <c r="AC491" s="28">
        <f t="shared" si="112"/>
        <v>3.0358111573505431</v>
      </c>
      <c r="AD491" s="28">
        <f t="shared" si="112"/>
        <v>3.2044547295521539</v>
      </c>
      <c r="AE491" s="28">
        <f t="shared" si="112"/>
        <v>3.3813518114103016</v>
      </c>
      <c r="AF491" s="28">
        <f t="shared" si="112"/>
        <v>3.5625886999419771</v>
      </c>
      <c r="AG491" s="28">
        <f t="shared" si="112"/>
        <v>3.7655312365602969</v>
      </c>
      <c r="AH491" s="28">
        <f t="shared" si="112"/>
        <v>3.9447479907962553</v>
      </c>
      <c r="AI491" s="28">
        <f t="shared" si="112"/>
        <v>4.137705183266208</v>
      </c>
      <c r="AJ491" s="28">
        <f t="shared" si="112"/>
        <v>4.3346785117208917</v>
      </c>
      <c r="AK491" s="28">
        <f t="shared" si="112"/>
        <v>4.5234159579201654</v>
      </c>
      <c r="AL491" s="28">
        <f t="shared" si="112"/>
        <v>4.7122444809677875</v>
      </c>
      <c r="AM491" s="28">
        <f t="shared" si="112"/>
        <v>4.9087124214298683</v>
      </c>
      <c r="AN491" s="28">
        <f t="shared" si="112"/>
        <v>5.1177627309781579</v>
      </c>
      <c r="AO491" s="28">
        <f t="shared" si="112"/>
        <v>5.3149689082675069</v>
      </c>
      <c r="AP491" s="28">
        <f t="shared" si="112"/>
        <v>5.5154282999919104</v>
      </c>
      <c r="AQ491" s="28">
        <f t="shared" si="112"/>
        <v>5.7195487127572893</v>
      </c>
      <c r="AR491" s="28">
        <f t="shared" si="112"/>
        <v>5.93816190134776</v>
      </c>
      <c r="AS491" s="28">
        <f t="shared" si="112"/>
        <v>6.1647117891186287</v>
      </c>
      <c r="AT491" s="28">
        <f t="shared" si="112"/>
        <v>6.2911645282791966</v>
      </c>
      <c r="AU491" s="28">
        <f t="shared" si="112"/>
        <v>6.4110178863707459</v>
      </c>
      <c r="AV491" s="28">
        <f t="shared" si="112"/>
        <v>6.5450035893341036</v>
      </c>
      <c r="AW491" s="28">
        <f t="shared" si="112"/>
        <v>6.6736178617827129</v>
      </c>
      <c r="AY491" s="85"/>
    </row>
    <row r="492" spans="1:51" x14ac:dyDescent="0.25">
      <c r="A492" s="102" t="str">
        <f t="shared" si="108"/>
        <v>PQ Poultry MMCH4</v>
      </c>
      <c r="B492" s="102" t="s">
        <v>969</v>
      </c>
      <c r="C492" s="102" t="s">
        <v>1232</v>
      </c>
      <c r="D492" t="s">
        <v>15</v>
      </c>
      <c r="E492" t="s">
        <v>22</v>
      </c>
      <c r="F492" t="s">
        <v>28</v>
      </c>
      <c r="G492" t="s">
        <v>134</v>
      </c>
      <c r="H492" t="s">
        <v>1228</v>
      </c>
      <c r="I492" t="s">
        <v>121</v>
      </c>
      <c r="J492" t="s">
        <v>286</v>
      </c>
      <c r="K492" s="28">
        <f t="shared" si="110"/>
        <v>2.3228101201132799E-2</v>
      </c>
      <c r="L492" s="28">
        <f t="shared" si="112"/>
        <v>2.3750194264858821E-2</v>
      </c>
      <c r="M492" s="28">
        <f t="shared" si="112"/>
        <v>2.4222421722115972E-2</v>
      </c>
      <c r="N492" s="28">
        <f t="shared" si="112"/>
        <v>2.4466212228455842E-2</v>
      </c>
      <c r="O492" s="28">
        <f t="shared" si="112"/>
        <v>2.4716723646708353E-2</v>
      </c>
      <c r="P492" s="28">
        <f t="shared" si="112"/>
        <v>2.5215491183120883E-2</v>
      </c>
      <c r="Q492" s="28">
        <f t="shared" si="112"/>
        <v>2.564198324590336E-2</v>
      </c>
      <c r="R492" s="28">
        <f t="shared" si="112"/>
        <v>2.5803869047545849E-2</v>
      </c>
      <c r="S492" s="28">
        <f t="shared" si="112"/>
        <v>2.4779080013909088E-2</v>
      </c>
      <c r="T492" s="28">
        <f t="shared" si="112"/>
        <v>2.5516506991875881E-2</v>
      </c>
      <c r="U492" s="28">
        <f t="shared" si="112"/>
        <v>2.6112500089385413E-2</v>
      </c>
      <c r="V492" s="28">
        <f t="shared" si="112"/>
        <v>2.6680446681095382E-2</v>
      </c>
      <c r="W492" s="28">
        <f t="shared" si="112"/>
        <v>2.7311085183109759E-2</v>
      </c>
      <c r="X492" s="28">
        <f t="shared" si="112"/>
        <v>2.8148200581559191E-2</v>
      </c>
      <c r="Y492" s="28">
        <f t="shared" si="112"/>
        <v>2.9027430691366724E-2</v>
      </c>
      <c r="Z492" s="28">
        <f t="shared" si="112"/>
        <v>2.9969902815605892E-2</v>
      </c>
      <c r="AA492" s="28">
        <f t="shared" si="112"/>
        <v>3.0841691542216221E-2</v>
      </c>
      <c r="AB492" s="28">
        <f t="shared" si="112"/>
        <v>3.1819757027306869E-2</v>
      </c>
      <c r="AC492" s="28">
        <f t="shared" si="112"/>
        <v>3.292912167161096E-2</v>
      </c>
      <c r="AD492" s="28">
        <f t="shared" si="112"/>
        <v>3.4016478772715769E-2</v>
      </c>
      <c r="AE492" s="28">
        <f t="shared" si="112"/>
        <v>3.5155299467200612E-2</v>
      </c>
      <c r="AF492" s="28">
        <f t="shared" ref="L492:AW499" si="113">AF1409</f>
        <v>3.6327172995110089E-2</v>
      </c>
      <c r="AG492" s="28">
        <f t="shared" si="113"/>
        <v>3.7617669146666054E-2</v>
      </c>
      <c r="AH492" s="28">
        <f t="shared" si="113"/>
        <v>3.8804137651877735E-2</v>
      </c>
      <c r="AI492" s="28">
        <f t="shared" si="113"/>
        <v>4.0045396026241048E-2</v>
      </c>
      <c r="AJ492" s="28">
        <f t="shared" si="113"/>
        <v>4.1318689234665709E-2</v>
      </c>
      <c r="AK492" s="28">
        <f t="shared" si="113"/>
        <v>4.2562485927672068E-2</v>
      </c>
      <c r="AL492" s="28">
        <f t="shared" si="113"/>
        <v>4.3818105384294391E-2</v>
      </c>
      <c r="AM492" s="28">
        <f t="shared" si="113"/>
        <v>4.5123953524827516E-2</v>
      </c>
      <c r="AN492" s="28">
        <f t="shared" si="113"/>
        <v>4.6482103094299274E-2</v>
      </c>
      <c r="AO492" s="28">
        <f t="shared" si="113"/>
        <v>4.7790984110943228E-2</v>
      </c>
      <c r="AP492" s="28">
        <f t="shared" si="113"/>
        <v>4.912782732302242E-2</v>
      </c>
      <c r="AQ492" s="28">
        <f t="shared" si="113"/>
        <v>5.0494940009912614E-2</v>
      </c>
      <c r="AR492" s="28">
        <f t="shared" si="113"/>
        <v>5.1949447088042722E-2</v>
      </c>
      <c r="AS492" s="28">
        <f t="shared" si="113"/>
        <v>5.3433318721718588E-2</v>
      </c>
      <c r="AT492" s="28">
        <f t="shared" si="113"/>
        <v>5.4397488587077859E-2</v>
      </c>
      <c r="AU492" s="28">
        <f t="shared" si="113"/>
        <v>5.5332604177850256E-2</v>
      </c>
      <c r="AV492" s="28">
        <f t="shared" si="113"/>
        <v>5.6349382366391719E-2</v>
      </c>
      <c r="AW492" s="28">
        <f t="shared" si="113"/>
        <v>5.7343713555378532E-2</v>
      </c>
      <c r="AY492" s="85"/>
    </row>
    <row r="493" spans="1:51" x14ac:dyDescent="0.25">
      <c r="A493" s="102" t="str">
        <f t="shared" si="108"/>
        <v>PQ Poultry MMCH4</v>
      </c>
      <c r="B493" s="102" t="s">
        <v>969</v>
      </c>
      <c r="C493" s="102" t="s">
        <v>1232</v>
      </c>
      <c r="D493" t="s">
        <v>15</v>
      </c>
      <c r="E493" t="s">
        <v>22</v>
      </c>
      <c r="F493" t="s">
        <v>28</v>
      </c>
      <c r="G493" t="s">
        <v>133</v>
      </c>
      <c r="H493" t="s">
        <v>1228</v>
      </c>
      <c r="I493" t="s">
        <v>121</v>
      </c>
      <c r="J493" t="s">
        <v>286</v>
      </c>
      <c r="K493" s="28">
        <f t="shared" si="110"/>
        <v>9.2699110947591354E-2</v>
      </c>
      <c r="L493" s="28">
        <f t="shared" si="113"/>
        <v>9.4419600378527896E-2</v>
      </c>
      <c r="M493" s="28">
        <f t="shared" si="113"/>
        <v>9.554646450205824E-2</v>
      </c>
      <c r="N493" s="28">
        <f t="shared" si="113"/>
        <v>9.4307045379734583E-2</v>
      </c>
      <c r="O493" s="28">
        <f t="shared" si="113"/>
        <v>9.3105061247548568E-2</v>
      </c>
      <c r="P493" s="28">
        <f t="shared" si="113"/>
        <v>9.4296120671752692E-2</v>
      </c>
      <c r="Q493" s="28">
        <f t="shared" si="113"/>
        <v>9.4755069677210882E-2</v>
      </c>
      <c r="R493" s="28">
        <f t="shared" si="113"/>
        <v>9.2650959382373138E-2</v>
      </c>
      <c r="S493" s="28">
        <f t="shared" si="113"/>
        <v>7.9303132611725335E-2</v>
      </c>
      <c r="T493" s="28">
        <f t="shared" si="113"/>
        <v>8.354185747771857E-2</v>
      </c>
      <c r="U493" s="28">
        <f t="shared" si="113"/>
        <v>8.6379574061016151E-2</v>
      </c>
      <c r="V493" s="28">
        <f t="shared" si="113"/>
        <v>8.8901942093449454E-2</v>
      </c>
      <c r="W493" s="28">
        <f t="shared" si="113"/>
        <v>9.1947933497714227E-2</v>
      </c>
      <c r="X493" s="28">
        <f t="shared" si="113"/>
        <v>9.6809256634549701E-2</v>
      </c>
      <c r="Y493" s="28">
        <f t="shared" si="113"/>
        <v>0.10224610886944407</v>
      </c>
      <c r="Z493" s="28">
        <f t="shared" si="113"/>
        <v>0.108158516172397</v>
      </c>
      <c r="AA493" s="28">
        <f t="shared" si="113"/>
        <v>0.11335012670938974</v>
      </c>
      <c r="AB493" s="28">
        <f t="shared" si="113"/>
        <v>0.11939456567587402</v>
      </c>
      <c r="AC493" s="28">
        <f t="shared" si="113"/>
        <v>0.12649213155627276</v>
      </c>
      <c r="AD493" s="28">
        <f t="shared" si="113"/>
        <v>0.13351894706467321</v>
      </c>
      <c r="AE493" s="28">
        <f t="shared" si="113"/>
        <v>0.14088965880876272</v>
      </c>
      <c r="AF493" s="28">
        <f t="shared" si="113"/>
        <v>0.14844119583091583</v>
      </c>
      <c r="AG493" s="28">
        <f t="shared" si="113"/>
        <v>0.15689713485667917</v>
      </c>
      <c r="AH493" s="28">
        <f t="shared" si="113"/>
        <v>0.16436449961651078</v>
      </c>
      <c r="AI493" s="28">
        <f t="shared" si="113"/>
        <v>0.1724043826360922</v>
      </c>
      <c r="AJ493" s="28">
        <f t="shared" si="113"/>
        <v>0.18061160465503734</v>
      </c>
      <c r="AK493" s="28">
        <f t="shared" si="113"/>
        <v>0.18847566491334045</v>
      </c>
      <c r="AL493" s="28">
        <f t="shared" si="113"/>
        <v>0.19634352004032468</v>
      </c>
      <c r="AM493" s="28">
        <f t="shared" si="113"/>
        <v>0.20452968422624468</v>
      </c>
      <c r="AN493" s="28">
        <f t="shared" si="113"/>
        <v>0.21324011379075677</v>
      </c>
      <c r="AO493" s="28">
        <f t="shared" si="113"/>
        <v>0.22145703784447965</v>
      </c>
      <c r="AP493" s="28">
        <f t="shared" si="113"/>
        <v>0.22980951249966317</v>
      </c>
      <c r="AQ493" s="28">
        <f t="shared" si="113"/>
        <v>0.23831452969822062</v>
      </c>
      <c r="AR493" s="28">
        <f t="shared" si="113"/>
        <v>0.24742341255615688</v>
      </c>
      <c r="AS493" s="28">
        <f t="shared" si="113"/>
        <v>0.25686299121327644</v>
      </c>
      <c r="AT493" s="28">
        <f t="shared" si="113"/>
        <v>0.26213185534496675</v>
      </c>
      <c r="AU493" s="28">
        <f t="shared" si="113"/>
        <v>0.26712574526544797</v>
      </c>
      <c r="AV493" s="28">
        <f t="shared" si="113"/>
        <v>0.27270848288892124</v>
      </c>
      <c r="AW493" s="28">
        <f t="shared" si="113"/>
        <v>0.27806741090761328</v>
      </c>
      <c r="AY493" s="85"/>
    </row>
    <row r="494" spans="1:51" x14ac:dyDescent="0.25">
      <c r="A494" s="102" t="str">
        <f t="shared" si="108"/>
        <v>PQ Cattle MMN2O</v>
      </c>
      <c r="B494" s="102" t="s">
        <v>969</v>
      </c>
      <c r="C494" s="102" t="s">
        <v>1233</v>
      </c>
      <c r="D494" t="s">
        <v>15</v>
      </c>
      <c r="E494" t="s">
        <v>657</v>
      </c>
      <c r="F494" t="s">
        <v>6</v>
      </c>
      <c r="G494" t="s">
        <v>136</v>
      </c>
      <c r="H494" t="s">
        <v>1228</v>
      </c>
      <c r="I494" t="s">
        <v>139</v>
      </c>
      <c r="J494" t="s">
        <v>287</v>
      </c>
      <c r="K494" s="28">
        <f t="shared" si="110"/>
        <v>5.9534544879771355E-2</v>
      </c>
      <c r="L494" s="28">
        <f t="shared" si="113"/>
        <v>5.9936525469365599E-2</v>
      </c>
      <c r="M494" s="28">
        <f t="shared" si="113"/>
        <v>6.0288156660896548E-2</v>
      </c>
      <c r="N494" s="28">
        <f t="shared" si="113"/>
        <v>6.0333640892584528E-2</v>
      </c>
      <c r="O494" s="28">
        <f t="shared" si="113"/>
        <v>6.0411983022035293E-2</v>
      </c>
      <c r="P494" s="28">
        <f t="shared" si="113"/>
        <v>6.086149571042291E-2</v>
      </c>
      <c r="Q494" s="28">
        <f t="shared" si="113"/>
        <v>6.1220941265471868E-2</v>
      </c>
      <c r="R494" s="28">
        <f t="shared" si="113"/>
        <v>6.1224092905712291E-2</v>
      </c>
      <c r="S494" s="28">
        <f t="shared" si="113"/>
        <v>5.9602036939561669E-2</v>
      </c>
      <c r="T494" s="28">
        <f t="shared" si="113"/>
        <v>6.0385643196681223E-2</v>
      </c>
      <c r="U494" s="28">
        <f t="shared" si="113"/>
        <v>6.0978819669853017E-2</v>
      </c>
      <c r="V494" s="28">
        <f t="shared" si="113"/>
        <v>6.1538467635372317E-2</v>
      </c>
      <c r="W494" s="28">
        <f t="shared" si="113"/>
        <v>6.2187395948101611E-2</v>
      </c>
      <c r="X494" s="28">
        <f t="shared" si="113"/>
        <v>6.3117211952635158E-2</v>
      </c>
      <c r="Y494" s="28">
        <f t="shared" si="113"/>
        <v>6.4085258604249157E-2</v>
      </c>
      <c r="Z494" s="28">
        <f t="shared" si="113"/>
        <v>6.5136775789421397E-2</v>
      </c>
      <c r="AA494" s="28">
        <f t="shared" si="113"/>
        <v>6.6093023202577678E-2</v>
      </c>
      <c r="AB494" s="28">
        <f t="shared" si="113"/>
        <v>6.7188649433805245E-2</v>
      </c>
      <c r="AC494" s="28">
        <f t="shared" si="113"/>
        <v>6.8454554232404832E-2</v>
      </c>
      <c r="AD494" s="28">
        <f t="shared" si="113"/>
        <v>6.9673307405983362E-2</v>
      </c>
      <c r="AE494" s="28">
        <f t="shared" si="113"/>
        <v>7.0955599019075E-2</v>
      </c>
      <c r="AF494" s="28">
        <f t="shared" si="113"/>
        <v>7.2276783381790194E-2</v>
      </c>
      <c r="AG494" s="28">
        <f t="shared" si="113"/>
        <v>7.3746887396473032E-2</v>
      </c>
      <c r="AH494" s="28">
        <f t="shared" si="113"/>
        <v>7.5077879884479282E-2</v>
      </c>
      <c r="AI494" s="28">
        <f t="shared" si="113"/>
        <v>7.6460929017735491E-2</v>
      </c>
      <c r="AJ494" s="28">
        <f t="shared" si="113"/>
        <v>7.7880128375373087E-2</v>
      </c>
      <c r="AK494" s="28">
        <f t="shared" si="113"/>
        <v>7.925690413110191E-2</v>
      </c>
      <c r="AL494" s="28">
        <f t="shared" si="113"/>
        <v>8.0644114608921846E-2</v>
      </c>
      <c r="AM494" s="28">
        <f t="shared" si="113"/>
        <v>8.2090170284588052E-2</v>
      </c>
      <c r="AN494" s="28">
        <f t="shared" si="113"/>
        <v>8.3584106491488411E-2</v>
      </c>
      <c r="AO494" s="28">
        <f t="shared" si="113"/>
        <v>8.5010968574935772E-2</v>
      </c>
      <c r="AP494" s="28">
        <f t="shared" si="113"/>
        <v>8.6467971698133472E-2</v>
      </c>
      <c r="AQ494" s="28">
        <f t="shared" si="113"/>
        <v>8.7957741718516017E-2</v>
      </c>
      <c r="AR494" s="28">
        <f t="shared" si="113"/>
        <v>8.9550905410436282E-2</v>
      </c>
      <c r="AS494" s="28">
        <f t="shared" si="113"/>
        <v>9.1161603152246209E-2</v>
      </c>
      <c r="AT494" s="28">
        <f t="shared" si="113"/>
        <v>9.2125625118884502E-2</v>
      </c>
      <c r="AU494" s="28">
        <f t="shared" si="113"/>
        <v>9.3052192745030571E-2</v>
      </c>
      <c r="AV494" s="28">
        <f t="shared" si="113"/>
        <v>9.4077328885209005E-2</v>
      </c>
      <c r="AW494" s="28">
        <f t="shared" si="113"/>
        <v>9.5072920340837683E-2</v>
      </c>
      <c r="AY494" s="85"/>
    </row>
    <row r="495" spans="1:51" x14ac:dyDescent="0.25">
      <c r="A495" s="102" t="str">
        <f t="shared" si="108"/>
        <v>PQ Cattle MMN2O</v>
      </c>
      <c r="B495" s="102" t="s">
        <v>969</v>
      </c>
      <c r="C495" s="102" t="s">
        <v>1233</v>
      </c>
      <c r="D495" t="s">
        <v>15</v>
      </c>
      <c r="E495" t="s">
        <v>657</v>
      </c>
      <c r="F495" t="s">
        <v>6</v>
      </c>
      <c r="G495" t="s">
        <v>137</v>
      </c>
      <c r="H495" t="s">
        <v>1228</v>
      </c>
      <c r="I495" t="s">
        <v>139</v>
      </c>
      <c r="J495" t="s">
        <v>287</v>
      </c>
      <c r="K495" s="28">
        <f t="shared" si="110"/>
        <v>0.26067987133037912</v>
      </c>
      <c r="L495" s="28">
        <f t="shared" si="113"/>
        <v>0.2624399964574689</v>
      </c>
      <c r="M495" s="28">
        <f t="shared" si="113"/>
        <v>0.26397966009224005</v>
      </c>
      <c r="N495" s="28">
        <f t="shared" si="113"/>
        <v>0.26417881881072747</v>
      </c>
      <c r="O495" s="28">
        <f t="shared" si="113"/>
        <v>0.26452185017623492</v>
      </c>
      <c r="P495" s="28">
        <f t="shared" si="113"/>
        <v>0.26649010087852709</v>
      </c>
      <c r="Q495" s="28">
        <f t="shared" si="113"/>
        <v>0.26806398073650983</v>
      </c>
      <c r="R495" s="28">
        <f t="shared" si="113"/>
        <v>0.26807778060974324</v>
      </c>
      <c r="S495" s="28">
        <f t="shared" si="113"/>
        <v>0.26097539423220861</v>
      </c>
      <c r="T495" s="28">
        <f t="shared" si="113"/>
        <v>0.26440651777051938</v>
      </c>
      <c r="U495" s="28">
        <f t="shared" si="113"/>
        <v>0.26700381933744832</v>
      </c>
      <c r="V495" s="28">
        <f t="shared" si="113"/>
        <v>0.26945431190334429</v>
      </c>
      <c r="W495" s="28">
        <f t="shared" si="113"/>
        <v>0.27229573026652365</v>
      </c>
      <c r="X495" s="28">
        <f t="shared" si="113"/>
        <v>0.27636705250325572</v>
      </c>
      <c r="Y495" s="28">
        <f t="shared" si="113"/>
        <v>0.28060577267982134</v>
      </c>
      <c r="Z495" s="28">
        <f t="shared" si="113"/>
        <v>0.28520997961691874</v>
      </c>
      <c r="AA495" s="28">
        <f t="shared" si="113"/>
        <v>0.2893970352688095</v>
      </c>
      <c r="AB495" s="28">
        <f t="shared" si="113"/>
        <v>0.29419437949239208</v>
      </c>
      <c r="AC495" s="28">
        <f t="shared" si="113"/>
        <v>0.2997373109229064</v>
      </c>
      <c r="AD495" s="28">
        <f t="shared" si="113"/>
        <v>0.3050737827329042</v>
      </c>
      <c r="AE495" s="28">
        <f t="shared" si="113"/>
        <v>0.31068846599593736</v>
      </c>
      <c r="AF495" s="28">
        <f t="shared" si="113"/>
        <v>0.31647344630227597</v>
      </c>
      <c r="AG495" s="28">
        <f t="shared" si="113"/>
        <v>0.32291049098219599</v>
      </c>
      <c r="AH495" s="28">
        <f t="shared" si="113"/>
        <v>0.32873841746111437</v>
      </c>
      <c r="AI495" s="28">
        <f t="shared" si="113"/>
        <v>0.33479428083974455</v>
      </c>
      <c r="AJ495" s="28">
        <f t="shared" si="113"/>
        <v>0.34100843275252468</v>
      </c>
      <c r="AK495" s="28">
        <f t="shared" si="113"/>
        <v>0.34703682731872076</v>
      </c>
      <c r="AL495" s="28">
        <f t="shared" si="113"/>
        <v>0.35311091169438086</v>
      </c>
      <c r="AM495" s="28">
        <f t="shared" si="113"/>
        <v>0.35944265754429855</v>
      </c>
      <c r="AN495" s="28">
        <f t="shared" si="113"/>
        <v>0.3659840546269007</v>
      </c>
      <c r="AO495" s="28">
        <f t="shared" si="113"/>
        <v>0.3722317587971502</v>
      </c>
      <c r="AP495" s="28">
        <f t="shared" si="113"/>
        <v>0.37861143949262133</v>
      </c>
      <c r="AQ495" s="28">
        <f t="shared" si="113"/>
        <v>0.38513459437705777</v>
      </c>
      <c r="AR495" s="28">
        <f t="shared" si="113"/>
        <v>0.39211047211420524</v>
      </c>
      <c r="AS495" s="28">
        <f t="shared" si="113"/>
        <v>0.3991631250056496</v>
      </c>
      <c r="AT495" s="28">
        <f t="shared" si="113"/>
        <v>0.40338422256724893</v>
      </c>
      <c r="AU495" s="28">
        <f t="shared" si="113"/>
        <v>0.40744132134998817</v>
      </c>
      <c r="AV495" s="28">
        <f t="shared" si="113"/>
        <v>0.41193001539573099</v>
      </c>
      <c r="AW495" s="28">
        <f t="shared" si="113"/>
        <v>0.41628934413629709</v>
      </c>
      <c r="AY495" s="85"/>
    </row>
    <row r="496" spans="1:51" x14ac:dyDescent="0.25">
      <c r="A496" s="102" t="str">
        <f t="shared" si="108"/>
        <v>PQ Cattle MMN2O</v>
      </c>
      <c r="B496" s="102" t="s">
        <v>969</v>
      </c>
      <c r="C496" s="102" t="s">
        <v>1233</v>
      </c>
      <c r="D496" t="s">
        <v>15</v>
      </c>
      <c r="E496" t="s">
        <v>657</v>
      </c>
      <c r="F496" t="s">
        <v>67</v>
      </c>
      <c r="G496" t="s">
        <v>307</v>
      </c>
      <c r="H496" t="s">
        <v>1228</v>
      </c>
      <c r="I496" t="s">
        <v>139</v>
      </c>
      <c r="J496" t="s">
        <v>287</v>
      </c>
      <c r="K496" s="28">
        <f t="shared" si="110"/>
        <v>1.1598714945443948E-2</v>
      </c>
      <c r="L496" s="28">
        <f t="shared" si="113"/>
        <v>1.1677030119965246E-2</v>
      </c>
      <c r="M496" s="28">
        <f t="shared" si="113"/>
        <v>1.1745536059915416E-2</v>
      </c>
      <c r="N496" s="28">
        <f t="shared" si="113"/>
        <v>1.1754397446845087E-2</v>
      </c>
      <c r="O496" s="28">
        <f t="shared" si="113"/>
        <v>1.1769660316991377E-2</v>
      </c>
      <c r="P496" s="28">
        <f t="shared" si="113"/>
        <v>1.1857235850616387E-2</v>
      </c>
      <c r="Q496" s="28">
        <f t="shared" si="113"/>
        <v>1.1927264210450818E-2</v>
      </c>
      <c r="R496" s="28">
        <f t="shared" si="113"/>
        <v>1.1927878223320707E-2</v>
      </c>
      <c r="S496" s="28">
        <f t="shared" si="113"/>
        <v>1.1611863969496622E-2</v>
      </c>
      <c r="T496" s="28">
        <f t="shared" si="113"/>
        <v>1.1764528705981136E-2</v>
      </c>
      <c r="U496" s="28">
        <f t="shared" si="113"/>
        <v>1.1880093288503061E-2</v>
      </c>
      <c r="V496" s="28">
        <f t="shared" si="113"/>
        <v>1.1989125737394114E-2</v>
      </c>
      <c r="W496" s="28">
        <f t="shared" si="113"/>
        <v>1.2115552075826281E-2</v>
      </c>
      <c r="X496" s="28">
        <f t="shared" si="113"/>
        <v>1.2296701873982557E-2</v>
      </c>
      <c r="Y496" s="28">
        <f t="shared" si="113"/>
        <v>1.2485299891967528E-2</v>
      </c>
      <c r="Z496" s="28">
        <f t="shared" si="113"/>
        <v>1.2690159912577046E-2</v>
      </c>
      <c r="AA496" s="28">
        <f t="shared" si="113"/>
        <v>1.2876459164295801E-2</v>
      </c>
      <c r="AB496" s="28">
        <f t="shared" si="113"/>
        <v>1.3089912653667775E-2</v>
      </c>
      <c r="AC496" s="28">
        <f t="shared" si="113"/>
        <v>1.3336540371015372E-2</v>
      </c>
      <c r="AD496" s="28">
        <f t="shared" si="113"/>
        <v>1.3573981854405228E-2</v>
      </c>
      <c r="AE496" s="28">
        <f t="shared" si="113"/>
        <v>1.3823802104601461E-2</v>
      </c>
      <c r="AF496" s="28">
        <f t="shared" si="113"/>
        <v>1.4081199567611519E-2</v>
      </c>
      <c r="AG496" s="28">
        <f t="shared" si="113"/>
        <v>1.4367610044770513E-2</v>
      </c>
      <c r="AH496" s="28">
        <f t="shared" si="113"/>
        <v>1.4626918358860899E-2</v>
      </c>
      <c r="AI496" s="28">
        <f t="shared" si="113"/>
        <v>1.4896368519008723E-2</v>
      </c>
      <c r="AJ496" s="28">
        <f t="shared" si="113"/>
        <v>1.5172861584223856E-2</v>
      </c>
      <c r="AK496" s="28">
        <f t="shared" si="113"/>
        <v>1.5441089544423183E-2</v>
      </c>
      <c r="AL496" s="28">
        <f t="shared" si="113"/>
        <v>1.5711350431342863E-2</v>
      </c>
      <c r="AM496" s="28">
        <f t="shared" si="113"/>
        <v>1.5993075732362048E-2</v>
      </c>
      <c r="AN496" s="28">
        <f t="shared" si="113"/>
        <v>1.6284129275233806E-2</v>
      </c>
      <c r="AO496" s="28">
        <f t="shared" si="113"/>
        <v>1.6562115217778419E-2</v>
      </c>
      <c r="AP496" s="28">
        <f t="shared" si="113"/>
        <v>1.6845973336366879E-2</v>
      </c>
      <c r="AQ496" s="28">
        <f t="shared" si="113"/>
        <v>1.7136215209141423E-2</v>
      </c>
      <c r="AR496" s="28">
        <f t="shared" si="113"/>
        <v>1.7446600575508658E-2</v>
      </c>
      <c r="AS496" s="28">
        <f t="shared" si="113"/>
        <v>1.7760401982880657E-2</v>
      </c>
      <c r="AT496" s="28">
        <f t="shared" si="113"/>
        <v>1.7948215898562121E-2</v>
      </c>
      <c r="AU496" s="28">
        <f t="shared" si="113"/>
        <v>1.8128732837005983E-2</v>
      </c>
      <c r="AV496" s="28">
        <f t="shared" si="113"/>
        <v>1.8328453216060109E-2</v>
      </c>
      <c r="AW496" s="28">
        <f t="shared" si="113"/>
        <v>1.852241760294299E-2</v>
      </c>
      <c r="AY496" s="85"/>
    </row>
    <row r="497" spans="1:51" x14ac:dyDescent="0.25">
      <c r="A497" s="102" t="str">
        <f t="shared" si="108"/>
        <v>PQ Cattle MMN2O</v>
      </c>
      <c r="B497" s="102" t="s">
        <v>969</v>
      </c>
      <c r="C497" s="102" t="s">
        <v>1233</v>
      </c>
      <c r="D497" t="s">
        <v>15</v>
      </c>
      <c r="E497" t="s">
        <v>657</v>
      </c>
      <c r="F497" t="s">
        <v>67</v>
      </c>
      <c r="G497" t="s">
        <v>122</v>
      </c>
      <c r="H497" t="s">
        <v>1228</v>
      </c>
      <c r="I497" t="s">
        <v>139</v>
      </c>
      <c r="J497" t="s">
        <v>287</v>
      </c>
      <c r="K497" s="28">
        <f t="shared" si="110"/>
        <v>0.52784381686908488</v>
      </c>
      <c r="L497" s="28">
        <f t="shared" si="113"/>
        <v>0.52515644938547934</v>
      </c>
      <c r="M497" s="28">
        <f t="shared" si="113"/>
        <v>0.52025151153580673</v>
      </c>
      <c r="N497" s="28">
        <f t="shared" si="113"/>
        <v>0.50682531077398352</v>
      </c>
      <c r="O497" s="28">
        <f t="shared" si="113"/>
        <v>0.4939348964332157</v>
      </c>
      <c r="P497" s="28">
        <f t="shared" si="113"/>
        <v>0.48971543421207564</v>
      </c>
      <c r="Q497" s="28">
        <f t="shared" si="113"/>
        <v>0.48290055380478719</v>
      </c>
      <c r="R497" s="28">
        <f t="shared" si="113"/>
        <v>0.46758884489133185</v>
      </c>
      <c r="S497" s="28">
        <f t="shared" si="113"/>
        <v>0.41621648904191116</v>
      </c>
      <c r="T497" s="28">
        <f t="shared" si="113"/>
        <v>0.42638667208573666</v>
      </c>
      <c r="U497" s="28">
        <f t="shared" si="113"/>
        <v>0.43187985525495859</v>
      </c>
      <c r="V497" s="28">
        <f t="shared" si="113"/>
        <v>0.4362459859607159</v>
      </c>
      <c r="W497" s="28">
        <f t="shared" si="113"/>
        <v>0.44211378477911739</v>
      </c>
      <c r="X497" s="28">
        <f t="shared" si="113"/>
        <v>0.45337915493608988</v>
      </c>
      <c r="Y497" s="28">
        <f t="shared" si="113"/>
        <v>0.46570884205291363</v>
      </c>
      <c r="Z497" s="28">
        <f t="shared" si="113"/>
        <v>0.47914332985830105</v>
      </c>
      <c r="AA497" s="28">
        <f t="shared" si="113"/>
        <v>0.49009752442785343</v>
      </c>
      <c r="AB497" s="28">
        <f t="shared" si="113"/>
        <v>0.50324660614266314</v>
      </c>
      <c r="AC497" s="28">
        <f t="shared" si="113"/>
        <v>0.51908497467197146</v>
      </c>
      <c r="AD497" s="28">
        <f t="shared" si="113"/>
        <v>0.52951816182604061</v>
      </c>
      <c r="AE497" s="28">
        <f t="shared" si="113"/>
        <v>0.54017530186644991</v>
      </c>
      <c r="AF497" s="28">
        <f t="shared" si="113"/>
        <v>0.55055968982828007</v>
      </c>
      <c r="AG497" s="28">
        <f t="shared" si="113"/>
        <v>0.56257359948982233</v>
      </c>
      <c r="AH497" s="28">
        <f t="shared" si="113"/>
        <v>0.571134780275243</v>
      </c>
      <c r="AI497" s="28">
        <f t="shared" si="113"/>
        <v>0.58015385111091267</v>
      </c>
      <c r="AJ497" s="28">
        <f t="shared" si="113"/>
        <v>0.58878429113613517</v>
      </c>
      <c r="AK497" s="28">
        <f t="shared" si="113"/>
        <v>0.5957568629631379</v>
      </c>
      <c r="AL497" s="28">
        <f t="shared" si="113"/>
        <v>0.60196210030255271</v>
      </c>
      <c r="AM497" s="28">
        <f t="shared" si="113"/>
        <v>0.60813947691884929</v>
      </c>
      <c r="AN497" s="28">
        <f t="shared" si="113"/>
        <v>0.61764741655645328</v>
      </c>
      <c r="AO497" s="28">
        <f t="shared" si="113"/>
        <v>0.62539054666282456</v>
      </c>
      <c r="AP497" s="28">
        <f t="shared" si="113"/>
        <v>0.63282578397368294</v>
      </c>
      <c r="AQ497" s="28">
        <f t="shared" si="113"/>
        <v>0.6399775293303559</v>
      </c>
      <c r="AR497" s="28">
        <f t="shared" si="113"/>
        <v>0.64779293053044351</v>
      </c>
      <c r="AS497" s="28">
        <f t="shared" si="113"/>
        <v>0.6554480309562406</v>
      </c>
      <c r="AT497" s="28">
        <f t="shared" si="113"/>
        <v>0.65387085498126252</v>
      </c>
      <c r="AU497" s="28">
        <f t="shared" si="113"/>
        <v>0.65139607098171814</v>
      </c>
      <c r="AV497" s="28">
        <f t="shared" si="113"/>
        <v>0.64976027386415824</v>
      </c>
      <c r="AW497" s="28">
        <f t="shared" si="113"/>
        <v>0.64732609029644417</v>
      </c>
      <c r="AY497" s="85"/>
    </row>
    <row r="498" spans="1:51" x14ac:dyDescent="0.25">
      <c r="A498" s="102" t="str">
        <f t="shared" si="108"/>
        <v>PQ Cattle MMN2O</v>
      </c>
      <c r="B498" s="102" t="s">
        <v>969</v>
      </c>
      <c r="C498" s="102" t="s">
        <v>1233</v>
      </c>
      <c r="D498" t="s">
        <v>15</v>
      </c>
      <c r="E498" t="s">
        <v>657</v>
      </c>
      <c r="F498" t="s">
        <v>67</v>
      </c>
      <c r="G498" t="s">
        <v>123</v>
      </c>
      <c r="H498" t="s">
        <v>1228</v>
      </c>
      <c r="I498" t="s">
        <v>139</v>
      </c>
      <c r="J498" t="s">
        <v>287</v>
      </c>
      <c r="K498" s="28">
        <f t="shared" si="110"/>
        <v>0.80849535264982253</v>
      </c>
      <c r="L498" s="28">
        <f t="shared" si="113"/>
        <v>0.80437912725905281</v>
      </c>
      <c r="M498" s="28">
        <f t="shared" si="113"/>
        <v>0.79686626203308752</v>
      </c>
      <c r="N498" s="28">
        <f t="shared" si="113"/>
        <v>0.77630142718465789</v>
      </c>
      <c r="O498" s="28">
        <f t="shared" si="113"/>
        <v>0.75655725333024249</v>
      </c>
      <c r="P498" s="28">
        <f t="shared" si="113"/>
        <v>0.75009432720048652</v>
      </c>
      <c r="Q498" s="28">
        <f t="shared" si="113"/>
        <v>0.73965601389251134</v>
      </c>
      <c r="R498" s="28">
        <f t="shared" si="113"/>
        <v>0.71620315700184167</v>
      </c>
      <c r="S498" s="28">
        <f t="shared" si="113"/>
        <v>0.63751641362897982</v>
      </c>
      <c r="T498" s="28">
        <f t="shared" si="113"/>
        <v>0.65309402477786682</v>
      </c>
      <c r="U498" s="28">
        <f t="shared" si="113"/>
        <v>0.66150790199236797</v>
      </c>
      <c r="V498" s="28">
        <f t="shared" si="113"/>
        <v>0.66819547940040647</v>
      </c>
      <c r="W498" s="28">
        <f t="shared" si="113"/>
        <v>0.67718315326026413</v>
      </c>
      <c r="X498" s="28">
        <f t="shared" si="113"/>
        <v>0.69443825624094591</v>
      </c>
      <c r="Y498" s="28">
        <f t="shared" si="113"/>
        <v>0.7133235674163364</v>
      </c>
      <c r="Z498" s="28">
        <f t="shared" si="113"/>
        <v>0.73390109548195415</v>
      </c>
      <c r="AA498" s="28">
        <f t="shared" si="113"/>
        <v>0.75067957259671325</v>
      </c>
      <c r="AB498" s="28">
        <f t="shared" si="113"/>
        <v>0.7708199457872037</v>
      </c>
      <c r="AC498" s="28">
        <f t="shared" si="113"/>
        <v>0.79507948419660579</v>
      </c>
      <c r="AD498" s="28">
        <f t="shared" si="113"/>
        <v>0.81105993723558278</v>
      </c>
      <c r="AE498" s="28">
        <f t="shared" si="113"/>
        <v>0.82738341762854573</v>
      </c>
      <c r="AF498" s="28">
        <f t="shared" si="113"/>
        <v>0.84328912522412203</v>
      </c>
      <c r="AG498" s="28">
        <f t="shared" si="113"/>
        <v>0.86169076187892979</v>
      </c>
      <c r="AH498" s="28">
        <f t="shared" si="113"/>
        <v>0.8748038734793715</v>
      </c>
      <c r="AI498" s="28">
        <f t="shared" si="113"/>
        <v>0.88861833264858248</v>
      </c>
      <c r="AJ498" s="28">
        <f t="shared" si="113"/>
        <v>0.90183752823015395</v>
      </c>
      <c r="AK498" s="28">
        <f t="shared" si="113"/>
        <v>0.9125173765829987</v>
      </c>
      <c r="AL498" s="28">
        <f t="shared" si="113"/>
        <v>0.92202190309382137</v>
      </c>
      <c r="AM498" s="28">
        <f t="shared" si="113"/>
        <v>0.93148375549453255</v>
      </c>
      <c r="AN498" s="28">
        <f t="shared" si="113"/>
        <v>0.94604701220913134</v>
      </c>
      <c r="AO498" s="28">
        <f t="shared" si="113"/>
        <v>0.95790712026741442</v>
      </c>
      <c r="AP498" s="28">
        <f t="shared" si="113"/>
        <v>0.96929563069334712</v>
      </c>
      <c r="AQ498" s="28">
        <f t="shared" si="113"/>
        <v>0.98024991811590712</v>
      </c>
      <c r="AR498" s="28">
        <f t="shared" si="113"/>
        <v>0.99222072339471901</v>
      </c>
      <c r="AS498" s="28">
        <f t="shared" si="113"/>
        <v>1.0039459968951938</v>
      </c>
      <c r="AT498" s="28">
        <f t="shared" si="113"/>
        <v>1.0015302454828838</v>
      </c>
      <c r="AU498" s="28">
        <f t="shared" si="113"/>
        <v>0.99773963299771362</v>
      </c>
      <c r="AV498" s="28">
        <f t="shared" si="113"/>
        <v>0.99523409191688805</v>
      </c>
      <c r="AW498" s="28">
        <f t="shared" si="113"/>
        <v>0.99150566688073472</v>
      </c>
      <c r="AY498" s="85"/>
    </row>
    <row r="499" spans="1:51" x14ac:dyDescent="0.25">
      <c r="A499" s="102" t="str">
        <f t="shared" si="108"/>
        <v>PQ Cattle MMN2O</v>
      </c>
      <c r="B499" s="102" t="s">
        <v>969</v>
      </c>
      <c r="C499" s="102" t="s">
        <v>1233</v>
      </c>
      <c r="D499" t="s">
        <v>15</v>
      </c>
      <c r="E499" t="s">
        <v>657</v>
      </c>
      <c r="F499" t="s">
        <v>67</v>
      </c>
      <c r="G499" t="s">
        <v>135</v>
      </c>
      <c r="H499" t="s">
        <v>1228</v>
      </c>
      <c r="I499" t="s">
        <v>139</v>
      </c>
      <c r="J499" t="s">
        <v>287</v>
      </c>
      <c r="K499" s="28">
        <f t="shared" si="110"/>
        <v>0.98205986457809369</v>
      </c>
      <c r="L499" s="28">
        <f t="shared" si="113"/>
        <v>1.0186966250855221</v>
      </c>
      <c r="M499" s="28">
        <f t="shared" si="113"/>
        <v>1.0516100331905254</v>
      </c>
      <c r="N499" s="28">
        <f t="shared" si="113"/>
        <v>1.0670554052779846</v>
      </c>
      <c r="O499" s="28">
        <f t="shared" si="113"/>
        <v>1.0827371051777117</v>
      </c>
      <c r="P499" s="28">
        <f t="shared" si="113"/>
        <v>1.1173522594931429</v>
      </c>
      <c r="Q499" s="28">
        <f t="shared" si="113"/>
        <v>1.1465503025323129</v>
      </c>
      <c r="R499" s="28">
        <f t="shared" si="113"/>
        <v>1.1550738596088039</v>
      </c>
      <c r="S499" s="28">
        <f t="shared" si="113"/>
        <v>1.0695943528873249</v>
      </c>
      <c r="T499" s="28">
        <f t="shared" si="113"/>
        <v>1.1219950081899948</v>
      </c>
      <c r="U499" s="28">
        <f t="shared" ref="L499:AW505" si="114">U1416</f>
        <v>1.1633173415255618</v>
      </c>
      <c r="V499" s="28">
        <f t="shared" si="114"/>
        <v>1.2025059899255817</v>
      </c>
      <c r="W499" s="28">
        <f t="shared" si="114"/>
        <v>1.2467916832467774</v>
      </c>
      <c r="X499" s="28">
        <f t="shared" si="114"/>
        <v>1.3077319490194745</v>
      </c>
      <c r="Y499" s="28">
        <f t="shared" si="114"/>
        <v>1.3736346071286145</v>
      </c>
      <c r="Z499" s="28">
        <f t="shared" si="114"/>
        <v>1.444880911122689</v>
      </c>
      <c r="AA499" s="28">
        <f t="shared" si="114"/>
        <v>1.5106946759567434</v>
      </c>
      <c r="AB499" s="28">
        <f t="shared" si="114"/>
        <v>1.5853572340052999</v>
      </c>
      <c r="AC499" s="28">
        <f t="shared" si="114"/>
        <v>1.6709659686150751</v>
      </c>
      <c r="AD499" s="28">
        <f t="shared" si="114"/>
        <v>1.7608921819876218</v>
      </c>
      <c r="AE499" s="28">
        <f t="shared" si="114"/>
        <v>1.8558227828840355</v>
      </c>
      <c r="AF499" s="28">
        <f t="shared" si="114"/>
        <v>1.9543039033617708</v>
      </c>
      <c r="AG499" s="28">
        <f t="shared" si="114"/>
        <v>2.0634682331223644</v>
      </c>
      <c r="AH499" s="28">
        <f t="shared" si="114"/>
        <v>2.1649176431538755</v>
      </c>
      <c r="AI499" s="28">
        <f t="shared" si="114"/>
        <v>2.2729641706273069</v>
      </c>
      <c r="AJ499" s="28">
        <f t="shared" si="114"/>
        <v>2.3846427633469691</v>
      </c>
      <c r="AK499" s="28">
        <f t="shared" si="114"/>
        <v>2.4947887072389494</v>
      </c>
      <c r="AL499" s="28">
        <f t="shared" si="114"/>
        <v>2.6068756949224299</v>
      </c>
      <c r="AM499" s="28">
        <f t="shared" si="114"/>
        <v>2.7241988792314307</v>
      </c>
      <c r="AN499" s="28">
        <f t="shared" si="114"/>
        <v>2.844574694525166</v>
      </c>
      <c r="AO499" s="28">
        <f t="shared" si="114"/>
        <v>2.9614918045068643</v>
      </c>
      <c r="AP499" s="28">
        <f t="shared" si="114"/>
        <v>3.0815745118174522</v>
      </c>
      <c r="AQ499" s="28">
        <f t="shared" si="114"/>
        <v>3.2050489971777192</v>
      </c>
      <c r="AR499" s="28">
        <f t="shared" si="114"/>
        <v>3.3369151668424974</v>
      </c>
      <c r="AS499" s="28">
        <f t="shared" si="114"/>
        <v>3.4733559158161165</v>
      </c>
      <c r="AT499" s="28">
        <f t="shared" si="114"/>
        <v>3.5651160309626517</v>
      </c>
      <c r="AU499" s="28">
        <f t="shared" si="114"/>
        <v>3.6548683550042269</v>
      </c>
      <c r="AV499" s="28">
        <f t="shared" si="114"/>
        <v>3.7523616710832552</v>
      </c>
      <c r="AW499" s="28">
        <f t="shared" si="114"/>
        <v>3.8484469226935669</v>
      </c>
      <c r="AY499" s="85"/>
    </row>
    <row r="500" spans="1:51" x14ac:dyDescent="0.25">
      <c r="A500" s="102" t="str">
        <f t="shared" si="108"/>
        <v>PQ Sheep MMN2O</v>
      </c>
      <c r="B500" s="102" t="s">
        <v>969</v>
      </c>
      <c r="C500" s="102" t="s">
        <v>1329</v>
      </c>
      <c r="D500" t="s">
        <v>15</v>
      </c>
      <c r="E500" t="s">
        <v>657</v>
      </c>
      <c r="F500" t="s">
        <v>18</v>
      </c>
      <c r="G500" t="s">
        <v>122</v>
      </c>
      <c r="H500" t="s">
        <v>1228</v>
      </c>
      <c r="I500" t="s">
        <v>139</v>
      </c>
      <c r="J500" t="s">
        <v>287</v>
      </c>
      <c r="K500" s="28">
        <f t="shared" si="110"/>
        <v>0.11717139101759612</v>
      </c>
      <c r="L500" s="28">
        <f t="shared" si="114"/>
        <v>0.11723462618367245</v>
      </c>
      <c r="M500" s="28">
        <f t="shared" si="114"/>
        <v>0.11737999843906115</v>
      </c>
      <c r="N500" s="28">
        <f t="shared" si="114"/>
        <v>0.1175958170956644</v>
      </c>
      <c r="O500" s="28">
        <f t="shared" si="114"/>
        <v>0.1178871134646596</v>
      </c>
      <c r="P500" s="28">
        <f t="shared" si="114"/>
        <v>0.11825974180541671</v>
      </c>
      <c r="Q500" s="28">
        <f t="shared" si="114"/>
        <v>0.11867033947255794</v>
      </c>
      <c r="R500" s="28">
        <f t="shared" si="114"/>
        <v>0.11911252923744317</v>
      </c>
      <c r="S500" s="28">
        <f t="shared" si="114"/>
        <v>0.11955062486439895</v>
      </c>
      <c r="T500" s="28">
        <f t="shared" si="114"/>
        <v>0.11972991314052749</v>
      </c>
      <c r="U500" s="28">
        <f t="shared" si="114"/>
        <v>0.11993350054454542</v>
      </c>
      <c r="V500" s="28">
        <f t="shared" si="114"/>
        <v>0.12016374349275831</v>
      </c>
      <c r="W500" s="28">
        <f t="shared" si="114"/>
        <v>0.12042231214139444</v>
      </c>
      <c r="X500" s="28">
        <f t="shared" si="114"/>
        <v>0.12071286205990268</v>
      </c>
      <c r="Y500" s="28">
        <f t="shared" si="114"/>
        <v>0.12089554719264045</v>
      </c>
      <c r="Z500" s="28">
        <f t="shared" si="114"/>
        <v>0.12110125995232866</v>
      </c>
      <c r="AA500" s="28">
        <f t="shared" si="114"/>
        <v>0.12132427506998271</v>
      </c>
      <c r="AB500" s="28">
        <f t="shared" si="114"/>
        <v>0.12156982110770359</v>
      </c>
      <c r="AC500" s="28">
        <f t="shared" si="114"/>
        <v>0.12183786994920162</v>
      </c>
      <c r="AD500" s="28">
        <f t="shared" si="114"/>
        <v>0.12201528623614287</v>
      </c>
      <c r="AE500" s="28">
        <f t="shared" si="114"/>
        <v>0.12220996410772501</v>
      </c>
      <c r="AF500" s="28">
        <f t="shared" si="114"/>
        <v>0.1224205957767</v>
      </c>
      <c r="AG500" s="28">
        <f t="shared" si="114"/>
        <v>0.12264946134615734</v>
      </c>
      <c r="AH500" s="28">
        <f t="shared" si="114"/>
        <v>0.12288846185835746</v>
      </c>
      <c r="AI500" s="28">
        <f t="shared" si="114"/>
        <v>0.12304136792276418</v>
      </c>
      <c r="AJ500" s="28">
        <f t="shared" si="114"/>
        <v>0.12320724493915225</v>
      </c>
      <c r="AK500" s="28">
        <f t="shared" si="114"/>
        <v>0.12338358070705197</v>
      </c>
      <c r="AL500" s="28">
        <f t="shared" si="114"/>
        <v>0.12357134049580157</v>
      </c>
      <c r="AM500" s="28">
        <f t="shared" si="114"/>
        <v>0.12377140391233164</v>
      </c>
      <c r="AN500" s="28">
        <f t="shared" si="114"/>
        <v>0.1238893184922704</v>
      </c>
      <c r="AO500" s="28">
        <f t="shared" si="114"/>
        <v>0.12401495917055069</v>
      </c>
      <c r="AP500" s="28">
        <f t="shared" si="114"/>
        <v>0.12415054004629532</v>
      </c>
      <c r="AQ500" s="28">
        <f t="shared" si="114"/>
        <v>0.12429582194532131</v>
      </c>
      <c r="AR500" s="28">
        <f t="shared" si="114"/>
        <v>0.12445236467960287</v>
      </c>
      <c r="AS500" s="28">
        <f t="shared" si="114"/>
        <v>0.12452291839205781</v>
      </c>
      <c r="AT500" s="28">
        <f t="shared" si="114"/>
        <v>0.12458415812408247</v>
      </c>
      <c r="AU500" s="28">
        <f t="shared" si="114"/>
        <v>0.12465176490232828</v>
      </c>
      <c r="AV500" s="28">
        <f t="shared" si="114"/>
        <v>0.12472905780449089</v>
      </c>
      <c r="AW500" s="28">
        <f t="shared" si="114"/>
        <v>0.12481246580884831</v>
      </c>
      <c r="AY500" s="85"/>
    </row>
    <row r="501" spans="1:51" x14ac:dyDescent="0.25">
      <c r="A501" s="102" t="str">
        <f t="shared" si="108"/>
        <v>PQ Sheep MMN2O</v>
      </c>
      <c r="B501" s="102" t="s">
        <v>969</v>
      </c>
      <c r="C501" s="102" t="s">
        <v>1329</v>
      </c>
      <c r="D501" t="s">
        <v>15</v>
      </c>
      <c r="E501" t="s">
        <v>657</v>
      </c>
      <c r="F501" t="s">
        <v>18</v>
      </c>
      <c r="G501" t="s">
        <v>123</v>
      </c>
      <c r="H501" t="s">
        <v>1228</v>
      </c>
      <c r="I501" t="s">
        <v>139</v>
      </c>
      <c r="J501" t="s">
        <v>287</v>
      </c>
      <c r="K501" s="28">
        <f t="shared" si="110"/>
        <v>6.2656398763200921E-2</v>
      </c>
      <c r="L501" s="28">
        <f t="shared" si="114"/>
        <v>6.2690213227185057E-2</v>
      </c>
      <c r="M501" s="28">
        <f t="shared" si="114"/>
        <v>6.276794979686845E-2</v>
      </c>
      <c r="N501" s="28">
        <f t="shared" si="114"/>
        <v>6.2883356976822818E-2</v>
      </c>
      <c r="O501" s="28">
        <f t="shared" si="114"/>
        <v>6.303912521764958E-2</v>
      </c>
      <c r="P501" s="28">
        <f t="shared" si="114"/>
        <v>6.3238385034454531E-2</v>
      </c>
      <c r="Q501" s="28">
        <f t="shared" si="114"/>
        <v>6.3457948623656765E-2</v>
      </c>
      <c r="R501" s="28">
        <f t="shared" si="114"/>
        <v>6.3694405816808061E-2</v>
      </c>
      <c r="S501" s="28">
        <f t="shared" si="114"/>
        <v>6.3928673704733319E-2</v>
      </c>
      <c r="T501" s="28">
        <f t="shared" si="114"/>
        <v>6.4024546576303062E-2</v>
      </c>
      <c r="U501" s="28">
        <f t="shared" si="114"/>
        <v>6.4133413198594794E-2</v>
      </c>
      <c r="V501" s="28">
        <f t="shared" si="114"/>
        <v>6.4256533645065173E-2</v>
      </c>
      <c r="W501" s="28">
        <f t="shared" si="114"/>
        <v>6.4394801017466488E-2</v>
      </c>
      <c r="X501" s="28">
        <f t="shared" si="114"/>
        <v>6.4550170100282397E-2</v>
      </c>
      <c r="Y501" s="28">
        <f t="shared" si="114"/>
        <v>6.4647859411858508E-2</v>
      </c>
      <c r="Z501" s="28">
        <f t="shared" si="114"/>
        <v>6.4757862549909215E-2</v>
      </c>
      <c r="AA501" s="28">
        <f t="shared" si="114"/>
        <v>6.4877117975833593E-2</v>
      </c>
      <c r="AB501" s="28">
        <f t="shared" si="114"/>
        <v>6.5008421618476642E-2</v>
      </c>
      <c r="AC501" s="28">
        <f t="shared" si="114"/>
        <v>6.5151758442893073E-2</v>
      </c>
      <c r="AD501" s="28">
        <f t="shared" si="114"/>
        <v>6.5246630284262655E-2</v>
      </c>
      <c r="AE501" s="28">
        <f t="shared" si="114"/>
        <v>6.5350732610319262E-2</v>
      </c>
      <c r="AF501" s="28">
        <f t="shared" si="114"/>
        <v>6.5463366093022182E-2</v>
      </c>
      <c r="AG501" s="28">
        <f t="shared" si="114"/>
        <v>6.5585749997988649E-2</v>
      </c>
      <c r="AH501" s="28">
        <f t="shared" si="114"/>
        <v>6.571355347686661E-2</v>
      </c>
      <c r="AI501" s="28">
        <f t="shared" si="114"/>
        <v>6.5795318686458951E-2</v>
      </c>
      <c r="AJ501" s="28">
        <f t="shared" si="114"/>
        <v>6.5884020001636651E-2</v>
      </c>
      <c r="AK501" s="28">
        <f t="shared" si="114"/>
        <v>6.5978314044694314E-2</v>
      </c>
      <c r="AL501" s="28">
        <f t="shared" si="114"/>
        <v>6.6078716985151179E-2</v>
      </c>
      <c r="AM501" s="28">
        <f t="shared" si="114"/>
        <v>6.6185699185286995E-2</v>
      </c>
      <c r="AN501" s="28">
        <f t="shared" si="114"/>
        <v>6.6248752997966662E-2</v>
      </c>
      <c r="AO501" s="28">
        <f t="shared" si="114"/>
        <v>6.6315938275625666E-2</v>
      </c>
      <c r="AP501" s="28">
        <f t="shared" si="114"/>
        <v>6.6388438988824877E-2</v>
      </c>
      <c r="AQ501" s="28">
        <f t="shared" si="114"/>
        <v>6.6466127241216463E-2</v>
      </c>
      <c r="AR501" s="28">
        <f t="shared" si="114"/>
        <v>6.6549837128906997E-2</v>
      </c>
      <c r="AS501" s="28">
        <f t="shared" si="114"/>
        <v>6.658756512294553E-2</v>
      </c>
      <c r="AT501" s="28">
        <f t="shared" si="114"/>
        <v>6.66203125456446E-2</v>
      </c>
      <c r="AU501" s="28">
        <f t="shared" si="114"/>
        <v>6.6656464691830439E-2</v>
      </c>
      <c r="AV501" s="28">
        <f t="shared" si="114"/>
        <v>6.6697796409900922E-2</v>
      </c>
      <c r="AW501" s="28">
        <f t="shared" si="114"/>
        <v>6.6742398126545865E-2</v>
      </c>
      <c r="AY501" s="85"/>
    </row>
    <row r="502" spans="1:51" x14ac:dyDescent="0.25">
      <c r="A502" s="102" t="str">
        <f t="shared" si="108"/>
        <v>PQ Goats MMN2O</v>
      </c>
      <c r="B502" s="102" t="s">
        <v>969</v>
      </c>
      <c r="C502" s="102" t="s">
        <v>1330</v>
      </c>
      <c r="D502" t="s">
        <v>15</v>
      </c>
      <c r="E502" t="s">
        <v>657</v>
      </c>
      <c r="F502" t="s">
        <v>19</v>
      </c>
      <c r="G502" t="s">
        <v>122</v>
      </c>
      <c r="H502" t="s">
        <v>1228</v>
      </c>
      <c r="I502" t="s">
        <v>139</v>
      </c>
      <c r="J502" t="s">
        <v>287</v>
      </c>
      <c r="K502" s="28">
        <f t="shared" si="110"/>
        <v>1.4482807028187926E-2</v>
      </c>
      <c r="L502" s="28">
        <f t="shared" si="114"/>
        <v>1.4520450251739283E-2</v>
      </c>
      <c r="M502" s="28">
        <f t="shared" si="114"/>
        <v>1.4571212872745463E-2</v>
      </c>
      <c r="N502" s="28">
        <f t="shared" si="114"/>
        <v>1.4633040456364911E-2</v>
      </c>
      <c r="O502" s="28">
        <f t="shared" si="114"/>
        <v>1.4707094987006923E-2</v>
      </c>
      <c r="P502" s="28">
        <f t="shared" si="114"/>
        <v>1.4794644538423191E-2</v>
      </c>
      <c r="Q502" s="28">
        <f t="shared" si="114"/>
        <v>1.4887429784482062E-2</v>
      </c>
      <c r="R502" s="28">
        <f t="shared" si="114"/>
        <v>1.4984365063470912E-2</v>
      </c>
      <c r="S502" s="28">
        <f t="shared" si="114"/>
        <v>1.5078737379247895E-2</v>
      </c>
      <c r="T502" s="28">
        <f t="shared" si="114"/>
        <v>1.5122022085784054E-2</v>
      </c>
      <c r="U502" s="28">
        <f t="shared" si="114"/>
        <v>1.5168700186651049E-2</v>
      </c>
      <c r="V502" s="28">
        <f t="shared" si="114"/>
        <v>1.5219291662698977E-2</v>
      </c>
      <c r="W502" s="28">
        <f t="shared" si="114"/>
        <v>1.5274171031448219E-2</v>
      </c>
      <c r="X502" s="28">
        <f t="shared" si="114"/>
        <v>1.5334076575093777E-2</v>
      </c>
      <c r="Y502" s="28">
        <f t="shared" si="114"/>
        <v>1.5372633836154437E-2</v>
      </c>
      <c r="Z502" s="28">
        <f t="shared" si="114"/>
        <v>1.5414710813994566E-2</v>
      </c>
      <c r="AA502" s="28">
        <f t="shared" si="114"/>
        <v>1.5459260848218298E-2</v>
      </c>
      <c r="AB502" s="28">
        <f t="shared" si="114"/>
        <v>1.5507296791102529E-2</v>
      </c>
      <c r="AC502" s="28">
        <f t="shared" si="114"/>
        <v>1.5558834836357003E-2</v>
      </c>
      <c r="AD502" s="28">
        <f t="shared" si="114"/>
        <v>1.5592757830860556E-2</v>
      </c>
      <c r="AE502" s="28">
        <f t="shared" si="114"/>
        <v>1.562932478627909E-2</v>
      </c>
      <c r="AF502" s="28">
        <f t="shared" si="114"/>
        <v>1.5668308058264361E-2</v>
      </c>
      <c r="AG502" s="28">
        <f t="shared" si="114"/>
        <v>1.5710145809478677E-2</v>
      </c>
      <c r="AH502" s="28">
        <f t="shared" si="114"/>
        <v>1.5753347197297651E-2</v>
      </c>
      <c r="AI502" s="28">
        <f t="shared" si="114"/>
        <v>1.5780128357590142E-2</v>
      </c>
      <c r="AJ502" s="28">
        <f t="shared" si="114"/>
        <v>1.5808895494916663E-2</v>
      </c>
      <c r="AK502" s="28">
        <f t="shared" si="114"/>
        <v>1.5839194459493416E-2</v>
      </c>
      <c r="AL502" s="28">
        <f t="shared" si="114"/>
        <v>1.5871212894447165E-2</v>
      </c>
      <c r="AM502" s="28">
        <f t="shared" si="114"/>
        <v>1.5905120208325661E-2</v>
      </c>
      <c r="AN502" s="28">
        <f t="shared" si="114"/>
        <v>1.5923608440521576E-2</v>
      </c>
      <c r="AO502" s="28">
        <f t="shared" si="114"/>
        <v>1.5943219194385971E-2</v>
      </c>
      <c r="AP502" s="28">
        <f t="shared" si="114"/>
        <v>1.5964364076511545E-2</v>
      </c>
      <c r="AQ502" s="28">
        <f t="shared" si="114"/>
        <v>1.5987003748719163E-2</v>
      </c>
      <c r="AR502" s="28">
        <f t="shared" si="114"/>
        <v>1.6011426014492076E-2</v>
      </c>
      <c r="AS502" s="28">
        <f t="shared" si="114"/>
        <v>1.6019956720470994E-2</v>
      </c>
      <c r="AT502" s="28">
        <f t="shared" si="114"/>
        <v>1.6026597354274651E-2</v>
      </c>
      <c r="AU502" s="28">
        <f t="shared" si="114"/>
        <v>1.6034206571030277E-2</v>
      </c>
      <c r="AV502" s="28">
        <f t="shared" si="114"/>
        <v>1.6043388029308273E-2</v>
      </c>
      <c r="AW502" s="28">
        <f t="shared" si="114"/>
        <v>1.6053496862987397E-2</v>
      </c>
      <c r="AY502" s="85"/>
    </row>
    <row r="503" spans="1:51" x14ac:dyDescent="0.25">
      <c r="A503" s="102" t="str">
        <f t="shared" si="108"/>
        <v>PQ Goats MMN2O</v>
      </c>
      <c r="B503" s="102" t="s">
        <v>969</v>
      </c>
      <c r="C503" s="102" t="s">
        <v>1330</v>
      </c>
      <c r="D503" t="s">
        <v>15</v>
      </c>
      <c r="E503" t="s">
        <v>657</v>
      </c>
      <c r="F503" t="s">
        <v>19</v>
      </c>
      <c r="G503" t="s">
        <v>123</v>
      </c>
      <c r="H503" t="s">
        <v>1228</v>
      </c>
      <c r="I503" t="s">
        <v>139</v>
      </c>
      <c r="J503" t="s">
        <v>287</v>
      </c>
      <c r="K503" s="28">
        <f t="shared" si="110"/>
        <v>0.11481805129047286</v>
      </c>
      <c r="L503" s="28">
        <f t="shared" si="114"/>
        <v>0.11511648249680231</v>
      </c>
      <c r="M503" s="28">
        <f t="shared" si="114"/>
        <v>0.11551892279798029</v>
      </c>
      <c r="N503" s="28">
        <f t="shared" si="114"/>
        <v>0.11600908486762376</v>
      </c>
      <c r="O503" s="28">
        <f t="shared" si="114"/>
        <v>0.11659618078632224</v>
      </c>
      <c r="P503" s="28">
        <f t="shared" si="114"/>
        <v>0.11729026369893758</v>
      </c>
      <c r="Q503" s="28">
        <f t="shared" si="114"/>
        <v>0.1180258546047787</v>
      </c>
      <c r="R503" s="28">
        <f t="shared" si="114"/>
        <v>0.11879434650093773</v>
      </c>
      <c r="S503" s="28">
        <f t="shared" si="114"/>
        <v>0.1195425195154779</v>
      </c>
      <c r="T503" s="28">
        <f t="shared" si="114"/>
        <v>0.1198856757589802</v>
      </c>
      <c r="U503" s="28">
        <f t="shared" si="114"/>
        <v>0.1202557344478143</v>
      </c>
      <c r="V503" s="28">
        <f t="shared" si="114"/>
        <v>0.1206568179311767</v>
      </c>
      <c r="W503" s="28">
        <f t="shared" si="114"/>
        <v>0.12109189534148641</v>
      </c>
      <c r="X503" s="28">
        <f t="shared" si="114"/>
        <v>0.12156681969623982</v>
      </c>
      <c r="Y503" s="28">
        <f t="shared" si="114"/>
        <v>0.12187249728826091</v>
      </c>
      <c r="Z503" s="28">
        <f t="shared" si="114"/>
        <v>0.12220607879565744</v>
      </c>
      <c r="AA503" s="28">
        <f t="shared" si="114"/>
        <v>0.12255926641353683</v>
      </c>
      <c r="AB503" s="28">
        <f t="shared" si="114"/>
        <v>0.12294008991985945</v>
      </c>
      <c r="AC503" s="28">
        <f t="shared" si="114"/>
        <v>0.12334867769651912</v>
      </c>
      <c r="AD503" s="28">
        <f t="shared" si="114"/>
        <v>0.12361761534895452</v>
      </c>
      <c r="AE503" s="28">
        <f t="shared" si="114"/>
        <v>0.12390751402361132</v>
      </c>
      <c r="AF503" s="28">
        <f t="shared" si="114"/>
        <v>0.124216568981919</v>
      </c>
      <c r="AG503" s="28">
        <f t="shared" si="114"/>
        <v>0.12454825392776228</v>
      </c>
      <c r="AH503" s="28">
        <f t="shared" si="114"/>
        <v>0.12489074962992587</v>
      </c>
      <c r="AI503" s="28">
        <f t="shared" si="114"/>
        <v>0.12510306763085599</v>
      </c>
      <c r="AJ503" s="28">
        <f t="shared" si="114"/>
        <v>0.12533113023243647</v>
      </c>
      <c r="AK503" s="28">
        <f t="shared" si="114"/>
        <v>0.12557133698669695</v>
      </c>
      <c r="AL503" s="28">
        <f t="shared" si="114"/>
        <v>0.12582517550706146</v>
      </c>
      <c r="AM503" s="28">
        <f t="shared" si="114"/>
        <v>0.12609398884528009</v>
      </c>
      <c r="AN503" s="28">
        <f t="shared" si="114"/>
        <v>0.1262405614529527</v>
      </c>
      <c r="AO503" s="28">
        <f t="shared" si="114"/>
        <v>0.12639603328508198</v>
      </c>
      <c r="AP503" s="28">
        <f t="shared" si="114"/>
        <v>0.12656366751204504</v>
      </c>
      <c r="AQ503" s="28">
        <f t="shared" si="114"/>
        <v>0.1267431522652199</v>
      </c>
      <c r="AR503" s="28">
        <f t="shared" si="114"/>
        <v>0.12693676921797539</v>
      </c>
      <c r="AS503" s="28">
        <f t="shared" si="114"/>
        <v>0.12700439968731225</v>
      </c>
      <c r="AT503" s="28">
        <f t="shared" si="114"/>
        <v>0.12705704587884023</v>
      </c>
      <c r="AU503" s="28">
        <f t="shared" si="114"/>
        <v>0.12711737088614225</v>
      </c>
      <c r="AV503" s="28">
        <f t="shared" si="114"/>
        <v>0.12719016044588929</v>
      </c>
      <c r="AW503" s="28">
        <f t="shared" si="114"/>
        <v>0.12727030213262158</v>
      </c>
      <c r="AY503" s="85"/>
    </row>
    <row r="504" spans="1:51" x14ac:dyDescent="0.25">
      <c r="A504" s="102" t="str">
        <f t="shared" si="108"/>
        <v>PQ Horses MMN2O</v>
      </c>
      <c r="B504" s="102" t="s">
        <v>969</v>
      </c>
      <c r="C504" s="102" t="s">
        <v>1331</v>
      </c>
      <c r="D504" t="s">
        <v>15</v>
      </c>
      <c r="E504" t="s">
        <v>657</v>
      </c>
      <c r="F504" t="s">
        <v>20</v>
      </c>
      <c r="G504" t="s">
        <v>3</v>
      </c>
      <c r="H504" t="s">
        <v>1228</v>
      </c>
      <c r="I504" t="s">
        <v>139</v>
      </c>
      <c r="J504" t="s">
        <v>287</v>
      </c>
      <c r="K504" s="28" t="str">
        <f t="shared" si="110"/>
        <v>NO</v>
      </c>
      <c r="L504" s="28" t="str">
        <f t="shared" si="114"/>
        <v>NO</v>
      </c>
      <c r="M504" s="28" t="str">
        <f t="shared" si="114"/>
        <v>NO</v>
      </c>
      <c r="N504" s="28" t="str">
        <f t="shared" si="114"/>
        <v>NO</v>
      </c>
      <c r="O504" s="28" t="str">
        <f t="shared" si="114"/>
        <v>NO</v>
      </c>
      <c r="P504" s="28" t="str">
        <f t="shared" si="114"/>
        <v>NO</v>
      </c>
      <c r="Q504" s="28" t="str">
        <f t="shared" si="114"/>
        <v>NO</v>
      </c>
      <c r="R504" s="28" t="str">
        <f t="shared" si="114"/>
        <v>NO</v>
      </c>
      <c r="S504" s="28" t="str">
        <f t="shared" si="114"/>
        <v>NO</v>
      </c>
      <c r="T504" s="28" t="str">
        <f t="shared" si="114"/>
        <v>NO</v>
      </c>
      <c r="U504" s="28" t="str">
        <f t="shared" si="114"/>
        <v>NO</v>
      </c>
      <c r="V504" s="28" t="str">
        <f t="shared" si="114"/>
        <v>NO</v>
      </c>
      <c r="W504" s="28" t="str">
        <f t="shared" si="114"/>
        <v>NO</v>
      </c>
      <c r="X504" s="28" t="str">
        <f t="shared" si="114"/>
        <v>NO</v>
      </c>
      <c r="Y504" s="28" t="str">
        <f t="shared" si="114"/>
        <v>NO</v>
      </c>
      <c r="Z504" s="28" t="str">
        <f t="shared" si="114"/>
        <v>NO</v>
      </c>
      <c r="AA504" s="28" t="str">
        <f t="shared" si="114"/>
        <v>NO</v>
      </c>
      <c r="AB504" s="28" t="str">
        <f t="shared" si="114"/>
        <v>NO</v>
      </c>
      <c r="AC504" s="28" t="str">
        <f t="shared" si="114"/>
        <v>NO</v>
      </c>
      <c r="AD504" s="28" t="str">
        <f t="shared" si="114"/>
        <v>NO</v>
      </c>
      <c r="AE504" s="28" t="str">
        <f t="shared" si="114"/>
        <v>NO</v>
      </c>
      <c r="AF504" s="28" t="str">
        <f t="shared" si="114"/>
        <v>NO</v>
      </c>
      <c r="AG504" s="28" t="str">
        <f t="shared" si="114"/>
        <v>NO</v>
      </c>
      <c r="AH504" s="28" t="str">
        <f t="shared" si="114"/>
        <v>NO</v>
      </c>
      <c r="AI504" s="28" t="str">
        <f t="shared" si="114"/>
        <v>NO</v>
      </c>
      <c r="AJ504" s="28" t="str">
        <f t="shared" si="114"/>
        <v>NO</v>
      </c>
      <c r="AK504" s="28" t="str">
        <f t="shared" si="114"/>
        <v>NO</v>
      </c>
      <c r="AL504" s="28" t="str">
        <f t="shared" si="114"/>
        <v>NO</v>
      </c>
      <c r="AM504" s="28" t="str">
        <f t="shared" si="114"/>
        <v>NO</v>
      </c>
      <c r="AN504" s="28" t="str">
        <f t="shared" si="114"/>
        <v>NO</v>
      </c>
      <c r="AO504" s="28" t="str">
        <f t="shared" si="114"/>
        <v>NO</v>
      </c>
      <c r="AP504" s="28" t="str">
        <f t="shared" si="114"/>
        <v>NO</v>
      </c>
      <c r="AQ504" s="28" t="str">
        <f t="shared" si="114"/>
        <v>NO</v>
      </c>
      <c r="AR504" s="28" t="str">
        <f t="shared" si="114"/>
        <v>NO</v>
      </c>
      <c r="AS504" s="28" t="str">
        <f t="shared" si="114"/>
        <v>NO</v>
      </c>
      <c r="AT504" s="28" t="str">
        <f t="shared" si="114"/>
        <v>NO</v>
      </c>
      <c r="AU504" s="28" t="str">
        <f t="shared" si="114"/>
        <v>NO</v>
      </c>
      <c r="AV504" s="28" t="str">
        <f t="shared" si="114"/>
        <v>NO</v>
      </c>
      <c r="AW504" s="28" t="str">
        <f t="shared" si="114"/>
        <v>NO</v>
      </c>
      <c r="AY504" s="85"/>
    </row>
    <row r="505" spans="1:51" x14ac:dyDescent="0.25">
      <c r="A505" s="102" t="str">
        <f t="shared" si="108"/>
        <v>PQ Mules MMN2O</v>
      </c>
      <c r="B505" s="102" t="s">
        <v>969</v>
      </c>
      <c r="C505" s="102" t="s">
        <v>1332</v>
      </c>
      <c r="D505" t="s">
        <v>15</v>
      </c>
      <c r="E505" t="s">
        <v>657</v>
      </c>
      <c r="F505" t="s">
        <v>140</v>
      </c>
      <c r="G505" t="s">
        <v>124</v>
      </c>
      <c r="H505" t="s">
        <v>1228</v>
      </c>
      <c r="I505" t="s">
        <v>139</v>
      </c>
      <c r="J505" t="s">
        <v>287</v>
      </c>
      <c r="K505" s="28" t="str">
        <f t="shared" si="110"/>
        <v>NO</v>
      </c>
      <c r="L505" s="28" t="str">
        <f t="shared" si="114"/>
        <v>NO</v>
      </c>
      <c r="M505" s="28" t="str">
        <f t="shared" si="114"/>
        <v>NO</v>
      </c>
      <c r="N505" s="28" t="str">
        <f t="shared" si="114"/>
        <v>NO</v>
      </c>
      <c r="O505" s="28" t="str">
        <f t="shared" si="114"/>
        <v>NO</v>
      </c>
      <c r="P505" s="28" t="str">
        <f t="shared" si="114"/>
        <v>NO</v>
      </c>
      <c r="Q505" s="28" t="str">
        <f t="shared" si="114"/>
        <v>NO</v>
      </c>
      <c r="R505" s="28" t="str">
        <f t="shared" si="114"/>
        <v>NO</v>
      </c>
      <c r="S505" s="28" t="str">
        <f t="shared" si="114"/>
        <v>NO</v>
      </c>
      <c r="T505" s="28" t="str">
        <f t="shared" si="114"/>
        <v>NO</v>
      </c>
      <c r="U505" s="28" t="str">
        <f t="shared" si="114"/>
        <v>NO</v>
      </c>
      <c r="V505" s="28" t="str">
        <f t="shared" si="114"/>
        <v>NO</v>
      </c>
      <c r="W505" s="28" t="str">
        <f t="shared" si="114"/>
        <v>NO</v>
      </c>
      <c r="X505" s="28" t="str">
        <f t="shared" si="114"/>
        <v>NO</v>
      </c>
      <c r="Y505" s="28" t="str">
        <f t="shared" si="114"/>
        <v>NO</v>
      </c>
      <c r="Z505" s="28" t="str">
        <f t="shared" si="114"/>
        <v>NO</v>
      </c>
      <c r="AA505" s="28" t="str">
        <f t="shared" si="114"/>
        <v>NO</v>
      </c>
      <c r="AB505" s="28" t="str">
        <f t="shared" si="114"/>
        <v>NO</v>
      </c>
      <c r="AC505" s="28" t="str">
        <f t="shared" si="114"/>
        <v>NO</v>
      </c>
      <c r="AD505" s="28" t="str">
        <f t="shared" si="114"/>
        <v>NO</v>
      </c>
      <c r="AE505" s="28" t="str">
        <f t="shared" si="114"/>
        <v>NO</v>
      </c>
      <c r="AF505" s="28" t="str">
        <f t="shared" si="114"/>
        <v>NO</v>
      </c>
      <c r="AG505" s="28" t="str">
        <f t="shared" si="114"/>
        <v>NO</v>
      </c>
      <c r="AH505" s="28" t="str">
        <f t="shared" si="114"/>
        <v>NO</v>
      </c>
      <c r="AI505" s="28" t="str">
        <f t="shared" si="114"/>
        <v>NO</v>
      </c>
      <c r="AJ505" s="28" t="str">
        <f t="shared" si="114"/>
        <v>NO</v>
      </c>
      <c r="AK505" s="28" t="str">
        <f t="shared" si="114"/>
        <v>NO</v>
      </c>
      <c r="AL505" s="28" t="str">
        <f t="shared" si="114"/>
        <v>NO</v>
      </c>
      <c r="AM505" s="28" t="str">
        <f t="shared" si="114"/>
        <v>NO</v>
      </c>
      <c r="AN505" s="28" t="str">
        <f t="shared" si="114"/>
        <v>NO</v>
      </c>
      <c r="AO505" s="28" t="str">
        <f t="shared" si="114"/>
        <v>NO</v>
      </c>
      <c r="AP505" s="28" t="str">
        <f t="shared" si="114"/>
        <v>NO</v>
      </c>
      <c r="AQ505" s="28" t="str">
        <f t="shared" si="114"/>
        <v>NO</v>
      </c>
      <c r="AR505" s="28" t="str">
        <f t="shared" si="114"/>
        <v>NO</v>
      </c>
      <c r="AS505" s="28" t="str">
        <f t="shared" si="114"/>
        <v>NO</v>
      </c>
      <c r="AT505" s="28" t="str">
        <f t="shared" si="114"/>
        <v>NO</v>
      </c>
      <c r="AU505" s="28" t="str">
        <f t="shared" si="114"/>
        <v>NO</v>
      </c>
      <c r="AV505" s="28" t="str">
        <f t="shared" ref="L505:AW511" si="115">AV1422</f>
        <v>NO</v>
      </c>
      <c r="AW505" s="28" t="str">
        <f t="shared" si="115"/>
        <v>NO</v>
      </c>
      <c r="AY505" s="85"/>
    </row>
    <row r="506" spans="1:51" x14ac:dyDescent="0.25">
      <c r="A506" s="102" t="str">
        <f t="shared" si="108"/>
        <v>PQ Swine MMN2O</v>
      </c>
      <c r="B506" s="102" t="s">
        <v>969</v>
      </c>
      <c r="C506" s="102" t="s">
        <v>1234</v>
      </c>
      <c r="D506" t="s">
        <v>15</v>
      </c>
      <c r="E506" t="s">
        <v>657</v>
      </c>
      <c r="F506" t="s">
        <v>21</v>
      </c>
      <c r="G506" t="s">
        <v>122</v>
      </c>
      <c r="H506" t="s">
        <v>1228</v>
      </c>
      <c r="I506" t="s">
        <v>139</v>
      </c>
      <c r="J506" t="s">
        <v>287</v>
      </c>
      <c r="K506" s="28">
        <f t="shared" si="110"/>
        <v>9.7855003322124628E-2</v>
      </c>
      <c r="L506" s="28">
        <f t="shared" si="115"/>
        <v>9.768205595551481E-2</v>
      </c>
      <c r="M506" s="28">
        <f t="shared" si="115"/>
        <v>9.7134008511937764E-2</v>
      </c>
      <c r="N506" s="28">
        <f t="shared" si="115"/>
        <v>9.4990622413168677E-2</v>
      </c>
      <c r="O506" s="28">
        <f t="shared" si="115"/>
        <v>9.2963704380958218E-2</v>
      </c>
      <c r="P506" s="28">
        <f t="shared" si="115"/>
        <v>9.2636555494494649E-2</v>
      </c>
      <c r="Q506" s="28">
        <f t="shared" si="115"/>
        <v>9.1842396693378264E-2</v>
      </c>
      <c r="R506" s="28">
        <f t="shared" si="115"/>
        <v>8.9396441883992581E-2</v>
      </c>
      <c r="S506" s="28">
        <f t="shared" si="115"/>
        <v>7.973748994684815E-2</v>
      </c>
      <c r="T506" s="28">
        <f t="shared" si="115"/>
        <v>8.1452692189288772E-2</v>
      </c>
      <c r="U506" s="28">
        <f t="shared" si="115"/>
        <v>8.2242511804273E-2</v>
      </c>
      <c r="V506" s="28">
        <f t="shared" si="115"/>
        <v>8.2817744096224652E-2</v>
      </c>
      <c r="W506" s="28">
        <f t="shared" si="115"/>
        <v>8.3700880663628088E-2</v>
      </c>
      <c r="X506" s="28">
        <f t="shared" si="115"/>
        <v>8.5662060351678962E-2</v>
      </c>
      <c r="Y506" s="28">
        <f t="shared" si="115"/>
        <v>8.7869258828121299E-2</v>
      </c>
      <c r="Z506" s="28">
        <f t="shared" si="115"/>
        <v>9.0298087380543637E-2</v>
      </c>
      <c r="AA506" s="28">
        <f t="shared" si="115"/>
        <v>9.2240276380797723E-2</v>
      </c>
      <c r="AB506" s="28">
        <f t="shared" si="115"/>
        <v>9.4619108619267742E-2</v>
      </c>
      <c r="AC506" s="28">
        <f t="shared" si="115"/>
        <v>9.7530252215833863E-2</v>
      </c>
      <c r="AD506" s="28">
        <f t="shared" si="115"/>
        <v>0.10028578808595486</v>
      </c>
      <c r="AE506" s="28">
        <f t="shared" si="115"/>
        <v>0.10315369284356883</v>
      </c>
      <c r="AF506" s="28">
        <f t="shared" si="115"/>
        <v>0.10603841363071233</v>
      </c>
      <c r="AG506" s="28">
        <f t="shared" si="115"/>
        <v>0.10932837219720498</v>
      </c>
      <c r="AH506" s="28">
        <f t="shared" si="115"/>
        <v>0.11199564217103479</v>
      </c>
      <c r="AI506" s="28">
        <f t="shared" si="115"/>
        <v>0.11485371208683526</v>
      </c>
      <c r="AJ506" s="28">
        <f t="shared" si="115"/>
        <v>0.11771232198590084</v>
      </c>
      <c r="AK506" s="28">
        <f t="shared" si="115"/>
        <v>0.12030678115486812</v>
      </c>
      <c r="AL506" s="28">
        <f t="shared" si="115"/>
        <v>0.12282077145121797</v>
      </c>
      <c r="AM506" s="28">
        <f t="shared" si="115"/>
        <v>0.12541265580814645</v>
      </c>
      <c r="AN506" s="28">
        <f t="shared" si="115"/>
        <v>0.12815280796716533</v>
      </c>
      <c r="AO506" s="28">
        <f t="shared" si="115"/>
        <v>0.13056194972752197</v>
      </c>
      <c r="AP506" s="28">
        <f t="shared" si="115"/>
        <v>0.13295353804447049</v>
      </c>
      <c r="AQ506" s="28">
        <f t="shared" si="115"/>
        <v>0.13533393181533376</v>
      </c>
      <c r="AR506" s="28">
        <f t="shared" si="115"/>
        <v>0.1379132972636212</v>
      </c>
      <c r="AS506" s="28">
        <f t="shared" si="115"/>
        <v>0.14053008195021952</v>
      </c>
      <c r="AT506" s="28">
        <f t="shared" si="115"/>
        <v>0.14114192425764652</v>
      </c>
      <c r="AU506" s="28">
        <f t="shared" si="115"/>
        <v>0.14158544392848668</v>
      </c>
      <c r="AV506" s="28">
        <f t="shared" si="115"/>
        <v>0.14225126627613405</v>
      </c>
      <c r="AW506" s="28">
        <f t="shared" si="115"/>
        <v>0.14277114135536023</v>
      </c>
      <c r="AY506" s="85"/>
    </row>
    <row r="507" spans="1:51" x14ac:dyDescent="0.25">
      <c r="A507" s="102" t="str">
        <f t="shared" si="108"/>
        <v>PQ Swine MMN2O</v>
      </c>
      <c r="B507" s="102" t="s">
        <v>969</v>
      </c>
      <c r="C507" s="102" t="s">
        <v>1234</v>
      </c>
      <c r="D507" t="s">
        <v>15</v>
      </c>
      <c r="E507" t="s">
        <v>657</v>
      </c>
      <c r="F507" t="s">
        <v>21</v>
      </c>
      <c r="G507" t="s">
        <v>123</v>
      </c>
      <c r="H507" t="s">
        <v>1228</v>
      </c>
      <c r="I507" t="s">
        <v>139</v>
      </c>
      <c r="J507" t="s">
        <v>287</v>
      </c>
      <c r="K507" s="28">
        <f t="shared" si="110"/>
        <v>3.8282858549039588E-2</v>
      </c>
      <c r="L507" s="28">
        <f t="shared" si="115"/>
        <v>3.8215198037593316E-2</v>
      </c>
      <c r="M507" s="28">
        <f t="shared" si="115"/>
        <v>3.8000790781466037E-2</v>
      </c>
      <c r="N507" s="28">
        <f t="shared" si="115"/>
        <v>3.7162254742945426E-2</v>
      </c>
      <c r="O507" s="28">
        <f t="shared" si="115"/>
        <v>3.6369283370166726E-2</v>
      </c>
      <c r="P507" s="28">
        <f t="shared" si="115"/>
        <v>3.6241296102068297E-2</v>
      </c>
      <c r="Q507" s="28">
        <f t="shared" si="115"/>
        <v>3.5930605099907358E-2</v>
      </c>
      <c r="R507" s="28">
        <f t="shared" si="115"/>
        <v>3.497369805574925E-2</v>
      </c>
      <c r="S507" s="28">
        <f t="shared" si="115"/>
        <v>3.1194920495194334E-2</v>
      </c>
      <c r="T507" s="28">
        <f t="shared" si="115"/>
        <v>3.1865942339771837E-2</v>
      </c>
      <c r="U507" s="28">
        <f t="shared" si="115"/>
        <v>3.21749357644633E-2</v>
      </c>
      <c r="V507" s="28">
        <f t="shared" si="115"/>
        <v>3.2399978283680568E-2</v>
      </c>
      <c r="W507" s="28">
        <f t="shared" si="115"/>
        <v>3.2745479189526895E-2</v>
      </c>
      <c r="X507" s="28">
        <f t="shared" si="115"/>
        <v>3.3512732391080123E-2</v>
      </c>
      <c r="Y507" s="28">
        <f t="shared" si="115"/>
        <v>3.4376233123742127E-2</v>
      </c>
      <c r="Z507" s="28">
        <f t="shared" si="115"/>
        <v>3.5326440029424484E-2</v>
      </c>
      <c r="AA507" s="28">
        <f t="shared" si="115"/>
        <v>3.6086263689411195E-2</v>
      </c>
      <c r="AB507" s="28">
        <f t="shared" si="115"/>
        <v>3.7016911024810674E-2</v>
      </c>
      <c r="AC507" s="28">
        <f t="shared" si="115"/>
        <v>3.8155809341092126E-2</v>
      </c>
      <c r="AD507" s="28">
        <f t="shared" si="115"/>
        <v>3.9233830764231724E-2</v>
      </c>
      <c r="AE507" s="28">
        <f t="shared" si="115"/>
        <v>4.0355813171267518E-2</v>
      </c>
      <c r="AF507" s="28">
        <f t="shared" si="115"/>
        <v>4.1484374349525836E-2</v>
      </c>
      <c r="AG507" s="28">
        <f t="shared" si="115"/>
        <v>4.2771472751828604E-2</v>
      </c>
      <c r="AH507" s="28">
        <f t="shared" si="115"/>
        <v>4.3814962769238276E-2</v>
      </c>
      <c r="AI507" s="28">
        <f t="shared" si="115"/>
        <v>4.4933097587032685E-2</v>
      </c>
      <c r="AJ507" s="28">
        <f t="shared" si="115"/>
        <v>4.605144365721333E-2</v>
      </c>
      <c r="AK507" s="28">
        <f t="shared" si="115"/>
        <v>4.7066448613575902E-2</v>
      </c>
      <c r="AL507" s="28">
        <f t="shared" si="115"/>
        <v>4.8049972517734428E-2</v>
      </c>
      <c r="AM507" s="28">
        <f t="shared" si="115"/>
        <v>4.906397015549574E-2</v>
      </c>
      <c r="AN507" s="28">
        <f t="shared" si="115"/>
        <v>5.0135973159381467E-2</v>
      </c>
      <c r="AO507" s="28">
        <f t="shared" si="115"/>
        <v>5.1078478193413449E-2</v>
      </c>
      <c r="AP507" s="28">
        <f t="shared" si="115"/>
        <v>5.2014115964983336E-2</v>
      </c>
      <c r="AQ507" s="28">
        <f t="shared" si="115"/>
        <v>5.2945374203471063E-2</v>
      </c>
      <c r="AR507" s="28">
        <f t="shared" si="115"/>
        <v>5.395447419070433E-2</v>
      </c>
      <c r="AS507" s="28">
        <f t="shared" si="115"/>
        <v>5.4978213341584196E-2</v>
      </c>
      <c r="AT507" s="28">
        <f t="shared" si="115"/>
        <v>5.5217578440090585E-2</v>
      </c>
      <c r="AU507" s="28">
        <f t="shared" si="115"/>
        <v>5.5391092315171642E-2</v>
      </c>
      <c r="AV507" s="28">
        <f t="shared" si="115"/>
        <v>5.5651575498334646E-2</v>
      </c>
      <c r="AW507" s="28">
        <f t="shared" si="115"/>
        <v>5.5854961155128016E-2</v>
      </c>
      <c r="AY507" s="85"/>
    </row>
    <row r="508" spans="1:51" x14ac:dyDescent="0.25">
      <c r="A508" s="102" t="str">
        <f t="shared" si="108"/>
        <v>PQ Poultry MMN2O</v>
      </c>
      <c r="B508" s="102" t="s">
        <v>969</v>
      </c>
      <c r="C508" s="102" t="s">
        <v>1235</v>
      </c>
      <c r="D508" t="s">
        <v>15</v>
      </c>
      <c r="E508" t="s">
        <v>657</v>
      </c>
      <c r="F508" t="s">
        <v>28</v>
      </c>
      <c r="G508" t="s">
        <v>131</v>
      </c>
      <c r="H508" t="s">
        <v>1228</v>
      </c>
      <c r="I508" t="s">
        <v>139</v>
      </c>
      <c r="J508" t="s">
        <v>287</v>
      </c>
      <c r="K508" s="28">
        <f t="shared" si="110"/>
        <v>0.32879130142743862</v>
      </c>
      <c r="L508" s="28">
        <f t="shared" si="115"/>
        <v>0.33618147320266517</v>
      </c>
      <c r="M508" s="28">
        <f t="shared" si="115"/>
        <v>0.34286580262317662</v>
      </c>
      <c r="N508" s="28">
        <f t="shared" si="115"/>
        <v>0.34631663130525719</v>
      </c>
      <c r="O508" s="28">
        <f t="shared" si="115"/>
        <v>0.34986259378047058</v>
      </c>
      <c r="P508" s="28">
        <f t="shared" si="115"/>
        <v>0.35692259519801384</v>
      </c>
      <c r="Q508" s="28">
        <f t="shared" si="115"/>
        <v>0.36295954497520366</v>
      </c>
      <c r="R508" s="28">
        <f t="shared" si="115"/>
        <v>0.36525102127555931</v>
      </c>
      <c r="S508" s="28">
        <f t="shared" si="115"/>
        <v>0.35074524152454095</v>
      </c>
      <c r="T508" s="28">
        <f t="shared" si="115"/>
        <v>0.36118344194798235</v>
      </c>
      <c r="U508" s="28">
        <f t="shared" si="115"/>
        <v>0.36961966083970876</v>
      </c>
      <c r="V508" s="28">
        <f t="shared" si="115"/>
        <v>0.37765888442551321</v>
      </c>
      <c r="W508" s="28">
        <f t="shared" si="115"/>
        <v>0.38658550533232433</v>
      </c>
      <c r="X508" s="28">
        <f t="shared" si="115"/>
        <v>0.39843478474254634</v>
      </c>
      <c r="Y508" s="28">
        <f t="shared" si="115"/>
        <v>0.41088019341175391</v>
      </c>
      <c r="Z508" s="28">
        <f t="shared" si="115"/>
        <v>0.42422078606736746</v>
      </c>
      <c r="AA508" s="28">
        <f t="shared" si="115"/>
        <v>0.4365608627490552</v>
      </c>
      <c r="AB508" s="28">
        <f t="shared" si="115"/>
        <v>0.45040527564099359</v>
      </c>
      <c r="AC508" s="28">
        <f t="shared" si="115"/>
        <v>0.46610821416360254</v>
      </c>
      <c r="AD508" s="28">
        <f t="shared" si="115"/>
        <v>0.48149963825345377</v>
      </c>
      <c r="AE508" s="28">
        <f t="shared" si="115"/>
        <v>0.49761952403274901</v>
      </c>
      <c r="AF508" s="28">
        <f t="shared" si="115"/>
        <v>0.51420726915291115</v>
      </c>
      <c r="AG508" s="28">
        <f t="shared" si="115"/>
        <v>0.53247410489136104</v>
      </c>
      <c r="AH508" s="28">
        <f t="shared" si="115"/>
        <v>0.5492684403625786</v>
      </c>
      <c r="AI508" s="28">
        <f t="shared" si="115"/>
        <v>0.56683832060292816</v>
      </c>
      <c r="AJ508" s="28">
        <f t="shared" si="115"/>
        <v>0.584861650511455</v>
      </c>
      <c r="AK508" s="28">
        <f t="shared" si="115"/>
        <v>0.60246746038216259</v>
      </c>
      <c r="AL508" s="28">
        <f t="shared" si="115"/>
        <v>0.62024062021411375</v>
      </c>
      <c r="AM508" s="28">
        <f t="shared" si="115"/>
        <v>0.63872476172334525</v>
      </c>
      <c r="AN508" s="28">
        <f t="shared" si="115"/>
        <v>0.65794922439522119</v>
      </c>
      <c r="AO508" s="28">
        <f t="shared" si="115"/>
        <v>0.67647629594315495</v>
      </c>
      <c r="AP508" s="28">
        <f t="shared" si="115"/>
        <v>0.69539916939277291</v>
      </c>
      <c r="AQ508" s="28">
        <f t="shared" si="115"/>
        <v>0.71475050403818352</v>
      </c>
      <c r="AR508" s="28">
        <f t="shared" si="115"/>
        <v>0.73533889699431976</v>
      </c>
      <c r="AS508" s="28">
        <f t="shared" si="115"/>
        <v>0.75634294211031738</v>
      </c>
      <c r="AT508" s="28">
        <f t="shared" si="115"/>
        <v>0.76999066398321547</v>
      </c>
      <c r="AU508" s="28">
        <f t="shared" si="115"/>
        <v>0.78322712569021657</v>
      </c>
      <c r="AV508" s="28">
        <f t="shared" si="115"/>
        <v>0.79761951278112875</v>
      </c>
      <c r="AW508" s="28">
        <f t="shared" si="115"/>
        <v>0.8116941649813233</v>
      </c>
      <c r="AY508" s="85"/>
    </row>
    <row r="509" spans="1:51" x14ac:dyDescent="0.25">
      <c r="A509" s="102" t="str">
        <f t="shared" si="108"/>
        <v>PQ Poultry MMN2O</v>
      </c>
      <c r="B509" s="102" t="s">
        <v>969</v>
      </c>
      <c r="C509" s="102" t="s">
        <v>1235</v>
      </c>
      <c r="D509" t="s">
        <v>15</v>
      </c>
      <c r="E509" t="s">
        <v>657</v>
      </c>
      <c r="F509" t="s">
        <v>28</v>
      </c>
      <c r="G509" t="s">
        <v>132</v>
      </c>
      <c r="H509" t="s">
        <v>1228</v>
      </c>
      <c r="I509" t="s">
        <v>139</v>
      </c>
      <c r="J509" t="s">
        <v>287</v>
      </c>
      <c r="K509" s="28">
        <f t="shared" si="110"/>
        <v>1.7130795703114865</v>
      </c>
      <c r="L509" s="28">
        <f t="shared" si="115"/>
        <v>1.7448742149951937</v>
      </c>
      <c r="M509" s="28">
        <f t="shared" si="115"/>
        <v>1.7656986639980343</v>
      </c>
      <c r="N509" s="28">
        <f t="shared" si="115"/>
        <v>1.7427941986174933</v>
      </c>
      <c r="O509" s="28">
        <f t="shared" si="115"/>
        <v>1.7205815318546955</v>
      </c>
      <c r="P509" s="28">
        <f t="shared" si="115"/>
        <v>1.7425923100139877</v>
      </c>
      <c r="Q509" s="28">
        <f t="shared" si="115"/>
        <v>1.7510736876348556</v>
      </c>
      <c r="R509" s="28">
        <f t="shared" si="115"/>
        <v>1.7121897293862536</v>
      </c>
      <c r="S509" s="28">
        <f t="shared" si="115"/>
        <v>1.4655218906646825</v>
      </c>
      <c r="T509" s="28">
        <f t="shared" si="115"/>
        <v>1.5438535261882376</v>
      </c>
      <c r="U509" s="28">
        <f t="shared" si="115"/>
        <v>1.5962945286475767</v>
      </c>
      <c r="V509" s="28">
        <f t="shared" si="115"/>
        <v>1.642907889886944</v>
      </c>
      <c r="W509" s="28">
        <f t="shared" si="115"/>
        <v>1.6991978110377575</v>
      </c>
      <c r="X509" s="28">
        <f t="shared" si="115"/>
        <v>1.7890350626064766</v>
      </c>
      <c r="Y509" s="28">
        <f t="shared" si="115"/>
        <v>1.8895080919073246</v>
      </c>
      <c r="Z509" s="28">
        <f t="shared" si="115"/>
        <v>1.9987693788658938</v>
      </c>
      <c r="AA509" s="28">
        <f t="shared" si="115"/>
        <v>2.0947103415895203</v>
      </c>
      <c r="AB509" s="28">
        <f t="shared" si="115"/>
        <v>2.2064115736901493</v>
      </c>
      <c r="AC509" s="28">
        <f t="shared" si="115"/>
        <v>2.3375745911599179</v>
      </c>
      <c r="AD509" s="28">
        <f t="shared" si="115"/>
        <v>2.4674301417551581</v>
      </c>
      <c r="AE509" s="28">
        <f t="shared" si="115"/>
        <v>2.6036408947859315</v>
      </c>
      <c r="AF509" s="28">
        <f t="shared" si="115"/>
        <v>2.7431932989553216</v>
      </c>
      <c r="AG509" s="28">
        <f t="shared" si="115"/>
        <v>2.8994590521514279</v>
      </c>
      <c r="AH509" s="28">
        <f t="shared" si="115"/>
        <v>3.037455952913116</v>
      </c>
      <c r="AI509" s="28">
        <f t="shared" si="115"/>
        <v>3.1860329911149803</v>
      </c>
      <c r="AJ509" s="28">
        <f t="shared" si="115"/>
        <v>3.3377024540250857</v>
      </c>
      <c r="AK509" s="28">
        <f t="shared" si="115"/>
        <v>3.4830302875985271</v>
      </c>
      <c r="AL509" s="28">
        <f t="shared" si="115"/>
        <v>3.6284282503451957</v>
      </c>
      <c r="AM509" s="28">
        <f t="shared" si="115"/>
        <v>3.7797085645009982</v>
      </c>
      <c r="AN509" s="28">
        <f t="shared" si="115"/>
        <v>3.9406773028531807</v>
      </c>
      <c r="AO509" s="28">
        <f t="shared" si="115"/>
        <v>4.09252605936598</v>
      </c>
      <c r="AP509" s="28">
        <f t="shared" si="115"/>
        <v>4.2468797909937708</v>
      </c>
      <c r="AQ509" s="28">
        <f t="shared" si="115"/>
        <v>4.4040525088231126</v>
      </c>
      <c r="AR509" s="28">
        <f t="shared" si="115"/>
        <v>4.5723846640377745</v>
      </c>
      <c r="AS509" s="28">
        <f t="shared" si="115"/>
        <v>4.746828077621343</v>
      </c>
      <c r="AT509" s="28">
        <f t="shared" si="115"/>
        <v>4.8441966867749811</v>
      </c>
      <c r="AU509" s="28">
        <f t="shared" si="115"/>
        <v>4.9364837725054729</v>
      </c>
      <c r="AV509" s="28">
        <f t="shared" si="115"/>
        <v>5.0396527637872595</v>
      </c>
      <c r="AW509" s="28">
        <f t="shared" si="115"/>
        <v>5.1386857535726884</v>
      </c>
      <c r="AY509" s="85"/>
    </row>
    <row r="510" spans="1:51" x14ac:dyDescent="0.25">
      <c r="A510" s="102" t="str">
        <f t="shared" si="108"/>
        <v>PQ Poultry MMN2O</v>
      </c>
      <c r="B510" s="102" t="s">
        <v>969</v>
      </c>
      <c r="C510" s="102" t="s">
        <v>1235</v>
      </c>
      <c r="D510" t="s">
        <v>15</v>
      </c>
      <c r="E510" t="s">
        <v>657</v>
      </c>
      <c r="F510" t="s">
        <v>28</v>
      </c>
      <c r="G510" t="s">
        <v>134</v>
      </c>
      <c r="H510" t="s">
        <v>1228</v>
      </c>
      <c r="I510" t="s">
        <v>139</v>
      </c>
      <c r="J510" t="s">
        <v>287</v>
      </c>
      <c r="K510" s="28">
        <f t="shared" si="110"/>
        <v>1.3699637559476618E-2</v>
      </c>
      <c r="L510" s="28">
        <f t="shared" si="115"/>
        <v>1.4007561383444394E-2</v>
      </c>
      <c r="M510" s="28">
        <f t="shared" si="115"/>
        <v>1.4286075109299039E-2</v>
      </c>
      <c r="N510" s="28">
        <f t="shared" si="115"/>
        <v>1.4429859637719061E-2</v>
      </c>
      <c r="O510" s="28">
        <f t="shared" si="115"/>
        <v>1.4577608074186288E-2</v>
      </c>
      <c r="P510" s="28">
        <f t="shared" si="115"/>
        <v>1.4871774799917255E-2</v>
      </c>
      <c r="Q510" s="28">
        <f t="shared" si="115"/>
        <v>1.5123314373966834E-2</v>
      </c>
      <c r="R510" s="28">
        <f t="shared" si="115"/>
        <v>1.5218792553148319E-2</v>
      </c>
      <c r="S510" s="28">
        <f t="shared" si="115"/>
        <v>1.4614385063522554E-2</v>
      </c>
      <c r="T510" s="28">
        <f t="shared" si="115"/>
        <v>1.5049310081165945E-2</v>
      </c>
      <c r="U510" s="28">
        <f t="shared" si="115"/>
        <v>1.5400819201654545E-2</v>
      </c>
      <c r="V510" s="28">
        <f t="shared" si="115"/>
        <v>1.5735786851063062E-2</v>
      </c>
      <c r="W510" s="28">
        <f t="shared" si="115"/>
        <v>1.6107729388846862E-2</v>
      </c>
      <c r="X510" s="28">
        <f t="shared" si="115"/>
        <v>1.6601449364272783E-2</v>
      </c>
      <c r="Y510" s="28">
        <f t="shared" si="115"/>
        <v>1.7120008058823098E-2</v>
      </c>
      <c r="Z510" s="28">
        <f t="shared" si="115"/>
        <v>1.7675866086140329E-2</v>
      </c>
      <c r="AA510" s="28">
        <f t="shared" si="115"/>
        <v>1.8190035947877312E-2</v>
      </c>
      <c r="AB510" s="28">
        <f t="shared" si="115"/>
        <v>1.8766886485041417E-2</v>
      </c>
      <c r="AC510" s="28">
        <f t="shared" si="115"/>
        <v>1.9421175590150126E-2</v>
      </c>
      <c r="AD510" s="28">
        <f t="shared" si="115"/>
        <v>2.0062484927227259E-2</v>
      </c>
      <c r="AE510" s="28">
        <f t="shared" si="115"/>
        <v>2.0734146834697896E-2</v>
      </c>
      <c r="AF510" s="28">
        <f t="shared" si="115"/>
        <v>2.1425302881371316E-2</v>
      </c>
      <c r="AG510" s="28">
        <f t="shared" si="115"/>
        <v>2.2186421037140063E-2</v>
      </c>
      <c r="AH510" s="28">
        <f t="shared" si="115"/>
        <v>2.2886185015107467E-2</v>
      </c>
      <c r="AI510" s="28">
        <f t="shared" si="115"/>
        <v>2.3618263358455356E-2</v>
      </c>
      <c r="AJ510" s="28">
        <f t="shared" si="115"/>
        <v>2.436923543797731E-2</v>
      </c>
      <c r="AK510" s="28">
        <f t="shared" si="115"/>
        <v>2.5102810849256797E-2</v>
      </c>
      <c r="AL510" s="28">
        <f t="shared" si="115"/>
        <v>2.5843359175588099E-2</v>
      </c>
      <c r="AM510" s="28">
        <f t="shared" si="115"/>
        <v>2.6613531738472741E-2</v>
      </c>
      <c r="AN510" s="28">
        <f t="shared" si="115"/>
        <v>2.7414551016467576E-2</v>
      </c>
      <c r="AO510" s="28">
        <f t="shared" si="115"/>
        <v>2.8186512330964811E-2</v>
      </c>
      <c r="AP510" s="28">
        <f t="shared" si="115"/>
        <v>2.8974965391365567E-2</v>
      </c>
      <c r="AQ510" s="28">
        <f t="shared" si="115"/>
        <v>2.978127100159101E-2</v>
      </c>
      <c r="AR510" s="28">
        <f t="shared" si="115"/>
        <v>3.0639120708096691E-2</v>
      </c>
      <c r="AS510" s="28">
        <f t="shared" si="115"/>
        <v>3.1514289254596581E-2</v>
      </c>
      <c r="AT510" s="28">
        <f t="shared" si="115"/>
        <v>3.2082944332634006E-2</v>
      </c>
      <c r="AU510" s="28">
        <f t="shared" si="115"/>
        <v>3.2634463570425723E-2</v>
      </c>
      <c r="AV510" s="28">
        <f t="shared" si="115"/>
        <v>3.3234146365880395E-2</v>
      </c>
      <c r="AW510" s="28">
        <f t="shared" si="115"/>
        <v>3.3820590207555172E-2</v>
      </c>
      <c r="AY510" s="85"/>
    </row>
    <row r="511" spans="1:51" x14ac:dyDescent="0.25">
      <c r="A511" s="102" t="str">
        <f t="shared" si="108"/>
        <v>PQ Poultry MMN2O</v>
      </c>
      <c r="B511" s="102" t="s">
        <v>969</v>
      </c>
      <c r="C511" s="102" t="s">
        <v>1235</v>
      </c>
      <c r="D511" t="s">
        <v>15</v>
      </c>
      <c r="E511" t="s">
        <v>657</v>
      </c>
      <c r="F511" t="s">
        <v>28</v>
      </c>
      <c r="G511" t="s">
        <v>133</v>
      </c>
      <c r="H511" t="s">
        <v>1228</v>
      </c>
      <c r="I511" t="s">
        <v>139</v>
      </c>
      <c r="J511" t="s">
        <v>287</v>
      </c>
      <c r="K511" s="28">
        <f t="shared" si="110"/>
        <v>7.1378315429645331E-2</v>
      </c>
      <c r="L511" s="28">
        <f t="shared" si="115"/>
        <v>7.2703092291466473E-2</v>
      </c>
      <c r="M511" s="28">
        <f t="shared" si="115"/>
        <v>7.3570777666584833E-2</v>
      </c>
      <c r="N511" s="28">
        <f t="shared" si="115"/>
        <v>7.2616424942395619E-2</v>
      </c>
      <c r="O511" s="28">
        <f t="shared" si="115"/>
        <v>7.1690897160612388E-2</v>
      </c>
      <c r="P511" s="28">
        <f t="shared" si="115"/>
        <v>7.2608012917249581E-2</v>
      </c>
      <c r="Q511" s="28">
        <f t="shared" si="115"/>
        <v>7.2961403651452372E-2</v>
      </c>
      <c r="R511" s="28">
        <f t="shared" si="115"/>
        <v>7.1341238724427325E-2</v>
      </c>
      <c r="S511" s="28">
        <f t="shared" si="115"/>
        <v>6.1063412111028503E-2</v>
      </c>
      <c r="T511" s="28">
        <f t="shared" si="115"/>
        <v>6.4327230257843288E-2</v>
      </c>
      <c r="U511" s="28">
        <f t="shared" si="115"/>
        <v>6.6512272026982414E-2</v>
      </c>
      <c r="V511" s="28">
        <f t="shared" si="115"/>
        <v>6.8454495411956071E-2</v>
      </c>
      <c r="W511" s="28">
        <f t="shared" si="115"/>
        <v>7.0799908793239955E-2</v>
      </c>
      <c r="X511" s="28">
        <f t="shared" si="115"/>
        <v>7.4543127608603252E-2</v>
      </c>
      <c r="Y511" s="28">
        <f t="shared" si="115"/>
        <v>7.8729503829471928E-2</v>
      </c>
      <c r="Z511" s="28">
        <f t="shared" si="115"/>
        <v>8.3282057452745667E-2</v>
      </c>
      <c r="AA511" s="28">
        <f t="shared" si="115"/>
        <v>8.7279597566230077E-2</v>
      </c>
      <c r="AB511" s="28">
        <f t="shared" si="115"/>
        <v>9.1933815570422989E-2</v>
      </c>
      <c r="AC511" s="28">
        <f t="shared" si="115"/>
        <v>9.7398941298330002E-2</v>
      </c>
      <c r="AD511" s="28">
        <f t="shared" si="115"/>
        <v>0.10280958923979837</v>
      </c>
      <c r="AE511" s="28">
        <f t="shared" si="115"/>
        <v>0.10848503728274725</v>
      </c>
      <c r="AF511" s="28">
        <f t="shared" si="115"/>
        <v>0.11429972078980519</v>
      </c>
      <c r="AG511" s="28">
        <f t="shared" si="115"/>
        <v>0.12081079383964298</v>
      </c>
      <c r="AH511" s="28">
        <f t="shared" si="115"/>
        <v>0.12656066470471328</v>
      </c>
      <c r="AI511" s="28">
        <f t="shared" si="115"/>
        <v>0.13275137462979095</v>
      </c>
      <c r="AJ511" s="28">
        <f t="shared" si="115"/>
        <v>0.13907093558437875</v>
      </c>
      <c r="AK511" s="28">
        <f t="shared" si="115"/>
        <v>0.14512626198327211</v>
      </c>
      <c r="AL511" s="28">
        <f t="shared" si="115"/>
        <v>0.15118451043105</v>
      </c>
      <c r="AM511" s="28">
        <f t="shared" si="115"/>
        <v>0.15748785685420838</v>
      </c>
      <c r="AN511" s="28">
        <f t="shared" si="115"/>
        <v>0.16419488761888268</v>
      </c>
      <c r="AO511" s="28">
        <f t="shared" si="115"/>
        <v>0.17052191914024933</v>
      </c>
      <c r="AP511" s="28">
        <f t="shared" si="115"/>
        <v>0.17695332462474059</v>
      </c>
      <c r="AQ511" s="28">
        <f t="shared" si="115"/>
        <v>0.18350218786762987</v>
      </c>
      <c r="AR511" s="28">
        <f t="shared" si="115"/>
        <v>0.1905160276682408</v>
      </c>
      <c r="AS511" s="28">
        <f t="shared" si="115"/>
        <v>0.19778450323422284</v>
      </c>
      <c r="AT511" s="28">
        <f t="shared" si="115"/>
        <v>0.20184152861562438</v>
      </c>
      <c r="AU511" s="28">
        <f t="shared" si="115"/>
        <v>0.20568682385439491</v>
      </c>
      <c r="AV511" s="28">
        <f t="shared" si="115"/>
        <v>0.20998553182446936</v>
      </c>
      <c r="AW511" s="28">
        <f t="shared" si="115"/>
        <v>0.21411190639886218</v>
      </c>
      <c r="AY511" s="85"/>
    </row>
    <row r="512" spans="1:51" x14ac:dyDescent="0.25">
      <c r="A512" s="102" t="str">
        <f t="shared" si="108"/>
        <v>PQ Synthetic</v>
      </c>
      <c r="B512" s="102" t="s">
        <v>969</v>
      </c>
      <c r="C512" s="102" t="s">
        <v>1127</v>
      </c>
      <c r="D512" t="s">
        <v>369</v>
      </c>
      <c r="E512" t="s">
        <v>55</v>
      </c>
      <c r="H512" t="s">
        <v>419</v>
      </c>
      <c r="I512" t="s">
        <v>139</v>
      </c>
      <c r="J512" t="s">
        <v>287</v>
      </c>
      <c r="K512" s="22">
        <f>K1463</f>
        <v>6.6064812063358538</v>
      </c>
      <c r="L512" s="22">
        <f t="shared" ref="L512:AW519" si="116">L1463</f>
        <v>6.6056660352543144</v>
      </c>
      <c r="M512" s="22">
        <f t="shared" si="116"/>
        <v>6.6042995522505379</v>
      </c>
      <c r="N512" s="22">
        <f t="shared" si="116"/>
        <v>6.6031365898338095</v>
      </c>
      <c r="O512" s="22">
        <f t="shared" si="116"/>
        <v>6.6027560568732087</v>
      </c>
      <c r="P512" s="22">
        <f t="shared" si="116"/>
        <v>6.6023708971175274</v>
      </c>
      <c r="Q512" s="22">
        <f t="shared" si="116"/>
        <v>6.6011966991986881</v>
      </c>
      <c r="R512" s="22">
        <f t="shared" si="116"/>
        <v>6.6002765167075461</v>
      </c>
      <c r="S512" s="22">
        <f t="shared" si="116"/>
        <v>6.6002145648060502</v>
      </c>
      <c r="T512" s="22">
        <f t="shared" si="116"/>
        <v>6.6040420720172728</v>
      </c>
      <c r="U512" s="22">
        <f t="shared" si="116"/>
        <v>6.6019485697997204</v>
      </c>
      <c r="V512" s="22">
        <f t="shared" si="116"/>
        <v>6.6003652312909882</v>
      </c>
      <c r="W512" s="22">
        <f t="shared" si="116"/>
        <v>6.5989054673114653</v>
      </c>
      <c r="X512" s="22">
        <f t="shared" si="116"/>
        <v>6.5972835879321101</v>
      </c>
      <c r="Y512" s="22">
        <f t="shared" si="116"/>
        <v>6.5950794659321978</v>
      </c>
      <c r="Z512" s="22">
        <f t="shared" si="116"/>
        <v>6.5927714888243178</v>
      </c>
      <c r="AA512" s="22">
        <f t="shared" si="116"/>
        <v>6.5903551292141982</v>
      </c>
      <c r="AB512" s="22">
        <f t="shared" si="116"/>
        <v>6.5882075529961197</v>
      </c>
      <c r="AC512" s="22">
        <f t="shared" si="116"/>
        <v>6.5858383398788654</v>
      </c>
      <c r="AD512" s="22">
        <f t="shared" si="116"/>
        <v>6.5832049506454569</v>
      </c>
      <c r="AE512" s="22">
        <f t="shared" si="116"/>
        <v>6.5806825645343991</v>
      </c>
      <c r="AF512" s="22">
        <f t="shared" si="116"/>
        <v>6.5781181226611025</v>
      </c>
      <c r="AG512" s="22">
        <f t="shared" si="116"/>
        <v>6.5755610222279151</v>
      </c>
      <c r="AH512" s="22">
        <f t="shared" si="116"/>
        <v>6.5728213410220508</v>
      </c>
      <c r="AI512" s="22">
        <f t="shared" si="116"/>
        <v>6.5704025946446434</v>
      </c>
      <c r="AJ512" s="22">
        <f t="shared" si="116"/>
        <v>6.5679167627959911</v>
      </c>
      <c r="AK512" s="22">
        <f t="shared" si="116"/>
        <v>6.5654442966296829</v>
      </c>
      <c r="AL512" s="22">
        <f t="shared" si="116"/>
        <v>6.5631078462466625</v>
      </c>
      <c r="AM512" s="22">
        <f t="shared" si="116"/>
        <v>6.5608183818668682</v>
      </c>
      <c r="AN512" s="22">
        <f t="shared" si="116"/>
        <v>6.5585023260560664</v>
      </c>
      <c r="AO512" s="22">
        <f t="shared" si="116"/>
        <v>6.5561383844940604</v>
      </c>
      <c r="AP512" s="22">
        <f t="shared" si="116"/>
        <v>6.5539317250053788</v>
      </c>
      <c r="AQ512" s="22">
        <f t="shared" si="116"/>
        <v>6.5517393492300551</v>
      </c>
      <c r="AR512" s="22">
        <f t="shared" si="116"/>
        <v>6.5495579618392012</v>
      </c>
      <c r="AS512" s="22">
        <f t="shared" si="116"/>
        <v>6.5472963164045943</v>
      </c>
      <c r="AT512" s="22">
        <f t="shared" si="116"/>
        <v>6.5450342769214798</v>
      </c>
      <c r="AU512" s="22">
        <f t="shared" si="116"/>
        <v>6.5436308710087152</v>
      </c>
      <c r="AV512" s="22">
        <f t="shared" si="116"/>
        <v>6.5422967735758233</v>
      </c>
      <c r="AW512" s="22">
        <f t="shared" si="116"/>
        <v>6.5408646829531705</v>
      </c>
      <c r="AY512" s="85"/>
    </row>
    <row r="513" spans="1:51" x14ac:dyDescent="0.25">
      <c r="A513" s="102" t="str">
        <f t="shared" si="108"/>
        <v>PQ Organic</v>
      </c>
      <c r="B513" s="102" t="s">
        <v>969</v>
      </c>
      <c r="C513" s="102" t="s">
        <v>1128</v>
      </c>
      <c r="D513" t="s">
        <v>369</v>
      </c>
      <c r="E513" t="s">
        <v>55</v>
      </c>
      <c r="H513" t="s">
        <v>420</v>
      </c>
      <c r="I513" t="s">
        <v>139</v>
      </c>
      <c r="J513" t="s">
        <v>287</v>
      </c>
      <c r="K513" s="22">
        <f t="shared" ref="K513:Z576" si="117">K1464</f>
        <v>4.3602775961816637E-2</v>
      </c>
      <c r="L513" s="22">
        <f t="shared" si="117"/>
        <v>4.3597395832678479E-2</v>
      </c>
      <c r="M513" s="22">
        <f t="shared" si="117"/>
        <v>4.3588377044853563E-2</v>
      </c>
      <c r="N513" s="22">
        <f t="shared" si="117"/>
        <v>4.3580701492903162E-2</v>
      </c>
      <c r="O513" s="22">
        <f t="shared" si="117"/>
        <v>4.3578189975363169E-2</v>
      </c>
      <c r="P513" s="22">
        <f t="shared" si="117"/>
        <v>4.3575647920975694E-2</v>
      </c>
      <c r="Q513" s="22">
        <f t="shared" si="117"/>
        <v>4.3567898214711354E-2</v>
      </c>
      <c r="R513" s="22">
        <f t="shared" si="117"/>
        <v>4.3561825010269811E-2</v>
      </c>
      <c r="S513" s="22">
        <f t="shared" si="117"/>
        <v>4.3561416127719944E-2</v>
      </c>
      <c r="T513" s="22">
        <f t="shared" si="117"/>
        <v>4.358667767531401E-2</v>
      </c>
      <c r="U513" s="22">
        <f t="shared" si="117"/>
        <v>4.3572860560678155E-2</v>
      </c>
      <c r="V513" s="22">
        <f t="shared" si="117"/>
        <v>4.3562410526520524E-2</v>
      </c>
      <c r="W513" s="22">
        <f t="shared" si="117"/>
        <v>4.3552776084255673E-2</v>
      </c>
      <c r="X513" s="22">
        <f t="shared" si="117"/>
        <v>4.3542071680351936E-2</v>
      </c>
      <c r="Y513" s="22">
        <f t="shared" si="117"/>
        <v>4.3527524475152499E-2</v>
      </c>
      <c r="Z513" s="22">
        <f t="shared" si="117"/>
        <v>4.3512291826240515E-2</v>
      </c>
      <c r="AA513" s="22">
        <f t="shared" si="116"/>
        <v>4.3496343852813708E-2</v>
      </c>
      <c r="AB513" s="22">
        <f t="shared" si="116"/>
        <v>4.3482169849774405E-2</v>
      </c>
      <c r="AC513" s="22">
        <f t="shared" si="116"/>
        <v>4.3466533043200514E-2</v>
      </c>
      <c r="AD513" s="22">
        <f t="shared" si="116"/>
        <v>4.3449152674260021E-2</v>
      </c>
      <c r="AE513" s="22">
        <f t="shared" si="116"/>
        <v>4.3432504925927033E-2</v>
      </c>
      <c r="AF513" s="22">
        <f t="shared" si="116"/>
        <v>4.3415579609563271E-2</v>
      </c>
      <c r="AG513" s="22">
        <f t="shared" si="116"/>
        <v>4.3398702746704231E-2</v>
      </c>
      <c r="AH513" s="22">
        <f t="shared" si="116"/>
        <v>4.3380620850745545E-2</v>
      </c>
      <c r="AI513" s="22">
        <f t="shared" si="116"/>
        <v>4.3364657124654649E-2</v>
      </c>
      <c r="AJ513" s="22">
        <f t="shared" si="116"/>
        <v>4.3348250634453557E-2</v>
      </c>
      <c r="AK513" s="22">
        <f t="shared" si="116"/>
        <v>4.3331932357755919E-2</v>
      </c>
      <c r="AL513" s="22">
        <f t="shared" si="116"/>
        <v>4.3316511785227982E-2</v>
      </c>
      <c r="AM513" s="22">
        <f t="shared" si="116"/>
        <v>4.3301401320321335E-2</v>
      </c>
      <c r="AN513" s="22">
        <f t="shared" si="116"/>
        <v>4.328611535197005E-2</v>
      </c>
      <c r="AO513" s="22">
        <f t="shared" si="116"/>
        <v>4.3270513337660813E-2</v>
      </c>
      <c r="AP513" s="22">
        <f t="shared" si="116"/>
        <v>4.3255949385035505E-2</v>
      </c>
      <c r="AQ513" s="22">
        <f t="shared" si="116"/>
        <v>4.3241479704918373E-2</v>
      </c>
      <c r="AR513" s="22">
        <f t="shared" si="116"/>
        <v>4.3227082548138743E-2</v>
      </c>
      <c r="AS513" s="22">
        <f t="shared" si="116"/>
        <v>4.3212155688270325E-2</v>
      </c>
      <c r="AT513" s="22">
        <f t="shared" si="116"/>
        <v>4.3197226227681768E-2</v>
      </c>
      <c r="AU513" s="22">
        <f t="shared" si="116"/>
        <v>4.3187963748657528E-2</v>
      </c>
      <c r="AV513" s="22">
        <f t="shared" si="116"/>
        <v>4.3179158705600441E-2</v>
      </c>
      <c r="AW513" s="22">
        <f t="shared" si="116"/>
        <v>4.3169706907490939E-2</v>
      </c>
      <c r="AY513" s="85"/>
    </row>
    <row r="514" spans="1:51" x14ac:dyDescent="0.25">
      <c r="A514" s="102" t="str">
        <f t="shared" si="108"/>
        <v>PQ Crop residues</v>
      </c>
      <c r="B514" s="102" t="s">
        <v>969</v>
      </c>
      <c r="C514" s="102" t="s">
        <v>58</v>
      </c>
      <c r="D514" t="s">
        <v>369</v>
      </c>
      <c r="E514" t="s">
        <v>55</v>
      </c>
      <c r="H514" t="s">
        <v>58</v>
      </c>
      <c r="I514" t="s">
        <v>139</v>
      </c>
      <c r="J514" t="s">
        <v>287</v>
      </c>
      <c r="K514" s="22">
        <f t="shared" si="117"/>
        <v>2.94930909510781</v>
      </c>
      <c r="L514" s="22">
        <f t="shared" si="116"/>
        <v>2.9553948259346963</v>
      </c>
      <c r="M514" s="22">
        <f t="shared" si="116"/>
        <v>2.9655964240149095</v>
      </c>
      <c r="N514" s="22">
        <f t="shared" si="116"/>
        <v>2.9742786213968655</v>
      </c>
      <c r="O514" s="22">
        <f t="shared" si="116"/>
        <v>2.9771195234129291</v>
      </c>
      <c r="P514" s="22">
        <f t="shared" si="116"/>
        <v>2.9799949671713049</v>
      </c>
      <c r="Q514" s="22">
        <f t="shared" si="116"/>
        <v>2.9887610441744785</v>
      </c>
      <c r="R514" s="22">
        <f t="shared" si="116"/>
        <v>2.9956307468412153</v>
      </c>
      <c r="S514" s="22">
        <f t="shared" si="116"/>
        <v>2.9960932541666816</v>
      </c>
      <c r="T514" s="22">
        <f t="shared" si="116"/>
        <v>2.9675186651595986</v>
      </c>
      <c r="U514" s="22">
        <f t="shared" si="116"/>
        <v>2.9831478886073279</v>
      </c>
      <c r="V514" s="22">
        <f t="shared" si="116"/>
        <v>2.9949684403788361</v>
      </c>
      <c r="W514" s="22">
        <f t="shared" si="116"/>
        <v>3.0058664357215821</v>
      </c>
      <c r="X514" s="22">
        <f t="shared" si="116"/>
        <v>3.0179747177251275</v>
      </c>
      <c r="Y514" s="22">
        <f t="shared" si="116"/>
        <v>3.0344297828088291</v>
      </c>
      <c r="Z514" s="22">
        <f t="shared" si="116"/>
        <v>3.051660187261632</v>
      </c>
      <c r="AA514" s="22">
        <f t="shared" si="116"/>
        <v>3.0696997307404872</v>
      </c>
      <c r="AB514" s="22">
        <f t="shared" si="116"/>
        <v>3.0857326483566894</v>
      </c>
      <c r="AC514" s="22">
        <f t="shared" si="116"/>
        <v>3.1034202155798769</v>
      </c>
      <c r="AD514" s="22">
        <f t="shared" si="116"/>
        <v>3.1230800126456195</v>
      </c>
      <c r="AE514" s="22">
        <f t="shared" si="116"/>
        <v>3.1419111062172522</v>
      </c>
      <c r="AF514" s="22">
        <f t="shared" si="116"/>
        <v>3.1610561707509404</v>
      </c>
      <c r="AG514" s="22">
        <f t="shared" si="116"/>
        <v>3.1801464271230016</v>
      </c>
      <c r="AH514" s="22">
        <f t="shared" si="116"/>
        <v>3.2005997561822985</v>
      </c>
      <c r="AI514" s="22">
        <f t="shared" si="116"/>
        <v>3.2186571182805661</v>
      </c>
      <c r="AJ514" s="22">
        <f t="shared" si="116"/>
        <v>3.2372153128171188</v>
      </c>
      <c r="AK514" s="22">
        <f t="shared" si="116"/>
        <v>3.2556737246860838</v>
      </c>
      <c r="AL514" s="22">
        <f t="shared" si="116"/>
        <v>3.2731166988585363</v>
      </c>
      <c r="AM514" s="22">
        <f t="shared" si="116"/>
        <v>3.2902088949247208</v>
      </c>
      <c r="AN514" s="22">
        <f t="shared" si="116"/>
        <v>3.3074996116389994</v>
      </c>
      <c r="AO514" s="22">
        <f t="shared" si="116"/>
        <v>3.3251478236065783</v>
      </c>
      <c r="AP514" s="22">
        <f t="shared" si="116"/>
        <v>3.3416218325340545</v>
      </c>
      <c r="AQ514" s="22">
        <f t="shared" si="116"/>
        <v>3.3579892051532951</v>
      </c>
      <c r="AR514" s="22">
        <f t="shared" si="116"/>
        <v>3.3742745430296259</v>
      </c>
      <c r="AS514" s="22">
        <f t="shared" si="116"/>
        <v>3.391159054333535</v>
      </c>
      <c r="AT514" s="22">
        <f t="shared" si="116"/>
        <v>3.4080465074409378</v>
      </c>
      <c r="AU514" s="22">
        <f t="shared" si="116"/>
        <v>3.4185237567194666</v>
      </c>
      <c r="AV514" s="22">
        <f t="shared" si="116"/>
        <v>3.4284835774948501</v>
      </c>
      <c r="AW514" s="22">
        <f t="shared" si="116"/>
        <v>3.439174974977584</v>
      </c>
      <c r="AY514" s="85"/>
    </row>
    <row r="515" spans="1:51" x14ac:dyDescent="0.25">
      <c r="A515" s="102" t="str">
        <f t="shared" si="108"/>
        <v>PQ Organic</v>
      </c>
      <c r="B515" s="102" t="s">
        <v>969</v>
      </c>
      <c r="C515" s="102" t="s">
        <v>1128</v>
      </c>
      <c r="D515" t="s">
        <v>369</v>
      </c>
      <c r="E515" t="s">
        <v>55</v>
      </c>
      <c r="F515" t="s">
        <v>421</v>
      </c>
      <c r="G515" t="s">
        <v>1153</v>
      </c>
      <c r="H515" t="s">
        <v>1154</v>
      </c>
      <c r="I515" t="s">
        <v>139</v>
      </c>
      <c r="J515" t="s">
        <v>287</v>
      </c>
      <c r="K515" s="22">
        <f t="shared" si="117"/>
        <v>0.31910516055557447</v>
      </c>
      <c r="L515" s="22">
        <f t="shared" si="116"/>
        <v>0.32125977651579962</v>
      </c>
      <c r="M515" s="22">
        <f t="shared" si="116"/>
        <v>0.32314451970240549</v>
      </c>
      <c r="N515" s="22">
        <f t="shared" si="116"/>
        <v>0.32338831518425315</v>
      </c>
      <c r="O515" s="22">
        <f t="shared" si="116"/>
        <v>0.32380822899810918</v>
      </c>
      <c r="P515" s="22">
        <f t="shared" si="116"/>
        <v>0.32621761700786678</v>
      </c>
      <c r="Q515" s="22">
        <f t="shared" si="116"/>
        <v>0.32814424518292917</v>
      </c>
      <c r="R515" s="22">
        <f t="shared" si="116"/>
        <v>0.32816113797461788</v>
      </c>
      <c r="S515" s="22">
        <f t="shared" si="116"/>
        <v>0.31946691799605059</v>
      </c>
      <c r="T515" s="22">
        <f t="shared" si="116"/>
        <v>0.32366704753421133</v>
      </c>
      <c r="U515" s="22">
        <f t="shared" si="116"/>
        <v>0.32684647343041223</v>
      </c>
      <c r="V515" s="22">
        <f t="shared" si="116"/>
        <v>0.32984618652559566</v>
      </c>
      <c r="W515" s="22">
        <f t="shared" si="116"/>
        <v>0.33332444228182462</v>
      </c>
      <c r="X515" s="22">
        <f t="shared" si="116"/>
        <v>0.33830825606612447</v>
      </c>
      <c r="Y515" s="22">
        <f t="shared" si="116"/>
        <v>0.34349698611877544</v>
      </c>
      <c r="Z515" s="22">
        <f t="shared" si="116"/>
        <v>0.34913311823129872</v>
      </c>
      <c r="AA515" s="22">
        <f t="shared" si="116"/>
        <v>0.3542586043658163</v>
      </c>
      <c r="AB515" s="22">
        <f t="shared" si="116"/>
        <v>0.36013116096519615</v>
      </c>
      <c r="AC515" s="22">
        <f t="shared" si="116"/>
        <v>0.36691641068568986</v>
      </c>
      <c r="AD515" s="22">
        <f t="shared" si="116"/>
        <v>0.3734489276960708</v>
      </c>
      <c r="AE515" s="22">
        <f t="shared" si="116"/>
        <v>0.38032201074224209</v>
      </c>
      <c r="AF515" s="22">
        <f t="shared" si="116"/>
        <v>0.3874035589263955</v>
      </c>
      <c r="AG515" s="22">
        <f t="shared" si="116"/>
        <v>0.39528331644509546</v>
      </c>
      <c r="AH515" s="22">
        <f t="shared" si="116"/>
        <v>0.402417436180809</v>
      </c>
      <c r="AI515" s="22">
        <f t="shared" si="116"/>
        <v>0.40983057953506236</v>
      </c>
      <c r="AJ515" s="22">
        <f t="shared" si="116"/>
        <v>0.41743748809199982</v>
      </c>
      <c r="AK515" s="22">
        <f t="shared" si="116"/>
        <v>0.42481700614270618</v>
      </c>
      <c r="AL515" s="22">
        <f t="shared" si="116"/>
        <v>0.4322524543038212</v>
      </c>
      <c r="AM515" s="22">
        <f t="shared" si="116"/>
        <v>0.44000331272539195</v>
      </c>
      <c r="AN515" s="22">
        <f t="shared" si="116"/>
        <v>0.44801081079437804</v>
      </c>
      <c r="AO515" s="22">
        <f t="shared" si="116"/>
        <v>0.45565879156165573</v>
      </c>
      <c r="AP515" s="22">
        <f t="shared" si="116"/>
        <v>0.46346832830199552</v>
      </c>
      <c r="AQ515" s="22">
        <f t="shared" si="116"/>
        <v>0.47145349561124583</v>
      </c>
      <c r="AR515" s="22">
        <f t="shared" si="116"/>
        <v>0.47999285299993844</v>
      </c>
      <c r="AS515" s="22">
        <f t="shared" si="116"/>
        <v>0.4886261928960397</v>
      </c>
      <c r="AT515" s="22">
        <f t="shared" si="116"/>
        <v>0.49379335063722096</v>
      </c>
      <c r="AU515" s="22">
        <f t="shared" si="116"/>
        <v>0.4987597531133639</v>
      </c>
      <c r="AV515" s="22">
        <f t="shared" si="116"/>
        <v>0.5042544828247203</v>
      </c>
      <c r="AW515" s="22">
        <f t="shared" si="116"/>
        <v>0.50959085302689011</v>
      </c>
      <c r="AY515" s="85"/>
    </row>
    <row r="516" spans="1:51" x14ac:dyDescent="0.25">
      <c r="A516" s="102" t="str">
        <f t="shared" si="108"/>
        <v>PQ Organic</v>
      </c>
      <c r="B516" s="102" t="s">
        <v>969</v>
      </c>
      <c r="C516" s="102" t="s">
        <v>1128</v>
      </c>
      <c r="D516" t="s">
        <v>369</v>
      </c>
      <c r="E516" t="s">
        <v>55</v>
      </c>
      <c r="F516" t="s">
        <v>421</v>
      </c>
      <c r="G516" t="s">
        <v>1155</v>
      </c>
      <c r="H516" t="s">
        <v>1156</v>
      </c>
      <c r="I516" t="s">
        <v>139</v>
      </c>
      <c r="J516" t="s">
        <v>287</v>
      </c>
      <c r="K516" s="22">
        <f t="shared" si="117"/>
        <v>0.93305416014115006</v>
      </c>
      <c r="L516" s="22">
        <f t="shared" si="116"/>
        <v>0.93935419421673338</v>
      </c>
      <c r="M516" s="22">
        <f t="shared" si="116"/>
        <v>0.94486512819222468</v>
      </c>
      <c r="N516" s="22">
        <f t="shared" si="116"/>
        <v>0.94557797905356933</v>
      </c>
      <c r="O516" s="22">
        <f t="shared" si="116"/>
        <v>0.94680579476873028</v>
      </c>
      <c r="P516" s="22">
        <f t="shared" si="116"/>
        <v>0.9538507748686591</v>
      </c>
      <c r="Q516" s="22">
        <f t="shared" si="116"/>
        <v>0.95948417932585228</v>
      </c>
      <c r="R516" s="22">
        <f t="shared" si="116"/>
        <v>0.95953357335487388</v>
      </c>
      <c r="S516" s="22">
        <f t="shared" si="116"/>
        <v>0.9341119283208017</v>
      </c>
      <c r="T516" s="22">
        <f t="shared" si="116"/>
        <v>0.94639298429585894</v>
      </c>
      <c r="U516" s="22">
        <f t="shared" si="116"/>
        <v>0.95568953266300471</v>
      </c>
      <c r="V516" s="22">
        <f t="shared" si="116"/>
        <v>0.96446060605403905</v>
      </c>
      <c r="W516" s="22">
        <f t="shared" si="116"/>
        <v>0.97463092419535036</v>
      </c>
      <c r="X516" s="22">
        <f t="shared" si="116"/>
        <v>0.98920344999441168</v>
      </c>
      <c r="Y516" s="22">
        <f t="shared" si="116"/>
        <v>1.0043751449712224</v>
      </c>
      <c r="Z516" s="22">
        <f t="shared" si="116"/>
        <v>1.0208550304909023</v>
      </c>
      <c r="AA516" s="22">
        <f t="shared" si="116"/>
        <v>1.0358418021000837</v>
      </c>
      <c r="AB516" s="22">
        <f t="shared" si="116"/>
        <v>1.0530129859072517</v>
      </c>
      <c r="AC516" s="22">
        <f t="shared" si="116"/>
        <v>1.0728528577171612</v>
      </c>
      <c r="AD516" s="22">
        <f t="shared" si="116"/>
        <v>1.0919537464715672</v>
      </c>
      <c r="AE516" s="22">
        <f t="shared" si="116"/>
        <v>1.1120504403578721</v>
      </c>
      <c r="AF516" s="22">
        <f t="shared" si="116"/>
        <v>1.1327566802129738</v>
      </c>
      <c r="AG516" s="22">
        <f t="shared" si="116"/>
        <v>1.1557968608259288</v>
      </c>
      <c r="AH516" s="22">
        <f t="shared" si="116"/>
        <v>1.1766568183608164</v>
      </c>
      <c r="AI516" s="22">
        <f t="shared" si="116"/>
        <v>1.1983326327988097</v>
      </c>
      <c r="AJ516" s="22">
        <f t="shared" si="116"/>
        <v>1.2205750110245537</v>
      </c>
      <c r="AK516" s="22">
        <f t="shared" si="116"/>
        <v>1.2421525060580416</v>
      </c>
      <c r="AL516" s="22">
        <f t="shared" si="116"/>
        <v>1.2638935390991974</v>
      </c>
      <c r="AM516" s="22">
        <f t="shared" si="116"/>
        <v>1.2865568225206274</v>
      </c>
      <c r="AN516" s="22">
        <f t="shared" si="116"/>
        <v>1.3099705127680101</v>
      </c>
      <c r="AO516" s="22">
        <f t="shared" si="116"/>
        <v>1.3323329849360066</v>
      </c>
      <c r="AP516" s="22">
        <f t="shared" si="116"/>
        <v>1.3551678420460032</v>
      </c>
      <c r="AQ516" s="22">
        <f t="shared" si="116"/>
        <v>1.3785162378047791</v>
      </c>
      <c r="AR516" s="22">
        <f t="shared" si="116"/>
        <v>1.4034850691536036</v>
      </c>
      <c r="AS516" s="22">
        <f t="shared" si="116"/>
        <v>1.4287287026064286</v>
      </c>
      <c r="AT516" s="22">
        <f t="shared" si="116"/>
        <v>1.4438373207751876</v>
      </c>
      <c r="AU516" s="22">
        <f t="shared" si="116"/>
        <v>1.4583589364182332</v>
      </c>
      <c r="AV516" s="22">
        <f t="shared" si="116"/>
        <v>1.4744253654509265</v>
      </c>
      <c r="AW516" s="22">
        <f t="shared" si="116"/>
        <v>1.490028755908539</v>
      </c>
      <c r="AY516" s="85"/>
    </row>
    <row r="517" spans="1:51" x14ac:dyDescent="0.25">
      <c r="A517" s="102" t="str">
        <f t="shared" si="108"/>
        <v>PQ Organic</v>
      </c>
      <c r="B517" s="102" t="s">
        <v>969</v>
      </c>
      <c r="C517" s="102" t="s">
        <v>1128</v>
      </c>
      <c r="D517" t="s">
        <v>369</v>
      </c>
      <c r="E517" t="s">
        <v>55</v>
      </c>
      <c r="F517" t="s">
        <v>421</v>
      </c>
      <c r="G517" t="s">
        <v>1157</v>
      </c>
      <c r="H517" t="s">
        <v>1158</v>
      </c>
      <c r="I517" t="s">
        <v>139</v>
      </c>
      <c r="J517" t="s">
        <v>287</v>
      </c>
      <c r="K517" s="22">
        <f t="shared" si="117"/>
        <v>4.9913136648560473E-2</v>
      </c>
      <c r="L517" s="22">
        <f t="shared" si="116"/>
        <v>5.0250152949583772E-2</v>
      </c>
      <c r="M517" s="22">
        <f t="shared" si="116"/>
        <v>5.0544956844502678E-2</v>
      </c>
      <c r="N517" s="22">
        <f t="shared" si="116"/>
        <v>5.0583090346256708E-2</v>
      </c>
      <c r="O517" s="22">
        <f t="shared" si="116"/>
        <v>5.0648771564119566E-2</v>
      </c>
      <c r="P517" s="22">
        <f t="shared" si="116"/>
        <v>5.1025638277152528E-2</v>
      </c>
      <c r="Q517" s="22">
        <f t="shared" si="116"/>
        <v>5.1326993652306703E-2</v>
      </c>
      <c r="R517" s="22">
        <f t="shared" si="116"/>
        <v>5.1329635954356786E-2</v>
      </c>
      <c r="S517" s="22">
        <f t="shared" si="116"/>
        <v>4.9969721282067128E-2</v>
      </c>
      <c r="T517" s="22">
        <f t="shared" si="116"/>
        <v>5.0626688531405499E-2</v>
      </c>
      <c r="U517" s="22">
        <f t="shared" si="116"/>
        <v>5.1124001451524841E-2</v>
      </c>
      <c r="V517" s="22">
        <f t="shared" si="116"/>
        <v>5.1593204423252687E-2</v>
      </c>
      <c r="W517" s="22">
        <f t="shared" si="116"/>
        <v>5.2137259099639094E-2</v>
      </c>
      <c r="X517" s="22">
        <f t="shared" si="116"/>
        <v>5.2916807064371608E-2</v>
      </c>
      <c r="Y517" s="22">
        <f t="shared" si="116"/>
        <v>5.3728407201766935E-2</v>
      </c>
      <c r="Z517" s="22">
        <f t="shared" si="116"/>
        <v>5.4609988157123229E-2</v>
      </c>
      <c r="AA517" s="22">
        <f t="shared" si="116"/>
        <v>5.5411695937019619E-2</v>
      </c>
      <c r="AB517" s="22">
        <f t="shared" si="116"/>
        <v>5.6330257452950339E-2</v>
      </c>
      <c r="AC517" s="22">
        <f t="shared" si="116"/>
        <v>5.7391578729936159E-2</v>
      </c>
      <c r="AD517" s="22">
        <f t="shared" si="116"/>
        <v>5.8413368580123831E-2</v>
      </c>
      <c r="AE517" s="22">
        <f t="shared" si="116"/>
        <v>5.9488428390134962E-2</v>
      </c>
      <c r="AF517" s="22">
        <f t="shared" si="116"/>
        <v>6.0596095472621583E-2</v>
      </c>
      <c r="AG517" s="22">
        <f t="shared" si="116"/>
        <v>6.1828615225995781E-2</v>
      </c>
      <c r="AH517" s="22">
        <f t="shared" si="116"/>
        <v>6.2944505337631407E-2</v>
      </c>
      <c r="AI517" s="22">
        <f t="shared" si="116"/>
        <v>6.4104039193467549E-2</v>
      </c>
      <c r="AJ517" s="22">
        <f t="shared" si="116"/>
        <v>6.5293881017443309E-2</v>
      </c>
      <c r="AK517" s="22">
        <f t="shared" si="116"/>
        <v>6.6448155339501103E-2</v>
      </c>
      <c r="AL517" s="22">
        <f t="shared" si="116"/>
        <v>6.7611178022878776E-2</v>
      </c>
      <c r="AM517" s="22">
        <f t="shared" si="116"/>
        <v>6.8823535901598024E-2</v>
      </c>
      <c r="AN517" s="22">
        <f t="shared" si="116"/>
        <v>7.0076036314422829E-2</v>
      </c>
      <c r="AO517" s="22">
        <f t="shared" si="116"/>
        <v>7.1272302487173145E-2</v>
      </c>
      <c r="AP517" s="22">
        <f t="shared" si="116"/>
        <v>7.2493838590832138E-2</v>
      </c>
      <c r="AQ517" s="22">
        <f t="shared" si="116"/>
        <v>7.3742846116671951E-2</v>
      </c>
      <c r="AR517" s="22">
        <f t="shared" si="116"/>
        <v>7.507853780993895E-2</v>
      </c>
      <c r="AS517" s="22">
        <f t="shared" si="116"/>
        <v>7.6428929866329778E-2</v>
      </c>
      <c r="AT517" s="22">
        <f t="shared" si="116"/>
        <v>7.7237155750145656E-2</v>
      </c>
      <c r="AU517" s="22">
        <f t="shared" si="116"/>
        <v>7.8013980308582434E-2</v>
      </c>
      <c r="AV517" s="22">
        <f t="shared" si="116"/>
        <v>7.8873443673111984E-2</v>
      </c>
      <c r="AW517" s="22">
        <f t="shared" si="116"/>
        <v>7.970813708466469E-2</v>
      </c>
      <c r="AY517" s="85"/>
    </row>
    <row r="518" spans="1:51" x14ac:dyDescent="0.25">
      <c r="A518" s="102" t="str">
        <f t="shared" si="108"/>
        <v>PQ Organic</v>
      </c>
      <c r="B518" s="102" t="s">
        <v>969</v>
      </c>
      <c r="C518" s="102" t="s">
        <v>1128</v>
      </c>
      <c r="D518" t="s">
        <v>369</v>
      </c>
      <c r="E518" t="s">
        <v>55</v>
      </c>
      <c r="F518" t="s">
        <v>421</v>
      </c>
      <c r="G518" t="s">
        <v>1159</v>
      </c>
      <c r="H518" t="s">
        <v>1160</v>
      </c>
      <c r="I518" t="s">
        <v>139</v>
      </c>
      <c r="J518" t="s">
        <v>287</v>
      </c>
      <c r="K518" s="22">
        <f t="shared" si="117"/>
        <v>0.40197336823107255</v>
      </c>
      <c r="L518" s="22">
        <f t="shared" si="116"/>
        <v>0.39992683453201888</v>
      </c>
      <c r="M518" s="22">
        <f t="shared" si="116"/>
        <v>0.39619153570803745</v>
      </c>
      <c r="N518" s="22">
        <f t="shared" si="116"/>
        <v>0.38596696743557218</v>
      </c>
      <c r="O518" s="22">
        <f t="shared" si="116"/>
        <v>0.37615042112991043</v>
      </c>
      <c r="P518" s="22">
        <f t="shared" si="116"/>
        <v>0.37293713836150383</v>
      </c>
      <c r="Q518" s="22">
        <f t="shared" si="116"/>
        <v>0.36774734482056881</v>
      </c>
      <c r="R518" s="22">
        <f t="shared" si="116"/>
        <v>0.35608688957109119</v>
      </c>
      <c r="S518" s="22">
        <f t="shared" si="116"/>
        <v>0.31696486473191704</v>
      </c>
      <c r="T518" s="22">
        <f t="shared" si="116"/>
        <v>0.32470985028067645</v>
      </c>
      <c r="U518" s="22">
        <f t="shared" si="116"/>
        <v>0.32889312054031467</v>
      </c>
      <c r="V518" s="22">
        <f t="shared" si="116"/>
        <v>0.33221809700085297</v>
      </c>
      <c r="W518" s="22">
        <f t="shared" si="116"/>
        <v>0.33668665148563554</v>
      </c>
      <c r="X518" s="22">
        <f t="shared" si="116"/>
        <v>0.34526566414363768</v>
      </c>
      <c r="Y518" s="22">
        <f t="shared" si="116"/>
        <v>0.3546551951018343</v>
      </c>
      <c r="Z518" s="22">
        <f t="shared" si="116"/>
        <v>0.36488607427670622</v>
      </c>
      <c r="AA518" s="22">
        <f t="shared" si="116"/>
        <v>0.37322811475659617</v>
      </c>
      <c r="AB518" s="22">
        <f t="shared" si="116"/>
        <v>0.38324164621633577</v>
      </c>
      <c r="AC518" s="22">
        <f t="shared" si="116"/>
        <v>0.39530317301942447</v>
      </c>
      <c r="AD518" s="22">
        <f t="shared" si="116"/>
        <v>0.40324844631367707</v>
      </c>
      <c r="AE518" s="22">
        <f t="shared" si="116"/>
        <v>0.41136426834445033</v>
      </c>
      <c r="AF518" s="22">
        <f t="shared" si="116"/>
        <v>0.41927237917692112</v>
      </c>
      <c r="AG518" s="22">
        <f t="shared" si="116"/>
        <v>0.428421433457634</v>
      </c>
      <c r="AH518" s="22">
        <f t="shared" si="116"/>
        <v>0.43494110190191582</v>
      </c>
      <c r="AI518" s="22">
        <f t="shared" si="116"/>
        <v>0.44180947123061814</v>
      </c>
      <c r="AJ518" s="22">
        <f t="shared" si="116"/>
        <v>0.4483818832498262</v>
      </c>
      <c r="AK518" s="22">
        <f t="shared" si="116"/>
        <v>0.45369176487192819</v>
      </c>
      <c r="AL518" s="22">
        <f t="shared" si="116"/>
        <v>0.45841729176886709</v>
      </c>
      <c r="AM518" s="22">
        <f t="shared" si="116"/>
        <v>0.46312160165358524</v>
      </c>
      <c r="AN518" s="22">
        <f t="shared" si="116"/>
        <v>0.47036226337760684</v>
      </c>
      <c r="AO518" s="22">
        <f t="shared" si="116"/>
        <v>0.47625895476630487</v>
      </c>
      <c r="AP518" s="22">
        <f t="shared" si="116"/>
        <v>0.48192117394918943</v>
      </c>
      <c r="AQ518" s="22">
        <f t="shared" si="116"/>
        <v>0.48736750310542487</v>
      </c>
      <c r="AR518" s="22">
        <f t="shared" si="116"/>
        <v>0.49331923171164554</v>
      </c>
      <c r="AS518" s="22">
        <f t="shared" si="116"/>
        <v>0.49914888511282934</v>
      </c>
      <c r="AT518" s="22">
        <f t="shared" si="116"/>
        <v>0.49794780494726931</v>
      </c>
      <c r="AU518" s="22">
        <f t="shared" si="116"/>
        <v>0.49606316174761622</v>
      </c>
      <c r="AV518" s="22">
        <f t="shared" si="116"/>
        <v>0.49481743932732059</v>
      </c>
      <c r="AW518" s="22">
        <f t="shared" si="116"/>
        <v>0.49296371491806151</v>
      </c>
      <c r="AY518" s="85"/>
    </row>
    <row r="519" spans="1:51" x14ac:dyDescent="0.25">
      <c r="A519" s="102" t="str">
        <f t="shared" si="108"/>
        <v>PQ Organic</v>
      </c>
      <c r="B519" s="102" t="s">
        <v>969</v>
      </c>
      <c r="C519" s="102" t="s">
        <v>1128</v>
      </c>
      <c r="D519" t="s">
        <v>369</v>
      </c>
      <c r="E519" t="s">
        <v>55</v>
      </c>
      <c r="F519" t="s">
        <v>421</v>
      </c>
      <c r="G519" t="s">
        <v>1161</v>
      </c>
      <c r="H519" t="s">
        <v>1162</v>
      </c>
      <c r="I519" t="s">
        <v>139</v>
      </c>
      <c r="J519" t="s">
        <v>287</v>
      </c>
      <c r="K519" s="22">
        <f t="shared" si="117"/>
        <v>2.6734246327620794</v>
      </c>
      <c r="L519" s="22">
        <f t="shared" si="116"/>
        <v>2.6598136474699339</v>
      </c>
      <c r="M519" s="22">
        <f t="shared" si="116"/>
        <v>2.6349711064560761</v>
      </c>
      <c r="N519" s="22">
        <f t="shared" si="116"/>
        <v>2.5669700525572687</v>
      </c>
      <c r="O519" s="22">
        <f t="shared" si="116"/>
        <v>2.5016826510120014</v>
      </c>
      <c r="P519" s="22">
        <f t="shared" ref="L519:AW525" si="118">P1470</f>
        <v>2.4803119086096084</v>
      </c>
      <c r="Q519" s="22">
        <f t="shared" si="118"/>
        <v>2.4457958859379039</v>
      </c>
      <c r="R519" s="22">
        <f t="shared" si="118"/>
        <v>2.3682451058194229</v>
      </c>
      <c r="S519" s="22">
        <f t="shared" si="118"/>
        <v>2.1080542743998265</v>
      </c>
      <c r="T519" s="22">
        <f t="shared" si="118"/>
        <v>2.1595642419321464</v>
      </c>
      <c r="U519" s="22">
        <f t="shared" si="118"/>
        <v>2.1873861292547638</v>
      </c>
      <c r="V519" s="22">
        <f t="shared" si="118"/>
        <v>2.2094997185506768</v>
      </c>
      <c r="W519" s="22">
        <f t="shared" si="118"/>
        <v>2.2392189601139396</v>
      </c>
      <c r="X519" s="22">
        <f t="shared" si="118"/>
        <v>2.2962758339700611</v>
      </c>
      <c r="Y519" s="22">
        <f t="shared" si="118"/>
        <v>2.3587232629233519</v>
      </c>
      <c r="Z519" s="22">
        <f t="shared" si="118"/>
        <v>2.4267662890603274</v>
      </c>
      <c r="AA519" s="22">
        <f t="shared" si="118"/>
        <v>2.482247120053132</v>
      </c>
      <c r="AB519" s="22">
        <f t="shared" si="118"/>
        <v>2.5488446207363533</v>
      </c>
      <c r="AC519" s="22">
        <f t="shared" si="118"/>
        <v>2.6290628277434434</v>
      </c>
      <c r="AD519" s="22">
        <f t="shared" si="118"/>
        <v>2.6819048591256602</v>
      </c>
      <c r="AE519" s="22">
        <f t="shared" si="118"/>
        <v>2.7358811676250578</v>
      </c>
      <c r="AF519" s="22">
        <f t="shared" si="118"/>
        <v>2.7884760407410969</v>
      </c>
      <c r="AG519" s="22">
        <f t="shared" si="118"/>
        <v>2.8493241192796606</v>
      </c>
      <c r="AH519" s="22">
        <f t="shared" si="118"/>
        <v>2.8926848083051211</v>
      </c>
      <c r="AI519" s="22">
        <f t="shared" si="118"/>
        <v>2.9383646199579787</v>
      </c>
      <c r="AJ519" s="22">
        <f t="shared" si="118"/>
        <v>2.9820760933477084</v>
      </c>
      <c r="AK519" s="22">
        <f t="shared" si="118"/>
        <v>3.0173907919011151</v>
      </c>
      <c r="AL519" s="22">
        <f t="shared" si="118"/>
        <v>3.0488190928969017</v>
      </c>
      <c r="AM519" s="22">
        <f t="shared" si="118"/>
        <v>3.0801062848352543</v>
      </c>
      <c r="AN519" s="22">
        <f t="shared" si="118"/>
        <v>3.1282621203715273</v>
      </c>
      <c r="AO519" s="22">
        <f t="shared" si="118"/>
        <v>3.1674795443509169</v>
      </c>
      <c r="AP519" s="22">
        <f t="shared" si="118"/>
        <v>3.2051375521593344</v>
      </c>
      <c r="AQ519" s="22">
        <f t="shared" si="118"/>
        <v>3.2413597292365988</v>
      </c>
      <c r="AR519" s="22">
        <f t="shared" si="118"/>
        <v>3.2809431920252043</v>
      </c>
      <c r="AS519" s="22">
        <f t="shared" si="118"/>
        <v>3.319714763066774</v>
      </c>
      <c r="AT519" s="22">
        <f t="shared" si="118"/>
        <v>3.3117266783967354</v>
      </c>
      <c r="AU519" s="22">
        <f t="shared" si="118"/>
        <v>3.2991923864457724</v>
      </c>
      <c r="AV519" s="22">
        <f t="shared" si="118"/>
        <v>3.2909073972718437</v>
      </c>
      <c r="AW519" s="22">
        <f t="shared" si="118"/>
        <v>3.2785787384856291</v>
      </c>
      <c r="AY519" s="85"/>
    </row>
    <row r="520" spans="1:51" x14ac:dyDescent="0.25">
      <c r="A520" s="102" t="str">
        <f t="shared" si="108"/>
        <v>PQ Organic</v>
      </c>
      <c r="B520" s="102" t="s">
        <v>969</v>
      </c>
      <c r="C520" s="102" t="s">
        <v>1128</v>
      </c>
      <c r="D520" t="s">
        <v>369</v>
      </c>
      <c r="E520" t="s">
        <v>55</v>
      </c>
      <c r="F520" t="s">
        <v>421</v>
      </c>
      <c r="G520" t="s">
        <v>1163</v>
      </c>
      <c r="H520" t="s">
        <v>1164</v>
      </c>
      <c r="I520" t="s">
        <v>139</v>
      </c>
      <c r="J520" t="s">
        <v>287</v>
      </c>
      <c r="K520" s="22">
        <f t="shared" si="117"/>
        <v>0.34456271820054257</v>
      </c>
      <c r="L520" s="22">
        <f t="shared" si="118"/>
        <v>0.35741698731572036</v>
      </c>
      <c r="M520" s="22">
        <f t="shared" si="118"/>
        <v>0.36896489164513291</v>
      </c>
      <c r="N520" s="22">
        <f t="shared" si="118"/>
        <v>0.37438401076610434</v>
      </c>
      <c r="O520" s="22">
        <f t="shared" si="118"/>
        <v>0.37988604718806568</v>
      </c>
      <c r="P520" s="22">
        <f t="shared" si="118"/>
        <v>0.39203102133073692</v>
      </c>
      <c r="Q520" s="22">
        <f t="shared" si="118"/>
        <v>0.40227536328848007</v>
      </c>
      <c r="R520" s="22">
        <f t="shared" si="118"/>
        <v>0.40526591417131741</v>
      </c>
      <c r="S520" s="22">
        <f t="shared" si="118"/>
        <v>0.37527481867018142</v>
      </c>
      <c r="T520" s="22">
        <f t="shared" si="118"/>
        <v>0.39365996287351818</v>
      </c>
      <c r="U520" s="22">
        <f t="shared" si="118"/>
        <v>0.40815819868382563</v>
      </c>
      <c r="V520" s="22">
        <f t="shared" si="118"/>
        <v>0.42190781589388981</v>
      </c>
      <c r="W520" s="22">
        <f t="shared" si="118"/>
        <v>0.4374457677220121</v>
      </c>
      <c r="X520" s="22">
        <f t="shared" si="118"/>
        <v>0.45882709525597559</v>
      </c>
      <c r="Y520" s="22">
        <f t="shared" si="118"/>
        <v>0.48194951358683946</v>
      </c>
      <c r="Z520" s="22">
        <f t="shared" si="118"/>
        <v>0.5069467882453319</v>
      </c>
      <c r="AA520" s="22">
        <f t="shared" si="118"/>
        <v>0.53003801773568016</v>
      </c>
      <c r="AB520" s="22">
        <f t="shared" si="118"/>
        <v>0.55623390953100238</v>
      </c>
      <c r="AC520" s="22">
        <f t="shared" si="118"/>
        <v>0.58627034555980351</v>
      </c>
      <c r="AD520" s="22">
        <f t="shared" si="118"/>
        <v>0.61782159985165686</v>
      </c>
      <c r="AE520" s="22">
        <f t="shared" si="118"/>
        <v>0.65112867925188422</v>
      </c>
      <c r="AF520" s="22">
        <f t="shared" si="118"/>
        <v>0.68568148380807281</v>
      </c>
      <c r="AG520" s="22">
        <f t="shared" si="118"/>
        <v>0.72398256864978949</v>
      </c>
      <c r="AH520" s="22">
        <f t="shared" si="118"/>
        <v>0.75957681879798822</v>
      </c>
      <c r="AI520" s="22">
        <f t="shared" si="118"/>
        <v>0.79748571472295215</v>
      </c>
      <c r="AJ520" s="22">
        <f t="shared" si="118"/>
        <v>0.83666894668287939</v>
      </c>
      <c r="AK520" s="22">
        <f t="shared" si="118"/>
        <v>0.87531443785412277</v>
      </c>
      <c r="AL520" s="22">
        <f t="shared" si="118"/>
        <v>0.91464095810421253</v>
      </c>
      <c r="AM520" s="22">
        <f t="shared" si="118"/>
        <v>0.95580463534177018</v>
      </c>
      <c r="AN520" s="22">
        <f t="shared" si="118"/>
        <v>0.99803934996482946</v>
      </c>
      <c r="AO520" s="22">
        <f t="shared" si="118"/>
        <v>1.0390605531241226</v>
      </c>
      <c r="AP520" s="22">
        <f t="shared" si="118"/>
        <v>1.0811924287176657</v>
      </c>
      <c r="AQ520" s="22">
        <f t="shared" si="118"/>
        <v>1.1245143338669252</v>
      </c>
      <c r="AR520" s="22">
        <f t="shared" si="118"/>
        <v>1.1707805213950246</v>
      </c>
      <c r="AS520" s="22">
        <f t="shared" si="118"/>
        <v>1.2186517327491972</v>
      </c>
      <c r="AT520" s="22">
        <f t="shared" si="118"/>
        <v>1.2508464245777533</v>
      </c>
      <c r="AU520" s="22">
        <f t="shared" si="118"/>
        <v>1.2823366685557687</v>
      </c>
      <c r="AV520" s="22">
        <f t="shared" si="118"/>
        <v>1.3165428948829248</v>
      </c>
      <c r="AW520" s="22">
        <f t="shared" si="118"/>
        <v>1.3502550917336287</v>
      </c>
      <c r="AY520" s="85"/>
    </row>
    <row r="521" spans="1:51" x14ac:dyDescent="0.25">
      <c r="A521" s="102" t="str">
        <f t="shared" si="108"/>
        <v>PQ Organic</v>
      </c>
      <c r="B521" s="102" t="s">
        <v>969</v>
      </c>
      <c r="C521" s="102" t="s">
        <v>1128</v>
      </c>
      <c r="D521" t="s">
        <v>369</v>
      </c>
      <c r="E521" t="s">
        <v>55</v>
      </c>
      <c r="F521" t="s">
        <v>421</v>
      </c>
      <c r="G521" t="s">
        <v>1165</v>
      </c>
      <c r="H521" t="s">
        <v>1166</v>
      </c>
      <c r="I521" t="s">
        <v>139</v>
      </c>
      <c r="J521" t="s">
        <v>287</v>
      </c>
      <c r="K521" s="22">
        <f t="shared" si="117"/>
        <v>5.8351352726762881E-2</v>
      </c>
      <c r="L521" s="22">
        <f t="shared" si="118"/>
        <v>5.838284383946888E-2</v>
      </c>
      <c r="M521" s="22">
        <f t="shared" si="118"/>
        <v>5.8455239222652444E-2</v>
      </c>
      <c r="N521" s="22">
        <f t="shared" si="118"/>
        <v>5.8562716913640872E-2</v>
      </c>
      <c r="O521" s="22">
        <f t="shared" si="118"/>
        <v>5.8707782505400478E-2</v>
      </c>
      <c r="P521" s="22">
        <f t="shared" si="118"/>
        <v>5.8893351419097517E-2</v>
      </c>
      <c r="Q521" s="22">
        <f t="shared" si="118"/>
        <v>5.909782905733385E-2</v>
      </c>
      <c r="R521" s="22">
        <f t="shared" si="118"/>
        <v>5.9318039560246685E-2</v>
      </c>
      <c r="S521" s="22">
        <f t="shared" si="118"/>
        <v>5.9536211182470676E-2</v>
      </c>
      <c r="T521" s="22">
        <f t="shared" si="118"/>
        <v>5.9625496743982688E-2</v>
      </c>
      <c r="U521" s="22">
        <f t="shared" si="118"/>
        <v>5.9726883271183619E-2</v>
      </c>
      <c r="V521" s="22">
        <f t="shared" si="118"/>
        <v>5.9841544259393621E-2</v>
      </c>
      <c r="W521" s="22">
        <f t="shared" si="118"/>
        <v>5.9970311446414445E-2</v>
      </c>
      <c r="X521" s="22">
        <f t="shared" si="118"/>
        <v>6.0115005305831533E-2</v>
      </c>
      <c r="Y521" s="22">
        <f t="shared" si="118"/>
        <v>6.0205982501934943E-2</v>
      </c>
      <c r="Z521" s="22">
        <f t="shared" si="118"/>
        <v>6.0308427456259674E-2</v>
      </c>
      <c r="AA521" s="22">
        <f t="shared" si="118"/>
        <v>6.0419488984851388E-2</v>
      </c>
      <c r="AB521" s="22">
        <f t="shared" si="118"/>
        <v>6.0541770911636386E-2</v>
      </c>
      <c r="AC521" s="22">
        <f t="shared" si="118"/>
        <v>6.0675259234702413E-2</v>
      </c>
      <c r="AD521" s="22">
        <f t="shared" si="118"/>
        <v>6.0763612545599144E-2</v>
      </c>
      <c r="AE521" s="22">
        <f t="shared" si="118"/>
        <v>6.0860562125647062E-2</v>
      </c>
      <c r="AF521" s="22">
        <f t="shared" si="118"/>
        <v>6.0965456696796608E-2</v>
      </c>
      <c r="AG521" s="22">
        <f t="shared" si="118"/>
        <v>6.1079431750386354E-2</v>
      </c>
      <c r="AH521" s="22">
        <f t="shared" si="118"/>
        <v>6.1198454005462005E-2</v>
      </c>
      <c r="AI521" s="22">
        <f t="shared" si="118"/>
        <v>6.1274601225536553E-2</v>
      </c>
      <c r="AJ521" s="22">
        <f t="shared" si="118"/>
        <v>6.1357207979697827E-2</v>
      </c>
      <c r="AK521" s="22">
        <f t="shared" si="118"/>
        <v>6.1445023192111883E-2</v>
      </c>
      <c r="AL521" s="22">
        <f t="shared" si="118"/>
        <v>6.1538527566909175E-2</v>
      </c>
      <c r="AM521" s="22">
        <f t="shared" si="118"/>
        <v>6.163815914834115E-2</v>
      </c>
      <c r="AN521" s="22">
        <f t="shared" si="118"/>
        <v>6.1696880609150663E-2</v>
      </c>
      <c r="AO521" s="22">
        <f t="shared" si="118"/>
        <v>6.1759449666934245E-2</v>
      </c>
      <c r="AP521" s="22">
        <f t="shared" si="118"/>
        <v>6.1826968943055068E-2</v>
      </c>
      <c r="AQ521" s="22">
        <f t="shared" si="118"/>
        <v>6.1899319328770012E-2</v>
      </c>
      <c r="AR521" s="22">
        <f t="shared" si="118"/>
        <v>6.1977277610442229E-2</v>
      </c>
      <c r="AS521" s="22">
        <f t="shared" si="118"/>
        <v>6.2012413359244796E-2</v>
      </c>
      <c r="AT521" s="22">
        <f t="shared" si="118"/>
        <v>6.2042910745793073E-2</v>
      </c>
      <c r="AU521" s="22">
        <f t="shared" si="118"/>
        <v>6.2076578921359475E-2</v>
      </c>
      <c r="AV521" s="22">
        <f t="shared" si="118"/>
        <v>6.2115070786636459E-2</v>
      </c>
      <c r="AW521" s="22">
        <f t="shared" si="118"/>
        <v>6.2156607972806463E-2</v>
      </c>
      <c r="AY521" s="85"/>
    </row>
    <row r="522" spans="1:51" x14ac:dyDescent="0.25">
      <c r="A522" s="102" t="str">
        <f t="shared" si="108"/>
        <v>PQ Organic</v>
      </c>
      <c r="B522" s="102" t="s">
        <v>969</v>
      </c>
      <c r="C522" s="102" t="s">
        <v>1128</v>
      </c>
      <c r="D522" t="s">
        <v>369</v>
      </c>
      <c r="E522" t="s">
        <v>55</v>
      </c>
      <c r="F522" t="s">
        <v>421</v>
      </c>
      <c r="G522" t="s">
        <v>1167</v>
      </c>
      <c r="H522" t="s">
        <v>1168</v>
      </c>
      <c r="I522" t="s">
        <v>139</v>
      </c>
      <c r="J522" t="s">
        <v>287</v>
      </c>
      <c r="K522" s="22">
        <f t="shared" si="117"/>
        <v>4.7490069351463909E-2</v>
      </c>
      <c r="L522" s="22">
        <f t="shared" si="118"/>
        <v>4.7515698836582541E-2</v>
      </c>
      <c r="M522" s="22">
        <f t="shared" si="118"/>
        <v>4.7574618837704238E-2</v>
      </c>
      <c r="N522" s="22">
        <f t="shared" si="118"/>
        <v>4.7662091068599664E-2</v>
      </c>
      <c r="O522" s="22">
        <f t="shared" si="118"/>
        <v>4.7780154741355184E-2</v>
      </c>
      <c r="P522" s="22">
        <f t="shared" si="118"/>
        <v>4.7931182612503523E-2</v>
      </c>
      <c r="Q522" s="22">
        <f t="shared" si="118"/>
        <v>4.809759961514163E-2</v>
      </c>
      <c r="R522" s="22">
        <f t="shared" si="118"/>
        <v>4.8276821031039585E-2</v>
      </c>
      <c r="S522" s="22">
        <f t="shared" si="118"/>
        <v>4.845438307520427E-2</v>
      </c>
      <c r="T522" s="22">
        <f t="shared" si="118"/>
        <v>4.8527049385583491E-2</v>
      </c>
      <c r="U522" s="22">
        <f t="shared" si="118"/>
        <v>4.8609564237134945E-2</v>
      </c>
      <c r="V522" s="22">
        <f t="shared" si="118"/>
        <v>4.8702882695534688E-2</v>
      </c>
      <c r="W522" s="22">
        <f t="shared" si="118"/>
        <v>4.8807681682294192E-2</v>
      </c>
      <c r="X522" s="22">
        <f t="shared" si="118"/>
        <v>4.8925442815452934E-2</v>
      </c>
      <c r="Y522" s="22">
        <f t="shared" si="118"/>
        <v>4.899948588644365E-2</v>
      </c>
      <c r="Z522" s="22">
        <f t="shared" si="118"/>
        <v>4.9082862153800644E-2</v>
      </c>
      <c r="AA522" s="22">
        <f t="shared" si="118"/>
        <v>4.9173251141349877E-2</v>
      </c>
      <c r="AB522" s="22">
        <f t="shared" si="118"/>
        <v>4.9272772007826496E-2</v>
      </c>
      <c r="AC522" s="22">
        <f t="shared" si="118"/>
        <v>4.9381413357577224E-2</v>
      </c>
      <c r="AD522" s="22">
        <f t="shared" si="118"/>
        <v>4.9453320942677535E-2</v>
      </c>
      <c r="AE522" s="22">
        <f t="shared" si="118"/>
        <v>4.9532224722365882E-2</v>
      </c>
      <c r="AF522" s="22">
        <f t="shared" si="118"/>
        <v>4.9617594644838996E-2</v>
      </c>
      <c r="AG522" s="22">
        <f t="shared" si="118"/>
        <v>4.9710354845697732E-2</v>
      </c>
      <c r="AH522" s="22">
        <f t="shared" si="118"/>
        <v>4.9807222782493964E-2</v>
      </c>
      <c r="AI522" s="22">
        <f t="shared" si="118"/>
        <v>4.9869196268853305E-2</v>
      </c>
      <c r="AJ522" s="22">
        <f t="shared" si="118"/>
        <v>4.9936426937907168E-2</v>
      </c>
      <c r="AK522" s="22">
        <f t="shared" si="118"/>
        <v>5.0007896583986924E-2</v>
      </c>
      <c r="AL522" s="22">
        <f t="shared" si="118"/>
        <v>5.0083996434912091E-2</v>
      </c>
      <c r="AM522" s="22">
        <f t="shared" si="118"/>
        <v>5.0165082999159477E-2</v>
      </c>
      <c r="AN522" s="22">
        <f t="shared" si="118"/>
        <v>5.0212874286181063E-2</v>
      </c>
      <c r="AO522" s="22">
        <f t="shared" si="118"/>
        <v>5.0263796994131166E-2</v>
      </c>
      <c r="AP522" s="22">
        <f t="shared" si="118"/>
        <v>5.0318748506918774E-2</v>
      </c>
      <c r="AQ522" s="22">
        <f t="shared" si="118"/>
        <v>5.0377631886217578E-2</v>
      </c>
      <c r="AR522" s="22">
        <f t="shared" si="118"/>
        <v>5.0441079330537687E-2</v>
      </c>
      <c r="AS522" s="22">
        <f t="shared" si="118"/>
        <v>5.0469675054019239E-2</v>
      </c>
      <c r="AT522" s="22">
        <f t="shared" si="118"/>
        <v>5.049449578112386E-2</v>
      </c>
      <c r="AU522" s="22">
        <f t="shared" si="118"/>
        <v>5.0521897099480149E-2</v>
      </c>
      <c r="AV522" s="22">
        <f t="shared" si="118"/>
        <v>5.055322424557103E-2</v>
      </c>
      <c r="AW522" s="22">
        <f t="shared" si="118"/>
        <v>5.0587029868914744E-2</v>
      </c>
      <c r="AY522" s="85"/>
    </row>
    <row r="523" spans="1:51" x14ac:dyDescent="0.25">
      <c r="A523" s="102" t="str">
        <f t="shared" si="108"/>
        <v>PQ Organic</v>
      </c>
      <c r="B523" s="102" t="s">
        <v>969</v>
      </c>
      <c r="C523" s="102" t="s">
        <v>1128</v>
      </c>
      <c r="D523" t="s">
        <v>369</v>
      </c>
      <c r="E523" t="s">
        <v>55</v>
      </c>
      <c r="F523" t="s">
        <v>421</v>
      </c>
      <c r="G523" t="s">
        <v>1169</v>
      </c>
      <c r="H523" t="s">
        <v>1170</v>
      </c>
      <c r="I523" t="s">
        <v>139</v>
      </c>
      <c r="J523" t="s">
        <v>287</v>
      </c>
      <c r="K523" s="22">
        <f t="shared" si="117"/>
        <v>7.2124379000375856E-3</v>
      </c>
      <c r="L523" s="22">
        <f t="shared" si="118"/>
        <v>7.2311842253661622E-3</v>
      </c>
      <c r="M523" s="22">
        <f t="shared" si="118"/>
        <v>7.2564640106272402E-3</v>
      </c>
      <c r="N523" s="22">
        <f t="shared" si="118"/>
        <v>7.287254147269725E-3</v>
      </c>
      <c r="O523" s="22">
        <f t="shared" si="118"/>
        <v>7.3241333035294473E-3</v>
      </c>
      <c r="P523" s="22">
        <f t="shared" si="118"/>
        <v>7.3677329801347495E-3</v>
      </c>
      <c r="Q523" s="22">
        <f t="shared" si="118"/>
        <v>7.4139400326720672E-3</v>
      </c>
      <c r="R523" s="22">
        <f t="shared" si="118"/>
        <v>7.4622138016085145E-3</v>
      </c>
      <c r="S523" s="22">
        <f t="shared" si="118"/>
        <v>7.509211214865451E-3</v>
      </c>
      <c r="T523" s="22">
        <f t="shared" si="118"/>
        <v>7.5307669987204583E-3</v>
      </c>
      <c r="U523" s="22">
        <f t="shared" si="118"/>
        <v>7.5540126929522231E-3</v>
      </c>
      <c r="V523" s="22">
        <f t="shared" si="118"/>
        <v>7.5792072480240892E-3</v>
      </c>
      <c r="W523" s="22">
        <f t="shared" si="118"/>
        <v>7.6065371736612122E-3</v>
      </c>
      <c r="X523" s="22">
        <f t="shared" si="118"/>
        <v>7.6363701343967012E-3</v>
      </c>
      <c r="Y523" s="22">
        <f t="shared" si="118"/>
        <v>7.6555716504049104E-3</v>
      </c>
      <c r="Z523" s="22">
        <f t="shared" si="118"/>
        <v>7.6765259853692923E-3</v>
      </c>
      <c r="AA523" s="22">
        <f t="shared" si="118"/>
        <v>7.6987119024127136E-3</v>
      </c>
      <c r="AB523" s="22">
        <f t="shared" si="118"/>
        <v>7.7226338019690602E-3</v>
      </c>
      <c r="AC523" s="22">
        <f t="shared" si="118"/>
        <v>7.7482997485057862E-3</v>
      </c>
      <c r="AD523" s="22">
        <f t="shared" si="118"/>
        <v>7.7651933997685552E-3</v>
      </c>
      <c r="AE523" s="22">
        <f t="shared" si="118"/>
        <v>7.7834037435669879E-3</v>
      </c>
      <c r="AF523" s="22">
        <f t="shared" si="118"/>
        <v>7.802817413015653E-3</v>
      </c>
      <c r="AG523" s="22">
        <f t="shared" si="118"/>
        <v>7.8236526131203795E-3</v>
      </c>
      <c r="AH523" s="22">
        <f t="shared" si="118"/>
        <v>7.8451669042542294E-3</v>
      </c>
      <c r="AI523" s="22">
        <f t="shared" si="118"/>
        <v>7.8585039220798909E-3</v>
      </c>
      <c r="AJ523" s="22">
        <f t="shared" si="118"/>
        <v>7.8728299564684995E-3</v>
      </c>
      <c r="AK523" s="22">
        <f t="shared" si="118"/>
        <v>7.8879188408277207E-3</v>
      </c>
      <c r="AL523" s="22">
        <f t="shared" si="118"/>
        <v>7.9038640214346874E-3</v>
      </c>
      <c r="AM523" s="22">
        <f t="shared" si="118"/>
        <v>7.9207498637461782E-3</v>
      </c>
      <c r="AN523" s="22">
        <f t="shared" si="118"/>
        <v>7.9299570033797458E-3</v>
      </c>
      <c r="AO523" s="22">
        <f t="shared" si="118"/>
        <v>7.9397231588042138E-3</v>
      </c>
      <c r="AP523" s="22">
        <f t="shared" si="118"/>
        <v>7.9502533101027516E-3</v>
      </c>
      <c r="AQ523" s="22">
        <f t="shared" si="118"/>
        <v>7.9615278668621423E-3</v>
      </c>
      <c r="AR523" s="22">
        <f t="shared" si="118"/>
        <v>7.9736901552170548E-3</v>
      </c>
      <c r="AS523" s="22">
        <f t="shared" si="118"/>
        <v>7.9779384467945549E-3</v>
      </c>
      <c r="AT523" s="22">
        <f t="shared" si="118"/>
        <v>7.9812454824287754E-3</v>
      </c>
      <c r="AU523" s="22">
        <f t="shared" si="118"/>
        <v>7.9850348723730785E-3</v>
      </c>
      <c r="AV523" s="22">
        <f t="shared" si="118"/>
        <v>7.9896072385955193E-3</v>
      </c>
      <c r="AW523" s="22">
        <f t="shared" si="118"/>
        <v>7.9946414377677251E-3</v>
      </c>
      <c r="AY523" s="85"/>
    </row>
    <row r="524" spans="1:51" x14ac:dyDescent="0.25">
      <c r="A524" s="102" t="str">
        <f t="shared" si="108"/>
        <v>PQ Organic</v>
      </c>
      <c r="B524" s="102" t="s">
        <v>969</v>
      </c>
      <c r="C524" s="102" t="s">
        <v>1128</v>
      </c>
      <c r="D524" t="s">
        <v>369</v>
      </c>
      <c r="E524" t="s">
        <v>55</v>
      </c>
      <c r="F524" t="s">
        <v>421</v>
      </c>
      <c r="G524" t="s">
        <v>1171</v>
      </c>
      <c r="H524" t="s">
        <v>1172</v>
      </c>
      <c r="I524" t="s">
        <v>139</v>
      </c>
      <c r="J524" t="s">
        <v>287</v>
      </c>
      <c r="K524" s="22">
        <f t="shared" si="117"/>
        <v>8.7025704097551199E-2</v>
      </c>
      <c r="L524" s="22">
        <f t="shared" si="118"/>
        <v>8.7251898372437478E-2</v>
      </c>
      <c r="M524" s="22">
        <f t="shared" si="118"/>
        <v>8.7556925762935861E-2</v>
      </c>
      <c r="N524" s="22">
        <f t="shared" si="118"/>
        <v>8.7928441380499503E-2</v>
      </c>
      <c r="O524" s="22">
        <f t="shared" si="118"/>
        <v>8.8373427470433044E-2</v>
      </c>
      <c r="P524" s="22">
        <f t="shared" si="118"/>
        <v>8.8899503758033641E-2</v>
      </c>
      <c r="Q524" s="22">
        <f t="shared" si="118"/>
        <v>8.9457040798499768E-2</v>
      </c>
      <c r="R524" s="22">
        <f t="shared" si="118"/>
        <v>9.0039514961794118E-2</v>
      </c>
      <c r="S524" s="22">
        <f t="shared" si="118"/>
        <v>9.0606588541648075E-2</v>
      </c>
      <c r="T524" s="22">
        <f t="shared" si="118"/>
        <v>9.0866681909987077E-2</v>
      </c>
      <c r="U524" s="22">
        <f t="shared" si="118"/>
        <v>9.1147165837307267E-2</v>
      </c>
      <c r="V524" s="22">
        <f t="shared" si="118"/>
        <v>9.1451164835280221E-2</v>
      </c>
      <c r="W524" s="22">
        <f t="shared" si="118"/>
        <v>9.1780929341327769E-2</v>
      </c>
      <c r="X524" s="22">
        <f t="shared" si="118"/>
        <v>9.2140895617544447E-2</v>
      </c>
      <c r="Y524" s="22">
        <f t="shared" si="118"/>
        <v>9.2372582250207988E-2</v>
      </c>
      <c r="Z524" s="22">
        <f t="shared" si="118"/>
        <v>9.2625418500508608E-2</v>
      </c>
      <c r="AA524" s="22">
        <f t="shared" si="118"/>
        <v>9.2893115093326858E-2</v>
      </c>
      <c r="AB524" s="22">
        <f t="shared" si="118"/>
        <v>9.3181758154257929E-2</v>
      </c>
      <c r="AC524" s="22">
        <f t="shared" si="118"/>
        <v>9.3491444989645012E-2</v>
      </c>
      <c r="AD524" s="22">
        <f t="shared" si="118"/>
        <v>9.3695284789210367E-2</v>
      </c>
      <c r="AE524" s="22">
        <f t="shared" si="118"/>
        <v>9.3915011879118299E-2</v>
      </c>
      <c r="AF524" s="22">
        <f t="shared" si="118"/>
        <v>9.4149258367795627E-2</v>
      </c>
      <c r="AG524" s="22">
        <f t="shared" si="118"/>
        <v>9.4400657129803389E-2</v>
      </c>
      <c r="AH524" s="22">
        <f t="shared" si="118"/>
        <v>9.4660249844504385E-2</v>
      </c>
      <c r="AI524" s="22">
        <f t="shared" si="118"/>
        <v>9.4821175093764906E-2</v>
      </c>
      <c r="AJ524" s="22">
        <f t="shared" si="118"/>
        <v>9.4994033875618389E-2</v>
      </c>
      <c r="AK524" s="22">
        <f t="shared" si="118"/>
        <v>9.5176097250528169E-2</v>
      </c>
      <c r="AL524" s="22">
        <f t="shared" si="118"/>
        <v>9.5368492746824421E-2</v>
      </c>
      <c r="AM524" s="22">
        <f t="shared" si="118"/>
        <v>9.5572238323119812E-2</v>
      </c>
      <c r="AN524" s="22">
        <f t="shared" si="118"/>
        <v>9.5683332216812994E-2</v>
      </c>
      <c r="AO524" s="22">
        <f t="shared" si="118"/>
        <v>9.5801171228242971E-2</v>
      </c>
      <c r="AP524" s="22">
        <f t="shared" si="118"/>
        <v>9.5928228659268394E-2</v>
      </c>
      <c r="AQ524" s="22">
        <f t="shared" si="118"/>
        <v>9.6064268130799754E-2</v>
      </c>
      <c r="AR524" s="22">
        <f t="shared" si="118"/>
        <v>9.6211019024491043E-2</v>
      </c>
      <c r="AS524" s="22">
        <f t="shared" si="118"/>
        <v>9.6262279163000078E-2</v>
      </c>
      <c r="AT524" s="22">
        <f t="shared" si="118"/>
        <v>9.6302182051389879E-2</v>
      </c>
      <c r="AU524" s="22">
        <f t="shared" si="118"/>
        <v>9.634790505553549E-2</v>
      </c>
      <c r="AV524" s="22">
        <f t="shared" si="118"/>
        <v>9.6403075497959345E-2</v>
      </c>
      <c r="AW524" s="22">
        <f t="shared" si="118"/>
        <v>9.6463818444186472E-2</v>
      </c>
      <c r="AY524" s="85"/>
    </row>
    <row r="525" spans="1:51" x14ac:dyDescent="0.25">
      <c r="A525" s="102" t="str">
        <f t="shared" si="108"/>
        <v>PQ Organic</v>
      </c>
      <c r="B525" s="102" t="s">
        <v>969</v>
      </c>
      <c r="C525" s="102" t="s">
        <v>1128</v>
      </c>
      <c r="D525" t="s">
        <v>369</v>
      </c>
      <c r="E525" t="s">
        <v>55</v>
      </c>
      <c r="F525" t="s">
        <v>421</v>
      </c>
      <c r="G525" t="s">
        <v>1173</v>
      </c>
      <c r="H525" t="s">
        <v>1174</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85"/>
    </row>
    <row r="526" spans="1:51" x14ac:dyDescent="0.25">
      <c r="A526" s="102" t="str">
        <f t="shared" si="108"/>
        <v>PQ Organic</v>
      </c>
      <c r="B526" s="102" t="s">
        <v>969</v>
      </c>
      <c r="C526" s="102" t="s">
        <v>1128</v>
      </c>
      <c r="D526" t="s">
        <v>369</v>
      </c>
      <c r="E526" t="s">
        <v>55</v>
      </c>
      <c r="F526" t="s">
        <v>421</v>
      </c>
      <c r="G526" t="s">
        <v>1175</v>
      </c>
      <c r="H526" t="s">
        <v>1176</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85"/>
    </row>
    <row r="527" spans="1:51" x14ac:dyDescent="0.25">
      <c r="A527" s="102" t="str">
        <f t="shared" si="108"/>
        <v>PQ Organic</v>
      </c>
      <c r="B527" s="102" t="s">
        <v>969</v>
      </c>
      <c r="C527" s="102" t="s">
        <v>1128</v>
      </c>
      <c r="D527" t="s">
        <v>369</v>
      </c>
      <c r="E527" t="s">
        <v>55</v>
      </c>
      <c r="F527" t="s">
        <v>421</v>
      </c>
      <c r="G527" t="s">
        <v>1177</v>
      </c>
      <c r="H527" t="s">
        <v>1178</v>
      </c>
      <c r="I527" t="s">
        <v>139</v>
      </c>
      <c r="J527" t="s">
        <v>287</v>
      </c>
      <c r="K527" s="22">
        <f t="shared" si="117"/>
        <v>0.12512489027733434</v>
      </c>
      <c r="L527" s="22">
        <f t="shared" si="119"/>
        <v>0.1249037465490002</v>
      </c>
      <c r="M527" s="22">
        <f t="shared" si="119"/>
        <v>0.12420297117813216</v>
      </c>
      <c r="N527" s="22">
        <f t="shared" si="119"/>
        <v>0.12146227380625023</v>
      </c>
      <c r="O527" s="22">
        <f t="shared" si="119"/>
        <v>0.11887050141065171</v>
      </c>
      <c r="P527" s="22">
        <f t="shared" si="119"/>
        <v>0.11845218382715161</v>
      </c>
      <c r="Q527" s="22">
        <f t="shared" si="119"/>
        <v>0.11743671165425351</v>
      </c>
      <c r="R527" s="22">
        <f t="shared" si="119"/>
        <v>0.11430912679136991</v>
      </c>
      <c r="S527" s="22">
        <f t="shared" si="119"/>
        <v>0.1019584522188007</v>
      </c>
      <c r="T527" s="22">
        <f t="shared" si="119"/>
        <v>0.10415164096850968</v>
      </c>
      <c r="U527" s="22">
        <f t="shared" si="119"/>
        <v>0.10516156472619907</v>
      </c>
      <c r="V527" s="22">
        <f t="shared" si="119"/>
        <v>0.10589710072304019</v>
      </c>
      <c r="W527" s="22">
        <f t="shared" si="119"/>
        <v>0.10702634667209501</v>
      </c>
      <c r="X527" s="22">
        <f t="shared" si="119"/>
        <v>0.10953406099380125</v>
      </c>
      <c r="Y527" s="22">
        <f t="shared" si="119"/>
        <v>0.11235635375154626</v>
      </c>
      <c r="Z527" s="22">
        <f t="shared" si="119"/>
        <v>0.11546203967262161</v>
      </c>
      <c r="AA527" s="22">
        <f t="shared" si="119"/>
        <v>0.11794547104868178</v>
      </c>
      <c r="AB527" s="22">
        <f t="shared" si="119"/>
        <v>0.12098722785949015</v>
      </c>
      <c r="AC527" s="22">
        <f t="shared" si="119"/>
        <v>0.12470963867892285</v>
      </c>
      <c r="AD527" s="22">
        <f t="shared" si="119"/>
        <v>0.12823307755990843</v>
      </c>
      <c r="AE527" s="22">
        <f t="shared" si="119"/>
        <v>0.13190019989335749</v>
      </c>
      <c r="AF527" s="22">
        <f t="shared" si="119"/>
        <v>0.13558882448809464</v>
      </c>
      <c r="AG527" s="22">
        <f t="shared" si="119"/>
        <v>0.139795617096279</v>
      </c>
      <c r="AH527" s="22">
        <f t="shared" si="119"/>
        <v>0.14320619245252167</v>
      </c>
      <c r="AI527" s="22">
        <f t="shared" si="119"/>
        <v>0.14686073920515186</v>
      </c>
      <c r="AJ527" s="22">
        <f t="shared" si="119"/>
        <v>0.15051597642167761</v>
      </c>
      <c r="AK527" s="22">
        <f t="shared" si="119"/>
        <v>0.15383345031493795</v>
      </c>
      <c r="AL527" s="22">
        <f t="shared" si="119"/>
        <v>0.15704803055416769</v>
      </c>
      <c r="AM527" s="22">
        <f t="shared" si="119"/>
        <v>0.16036221209585783</v>
      </c>
      <c r="AN527" s="22">
        <f t="shared" si="119"/>
        <v>0.16386598018742685</v>
      </c>
      <c r="AO527" s="22">
        <f t="shared" si="119"/>
        <v>0.16694649307070639</v>
      </c>
      <c r="AP527" s="22">
        <f t="shared" si="119"/>
        <v>0.17000456077892223</v>
      </c>
      <c r="AQ527" s="22">
        <f t="shared" si="119"/>
        <v>0.17304831428445985</v>
      </c>
      <c r="AR527" s="22">
        <f t="shared" si="119"/>
        <v>0.17634648819223331</v>
      </c>
      <c r="AS527" s="22">
        <f t="shared" si="119"/>
        <v>0.17969250919958218</v>
      </c>
      <c r="AT527" s="22">
        <f t="shared" si="119"/>
        <v>0.18047485756179946</v>
      </c>
      <c r="AU527" s="22">
        <f t="shared" si="119"/>
        <v>0.18104197572914582</v>
      </c>
      <c r="AV527" s="22">
        <f t="shared" si="119"/>
        <v>0.18189334709867436</v>
      </c>
      <c r="AW527" s="22">
        <f t="shared" si="119"/>
        <v>0.18255809913012605</v>
      </c>
      <c r="AY527" s="85"/>
    </row>
    <row r="528" spans="1:51" x14ac:dyDescent="0.25">
      <c r="A528" s="102" t="str">
        <f t="shared" si="108"/>
        <v>PQ Organic</v>
      </c>
      <c r="B528" s="102" t="s">
        <v>969</v>
      </c>
      <c r="C528" s="102" t="s">
        <v>1128</v>
      </c>
      <c r="D528" t="s">
        <v>369</v>
      </c>
      <c r="E528" t="s">
        <v>55</v>
      </c>
      <c r="F528" t="s">
        <v>421</v>
      </c>
      <c r="G528" t="s">
        <v>1179</v>
      </c>
      <c r="H528" t="s">
        <v>1180</v>
      </c>
      <c r="I528" t="s">
        <v>139</v>
      </c>
      <c r="J528" t="s">
        <v>287</v>
      </c>
      <c r="K528" s="22">
        <f t="shared" si="117"/>
        <v>3.1744662482237319E-2</v>
      </c>
      <c r="L528" s="22">
        <f t="shared" si="119"/>
        <v>3.1688557473869519E-2</v>
      </c>
      <c r="M528" s="22">
        <f t="shared" si="119"/>
        <v>3.151076808620442E-2</v>
      </c>
      <c r="N528" s="22">
        <f t="shared" si="119"/>
        <v>3.0815442696959246E-2</v>
      </c>
      <c r="O528" s="22">
        <f t="shared" si="119"/>
        <v>3.0157900142902292E-2</v>
      </c>
      <c r="P528" s="22">
        <f t="shared" si="119"/>
        <v>3.0051771374524052E-2</v>
      </c>
      <c r="Q528" s="22">
        <f t="shared" si="119"/>
        <v>2.9794142206440031E-2</v>
      </c>
      <c r="R528" s="22">
        <f t="shared" si="119"/>
        <v>2.9000661983306687E-2</v>
      </c>
      <c r="S528" s="22">
        <f t="shared" si="119"/>
        <v>2.5867248680284741E-2</v>
      </c>
      <c r="T528" s="22">
        <f t="shared" si="119"/>
        <v>2.6423669041293948E-2</v>
      </c>
      <c r="U528" s="22">
        <f t="shared" si="119"/>
        <v>2.6679890555251589E-2</v>
      </c>
      <c r="V528" s="22">
        <f t="shared" si="119"/>
        <v>2.6866498846467711E-2</v>
      </c>
      <c r="W528" s="22">
        <f t="shared" si="119"/>
        <v>2.7152992856034661E-2</v>
      </c>
      <c r="X528" s="22">
        <f t="shared" si="119"/>
        <v>2.7789209555749587E-2</v>
      </c>
      <c r="Y528" s="22">
        <f t="shared" si="119"/>
        <v>2.8505236005979432E-2</v>
      </c>
      <c r="Z528" s="22">
        <f t="shared" si="119"/>
        <v>2.9293160383949742E-2</v>
      </c>
      <c r="AA528" s="22">
        <f t="shared" si="119"/>
        <v>2.9923216407624114E-2</v>
      </c>
      <c r="AB528" s="22">
        <f t="shared" si="119"/>
        <v>3.0694921726191319E-2</v>
      </c>
      <c r="AC528" s="22">
        <f t="shared" si="119"/>
        <v>3.1639311565984256E-2</v>
      </c>
      <c r="AD528" s="22">
        <f t="shared" si="119"/>
        <v>3.2533221465171916E-2</v>
      </c>
      <c r="AE528" s="22">
        <f t="shared" si="119"/>
        <v>3.3463584404938677E-2</v>
      </c>
      <c r="AF528" s="22">
        <f t="shared" si="119"/>
        <v>3.4399402550505692E-2</v>
      </c>
      <c r="AG528" s="22">
        <f t="shared" si="119"/>
        <v>3.5466681899830918E-2</v>
      </c>
      <c r="AH528" s="22">
        <f t="shared" si="119"/>
        <v>3.633195789179533E-2</v>
      </c>
      <c r="AI528" s="22">
        <f t="shared" si="119"/>
        <v>3.7259130358685527E-2</v>
      </c>
      <c r="AJ528" s="22">
        <f t="shared" si="119"/>
        <v>3.8186477998902742E-2</v>
      </c>
      <c r="AK528" s="22">
        <f t="shared" si="119"/>
        <v>3.9028133794178674E-2</v>
      </c>
      <c r="AL528" s="22">
        <f t="shared" si="119"/>
        <v>3.984368507650337E-2</v>
      </c>
      <c r="AM528" s="22">
        <f t="shared" si="119"/>
        <v>4.0684505589613319E-2</v>
      </c>
      <c r="AN528" s="22">
        <f t="shared" si="119"/>
        <v>4.1573424934408458E-2</v>
      </c>
      <c r="AO528" s="22">
        <f t="shared" si="119"/>
        <v>4.2354962816560815E-2</v>
      </c>
      <c r="AP528" s="22">
        <f t="shared" si="119"/>
        <v>4.3130806272087305E-2</v>
      </c>
      <c r="AQ528" s="22">
        <f t="shared" si="119"/>
        <v>4.3903018159732181E-2</v>
      </c>
      <c r="AR528" s="22">
        <f t="shared" si="119"/>
        <v>4.4739777474988543E-2</v>
      </c>
      <c r="AS528" s="22">
        <f t="shared" si="119"/>
        <v>4.5588675782122633E-2</v>
      </c>
      <c r="AT528" s="22">
        <f t="shared" si="119"/>
        <v>4.5787160549198715E-2</v>
      </c>
      <c r="AU528" s="22">
        <f t="shared" si="119"/>
        <v>4.5931040593928836E-2</v>
      </c>
      <c r="AV528" s="22">
        <f t="shared" si="119"/>
        <v>4.6147036761540416E-2</v>
      </c>
      <c r="AW528" s="22">
        <f t="shared" si="119"/>
        <v>4.6315686890432001E-2</v>
      </c>
      <c r="AY528" s="85"/>
    </row>
    <row r="529" spans="1:51" x14ac:dyDescent="0.25">
      <c r="A529" s="102" t="str">
        <f t="shared" si="108"/>
        <v>PQ Organic</v>
      </c>
      <c r="B529" s="102" t="s">
        <v>969</v>
      </c>
      <c r="C529" s="102" t="s">
        <v>1128</v>
      </c>
      <c r="D529" t="s">
        <v>369</v>
      </c>
      <c r="E529" t="s">
        <v>55</v>
      </c>
      <c r="F529" t="s">
        <v>421</v>
      </c>
      <c r="G529" t="s">
        <v>1181</v>
      </c>
      <c r="H529" t="s">
        <v>1182</v>
      </c>
      <c r="I529" t="s">
        <v>139</v>
      </c>
      <c r="J529" t="s">
        <v>287</v>
      </c>
      <c r="K529" s="22">
        <f t="shared" si="117"/>
        <v>0.1574619566019842</v>
      </c>
      <c r="L529" s="22">
        <f t="shared" si="119"/>
        <v>0.16100119532971174</v>
      </c>
      <c r="M529" s="22">
        <f t="shared" si="119"/>
        <v>0.16420239799096348</v>
      </c>
      <c r="N529" s="22">
        <f t="shared" si="119"/>
        <v>0.16585503975435448</v>
      </c>
      <c r="O529" s="22">
        <f t="shared" si="119"/>
        <v>0.16755324219146345</v>
      </c>
      <c r="P529" s="22">
        <f t="shared" si="119"/>
        <v>0.1709343585165998</v>
      </c>
      <c r="Q529" s="22">
        <f t="shared" si="119"/>
        <v>0.17382552357996145</v>
      </c>
      <c r="R529" s="22">
        <f t="shared" si="119"/>
        <v>0.17492293808026785</v>
      </c>
      <c r="S529" s="22">
        <f t="shared" si="119"/>
        <v>0.16797595240358967</v>
      </c>
      <c r="T529" s="22">
        <f t="shared" si="119"/>
        <v>0.17297492730025818</v>
      </c>
      <c r="U529" s="22">
        <f t="shared" si="119"/>
        <v>0.17701513008922104</v>
      </c>
      <c r="V529" s="22">
        <f t="shared" si="119"/>
        <v>0.18086520723507568</v>
      </c>
      <c r="W529" s="22">
        <f t="shared" si="119"/>
        <v>0.18514026922037843</v>
      </c>
      <c r="X529" s="22">
        <f t="shared" si="119"/>
        <v>0.19081502616241675</v>
      </c>
      <c r="Y529" s="22">
        <f t="shared" si="119"/>
        <v>0.19677527630059505</v>
      </c>
      <c r="Z529" s="22">
        <f t="shared" si="119"/>
        <v>0.20316424040233105</v>
      </c>
      <c r="AA529" s="22">
        <f t="shared" si="119"/>
        <v>0.2090740458335611</v>
      </c>
      <c r="AB529" s="22">
        <f t="shared" si="119"/>
        <v>0.21570429527296558</v>
      </c>
      <c r="AC529" s="22">
        <f t="shared" si="119"/>
        <v>0.22322461413005179</v>
      </c>
      <c r="AD529" s="22">
        <f t="shared" si="119"/>
        <v>0.23059574512274245</v>
      </c>
      <c r="AE529" s="22">
        <f t="shared" si="119"/>
        <v>0.23831574484289472</v>
      </c>
      <c r="AF529" s="22">
        <f t="shared" si="119"/>
        <v>0.24625980781200643</v>
      </c>
      <c r="AG529" s="22">
        <f t="shared" si="119"/>
        <v>0.25500800669627088</v>
      </c>
      <c r="AH529" s="22">
        <f t="shared" si="119"/>
        <v>0.26305100817364307</v>
      </c>
      <c r="AI529" s="22">
        <f t="shared" si="119"/>
        <v>0.27146542700983761</v>
      </c>
      <c r="AJ529" s="22">
        <f t="shared" si="119"/>
        <v>0.28009700813609817</v>
      </c>
      <c r="AK529" s="22">
        <f t="shared" si="119"/>
        <v>0.28852863408778395</v>
      </c>
      <c r="AL529" s="22">
        <f t="shared" si="119"/>
        <v>0.29704040587124897</v>
      </c>
      <c r="AM529" s="22">
        <f t="shared" si="119"/>
        <v>0.30589267500220069</v>
      </c>
      <c r="AN529" s="22">
        <f t="shared" si="119"/>
        <v>0.31509949249948005</v>
      </c>
      <c r="AO529" s="22">
        <f t="shared" si="119"/>
        <v>0.32397232132243609</v>
      </c>
      <c r="AP529" s="22">
        <f t="shared" si="119"/>
        <v>0.33303470425340953</v>
      </c>
      <c r="AQ529" s="22">
        <f t="shared" si="119"/>
        <v>0.34230228220604159</v>
      </c>
      <c r="AR529" s="22">
        <f t="shared" si="119"/>
        <v>0.35216230168979662</v>
      </c>
      <c r="AS529" s="22">
        <f t="shared" si="119"/>
        <v>0.36222138179977098</v>
      </c>
      <c r="AT529" s="22">
        <f t="shared" si="119"/>
        <v>0.36875743363549901</v>
      </c>
      <c r="AU529" s="22">
        <f t="shared" si="119"/>
        <v>0.37509652822170919</v>
      </c>
      <c r="AV529" s="22">
        <f t="shared" si="119"/>
        <v>0.38198920884211868</v>
      </c>
      <c r="AW529" s="22">
        <f t="shared" si="119"/>
        <v>0.3887297225488785</v>
      </c>
      <c r="AY529" s="85"/>
    </row>
    <row r="530" spans="1:51" x14ac:dyDescent="0.25">
      <c r="A530" s="102" t="str">
        <f t="shared" si="108"/>
        <v>PQ Organic</v>
      </c>
      <c r="B530" s="102" t="s">
        <v>969</v>
      </c>
      <c r="C530" s="102" t="s">
        <v>1128</v>
      </c>
      <c r="D530" t="s">
        <v>369</v>
      </c>
      <c r="E530" t="s">
        <v>55</v>
      </c>
      <c r="F530" t="s">
        <v>421</v>
      </c>
      <c r="G530" t="s">
        <v>1183</v>
      </c>
      <c r="H530" t="s">
        <v>1184</v>
      </c>
      <c r="I530" t="s">
        <v>139</v>
      </c>
      <c r="J530" t="s">
        <v>287</v>
      </c>
      <c r="K530" s="22">
        <f t="shared" si="117"/>
        <v>0.79145317534147697</v>
      </c>
      <c r="L530" s="22">
        <f t="shared" si="119"/>
        <v>0.80614249446586472</v>
      </c>
      <c r="M530" s="22">
        <f t="shared" si="119"/>
        <v>0.81576351649757217</v>
      </c>
      <c r="N530" s="22">
        <f t="shared" si="119"/>
        <v>0.8051815142548906</v>
      </c>
      <c r="O530" s="22">
        <f t="shared" si="119"/>
        <v>0.79491912717906921</v>
      </c>
      <c r="P530" s="22">
        <f t="shared" si="119"/>
        <v>0.8050882404927846</v>
      </c>
      <c r="Q530" s="22">
        <f t="shared" si="119"/>
        <v>0.80900668851215218</v>
      </c>
      <c r="R530" s="22">
        <f t="shared" si="119"/>
        <v>0.79104206342465233</v>
      </c>
      <c r="S530" s="22">
        <f t="shared" si="119"/>
        <v>0.67708002243474696</v>
      </c>
      <c r="T530" s="22">
        <f t="shared" si="119"/>
        <v>0.71326971422678453</v>
      </c>
      <c r="U530" s="22">
        <f t="shared" si="119"/>
        <v>0.73749777615328771</v>
      </c>
      <c r="V530" s="22">
        <f t="shared" si="119"/>
        <v>0.75903343240977361</v>
      </c>
      <c r="W530" s="22">
        <f t="shared" si="119"/>
        <v>0.78503971816941975</v>
      </c>
      <c r="X530" s="22">
        <f t="shared" si="119"/>
        <v>0.8265450745172781</v>
      </c>
      <c r="Y530" s="22">
        <f t="shared" si="119"/>
        <v>0.87296422483256353</v>
      </c>
      <c r="Z530" s="22">
        <f t="shared" si="119"/>
        <v>0.92344360360977484</v>
      </c>
      <c r="AA530" s="22">
        <f t="shared" si="119"/>
        <v>0.9677689116158269</v>
      </c>
      <c r="AB530" s="22">
        <f t="shared" si="119"/>
        <v>1.0193755598811634</v>
      </c>
      <c r="AC530" s="22">
        <f t="shared" si="119"/>
        <v>1.0799736712957677</v>
      </c>
      <c r="AD530" s="22">
        <f t="shared" si="119"/>
        <v>1.1399677250662128</v>
      </c>
      <c r="AE530" s="22">
        <f t="shared" si="119"/>
        <v>1.2028979209953241</v>
      </c>
      <c r="AF530" s="22">
        <f t="shared" si="119"/>
        <v>1.2673719800644652</v>
      </c>
      <c r="AG530" s="22">
        <f t="shared" si="119"/>
        <v>1.3395677079848545</v>
      </c>
      <c r="AH530" s="22">
        <f t="shared" si="119"/>
        <v>1.4033231150236891</v>
      </c>
      <c r="AI530" s="22">
        <f t="shared" si="119"/>
        <v>1.4719666098768296</v>
      </c>
      <c r="AJ530" s="22">
        <f t="shared" si="119"/>
        <v>1.5420388237441127</v>
      </c>
      <c r="AK530" s="22">
        <f t="shared" si="119"/>
        <v>1.6091811663069184</v>
      </c>
      <c r="AL530" s="22">
        <f t="shared" si="119"/>
        <v>1.6763559089740723</v>
      </c>
      <c r="AM530" s="22">
        <f t="shared" si="119"/>
        <v>1.7462483337512213</v>
      </c>
      <c r="AN530" s="22">
        <f t="shared" si="119"/>
        <v>1.8206168694032934</v>
      </c>
      <c r="AO530" s="22">
        <f t="shared" si="119"/>
        <v>1.8907719180049514</v>
      </c>
      <c r="AP530" s="22">
        <f t="shared" si="119"/>
        <v>1.9620842803375478</v>
      </c>
      <c r="AQ530" s="22">
        <f t="shared" si="119"/>
        <v>2.0346990314319551</v>
      </c>
      <c r="AR530" s="22">
        <f t="shared" si="119"/>
        <v>2.1124695104369047</v>
      </c>
      <c r="AS530" s="22">
        <f t="shared" si="119"/>
        <v>2.1930634279587973</v>
      </c>
      <c r="AT530" s="22">
        <f t="shared" si="119"/>
        <v>2.2380483172942163</v>
      </c>
      <c r="AU530" s="22">
        <f t="shared" si="119"/>
        <v>2.2806855119174227</v>
      </c>
      <c r="AV530" s="22">
        <f t="shared" si="119"/>
        <v>2.3283502130567282</v>
      </c>
      <c r="AW530" s="22">
        <f t="shared" si="119"/>
        <v>2.3741040563618498</v>
      </c>
      <c r="AY530" s="85"/>
    </row>
    <row r="531" spans="1:51" x14ac:dyDescent="0.25">
      <c r="A531" s="102" t="str">
        <f t="shared" si="108"/>
        <v>PQ U&amp;D</v>
      </c>
      <c r="B531" s="102" t="s">
        <v>969</v>
      </c>
      <c r="C531" s="102" t="s">
        <v>1337</v>
      </c>
      <c r="D531" t="s">
        <v>369</v>
      </c>
      <c r="E531" t="s">
        <v>55</v>
      </c>
      <c r="F531" t="s">
        <v>422</v>
      </c>
      <c r="G531" t="s">
        <v>1153</v>
      </c>
      <c r="H531" t="s">
        <v>1241</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85"/>
    </row>
    <row r="532" spans="1:51" x14ac:dyDescent="0.25">
      <c r="A532" s="102" t="str">
        <f t="shared" si="108"/>
        <v>PQ U&amp;D</v>
      </c>
      <c r="B532" s="102" t="s">
        <v>969</v>
      </c>
      <c r="C532" s="102" t="s">
        <v>1337</v>
      </c>
      <c r="D532" t="s">
        <v>369</v>
      </c>
      <c r="E532" t="s">
        <v>55</v>
      </c>
      <c r="F532" t="s">
        <v>422</v>
      </c>
      <c r="G532" t="s">
        <v>1155</v>
      </c>
      <c r="H532" t="s">
        <v>1242</v>
      </c>
      <c r="I532" t="s">
        <v>139</v>
      </c>
      <c r="J532" t="s">
        <v>287</v>
      </c>
      <c r="K532" s="22">
        <f t="shared" si="117"/>
        <v>1.0786753296429479</v>
      </c>
      <c r="L532" s="22">
        <f t="shared" si="119"/>
        <v>1.0859586060309057</v>
      </c>
      <c r="M532" s="22">
        <f t="shared" si="119"/>
        <v>1.0923296279678898</v>
      </c>
      <c r="N532" s="22">
        <f t="shared" si="119"/>
        <v>1.0931537330099066</v>
      </c>
      <c r="O532" s="22">
        <f t="shared" si="119"/>
        <v>1.0945731731430408</v>
      </c>
      <c r="P532" s="22">
        <f t="shared" si="119"/>
        <v>1.1027176588076981</v>
      </c>
      <c r="Q532" s="22">
        <f t="shared" si="119"/>
        <v>1.1092302651165924</v>
      </c>
      <c r="R532" s="22">
        <f t="shared" si="119"/>
        <v>1.109287368040317</v>
      </c>
      <c r="S532" s="22">
        <f t="shared" si="119"/>
        <v>1.0798981830298287</v>
      </c>
      <c r="T532" s="22">
        <f t="shared" si="119"/>
        <v>1.0940959356021487</v>
      </c>
      <c r="U532" s="22">
        <f t="shared" si="119"/>
        <v>1.1048433903618551</v>
      </c>
      <c r="V532" s="22">
        <f t="shared" si="119"/>
        <v>1.1149833596000451</v>
      </c>
      <c r="W532" s="22">
        <f t="shared" si="119"/>
        <v>1.1267409528269945</v>
      </c>
      <c r="X532" s="22">
        <f t="shared" si="119"/>
        <v>1.1435878034617475</v>
      </c>
      <c r="Y532" s="22">
        <f t="shared" si="119"/>
        <v>1.1611273352268467</v>
      </c>
      <c r="Z532" s="22">
        <f t="shared" si="119"/>
        <v>1.1801792260010431</v>
      </c>
      <c r="AA532" s="22">
        <f t="shared" si="119"/>
        <v>1.1975049735261083</v>
      </c>
      <c r="AB532" s="22">
        <f t="shared" si="119"/>
        <v>1.2173560530719671</v>
      </c>
      <c r="AC532" s="22">
        <f t="shared" si="119"/>
        <v>1.2402923210603021</v>
      </c>
      <c r="AD532" s="22">
        <f t="shared" si="119"/>
        <v>1.2623742733775345</v>
      </c>
      <c r="AE532" s="22">
        <f t="shared" si="119"/>
        <v>1.2856074455004303</v>
      </c>
      <c r="AF532" s="22">
        <f t="shared" ref="L532:AW539" si="120">AF1483</f>
        <v>1.3095452950439004</v>
      </c>
      <c r="AG532" s="22">
        <f t="shared" si="120"/>
        <v>1.3361813419952935</v>
      </c>
      <c r="AH532" s="22">
        <f t="shared" si="120"/>
        <v>1.3602968998390941</v>
      </c>
      <c r="AI532" s="22">
        <f t="shared" si="120"/>
        <v>1.3853556448541151</v>
      </c>
      <c r="AJ532" s="22">
        <f t="shared" si="120"/>
        <v>1.4110693769069982</v>
      </c>
      <c r="AK532" s="22">
        <f t="shared" si="120"/>
        <v>1.4360144578705683</v>
      </c>
      <c r="AL532" s="22">
        <f t="shared" si="120"/>
        <v>1.4611486001146794</v>
      </c>
      <c r="AM532" s="22">
        <f t="shared" si="120"/>
        <v>1.4873489277695111</v>
      </c>
      <c r="AN532" s="22">
        <f t="shared" si="120"/>
        <v>1.5144167777664856</v>
      </c>
      <c r="AO532" s="22">
        <f t="shared" si="120"/>
        <v>1.540269346746828</v>
      </c>
      <c r="AP532" s="22">
        <f t="shared" si="120"/>
        <v>1.5666680254867089</v>
      </c>
      <c r="AQ532" s="22">
        <f t="shared" si="120"/>
        <v>1.593660390525756</v>
      </c>
      <c r="AR532" s="22">
        <f t="shared" si="120"/>
        <v>1.6225260915070563</v>
      </c>
      <c r="AS532" s="22">
        <f t="shared" si="120"/>
        <v>1.6517094827819983</v>
      </c>
      <c r="AT532" s="22">
        <f t="shared" si="120"/>
        <v>1.6691760933817195</v>
      </c>
      <c r="AU532" s="22">
        <f t="shared" si="120"/>
        <v>1.6859640883447786</v>
      </c>
      <c r="AV532" s="22">
        <f t="shared" si="120"/>
        <v>1.7045379947409554</v>
      </c>
      <c r="AW532" s="22">
        <f t="shared" si="120"/>
        <v>1.7225765964260569</v>
      </c>
      <c r="AY532" s="85"/>
    </row>
    <row r="533" spans="1:51" x14ac:dyDescent="0.25">
      <c r="A533" s="102" t="str">
        <f t="shared" si="108"/>
        <v>PQ U&amp;D</v>
      </c>
      <c r="B533" s="102" t="s">
        <v>969</v>
      </c>
      <c r="C533" s="102" t="s">
        <v>1337</v>
      </c>
      <c r="D533" t="s">
        <v>369</v>
      </c>
      <c r="E533" t="s">
        <v>55</v>
      </c>
      <c r="F533" t="s">
        <v>422</v>
      </c>
      <c r="G533" t="s">
        <v>1157</v>
      </c>
      <c r="H533" t="s">
        <v>1243</v>
      </c>
      <c r="I533" t="s">
        <v>139</v>
      </c>
      <c r="J533" t="s">
        <v>287</v>
      </c>
      <c r="K533" s="22">
        <f t="shared" si="117"/>
        <v>0.73458527987811684</v>
      </c>
      <c r="L533" s="22">
        <f t="shared" si="120"/>
        <v>0.73954524093113228</v>
      </c>
      <c r="M533" s="22">
        <f t="shared" si="120"/>
        <v>0.74388395046130973</v>
      </c>
      <c r="N533" s="22">
        <f t="shared" si="120"/>
        <v>0.7444451716335222</v>
      </c>
      <c r="O533" s="22">
        <f t="shared" si="120"/>
        <v>0.7454118200761205</v>
      </c>
      <c r="P533" s="22">
        <f t="shared" si="120"/>
        <v>0.75095827053903796</v>
      </c>
      <c r="Q533" s="22">
        <f t="shared" si="120"/>
        <v>0.75539339999521871</v>
      </c>
      <c r="R533" s="22">
        <f t="shared" si="120"/>
        <v>0.75543228747697821</v>
      </c>
      <c r="S533" s="22">
        <f t="shared" si="120"/>
        <v>0.73541805140145267</v>
      </c>
      <c r="T533" s="22">
        <f t="shared" si="120"/>
        <v>0.74508681804547194</v>
      </c>
      <c r="U533" s="22">
        <f t="shared" si="120"/>
        <v>0.75240590827186049</v>
      </c>
      <c r="V533" s="22">
        <f t="shared" si="120"/>
        <v>0.75931129670162745</v>
      </c>
      <c r="W533" s="22">
        <f t="shared" si="120"/>
        <v>0.76731829813566454</v>
      </c>
      <c r="X533" s="22">
        <f t="shared" si="120"/>
        <v>0.77879111868556206</v>
      </c>
      <c r="Y533" s="22">
        <f t="shared" si="120"/>
        <v>0.79073565982461014</v>
      </c>
      <c r="Z533" s="22">
        <f t="shared" si="120"/>
        <v>0.80371012779654638</v>
      </c>
      <c r="AA533" s="22">
        <f t="shared" si="120"/>
        <v>0.81550908040540082</v>
      </c>
      <c r="AB533" s="22">
        <f t="shared" si="120"/>
        <v>0.82902780139895904</v>
      </c>
      <c r="AC533" s="22">
        <f t="shared" si="120"/>
        <v>0.84464755683097381</v>
      </c>
      <c r="AD533" s="22">
        <f t="shared" si="120"/>
        <v>0.85968551744566435</v>
      </c>
      <c r="AE533" s="22">
        <f t="shared" si="120"/>
        <v>0.8755074666247592</v>
      </c>
      <c r="AF533" s="22">
        <f t="shared" si="120"/>
        <v>0.89180930594872954</v>
      </c>
      <c r="AG533" s="22">
        <f t="shared" si="120"/>
        <v>0.90994863616879917</v>
      </c>
      <c r="AH533" s="22">
        <f t="shared" si="120"/>
        <v>0.9263714960611904</v>
      </c>
      <c r="AI533" s="22">
        <f t="shared" si="120"/>
        <v>0.94343667287055244</v>
      </c>
      <c r="AJ533" s="22">
        <f t="shared" si="120"/>
        <v>0.96094790033417754</v>
      </c>
      <c r="AK533" s="22">
        <f t="shared" si="120"/>
        <v>0.97793567114680158</v>
      </c>
      <c r="AL533" s="22">
        <f t="shared" si="120"/>
        <v>0.99505219398504785</v>
      </c>
      <c r="AM533" s="22">
        <f t="shared" si="120"/>
        <v>1.0128947963829298</v>
      </c>
      <c r="AN533" s="22">
        <f t="shared" si="120"/>
        <v>1.0313281874314744</v>
      </c>
      <c r="AO533" s="22">
        <f t="shared" si="120"/>
        <v>1.0489339637926334</v>
      </c>
      <c r="AP533" s="22">
        <f t="shared" si="120"/>
        <v>1.066911644636569</v>
      </c>
      <c r="AQ533" s="22">
        <f t="shared" si="120"/>
        <v>1.0852936299122902</v>
      </c>
      <c r="AR533" s="22">
        <f t="shared" si="120"/>
        <v>1.1049513697822153</v>
      </c>
      <c r="AS533" s="22">
        <f t="shared" si="120"/>
        <v>1.1248254589157749</v>
      </c>
      <c r="AT533" s="22">
        <f t="shared" si="120"/>
        <v>1.1367203402422674</v>
      </c>
      <c r="AU533" s="22">
        <f t="shared" si="120"/>
        <v>1.1481530796770461</v>
      </c>
      <c r="AV533" s="22">
        <f t="shared" si="120"/>
        <v>1.1608020370171399</v>
      </c>
      <c r="AW533" s="22">
        <f t="shared" si="120"/>
        <v>1.1730864481863896</v>
      </c>
      <c r="AY533" s="85"/>
    </row>
    <row r="534" spans="1:51" x14ac:dyDescent="0.25">
      <c r="A534" s="102" t="str">
        <f t="shared" si="108"/>
        <v>PQ U&amp;D</v>
      </c>
      <c r="B534" s="102" t="s">
        <v>969</v>
      </c>
      <c r="C534" s="102" t="s">
        <v>1337</v>
      </c>
      <c r="D534" t="s">
        <v>369</v>
      </c>
      <c r="E534" t="s">
        <v>55</v>
      </c>
      <c r="F534" t="s">
        <v>422</v>
      </c>
      <c r="G534" t="s">
        <v>1159</v>
      </c>
      <c r="H534" t="s">
        <v>1244</v>
      </c>
      <c r="I534" t="s">
        <v>139</v>
      </c>
      <c r="J534" t="s">
        <v>287</v>
      </c>
      <c r="K534" s="22">
        <f t="shared" si="117"/>
        <v>15.429280800788639</v>
      </c>
      <c r="L534" s="22">
        <f t="shared" si="120"/>
        <v>15.35072698203709</v>
      </c>
      <c r="M534" s="22">
        <f t="shared" si="120"/>
        <v>15.207351875662043</v>
      </c>
      <c r="N534" s="22">
        <f t="shared" si="120"/>
        <v>14.814893699547214</v>
      </c>
      <c r="O534" s="22">
        <f t="shared" si="120"/>
        <v>14.438096972663228</v>
      </c>
      <c r="P534" s="22">
        <f t="shared" si="120"/>
        <v>14.314758846199135</v>
      </c>
      <c r="Q534" s="22">
        <f t="shared" si="120"/>
        <v>14.115554649678398</v>
      </c>
      <c r="R534" s="22">
        <f t="shared" si="120"/>
        <v>13.66798161990047</v>
      </c>
      <c r="S534" s="22">
        <f t="shared" si="120"/>
        <v>12.166328141225097</v>
      </c>
      <c r="T534" s="22">
        <f t="shared" si="120"/>
        <v>12.463610414813839</v>
      </c>
      <c r="U534" s="22">
        <f t="shared" si="120"/>
        <v>12.624180384375714</v>
      </c>
      <c r="V534" s="22">
        <f t="shared" si="120"/>
        <v>12.751805743467081</v>
      </c>
      <c r="W534" s="22">
        <f t="shared" si="120"/>
        <v>12.923326016620354</v>
      </c>
      <c r="X534" s="22">
        <f t="shared" si="120"/>
        <v>13.25262145197801</v>
      </c>
      <c r="Y534" s="22">
        <f t="shared" si="120"/>
        <v>13.613027690777479</v>
      </c>
      <c r="Z534" s="22">
        <f t="shared" si="120"/>
        <v>14.005728103550339</v>
      </c>
      <c r="AA534" s="22">
        <f t="shared" si="120"/>
        <v>14.32592763712187</v>
      </c>
      <c r="AB534" s="22">
        <f t="shared" si="120"/>
        <v>14.710285410323998</v>
      </c>
      <c r="AC534" s="22">
        <f t="shared" si="120"/>
        <v>15.173253105796089</v>
      </c>
      <c r="AD534" s="22">
        <f t="shared" si="120"/>
        <v>15.47822319183811</v>
      </c>
      <c r="AE534" s="22">
        <f t="shared" si="120"/>
        <v>15.789739593019302</v>
      </c>
      <c r="AF534" s="22">
        <f t="shared" si="120"/>
        <v>16.093283241134344</v>
      </c>
      <c r="AG534" s="22">
        <f t="shared" si="120"/>
        <v>16.444459062010196</v>
      </c>
      <c r="AH534" s="22">
        <f t="shared" si="120"/>
        <v>16.694708961891717</v>
      </c>
      <c r="AI534" s="22">
        <f t="shared" si="120"/>
        <v>16.95834334016514</v>
      </c>
      <c r="AJ534" s="22">
        <f t="shared" si="120"/>
        <v>17.210617740902418</v>
      </c>
      <c r="AK534" s="22">
        <f t="shared" si="120"/>
        <v>17.41443137892249</v>
      </c>
      <c r="AL534" s="22">
        <f t="shared" si="120"/>
        <v>17.595815239613078</v>
      </c>
      <c r="AM534" s="22">
        <f t="shared" si="120"/>
        <v>17.776384709935595</v>
      </c>
      <c r="AN534" s="22">
        <f t="shared" si="120"/>
        <v>18.054309099342483</v>
      </c>
      <c r="AO534" s="22">
        <f t="shared" si="120"/>
        <v>18.280646748605641</v>
      </c>
      <c r="AP534" s="22">
        <f t="shared" si="120"/>
        <v>18.497984454615345</v>
      </c>
      <c r="AQ534" s="22">
        <f t="shared" si="120"/>
        <v>18.70703547273348</v>
      </c>
      <c r="AR534" s="22">
        <f t="shared" si="120"/>
        <v>18.935485661659122</v>
      </c>
      <c r="AS534" s="22">
        <f t="shared" si="120"/>
        <v>19.159250135643951</v>
      </c>
      <c r="AT534" s="22">
        <f t="shared" si="120"/>
        <v>19.11314806868306</v>
      </c>
      <c r="AU534" s="22">
        <f t="shared" si="120"/>
        <v>19.040808228696374</v>
      </c>
      <c r="AV534" s="22">
        <f t="shared" si="120"/>
        <v>18.992992620644625</v>
      </c>
      <c r="AW534" s="22">
        <f t="shared" si="120"/>
        <v>18.921839562511444</v>
      </c>
      <c r="AY534" s="85"/>
    </row>
    <row r="535" spans="1:51" x14ac:dyDescent="0.25">
      <c r="A535" s="102" t="str">
        <f t="shared" si="108"/>
        <v>PQ U&amp;D</v>
      </c>
      <c r="B535" s="102" t="s">
        <v>969</v>
      </c>
      <c r="C535" s="102" t="s">
        <v>1337</v>
      </c>
      <c r="D535" t="s">
        <v>369</v>
      </c>
      <c r="E535" t="s">
        <v>55</v>
      </c>
      <c r="F535" t="s">
        <v>422</v>
      </c>
      <c r="G535" t="s">
        <v>1161</v>
      </c>
      <c r="H535" t="s">
        <v>1245</v>
      </c>
      <c r="I535" t="s">
        <v>139</v>
      </c>
      <c r="J535" t="s">
        <v>287</v>
      </c>
      <c r="K535" s="22">
        <f t="shared" si="117"/>
        <v>9.701944231797869</v>
      </c>
      <c r="L535" s="22">
        <f t="shared" si="120"/>
        <v>9.652549527108631</v>
      </c>
      <c r="M535" s="22">
        <f t="shared" si="120"/>
        <v>9.5623951443970494</v>
      </c>
      <c r="N535" s="22">
        <f t="shared" si="120"/>
        <v>9.3156171262158942</v>
      </c>
      <c r="O535" s="22">
        <f t="shared" si="120"/>
        <v>9.0786870399629098</v>
      </c>
      <c r="P535" s="22">
        <f t="shared" si="120"/>
        <v>9.0011319264058365</v>
      </c>
      <c r="Q535" s="22">
        <f t="shared" si="120"/>
        <v>8.8758721667101366</v>
      </c>
      <c r="R535" s="22">
        <f t="shared" si="120"/>
        <v>8.5944378840220992</v>
      </c>
      <c r="S535" s="22">
        <f t="shared" si="120"/>
        <v>7.6501969635477565</v>
      </c>
      <c r="T535" s="22">
        <f t="shared" si="120"/>
        <v>7.8371282973344023</v>
      </c>
      <c r="U535" s="22">
        <f t="shared" si="120"/>
        <v>7.9380948239084157</v>
      </c>
      <c r="V535" s="22">
        <f t="shared" si="120"/>
        <v>8.0183457528048763</v>
      </c>
      <c r="W535" s="22">
        <f t="shared" si="120"/>
        <v>8.1261978391231704</v>
      </c>
      <c r="X535" s="22">
        <f t="shared" si="120"/>
        <v>8.3332590748913482</v>
      </c>
      <c r="Y535" s="22">
        <f t="shared" si="120"/>
        <v>8.5598828089960346</v>
      </c>
      <c r="Z535" s="22">
        <f t="shared" si="120"/>
        <v>8.8068131457834475</v>
      </c>
      <c r="AA535" s="22">
        <f t="shared" si="120"/>
        <v>9.0081548711605581</v>
      </c>
      <c r="AB535" s="22">
        <f t="shared" si="120"/>
        <v>9.249839349446443</v>
      </c>
      <c r="AC535" s="22">
        <f t="shared" si="120"/>
        <v>9.5409538103592695</v>
      </c>
      <c r="AD535" s="22">
        <f t="shared" si="120"/>
        <v>9.7327192468269903</v>
      </c>
      <c r="AE535" s="22">
        <f t="shared" si="120"/>
        <v>9.9286010115425469</v>
      </c>
      <c r="AF535" s="22">
        <f t="shared" si="120"/>
        <v>10.119469502689464</v>
      </c>
      <c r="AG535" s="22">
        <f t="shared" si="120"/>
        <v>10.340289142547157</v>
      </c>
      <c r="AH535" s="22">
        <f t="shared" si="120"/>
        <v>10.497646481752456</v>
      </c>
      <c r="AI535" s="22">
        <f t="shared" si="120"/>
        <v>10.663419991782989</v>
      </c>
      <c r="AJ535" s="22">
        <f t="shared" si="120"/>
        <v>10.822050338761844</v>
      </c>
      <c r="AK535" s="22">
        <f t="shared" si="120"/>
        <v>10.950208518995984</v>
      </c>
      <c r="AL535" s="22">
        <f t="shared" si="120"/>
        <v>11.064262837125854</v>
      </c>
      <c r="AM535" s="22">
        <f t="shared" si="120"/>
        <v>11.17780506593439</v>
      </c>
      <c r="AN535" s="22">
        <f t="shared" si="120"/>
        <v>11.352564146509573</v>
      </c>
      <c r="AO535" s="22">
        <f t="shared" si="120"/>
        <v>11.494885443208972</v>
      </c>
      <c r="AP535" s="22">
        <f t="shared" si="120"/>
        <v>11.631547568320162</v>
      </c>
      <c r="AQ535" s="22">
        <f t="shared" si="120"/>
        <v>11.762999017390882</v>
      </c>
      <c r="AR535" s="22">
        <f t="shared" si="120"/>
        <v>11.906648680736627</v>
      </c>
      <c r="AS535" s="22">
        <f t="shared" si="120"/>
        <v>12.047351962742322</v>
      </c>
      <c r="AT535" s="22">
        <f t="shared" si="120"/>
        <v>12.018362945794602</v>
      </c>
      <c r="AU535" s="22">
        <f t="shared" si="120"/>
        <v>11.972875595972562</v>
      </c>
      <c r="AV535" s="22">
        <f t="shared" si="120"/>
        <v>11.942809103002656</v>
      </c>
      <c r="AW535" s="22">
        <f t="shared" si="120"/>
        <v>11.898068002568817</v>
      </c>
      <c r="AY535" s="85"/>
    </row>
    <row r="536" spans="1:51" x14ac:dyDescent="0.25">
      <c r="A536" s="102" t="str">
        <f t="shared" si="108"/>
        <v>PQ U&amp;D</v>
      </c>
      <c r="B536" s="102" t="s">
        <v>969</v>
      </c>
      <c r="C536" s="102" t="s">
        <v>1337</v>
      </c>
      <c r="D536" t="s">
        <v>369</v>
      </c>
      <c r="E536" t="s">
        <v>55</v>
      </c>
      <c r="F536" t="s">
        <v>422</v>
      </c>
      <c r="G536" t="s">
        <v>1163</v>
      </c>
      <c r="H536" t="s">
        <v>1246</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85"/>
    </row>
    <row r="537" spans="1:51" x14ac:dyDescent="0.25">
      <c r="A537" s="102" t="str">
        <f t="shared" si="108"/>
        <v>PQ U&amp;D</v>
      </c>
      <c r="B537" s="102" t="s">
        <v>969</v>
      </c>
      <c r="C537" s="102" t="s">
        <v>1337</v>
      </c>
      <c r="D537" t="s">
        <v>369</v>
      </c>
      <c r="E537" t="s">
        <v>55</v>
      </c>
      <c r="F537" t="s">
        <v>422</v>
      </c>
      <c r="G537" t="s">
        <v>1165</v>
      </c>
      <c r="H537" t="s">
        <v>1247</v>
      </c>
      <c r="I537" t="s">
        <v>139</v>
      </c>
      <c r="J537" t="s">
        <v>287</v>
      </c>
      <c r="K537" s="22">
        <f t="shared" si="117"/>
        <v>5.7999838553710088</v>
      </c>
      <c r="L537" s="22">
        <f t="shared" si="120"/>
        <v>5.8031139960917857</v>
      </c>
      <c r="M537" s="22">
        <f t="shared" si="120"/>
        <v>5.8103099227335253</v>
      </c>
      <c r="N537" s="22">
        <f t="shared" si="120"/>
        <v>5.8209929462353873</v>
      </c>
      <c r="O537" s="22">
        <f t="shared" si="120"/>
        <v>5.8354121165006498</v>
      </c>
      <c r="P537" s="22">
        <f t="shared" si="120"/>
        <v>5.8538572193681269</v>
      </c>
      <c r="Q537" s="22">
        <f t="shared" si="120"/>
        <v>5.8741818038916174</v>
      </c>
      <c r="R537" s="22">
        <f t="shared" si="120"/>
        <v>5.8960701972534357</v>
      </c>
      <c r="S537" s="22">
        <f t="shared" si="120"/>
        <v>5.9177559307877479</v>
      </c>
      <c r="T537" s="22">
        <f t="shared" si="120"/>
        <v>5.9266307004561112</v>
      </c>
      <c r="U537" s="22">
        <f t="shared" si="120"/>
        <v>5.9367082769549988</v>
      </c>
      <c r="V537" s="22">
        <f t="shared" si="120"/>
        <v>5.9481053028915358</v>
      </c>
      <c r="W537" s="22">
        <f t="shared" si="120"/>
        <v>5.960904450999025</v>
      </c>
      <c r="X537" s="22">
        <f t="shared" si="120"/>
        <v>5.9752866719651836</v>
      </c>
      <c r="Y537" s="22">
        <f t="shared" si="120"/>
        <v>5.9843295860357024</v>
      </c>
      <c r="Z537" s="22">
        <f t="shared" si="120"/>
        <v>5.9945123676402678</v>
      </c>
      <c r="AA537" s="22">
        <f t="shared" si="120"/>
        <v>6.0055516159641433</v>
      </c>
      <c r="AB537" s="22">
        <f t="shared" si="120"/>
        <v>6.0177061448313278</v>
      </c>
      <c r="AC537" s="22">
        <f t="shared" si="120"/>
        <v>6.03097456248548</v>
      </c>
      <c r="AD537" s="22">
        <f t="shared" si="120"/>
        <v>6.0397566686890718</v>
      </c>
      <c r="AE537" s="22">
        <f t="shared" si="120"/>
        <v>6.0493932233323875</v>
      </c>
      <c r="AF537" s="22">
        <f t="shared" si="120"/>
        <v>6.0598194909466505</v>
      </c>
      <c r="AG537" s="22">
        <f t="shared" si="120"/>
        <v>6.0711483366347876</v>
      </c>
      <c r="AH537" s="22">
        <f t="shared" si="120"/>
        <v>6.0829788619886944</v>
      </c>
      <c r="AI537" s="22">
        <f t="shared" si="120"/>
        <v>6.0905477121768259</v>
      </c>
      <c r="AJ537" s="22">
        <f t="shared" si="120"/>
        <v>6.0987586244880356</v>
      </c>
      <c r="AK537" s="22">
        <f t="shared" si="120"/>
        <v>6.1074872449990725</v>
      </c>
      <c r="AL537" s="22">
        <f t="shared" si="120"/>
        <v>6.1167813545421765</v>
      </c>
      <c r="AM537" s="22">
        <f t="shared" si="120"/>
        <v>6.1266844936604166</v>
      </c>
      <c r="AN537" s="22">
        <f t="shared" si="120"/>
        <v>6.1325212653673837</v>
      </c>
      <c r="AO537" s="22">
        <f t="shared" si="120"/>
        <v>6.1387404789422586</v>
      </c>
      <c r="AP537" s="22">
        <f t="shared" si="120"/>
        <v>6.145451732291618</v>
      </c>
      <c r="AQ537" s="22">
        <f t="shared" si="120"/>
        <v>6.152643186293405</v>
      </c>
      <c r="AR537" s="22">
        <f t="shared" si="120"/>
        <v>6.1603920516403416</v>
      </c>
      <c r="AS537" s="22">
        <f t="shared" si="120"/>
        <v>6.1638844604068606</v>
      </c>
      <c r="AT537" s="22">
        <f t="shared" si="120"/>
        <v>6.1669158271420823</v>
      </c>
      <c r="AU537" s="22">
        <f t="shared" si="120"/>
        <v>6.1702623626652491</v>
      </c>
      <c r="AV537" s="22">
        <f t="shared" si="120"/>
        <v>6.1740883613222994</v>
      </c>
      <c r="AW537" s="22">
        <f t="shared" si="120"/>
        <v>6.1782170575379913</v>
      </c>
      <c r="AY537" s="85"/>
    </row>
    <row r="538" spans="1:51" x14ac:dyDescent="0.25">
      <c r="A538" s="102" t="str">
        <f t="shared" si="108"/>
        <v>PQ U&amp;D</v>
      </c>
      <c r="B538" s="102" t="s">
        <v>969</v>
      </c>
      <c r="C538" s="102" t="s">
        <v>1337</v>
      </c>
      <c r="D538" t="s">
        <v>369</v>
      </c>
      <c r="E538" t="s">
        <v>55</v>
      </c>
      <c r="F538" t="s">
        <v>422</v>
      </c>
      <c r="G538" t="s">
        <v>1167</v>
      </c>
      <c r="H538" t="s">
        <v>1248</v>
      </c>
      <c r="I538" t="s">
        <v>139</v>
      </c>
      <c r="J538" t="s">
        <v>287</v>
      </c>
      <c r="K538" s="22">
        <f t="shared" si="117"/>
        <v>0.64744945388640951</v>
      </c>
      <c r="L538" s="22">
        <f t="shared" si="120"/>
        <v>0.64779887001424552</v>
      </c>
      <c r="M538" s="22">
        <f t="shared" si="120"/>
        <v>0.64860214790097404</v>
      </c>
      <c r="N538" s="22">
        <f t="shared" si="120"/>
        <v>0.64979468876050261</v>
      </c>
      <c r="O538" s="22">
        <f t="shared" si="120"/>
        <v>0.65140429391571231</v>
      </c>
      <c r="P538" s="22">
        <f t="shared" si="120"/>
        <v>0.6534633120226967</v>
      </c>
      <c r="Q538" s="22">
        <f t="shared" si="120"/>
        <v>0.65573213577778644</v>
      </c>
      <c r="R538" s="22">
        <f t="shared" si="120"/>
        <v>0.65817552677368318</v>
      </c>
      <c r="S538" s="22">
        <f t="shared" si="120"/>
        <v>0.66059629494891092</v>
      </c>
      <c r="T538" s="22">
        <f t="shared" si="120"/>
        <v>0.66158698128846494</v>
      </c>
      <c r="U538" s="22">
        <f t="shared" si="120"/>
        <v>0.66271193638547965</v>
      </c>
      <c r="V538" s="22">
        <f t="shared" si="120"/>
        <v>0.6639841809990068</v>
      </c>
      <c r="W538" s="22">
        <f t="shared" si="120"/>
        <v>0.66541294384715366</v>
      </c>
      <c r="X538" s="22">
        <f t="shared" si="120"/>
        <v>0.66701842436958481</v>
      </c>
      <c r="Y538" s="22">
        <f t="shared" si="120"/>
        <v>0.66802788058920459</v>
      </c>
      <c r="Z538" s="22">
        <f t="shared" si="120"/>
        <v>0.66916457968239529</v>
      </c>
      <c r="AA538" s="22">
        <f t="shared" si="120"/>
        <v>0.67039688575028045</v>
      </c>
      <c r="AB538" s="22">
        <f t="shared" si="120"/>
        <v>0.671753690057592</v>
      </c>
      <c r="AC538" s="22">
        <f t="shared" si="120"/>
        <v>0.67323483724322841</v>
      </c>
      <c r="AD538" s="22">
        <f t="shared" si="120"/>
        <v>0.67421517960404742</v>
      </c>
      <c r="AE538" s="22">
        <f t="shared" si="120"/>
        <v>0.6752909036399658</v>
      </c>
      <c r="AF538" s="22">
        <f t="shared" si="120"/>
        <v>0.67645478296122918</v>
      </c>
      <c r="AG538" s="22">
        <f t="shared" si="120"/>
        <v>0.67771941664588264</v>
      </c>
      <c r="AH538" s="22">
        <f t="shared" si="120"/>
        <v>0.67904005259428835</v>
      </c>
      <c r="AI538" s="22">
        <f t="shared" si="120"/>
        <v>0.67988495976007579</v>
      </c>
      <c r="AJ538" s="22">
        <f t="shared" si="120"/>
        <v>0.68080154001691195</v>
      </c>
      <c r="AK538" s="22">
        <f t="shared" si="120"/>
        <v>0.68177591179517449</v>
      </c>
      <c r="AL538" s="22">
        <f t="shared" si="120"/>
        <v>0.68281340884656228</v>
      </c>
      <c r="AM538" s="22">
        <f t="shared" si="120"/>
        <v>0.68391889158129904</v>
      </c>
      <c r="AN538" s="22">
        <f t="shared" si="120"/>
        <v>0.68457044764565533</v>
      </c>
      <c r="AO538" s="22">
        <f t="shared" si="120"/>
        <v>0.68526469551479852</v>
      </c>
      <c r="AP538" s="22">
        <f t="shared" si="120"/>
        <v>0.68601386955119048</v>
      </c>
      <c r="AQ538" s="22">
        <f t="shared" si="120"/>
        <v>0.68681664815923671</v>
      </c>
      <c r="AR538" s="22">
        <f t="shared" si="120"/>
        <v>0.68768165033203899</v>
      </c>
      <c r="AS538" s="22">
        <f t="shared" si="120"/>
        <v>0.68807150627043723</v>
      </c>
      <c r="AT538" s="22">
        <f t="shared" si="120"/>
        <v>0.68840989630499416</v>
      </c>
      <c r="AU538" s="22">
        <f t="shared" si="120"/>
        <v>0.68878346848224781</v>
      </c>
      <c r="AV538" s="22">
        <f t="shared" si="120"/>
        <v>0.68921056290230964</v>
      </c>
      <c r="AW538" s="22">
        <f t="shared" si="120"/>
        <v>0.68967144730764052</v>
      </c>
      <c r="AY538" s="85"/>
    </row>
    <row r="539" spans="1:51" x14ac:dyDescent="0.25">
      <c r="A539" s="102" t="str">
        <f t="shared" si="108"/>
        <v>PQ U&amp;D</v>
      </c>
      <c r="B539" s="102" t="s">
        <v>969</v>
      </c>
      <c r="C539" s="102" t="s">
        <v>1337</v>
      </c>
      <c r="D539" t="s">
        <v>369</v>
      </c>
      <c r="E539" t="s">
        <v>55</v>
      </c>
      <c r="F539" t="s">
        <v>422</v>
      </c>
      <c r="G539" t="s">
        <v>1169</v>
      </c>
      <c r="H539" t="s">
        <v>1249</v>
      </c>
      <c r="I539" t="s">
        <v>139</v>
      </c>
      <c r="J539" t="s">
        <v>287</v>
      </c>
      <c r="K539" s="22">
        <f t="shared" si="117"/>
        <v>0.71689894789530229</v>
      </c>
      <c r="L539" s="22">
        <f t="shared" si="120"/>
        <v>0.71876228746109427</v>
      </c>
      <c r="M539" s="22">
        <f t="shared" si="120"/>
        <v>0.72127503720090047</v>
      </c>
      <c r="N539" s="22">
        <f t="shared" si="120"/>
        <v>0.72433550259006296</v>
      </c>
      <c r="O539" s="22">
        <f t="shared" si="120"/>
        <v>0.72800120185684258</v>
      </c>
      <c r="P539" s="22">
        <f t="shared" si="120"/>
        <v>0.73233490465194795</v>
      </c>
      <c r="Q539" s="22">
        <f t="shared" si="120"/>
        <v>0.73692777433186207</v>
      </c>
      <c r="R539" s="22">
        <f t="shared" si="120"/>
        <v>0.74172607064181018</v>
      </c>
      <c r="S539" s="22">
        <f t="shared" si="120"/>
        <v>0.74639750027277085</v>
      </c>
      <c r="T539" s="22">
        <f t="shared" si="120"/>
        <v>0.74854009324631066</v>
      </c>
      <c r="U539" s="22">
        <f t="shared" ref="L539:AW545" si="121">U1490</f>
        <v>0.75085065923922678</v>
      </c>
      <c r="V539" s="22">
        <f t="shared" si="121"/>
        <v>0.75335493730359926</v>
      </c>
      <c r="W539" s="22">
        <f t="shared" si="121"/>
        <v>0.75607146605668685</v>
      </c>
      <c r="X539" s="22">
        <f t="shared" si="121"/>
        <v>0.75903679046714201</v>
      </c>
      <c r="Y539" s="22">
        <f t="shared" si="121"/>
        <v>0.76094537488964475</v>
      </c>
      <c r="Z539" s="22">
        <f t="shared" si="121"/>
        <v>0.76302818529273087</v>
      </c>
      <c r="AA539" s="22">
        <f t="shared" si="121"/>
        <v>0.76523341198680583</v>
      </c>
      <c r="AB539" s="22">
        <f t="shared" si="121"/>
        <v>0.76761119115957532</v>
      </c>
      <c r="AC539" s="22">
        <f t="shared" si="121"/>
        <v>0.77016232439967147</v>
      </c>
      <c r="AD539" s="22">
        <f t="shared" si="121"/>
        <v>0.77184151262759737</v>
      </c>
      <c r="AE539" s="22">
        <f t="shared" si="121"/>
        <v>0.7736515769208151</v>
      </c>
      <c r="AF539" s="22">
        <f t="shared" si="121"/>
        <v>0.77558124888408586</v>
      </c>
      <c r="AG539" s="22">
        <f t="shared" si="121"/>
        <v>0.77765221756919434</v>
      </c>
      <c r="AH539" s="22">
        <f t="shared" si="121"/>
        <v>0.7797906862662336</v>
      </c>
      <c r="AI539" s="22">
        <f t="shared" si="121"/>
        <v>0.7811163537007122</v>
      </c>
      <c r="AJ539" s="22">
        <f t="shared" si="121"/>
        <v>0.78254032699837495</v>
      </c>
      <c r="AK539" s="22">
        <f t="shared" si="121"/>
        <v>0.78404012574492399</v>
      </c>
      <c r="AL539" s="22">
        <f t="shared" si="121"/>
        <v>0.78562503827513464</v>
      </c>
      <c r="AM539" s="22">
        <f t="shared" si="121"/>
        <v>0.78730345031212023</v>
      </c>
      <c r="AN539" s="22">
        <f t="shared" si="121"/>
        <v>0.78821861780581803</v>
      </c>
      <c r="AO539" s="22">
        <f t="shared" si="121"/>
        <v>0.78918935012210545</v>
      </c>
      <c r="AP539" s="22">
        <f t="shared" si="121"/>
        <v>0.79023602178732166</v>
      </c>
      <c r="AQ539" s="22">
        <f t="shared" si="121"/>
        <v>0.79135668556159844</v>
      </c>
      <c r="AR539" s="22">
        <f t="shared" si="121"/>
        <v>0.79256558771735774</v>
      </c>
      <c r="AS539" s="22">
        <f t="shared" si="121"/>
        <v>0.79298785766331426</v>
      </c>
      <c r="AT539" s="22">
        <f t="shared" si="121"/>
        <v>0.79331656903659509</v>
      </c>
      <c r="AU539" s="22">
        <f t="shared" si="121"/>
        <v>0.79369322526599873</v>
      </c>
      <c r="AV539" s="22">
        <f t="shared" si="121"/>
        <v>0.79414770745075947</v>
      </c>
      <c r="AW539" s="22">
        <f t="shared" si="121"/>
        <v>0.79464809471787612</v>
      </c>
      <c r="AY539" s="85"/>
    </row>
    <row r="540" spans="1:51" x14ac:dyDescent="0.25">
      <c r="A540" s="102" t="str">
        <f t="shared" si="108"/>
        <v>PQ U&amp;D</v>
      </c>
      <c r="B540" s="102" t="s">
        <v>969</v>
      </c>
      <c r="C540" s="102" t="s">
        <v>1337</v>
      </c>
      <c r="D540" t="s">
        <v>369</v>
      </c>
      <c r="E540" t="s">
        <v>55</v>
      </c>
      <c r="F540" t="s">
        <v>422</v>
      </c>
      <c r="G540" t="s">
        <v>1171</v>
      </c>
      <c r="H540" t="s">
        <v>1250</v>
      </c>
      <c r="I540" t="s">
        <v>139</v>
      </c>
      <c r="J540" t="s">
        <v>287</v>
      </c>
      <c r="K540" s="22">
        <f t="shared" si="117"/>
        <v>1.1864531966682197</v>
      </c>
      <c r="L540" s="22">
        <f t="shared" si="121"/>
        <v>1.1895369858002907</v>
      </c>
      <c r="M540" s="22">
        <f t="shared" si="121"/>
        <v>1.1936955355791294</v>
      </c>
      <c r="N540" s="22">
        <f t="shared" si="121"/>
        <v>1.1987605436321125</v>
      </c>
      <c r="O540" s="22">
        <f t="shared" si="121"/>
        <v>1.2048272014586632</v>
      </c>
      <c r="P540" s="22">
        <f t="shared" si="121"/>
        <v>1.2119993915556884</v>
      </c>
      <c r="Q540" s="22">
        <f t="shared" si="121"/>
        <v>1.2196004975827131</v>
      </c>
      <c r="R540" s="22">
        <f t="shared" si="121"/>
        <v>1.2275415805096901</v>
      </c>
      <c r="S540" s="22">
        <f t="shared" si="121"/>
        <v>1.2352727016599383</v>
      </c>
      <c r="T540" s="22">
        <f t="shared" si="121"/>
        <v>1.238818649509462</v>
      </c>
      <c r="U540" s="22">
        <f t="shared" si="121"/>
        <v>1.2426425892940813</v>
      </c>
      <c r="V540" s="22">
        <f t="shared" si="121"/>
        <v>1.2467871186221595</v>
      </c>
      <c r="W540" s="22">
        <f t="shared" si="121"/>
        <v>1.2512829185286929</v>
      </c>
      <c r="X540" s="22">
        <f t="shared" si="121"/>
        <v>1.2561904701944779</v>
      </c>
      <c r="Y540" s="22">
        <f t="shared" si="121"/>
        <v>1.2593491386453628</v>
      </c>
      <c r="Z540" s="22">
        <f t="shared" si="121"/>
        <v>1.2627961475551268</v>
      </c>
      <c r="AA540" s="22">
        <f t="shared" si="121"/>
        <v>1.2664457529398805</v>
      </c>
      <c r="AB540" s="22">
        <f t="shared" si="121"/>
        <v>1.2703809291718808</v>
      </c>
      <c r="AC540" s="22">
        <f t="shared" si="121"/>
        <v>1.2746030028640307</v>
      </c>
      <c r="AD540" s="22">
        <f t="shared" si="121"/>
        <v>1.2773820252725296</v>
      </c>
      <c r="AE540" s="22">
        <f t="shared" si="121"/>
        <v>1.2803776449106503</v>
      </c>
      <c r="AF540" s="22">
        <f t="shared" si="121"/>
        <v>1.2835712128131631</v>
      </c>
      <c r="AG540" s="22">
        <f t="shared" si="121"/>
        <v>1.2869986239202102</v>
      </c>
      <c r="AH540" s="22">
        <f t="shared" si="121"/>
        <v>1.2905377461759007</v>
      </c>
      <c r="AI540" s="22">
        <f t="shared" si="121"/>
        <v>1.2927316988521784</v>
      </c>
      <c r="AJ540" s="22">
        <f t="shared" si="121"/>
        <v>1.2950883457351767</v>
      </c>
      <c r="AK540" s="22">
        <f t="shared" si="121"/>
        <v>1.2975704821958689</v>
      </c>
      <c r="AL540" s="22">
        <f t="shared" si="121"/>
        <v>1.3001934802396349</v>
      </c>
      <c r="AM540" s="22">
        <f t="shared" si="121"/>
        <v>1.3029712180678941</v>
      </c>
      <c r="AN540" s="22">
        <f t="shared" si="121"/>
        <v>1.3044858016805112</v>
      </c>
      <c r="AO540" s="22">
        <f t="shared" si="121"/>
        <v>1.3060923439458467</v>
      </c>
      <c r="AP540" s="22">
        <f t="shared" si="121"/>
        <v>1.3078245642911324</v>
      </c>
      <c r="AQ540" s="22">
        <f t="shared" si="121"/>
        <v>1.309679240073939</v>
      </c>
      <c r="AR540" s="22">
        <f t="shared" si="121"/>
        <v>1.3116799485857458</v>
      </c>
      <c r="AS540" s="22">
        <f t="shared" si="121"/>
        <v>1.3123787967688931</v>
      </c>
      <c r="AT540" s="22">
        <f t="shared" si="121"/>
        <v>1.3129228074146826</v>
      </c>
      <c r="AU540" s="22">
        <f t="shared" si="121"/>
        <v>1.3135461658234697</v>
      </c>
      <c r="AV540" s="22">
        <f t="shared" si="121"/>
        <v>1.3142983246075228</v>
      </c>
      <c r="AW540" s="22">
        <f t="shared" si="121"/>
        <v>1.3151264553704232</v>
      </c>
      <c r="AY540" s="85"/>
    </row>
    <row r="541" spans="1:51" x14ac:dyDescent="0.25">
      <c r="A541" s="102" t="str">
        <f t="shared" si="108"/>
        <v>PQ U&amp;D</v>
      </c>
      <c r="B541" s="102" t="s">
        <v>969</v>
      </c>
      <c r="C541" s="102" t="s">
        <v>1337</v>
      </c>
      <c r="D541" t="s">
        <v>369</v>
      </c>
      <c r="E541" t="s">
        <v>55</v>
      </c>
      <c r="F541" t="s">
        <v>422</v>
      </c>
      <c r="G541" t="s">
        <v>1173</v>
      </c>
      <c r="H541" t="s">
        <v>1251</v>
      </c>
      <c r="I541" t="s">
        <v>139</v>
      </c>
      <c r="J541" t="s">
        <v>287</v>
      </c>
      <c r="K541" s="22">
        <f t="shared" si="117"/>
        <v>0.19181822763057532</v>
      </c>
      <c r="L541" s="22">
        <f t="shared" si="121"/>
        <v>0.19311010534642395</v>
      </c>
      <c r="M541" s="22">
        <f t="shared" si="121"/>
        <v>0.19389173119299405</v>
      </c>
      <c r="N541" s="22">
        <f t="shared" si="121"/>
        <v>0.19286331841675533</v>
      </c>
      <c r="O541" s="22">
        <f t="shared" si="121"/>
        <v>0.19181235815879408</v>
      </c>
      <c r="P541" s="22">
        <f t="shared" si="121"/>
        <v>0.19246355732374573</v>
      </c>
      <c r="Q541" s="22">
        <f t="shared" si="121"/>
        <v>0.19254768245204176</v>
      </c>
      <c r="R541" s="22">
        <f t="shared" si="121"/>
        <v>0.1907519738898287</v>
      </c>
      <c r="S541" s="22">
        <f t="shared" si="121"/>
        <v>0.18088699682644091</v>
      </c>
      <c r="T541" s="22">
        <f t="shared" si="121"/>
        <v>0.1838972381660133</v>
      </c>
      <c r="U541" s="22">
        <f t="shared" si="121"/>
        <v>0.18587548996919678</v>
      </c>
      <c r="V541" s="22">
        <f t="shared" si="121"/>
        <v>0.18760159282395869</v>
      </c>
      <c r="W541" s="22">
        <f t="shared" si="121"/>
        <v>0.1896732782375587</v>
      </c>
      <c r="X541" s="22">
        <f t="shared" si="121"/>
        <v>0.1930022477976579</v>
      </c>
      <c r="Y541" s="22">
        <f t="shared" si="121"/>
        <v>0.19680822491201644</v>
      </c>
      <c r="Z541" s="22">
        <f t="shared" si="121"/>
        <v>0.20092114686502896</v>
      </c>
      <c r="AA541" s="22">
        <f t="shared" si="121"/>
        <v>0.20449468327122119</v>
      </c>
      <c r="AB541" s="22">
        <f t="shared" si="121"/>
        <v>0.20863723377024176</v>
      </c>
      <c r="AC541" s="22">
        <f t="shared" si="121"/>
        <v>0.21348409201000912</v>
      </c>
      <c r="AD541" s="22">
        <f t="shared" si="121"/>
        <v>0.21835511855598433</v>
      </c>
      <c r="AE541" s="22">
        <f t="shared" si="121"/>
        <v>0.22343868148870985</v>
      </c>
      <c r="AF541" s="22">
        <f t="shared" si="121"/>
        <v>0.22861834548683552</v>
      </c>
      <c r="AG541" s="22">
        <f t="shared" si="121"/>
        <v>0.23439670920107816</v>
      </c>
      <c r="AH541" s="22">
        <f t="shared" si="121"/>
        <v>0.23945118587989581</v>
      </c>
      <c r="AI541" s="22">
        <f t="shared" si="121"/>
        <v>0.24500563890300198</v>
      </c>
      <c r="AJ541" s="22">
        <f t="shared" si="121"/>
        <v>0.25065226424650994</v>
      </c>
      <c r="AK541" s="22">
        <f t="shared" si="121"/>
        <v>0.25603495440723167</v>
      </c>
      <c r="AL541" s="22">
        <f t="shared" si="121"/>
        <v>0.26139389266760604</v>
      </c>
      <c r="AM541" s="22">
        <f t="shared" si="121"/>
        <v>0.26694586167829398</v>
      </c>
      <c r="AN541" s="22">
        <f t="shared" si="121"/>
        <v>0.2729875481925238</v>
      </c>
      <c r="AO541" s="22">
        <f t="shared" si="121"/>
        <v>0.27866949697835908</v>
      </c>
      <c r="AP541" s="22">
        <f t="shared" si="121"/>
        <v>0.28442636508269281</v>
      </c>
      <c r="AQ541" s="22">
        <f t="shared" si="121"/>
        <v>0.29026877942449542</v>
      </c>
      <c r="AR541" s="22">
        <f t="shared" si="121"/>
        <v>0.2965076361345787</v>
      </c>
      <c r="AS541" s="22">
        <f t="shared" si="121"/>
        <v>0.30314124222534444</v>
      </c>
      <c r="AT541" s="22">
        <f t="shared" si="121"/>
        <v>0.30687944467675132</v>
      </c>
      <c r="AU541" s="22">
        <f t="shared" si="121"/>
        <v>0.31041516575775774</v>
      </c>
      <c r="AV541" s="22">
        <f t="shared" si="121"/>
        <v>0.31434593932944749</v>
      </c>
      <c r="AW541" s="22">
        <f t="shared" si="121"/>
        <v>0.31810899011348942</v>
      </c>
      <c r="AY541" s="85"/>
    </row>
    <row r="542" spans="1:51" x14ac:dyDescent="0.25">
      <c r="A542" s="102" t="str">
        <f t="shared" si="108"/>
        <v>PQ U&amp;D</v>
      </c>
      <c r="B542" s="102" t="s">
        <v>969</v>
      </c>
      <c r="C542" s="102" t="s">
        <v>1337</v>
      </c>
      <c r="D542" t="s">
        <v>369</v>
      </c>
      <c r="E542" t="s">
        <v>55</v>
      </c>
      <c r="F542" t="s">
        <v>422</v>
      </c>
      <c r="G542" t="s">
        <v>1175</v>
      </c>
      <c r="H542" t="s">
        <v>1252</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85"/>
    </row>
    <row r="543" spans="1:51" x14ac:dyDescent="0.25">
      <c r="A543" s="102" t="str">
        <f t="shared" si="108"/>
        <v>PQ U&amp;D</v>
      </c>
      <c r="B543" s="102" t="s">
        <v>969</v>
      </c>
      <c r="C543" s="102" t="s">
        <v>1337</v>
      </c>
      <c r="D543" t="s">
        <v>369</v>
      </c>
      <c r="E543" t="s">
        <v>55</v>
      </c>
      <c r="F543" t="s">
        <v>422</v>
      </c>
      <c r="G543" t="s">
        <v>1177</v>
      </c>
      <c r="H543" t="s">
        <v>1253</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85"/>
    </row>
    <row r="544" spans="1:51" x14ac:dyDescent="0.25">
      <c r="A544" s="102" t="str">
        <f t="shared" si="108"/>
        <v>PQ U&amp;D</v>
      </c>
      <c r="B544" s="102" t="s">
        <v>969</v>
      </c>
      <c r="C544" s="102" t="s">
        <v>1337</v>
      </c>
      <c r="D544" t="s">
        <v>369</v>
      </c>
      <c r="E544" t="s">
        <v>55</v>
      </c>
      <c r="F544" t="s">
        <v>422</v>
      </c>
      <c r="G544" t="s">
        <v>1179</v>
      </c>
      <c r="H544" t="s">
        <v>1254</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85"/>
    </row>
    <row r="545" spans="1:51" x14ac:dyDescent="0.25">
      <c r="A545" s="102" t="str">
        <f t="shared" si="108"/>
        <v>PQ U&amp;D</v>
      </c>
      <c r="B545" s="102" t="s">
        <v>969</v>
      </c>
      <c r="C545" s="102" t="s">
        <v>1337</v>
      </c>
      <c r="D545" t="s">
        <v>369</v>
      </c>
      <c r="E545" t="s">
        <v>55</v>
      </c>
      <c r="F545" t="s">
        <v>422</v>
      </c>
      <c r="G545" t="s">
        <v>1181</v>
      </c>
      <c r="H545" t="s">
        <v>1255</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85"/>
    </row>
    <row r="546" spans="1:51" x14ac:dyDescent="0.25">
      <c r="A546" s="102" t="str">
        <f t="shared" si="108"/>
        <v>PQ U&amp;D</v>
      </c>
      <c r="B546" s="102" t="s">
        <v>969</v>
      </c>
      <c r="C546" s="102" t="s">
        <v>1337</v>
      </c>
      <c r="D546" t="s">
        <v>369</v>
      </c>
      <c r="E546" t="s">
        <v>55</v>
      </c>
      <c r="F546" t="s">
        <v>422</v>
      </c>
      <c r="G546" t="s">
        <v>1183</v>
      </c>
      <c r="H546" t="s">
        <v>1256</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85"/>
    </row>
    <row r="547" spans="1:51" x14ac:dyDescent="0.25">
      <c r="A547" s="102" t="str">
        <f t="shared" si="108"/>
        <v>PQ FSOM</v>
      </c>
      <c r="B547" s="102" t="s">
        <v>969</v>
      </c>
      <c r="C547" s="102" t="s">
        <v>60</v>
      </c>
      <c r="D547" t="s">
        <v>369</v>
      </c>
      <c r="E547" t="s">
        <v>55</v>
      </c>
      <c r="F547" t="s">
        <v>60</v>
      </c>
      <c r="G547" t="s">
        <v>1267</v>
      </c>
      <c r="H547" t="s">
        <v>1268</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85"/>
    </row>
    <row r="548" spans="1:51" x14ac:dyDescent="0.25">
      <c r="A548" s="102" t="str">
        <f t="shared" si="108"/>
        <v>PQ FSOM</v>
      </c>
      <c r="B548" s="102" t="s">
        <v>969</v>
      </c>
      <c r="C548" s="102" t="s">
        <v>60</v>
      </c>
      <c r="D548" t="s">
        <v>369</v>
      </c>
      <c r="E548" t="s">
        <v>55</v>
      </c>
      <c r="F548" t="s">
        <v>60</v>
      </c>
      <c r="G548" t="s">
        <v>1269</v>
      </c>
      <c r="H548" t="s">
        <v>1270</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85"/>
    </row>
    <row r="549" spans="1:51" x14ac:dyDescent="0.25">
      <c r="A549" s="102" t="str">
        <f t="shared" si="108"/>
        <v>PQ FSOM</v>
      </c>
      <c r="B549" s="102" t="s">
        <v>969</v>
      </c>
      <c r="C549" s="102" t="s">
        <v>60</v>
      </c>
      <c r="D549" t="s">
        <v>369</v>
      </c>
      <c r="E549" t="s">
        <v>55</v>
      </c>
      <c r="F549" t="s">
        <v>60</v>
      </c>
      <c r="G549" t="s">
        <v>1271</v>
      </c>
      <c r="H549" t="s">
        <v>1272</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85"/>
    </row>
    <row r="550" spans="1:51" x14ac:dyDescent="0.25">
      <c r="A550" s="102" t="str">
        <f t="shared" si="108"/>
        <v>PQ FSOM</v>
      </c>
      <c r="B550" s="102" t="s">
        <v>969</v>
      </c>
      <c r="C550" s="102" t="s">
        <v>60</v>
      </c>
      <c r="D550" t="s">
        <v>369</v>
      </c>
      <c r="E550" t="s">
        <v>55</v>
      </c>
      <c r="F550" t="s">
        <v>60</v>
      </c>
      <c r="G550" t="s">
        <v>1273</v>
      </c>
      <c r="H550" t="s">
        <v>1274</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85"/>
    </row>
    <row r="551" spans="1:51" x14ac:dyDescent="0.25">
      <c r="A551" s="102" t="str">
        <f t="shared" si="108"/>
        <v>PQ FSOM</v>
      </c>
      <c r="B551" s="102" t="s">
        <v>969</v>
      </c>
      <c r="C551" s="102" t="s">
        <v>60</v>
      </c>
      <c r="D551" t="s">
        <v>369</v>
      </c>
      <c r="E551" t="s">
        <v>55</v>
      </c>
      <c r="F551" t="s">
        <v>60</v>
      </c>
      <c r="G551" t="s">
        <v>1275</v>
      </c>
      <c r="H551" t="s">
        <v>1276</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85"/>
    </row>
    <row r="552" spans="1:51" x14ac:dyDescent="0.25">
      <c r="A552" s="102" t="str">
        <f t="shared" si="108"/>
        <v>PQ FSOM</v>
      </c>
      <c r="B552" s="102" t="s">
        <v>969</v>
      </c>
      <c r="C552" s="102" t="s">
        <v>60</v>
      </c>
      <c r="D552" t="s">
        <v>369</v>
      </c>
      <c r="E552" t="s">
        <v>55</v>
      </c>
      <c r="F552" t="s">
        <v>60</v>
      </c>
      <c r="G552" t="s">
        <v>1277</v>
      </c>
      <c r="H552" t="s">
        <v>1278</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85"/>
    </row>
    <row r="553" spans="1:51" x14ac:dyDescent="0.25">
      <c r="A553" s="102" t="str">
        <f t="shared" si="108"/>
        <v>PQ FSOM</v>
      </c>
      <c r="B553" s="102" t="s">
        <v>969</v>
      </c>
      <c r="C553" s="102" t="s">
        <v>60</v>
      </c>
      <c r="D553" t="s">
        <v>369</v>
      </c>
      <c r="E553" t="s">
        <v>55</v>
      </c>
      <c r="F553" t="s">
        <v>60</v>
      </c>
      <c r="G553" t="s">
        <v>1279</v>
      </c>
      <c r="H553" t="s">
        <v>1280</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85"/>
    </row>
    <row r="554" spans="1:51" x14ac:dyDescent="0.25">
      <c r="A554" s="102" t="str">
        <f t="shared" si="108"/>
        <v>PQ FSOM</v>
      </c>
      <c r="B554" s="102" t="s">
        <v>969</v>
      </c>
      <c r="C554" s="102" t="s">
        <v>60</v>
      </c>
      <c r="D554" t="s">
        <v>369</v>
      </c>
      <c r="E554" t="s">
        <v>55</v>
      </c>
      <c r="F554" t="s">
        <v>60</v>
      </c>
      <c r="G554" t="s">
        <v>1281</v>
      </c>
      <c r="H554" t="s">
        <v>1282</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85"/>
    </row>
    <row r="555" spans="1:51" x14ac:dyDescent="0.25">
      <c r="A555" s="102" t="str">
        <f t="shared" si="108"/>
        <v>PQ FSOM</v>
      </c>
      <c r="B555" s="102" t="s">
        <v>969</v>
      </c>
      <c r="C555" s="102" t="s">
        <v>60</v>
      </c>
      <c r="D555" t="s">
        <v>369</v>
      </c>
      <c r="E555" t="s">
        <v>55</v>
      </c>
      <c r="F555" t="s">
        <v>60</v>
      </c>
      <c r="G555" t="s">
        <v>1283</v>
      </c>
      <c r="H555" t="s">
        <v>1284</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85"/>
    </row>
    <row r="556" spans="1:51" x14ac:dyDescent="0.25">
      <c r="A556" s="102" t="str">
        <f t="shared" si="108"/>
        <v>PQ FSOM</v>
      </c>
      <c r="B556" s="102" t="s">
        <v>969</v>
      </c>
      <c r="C556" s="102" t="s">
        <v>60</v>
      </c>
      <c r="D556" t="s">
        <v>369</v>
      </c>
      <c r="E556" t="s">
        <v>55</v>
      </c>
      <c r="F556" t="s">
        <v>60</v>
      </c>
      <c r="G556" t="s">
        <v>1285</v>
      </c>
      <c r="H556" t="s">
        <v>1286</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85"/>
    </row>
    <row r="557" spans="1:51" x14ac:dyDescent="0.25">
      <c r="A557" s="102" t="str">
        <f t="shared" si="108"/>
        <v>PQ FSOM</v>
      </c>
      <c r="B557" s="102" t="s">
        <v>969</v>
      </c>
      <c r="C557" s="102" t="s">
        <v>60</v>
      </c>
      <c r="D557" t="s">
        <v>369</v>
      </c>
      <c r="E557" t="s">
        <v>55</v>
      </c>
      <c r="F557" t="s">
        <v>60</v>
      </c>
      <c r="G557" t="s">
        <v>1287</v>
      </c>
      <c r="H557" t="s">
        <v>1288</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85"/>
    </row>
    <row r="558" spans="1:51" x14ac:dyDescent="0.25">
      <c r="A558" s="102" t="str">
        <f t="shared" si="108"/>
        <v>PQ FSOM</v>
      </c>
      <c r="B558" s="102" t="s">
        <v>969</v>
      </c>
      <c r="C558" s="102" t="s">
        <v>60</v>
      </c>
      <c r="D558" t="s">
        <v>369</v>
      </c>
      <c r="E558" t="s">
        <v>55</v>
      </c>
      <c r="F558" t="s">
        <v>60</v>
      </c>
      <c r="G558" t="s">
        <v>1289</v>
      </c>
      <c r="H558" t="s">
        <v>1290</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85"/>
    </row>
    <row r="559" spans="1:51" x14ac:dyDescent="0.25">
      <c r="A559" s="102" t="str">
        <f t="shared" si="108"/>
        <v>PQ Volatilisation</v>
      </c>
      <c r="B559" s="102" t="s">
        <v>969</v>
      </c>
      <c r="C559" s="102" t="s">
        <v>62</v>
      </c>
      <c r="D559" t="s">
        <v>369</v>
      </c>
      <c r="E559" t="s">
        <v>61</v>
      </c>
      <c r="F559" t="s">
        <v>62</v>
      </c>
      <c r="G559" t="s">
        <v>435</v>
      </c>
      <c r="H559" t="s">
        <v>1185</v>
      </c>
      <c r="I559" t="s">
        <v>139</v>
      </c>
      <c r="J559" t="s">
        <v>287</v>
      </c>
      <c r="K559" s="22">
        <f t="shared" si="117"/>
        <v>0.66064812063358536</v>
      </c>
      <c r="L559" s="22">
        <f t="shared" si="123"/>
        <v>0.66056660352543128</v>
      </c>
      <c r="M559" s="22">
        <f t="shared" si="123"/>
        <v>0.66042995522505377</v>
      </c>
      <c r="N559" s="22">
        <f t="shared" si="123"/>
        <v>0.66031365898338112</v>
      </c>
      <c r="O559" s="22">
        <f t="shared" si="123"/>
        <v>0.66027560568732091</v>
      </c>
      <c r="P559" s="22">
        <f t="shared" si="123"/>
        <v>0.66023708971175277</v>
      </c>
      <c r="Q559" s="22">
        <f t="shared" si="123"/>
        <v>0.66011966991986881</v>
      </c>
      <c r="R559" s="22">
        <f t="shared" si="123"/>
        <v>0.66002765167075472</v>
      </c>
      <c r="S559" s="22">
        <f t="shared" si="123"/>
        <v>0.66002145648060517</v>
      </c>
      <c r="T559" s="22">
        <f t="shared" si="123"/>
        <v>0.66040420720172732</v>
      </c>
      <c r="U559" s="22">
        <f t="shared" si="123"/>
        <v>0.66019485697997204</v>
      </c>
      <c r="V559" s="22">
        <f t="shared" si="123"/>
        <v>0.66003652312909888</v>
      </c>
      <c r="W559" s="22">
        <f t="shared" si="123"/>
        <v>0.65989054673114655</v>
      </c>
      <c r="X559" s="22">
        <f t="shared" si="123"/>
        <v>0.65972835879321112</v>
      </c>
      <c r="Y559" s="22">
        <f t="shared" si="123"/>
        <v>0.65950794659321976</v>
      </c>
      <c r="Z559" s="22">
        <f t="shared" ref="L559:AW566" si="124">Z1510</f>
        <v>0.65927714888243172</v>
      </c>
      <c r="AA559" s="22">
        <f t="shared" si="124"/>
        <v>0.65903551292141993</v>
      </c>
      <c r="AB559" s="22">
        <f t="shared" si="124"/>
        <v>0.65882075529961204</v>
      </c>
      <c r="AC559" s="22">
        <f t="shared" si="124"/>
        <v>0.65858383398788667</v>
      </c>
      <c r="AD559" s="22">
        <f t="shared" si="124"/>
        <v>0.65832049506454571</v>
      </c>
      <c r="AE559" s="22">
        <f t="shared" si="124"/>
        <v>0.65806825645343991</v>
      </c>
      <c r="AF559" s="22">
        <f t="shared" si="124"/>
        <v>0.65781181226611019</v>
      </c>
      <c r="AG559" s="22">
        <f t="shared" si="124"/>
        <v>0.65755610222279148</v>
      </c>
      <c r="AH559" s="22">
        <f t="shared" si="124"/>
        <v>0.65728213410220515</v>
      </c>
      <c r="AI559" s="22">
        <f t="shared" si="124"/>
        <v>0.65704025946446432</v>
      </c>
      <c r="AJ559" s="22">
        <f t="shared" si="124"/>
        <v>0.65679167627959911</v>
      </c>
      <c r="AK559" s="22">
        <f t="shared" si="124"/>
        <v>0.65654442966296833</v>
      </c>
      <c r="AL559" s="22">
        <f t="shared" si="124"/>
        <v>0.6563107846246663</v>
      </c>
      <c r="AM559" s="22">
        <f t="shared" si="124"/>
        <v>0.65608183818668697</v>
      </c>
      <c r="AN559" s="22">
        <f t="shared" si="124"/>
        <v>0.6558502326056066</v>
      </c>
      <c r="AO559" s="22">
        <f t="shared" si="124"/>
        <v>0.65561383844940613</v>
      </c>
      <c r="AP559" s="22">
        <f t="shared" si="124"/>
        <v>0.65539317250053775</v>
      </c>
      <c r="AQ559" s="22">
        <f t="shared" si="124"/>
        <v>0.65517393492300557</v>
      </c>
      <c r="AR559" s="22">
        <f t="shared" si="124"/>
        <v>0.65495579618392019</v>
      </c>
      <c r="AS559" s="22">
        <f t="shared" si="124"/>
        <v>0.65472963164045961</v>
      </c>
      <c r="AT559" s="22">
        <f t="shared" si="124"/>
        <v>0.65450342769214809</v>
      </c>
      <c r="AU559" s="22">
        <f t="shared" si="124"/>
        <v>0.65436308710087154</v>
      </c>
      <c r="AV559" s="22">
        <f t="shared" si="124"/>
        <v>0.65422967735758231</v>
      </c>
      <c r="AW559" s="22">
        <f t="shared" si="124"/>
        <v>0.65408646829531714</v>
      </c>
      <c r="AY559" s="85"/>
    </row>
    <row r="560" spans="1:51" x14ac:dyDescent="0.25">
      <c r="A560" s="102" t="str">
        <f t="shared" si="108"/>
        <v>PQ Volatilisation</v>
      </c>
      <c r="B560" s="102" t="s">
        <v>969</v>
      </c>
      <c r="C560" s="102" t="s">
        <v>62</v>
      </c>
      <c r="D560" t="s">
        <v>369</v>
      </c>
      <c r="E560" t="s">
        <v>61</v>
      </c>
      <c r="F560" t="s">
        <v>62</v>
      </c>
      <c r="G560" t="s">
        <v>436</v>
      </c>
      <c r="H560" t="s">
        <v>1186</v>
      </c>
      <c r="I560" t="s">
        <v>139</v>
      </c>
      <c r="J560" t="s">
        <v>287</v>
      </c>
      <c r="K560" s="22">
        <f t="shared" si="117"/>
        <v>8.720555192363328E-3</v>
      </c>
      <c r="L560" s="22">
        <f t="shared" si="124"/>
        <v>8.7194791665356954E-3</v>
      </c>
      <c r="M560" s="22">
        <f t="shared" si="124"/>
        <v>8.7176754089707108E-3</v>
      </c>
      <c r="N560" s="22">
        <f t="shared" si="124"/>
        <v>8.7161402985806314E-3</v>
      </c>
      <c r="O560" s="22">
        <f t="shared" si="124"/>
        <v>8.7156379950726372E-3</v>
      </c>
      <c r="P560" s="22">
        <f t="shared" si="124"/>
        <v>8.7151295841951387E-3</v>
      </c>
      <c r="Q560" s="22">
        <f t="shared" si="124"/>
        <v>8.7135796429422714E-3</v>
      </c>
      <c r="R560" s="22">
        <f t="shared" si="124"/>
        <v>8.7123650020539626E-3</v>
      </c>
      <c r="S560" s="22">
        <f t="shared" si="124"/>
        <v>8.7122832255439892E-3</v>
      </c>
      <c r="T560" s="22">
        <f t="shared" si="124"/>
        <v>8.7173355350628028E-3</v>
      </c>
      <c r="U560" s="22">
        <f t="shared" si="124"/>
        <v>8.7145721121356327E-3</v>
      </c>
      <c r="V560" s="22">
        <f t="shared" si="124"/>
        <v>8.7124821053041063E-3</v>
      </c>
      <c r="W560" s="22">
        <f t="shared" si="124"/>
        <v>8.7105552168511343E-3</v>
      </c>
      <c r="X560" s="22">
        <f t="shared" si="124"/>
        <v>8.7084143360703897E-3</v>
      </c>
      <c r="Y560" s="22">
        <f t="shared" si="124"/>
        <v>8.7055048950305004E-3</v>
      </c>
      <c r="Z560" s="22">
        <f t="shared" si="124"/>
        <v>8.7024583652481006E-3</v>
      </c>
      <c r="AA560" s="22">
        <f t="shared" si="124"/>
        <v>8.6992687705627434E-3</v>
      </c>
      <c r="AB560" s="22">
        <f t="shared" si="124"/>
        <v>8.6964339699548802E-3</v>
      </c>
      <c r="AC560" s="22">
        <f t="shared" si="124"/>
        <v>8.6933066086401032E-3</v>
      </c>
      <c r="AD560" s="22">
        <f t="shared" si="124"/>
        <v>8.6898305348520055E-3</v>
      </c>
      <c r="AE560" s="22">
        <f t="shared" si="124"/>
        <v>8.6865009851854087E-3</v>
      </c>
      <c r="AF560" s="22">
        <f t="shared" si="124"/>
        <v>8.6831159219126538E-3</v>
      </c>
      <c r="AG560" s="22">
        <f t="shared" si="124"/>
        <v>8.6797405493408489E-3</v>
      </c>
      <c r="AH560" s="22">
        <f t="shared" si="124"/>
        <v>8.6761241701491087E-3</v>
      </c>
      <c r="AI560" s="22">
        <f t="shared" si="124"/>
        <v>8.672931424930929E-3</v>
      </c>
      <c r="AJ560" s="22">
        <f t="shared" si="124"/>
        <v>8.6696501268907124E-3</v>
      </c>
      <c r="AK560" s="22">
        <f t="shared" si="124"/>
        <v>8.6663864715511834E-3</v>
      </c>
      <c r="AL560" s="22">
        <f t="shared" si="124"/>
        <v>8.6633023570455974E-3</v>
      </c>
      <c r="AM560" s="22">
        <f t="shared" si="124"/>
        <v>8.6602802640642716E-3</v>
      </c>
      <c r="AN560" s="22">
        <f t="shared" si="124"/>
        <v>8.6572230703940104E-3</v>
      </c>
      <c r="AO560" s="22">
        <f t="shared" si="124"/>
        <v>8.6541026675321618E-3</v>
      </c>
      <c r="AP560" s="22">
        <f t="shared" si="124"/>
        <v>8.651189877007099E-3</v>
      </c>
      <c r="AQ560" s="22">
        <f t="shared" si="124"/>
        <v>8.6482959409836767E-3</v>
      </c>
      <c r="AR560" s="22">
        <f t="shared" si="124"/>
        <v>8.6454165096277492E-3</v>
      </c>
      <c r="AS560" s="22">
        <f t="shared" si="124"/>
        <v>8.642431137654066E-3</v>
      </c>
      <c r="AT560" s="22">
        <f t="shared" si="124"/>
        <v>8.6394452455363525E-3</v>
      </c>
      <c r="AU560" s="22">
        <f t="shared" si="124"/>
        <v>8.6375927497315073E-3</v>
      </c>
      <c r="AV560" s="22">
        <f t="shared" si="124"/>
        <v>8.635831741120089E-3</v>
      </c>
      <c r="AW560" s="22">
        <f t="shared" si="124"/>
        <v>8.6339413814981846E-3</v>
      </c>
      <c r="AY560" s="85"/>
    </row>
    <row r="561" spans="1:51" x14ac:dyDescent="0.25">
      <c r="A561" s="102" t="str">
        <f t="shared" si="108"/>
        <v>PQ Volatilisation</v>
      </c>
      <c r="B561" s="102" t="s">
        <v>969</v>
      </c>
      <c r="C561" s="102" t="s">
        <v>62</v>
      </c>
      <c r="D561" t="s">
        <v>369</v>
      </c>
      <c r="E561" t="s">
        <v>61</v>
      </c>
      <c r="F561" t="s">
        <v>62</v>
      </c>
      <c r="G561" t="s">
        <v>437</v>
      </c>
      <c r="H561" t="s">
        <v>1187</v>
      </c>
      <c r="I561" t="s">
        <v>139</v>
      </c>
      <c r="J561" t="s">
        <v>287</v>
      </c>
      <c r="K561" s="22">
        <f t="shared" si="117"/>
        <v>1.2055794850635659</v>
      </c>
      <c r="L561" s="22">
        <f t="shared" si="124"/>
        <v>1.2104278424184185</v>
      </c>
      <c r="M561" s="22">
        <f t="shared" si="124"/>
        <v>1.2110410080270337</v>
      </c>
      <c r="N561" s="22">
        <f t="shared" si="124"/>
        <v>1.1943250378730979</v>
      </c>
      <c r="O561" s="22">
        <f t="shared" si="124"/>
        <v>1.1785336367211481</v>
      </c>
      <c r="P561" s="22">
        <f t="shared" si="124"/>
        <v>1.1807984846872717</v>
      </c>
      <c r="Q561" s="22">
        <f t="shared" si="124"/>
        <v>1.1777806975328995</v>
      </c>
      <c r="R561" s="22">
        <f t="shared" si="124"/>
        <v>1.1565987272959932</v>
      </c>
      <c r="S561" s="22">
        <f t="shared" si="124"/>
        <v>1.0565661190304907</v>
      </c>
      <c r="T561" s="22">
        <f t="shared" si="124"/>
        <v>1.0843981444045876</v>
      </c>
      <c r="U561" s="22">
        <f t="shared" si="124"/>
        <v>1.1022978887172767</v>
      </c>
      <c r="V561" s="22">
        <f t="shared" si="124"/>
        <v>1.1179525333401792</v>
      </c>
      <c r="W561" s="22">
        <f t="shared" si="124"/>
        <v>1.1371937582920058</v>
      </c>
      <c r="X561" s="22">
        <f t="shared" si="124"/>
        <v>1.1688596383194103</v>
      </c>
      <c r="Y561" s="22">
        <f t="shared" si="124"/>
        <v>1.2033526446166931</v>
      </c>
      <c r="Z561" s="22">
        <f t="shared" si="124"/>
        <v>1.2408507133252609</v>
      </c>
      <c r="AA561" s="22">
        <f t="shared" si="124"/>
        <v>1.2731843133951926</v>
      </c>
      <c r="AB561" s="22">
        <f t="shared" si="124"/>
        <v>1.3110551040849183</v>
      </c>
      <c r="AC561" s="22">
        <f t="shared" si="124"/>
        <v>1.355728169291323</v>
      </c>
      <c r="AD561" s="22">
        <f t="shared" si="124"/>
        <v>1.3939596257860098</v>
      </c>
      <c r="AE561" s="22">
        <f t="shared" si="124"/>
        <v>1.4337807294637712</v>
      </c>
      <c r="AF561" s="22">
        <f t="shared" si="124"/>
        <v>1.47406827607512</v>
      </c>
      <c r="AG561" s="22">
        <f t="shared" si="124"/>
        <v>1.5194978047800693</v>
      </c>
      <c r="AH561" s="22">
        <f t="shared" si="124"/>
        <v>1.5577289711925291</v>
      </c>
      <c r="AI561" s="22">
        <f t="shared" si="124"/>
        <v>1.5982604880799263</v>
      </c>
      <c r="AJ561" s="22">
        <f t="shared" si="124"/>
        <v>1.6390864176929789</v>
      </c>
      <c r="AK561" s="22">
        <f t="shared" si="124"/>
        <v>1.6769805965077378</v>
      </c>
      <c r="AL561" s="22">
        <f t="shared" si="124"/>
        <v>1.7141634850883904</v>
      </c>
      <c r="AM561" s="22">
        <f t="shared" si="124"/>
        <v>1.7525800299502974</v>
      </c>
      <c r="AN561" s="22">
        <f t="shared" si="124"/>
        <v>1.7962799809461818</v>
      </c>
      <c r="AO561" s="22">
        <f t="shared" si="124"/>
        <v>1.8363745934977889</v>
      </c>
      <c r="AP561" s="22">
        <f t="shared" si="124"/>
        <v>1.8767319429652667</v>
      </c>
      <c r="AQ561" s="22">
        <f t="shared" si="124"/>
        <v>1.9174419078072971</v>
      </c>
      <c r="AR561" s="22">
        <f t="shared" si="124"/>
        <v>1.9611841098019933</v>
      </c>
      <c r="AS561" s="22">
        <f t="shared" si="124"/>
        <v>2.0057175014121866</v>
      </c>
      <c r="AT561" s="22">
        <f t="shared" si="124"/>
        <v>2.0250554676371522</v>
      </c>
      <c r="AU561" s="22">
        <f t="shared" si="124"/>
        <v>2.0424822718000586</v>
      </c>
      <c r="AV561" s="22">
        <f t="shared" si="124"/>
        <v>2.0630523613917346</v>
      </c>
      <c r="AW561" s="22">
        <f t="shared" si="124"/>
        <v>2.082006990762475</v>
      </c>
      <c r="AY561" s="85"/>
    </row>
    <row r="562" spans="1:51" x14ac:dyDescent="0.25">
      <c r="A562" s="102" t="str">
        <f t="shared" si="108"/>
        <v>PQ Volatilisation</v>
      </c>
      <c r="B562" s="102" t="s">
        <v>969</v>
      </c>
      <c r="C562" s="102" t="s">
        <v>62</v>
      </c>
      <c r="D562" t="s">
        <v>369</v>
      </c>
      <c r="E562" t="s">
        <v>61</v>
      </c>
      <c r="F562" t="s">
        <v>62</v>
      </c>
      <c r="G562" t="s">
        <v>438</v>
      </c>
      <c r="H562" t="s">
        <v>1266</v>
      </c>
      <c r="I562" t="s">
        <v>139</v>
      </c>
      <c r="J562" t="s">
        <v>287</v>
      </c>
      <c r="K562" s="22">
        <f t="shared" si="117"/>
        <v>4.4098974147867755</v>
      </c>
      <c r="L562" s="22">
        <f t="shared" si="124"/>
        <v>4.4002705988392581</v>
      </c>
      <c r="M562" s="22">
        <f t="shared" si="124"/>
        <v>4.3810790490560496</v>
      </c>
      <c r="N562" s="22">
        <f t="shared" si="124"/>
        <v>4.3210884872533324</v>
      </c>
      <c r="O562" s="22">
        <f t="shared" si="124"/>
        <v>4.2648964492483783</v>
      </c>
      <c r="P562" s="22">
        <f t="shared" si="124"/>
        <v>4.2527084614653266</v>
      </c>
      <c r="Q562" s="22">
        <f t="shared" si="124"/>
        <v>4.2283311412429541</v>
      </c>
      <c r="R562" s="22">
        <f t="shared" si="124"/>
        <v>4.1624951000433894</v>
      </c>
      <c r="S562" s="22">
        <f t="shared" si="124"/>
        <v>3.918294133105289</v>
      </c>
      <c r="T562" s="22">
        <f t="shared" si="124"/>
        <v>3.9728149933985741</v>
      </c>
      <c r="U562" s="22">
        <f t="shared" si="124"/>
        <v>4.0046383553460947</v>
      </c>
      <c r="V562" s="22">
        <f t="shared" si="124"/>
        <v>4.0313393560711299</v>
      </c>
      <c r="W562" s="22">
        <f t="shared" si="124"/>
        <v>4.0659554364901567</v>
      </c>
      <c r="X562" s="22">
        <f t="shared" si="124"/>
        <v>4.127860980146191</v>
      </c>
      <c r="Y562" s="22">
        <f t="shared" si="124"/>
        <v>4.1932975047825973</v>
      </c>
      <c r="Z562" s="22">
        <f t="shared" si="124"/>
        <v>4.2646556600059613</v>
      </c>
      <c r="AA562" s="22">
        <f t="shared" si="124"/>
        <v>4.3240622404895737</v>
      </c>
      <c r="AB562" s="22">
        <f t="shared" si="124"/>
        <v>4.3947968135079751</v>
      </c>
      <c r="AC562" s="22">
        <f t="shared" si="124"/>
        <v>4.4793345574908621</v>
      </c>
      <c r="AD562" s="22">
        <f t="shared" si="124"/>
        <v>4.5365384381843912</v>
      </c>
      <c r="AE562" s="22">
        <f t="shared" si="124"/>
        <v>4.5953040720129232</v>
      </c>
      <c r="AF562" s="22">
        <f t="shared" si="124"/>
        <v>4.6531478649857521</v>
      </c>
      <c r="AG562" s="22">
        <f t="shared" si="124"/>
        <v>4.7195989933520908</v>
      </c>
      <c r="AH562" s="22">
        <f t="shared" si="124"/>
        <v>4.7691902048211627</v>
      </c>
      <c r="AI562" s="22">
        <f t="shared" si="124"/>
        <v>4.8198409519315524</v>
      </c>
      <c r="AJ562" s="22">
        <f t="shared" si="124"/>
        <v>4.8689648702732589</v>
      </c>
      <c r="AK562" s="22">
        <f t="shared" si="124"/>
        <v>4.9101688608077527</v>
      </c>
      <c r="AL562" s="22">
        <f t="shared" si="124"/>
        <v>4.9479174362838023</v>
      </c>
      <c r="AM562" s="22">
        <f t="shared" si="124"/>
        <v>4.9859362473479623</v>
      </c>
      <c r="AN562" s="22">
        <f t="shared" si="124"/>
        <v>5.0387466715290952</v>
      </c>
      <c r="AO562" s="22">
        <f t="shared" si="124"/>
        <v>5.0829929376217953</v>
      </c>
      <c r="AP562" s="22">
        <f t="shared" si="124"/>
        <v>5.1260297941923829</v>
      </c>
      <c r="AQ562" s="22">
        <f t="shared" si="124"/>
        <v>5.1679798732444908</v>
      </c>
      <c r="AR562" s="22">
        <f t="shared" si="124"/>
        <v>5.2136546695362291</v>
      </c>
      <c r="AS562" s="22">
        <f t="shared" si="124"/>
        <v>5.2573345909610909</v>
      </c>
      <c r="AT562" s="22">
        <f t="shared" si="124"/>
        <v>5.2543577680109008</v>
      </c>
      <c r="AU562" s="22">
        <f t="shared" si="124"/>
        <v>5.2470482911537353</v>
      </c>
      <c r="AV562" s="22">
        <f t="shared" si="124"/>
        <v>5.2442604689487187</v>
      </c>
      <c r="AW562" s="22">
        <f t="shared" si="124"/>
        <v>5.2376395842644694</v>
      </c>
      <c r="AY562" s="85"/>
    </row>
    <row r="563" spans="1:51" x14ac:dyDescent="0.25">
      <c r="A563" s="102" t="str">
        <f t="shared" si="108"/>
        <v>PQ Leaching</v>
      </c>
      <c r="B563" s="102" t="s">
        <v>969</v>
      </c>
      <c r="C563" s="102" t="s">
        <v>1191</v>
      </c>
      <c r="D563" t="s">
        <v>369</v>
      </c>
      <c r="E563" t="s">
        <v>61</v>
      </c>
      <c r="F563" t="s">
        <v>63</v>
      </c>
      <c r="G563" t="s">
        <v>435</v>
      </c>
      <c r="H563" t="s">
        <v>1188</v>
      </c>
      <c r="I563" t="s">
        <v>139</v>
      </c>
      <c r="J563" t="s">
        <v>287</v>
      </c>
      <c r="K563" s="22">
        <f t="shared" si="117"/>
        <v>2.2792360161858692E-4</v>
      </c>
      <c r="L563" s="22">
        <f t="shared" si="124"/>
        <v>2.278954782162738E-4</v>
      </c>
      <c r="M563" s="22">
        <f t="shared" si="124"/>
        <v>2.2784833455264354E-4</v>
      </c>
      <c r="N563" s="22">
        <f t="shared" si="124"/>
        <v>2.2780821234926642E-4</v>
      </c>
      <c r="O563" s="22">
        <f t="shared" si="124"/>
        <v>2.2779508396212562E-4</v>
      </c>
      <c r="P563" s="22">
        <f t="shared" si="124"/>
        <v>2.2778179595055463E-4</v>
      </c>
      <c r="Q563" s="22">
        <f t="shared" si="124"/>
        <v>2.2774128612235473E-4</v>
      </c>
      <c r="R563" s="22">
        <f t="shared" si="124"/>
        <v>2.2770953982641034E-4</v>
      </c>
      <c r="S563" s="22">
        <f t="shared" si="124"/>
        <v>2.2770740248580869E-4</v>
      </c>
      <c r="T563" s="22">
        <f t="shared" si="124"/>
        <v>2.2783945148459591E-4</v>
      </c>
      <c r="U563" s="22">
        <f t="shared" si="124"/>
        <v>2.2776722565809031E-4</v>
      </c>
      <c r="V563" s="22">
        <f t="shared" si="124"/>
        <v>2.2771260047953912E-4</v>
      </c>
      <c r="W563" s="22">
        <f t="shared" si="124"/>
        <v>2.2766223862224547E-4</v>
      </c>
      <c r="X563" s="22">
        <f t="shared" si="124"/>
        <v>2.276062837836578E-4</v>
      </c>
      <c r="Y563" s="22">
        <f t="shared" si="124"/>
        <v>2.2753024157466073E-4</v>
      </c>
      <c r="Z563" s="22">
        <f t="shared" si="124"/>
        <v>2.2745061636443892E-4</v>
      </c>
      <c r="AA563" s="22">
        <f t="shared" si="124"/>
        <v>2.2736725195788982E-4</v>
      </c>
      <c r="AB563" s="22">
        <f t="shared" si="124"/>
        <v>2.2729316057836611E-4</v>
      </c>
      <c r="AC563" s="22">
        <f t="shared" si="124"/>
        <v>2.2721142272582082E-4</v>
      </c>
      <c r="AD563" s="22">
        <f t="shared" si="124"/>
        <v>2.2712057079726826E-4</v>
      </c>
      <c r="AE563" s="22">
        <f t="shared" si="124"/>
        <v>2.2703354847643673E-4</v>
      </c>
      <c r="AF563" s="22">
        <f t="shared" si="124"/>
        <v>2.26945075231808E-4</v>
      </c>
      <c r="AG563" s="22">
        <f t="shared" si="124"/>
        <v>2.2685685526686305E-4</v>
      </c>
      <c r="AH563" s="22">
        <f t="shared" si="124"/>
        <v>2.2676233626526071E-4</v>
      </c>
      <c r="AI563" s="22">
        <f t="shared" si="124"/>
        <v>2.2667888951524015E-4</v>
      </c>
      <c r="AJ563" s="22">
        <f t="shared" si="124"/>
        <v>2.2659312831646165E-4</v>
      </c>
      <c r="AK563" s="22">
        <f t="shared" si="124"/>
        <v>2.2650782823372401E-4</v>
      </c>
      <c r="AL563" s="22">
        <f t="shared" si="124"/>
        <v>2.2642722069550987E-4</v>
      </c>
      <c r="AM563" s="22">
        <f t="shared" si="124"/>
        <v>2.2634823417440697E-4</v>
      </c>
      <c r="AN563" s="22">
        <f t="shared" si="124"/>
        <v>2.2626833024893425E-4</v>
      </c>
      <c r="AO563" s="22">
        <f t="shared" si="124"/>
        <v>2.2618677426504506E-4</v>
      </c>
      <c r="AP563" s="22">
        <f t="shared" si="124"/>
        <v>2.2611064451268553E-4</v>
      </c>
      <c r="AQ563" s="22">
        <f t="shared" si="124"/>
        <v>2.2603500754843689E-4</v>
      </c>
      <c r="AR563" s="22">
        <f t="shared" si="124"/>
        <v>2.2595974968345244E-4</v>
      </c>
      <c r="AS563" s="22">
        <f t="shared" si="124"/>
        <v>2.2588172291595847E-4</v>
      </c>
      <c r="AT563" s="22">
        <f t="shared" si="124"/>
        <v>2.25803682553791E-4</v>
      </c>
      <c r="AU563" s="22">
        <f t="shared" si="124"/>
        <v>2.2575526504980067E-4</v>
      </c>
      <c r="AV563" s="22">
        <f t="shared" si="124"/>
        <v>2.2570923868836588E-4</v>
      </c>
      <c r="AW563" s="22">
        <f t="shared" si="124"/>
        <v>2.2565983156188431E-4</v>
      </c>
      <c r="AY563" s="85"/>
    </row>
    <row r="564" spans="1:51" x14ac:dyDescent="0.25">
      <c r="A564" s="102" t="str">
        <f t="shared" si="108"/>
        <v>PQ Leaching</v>
      </c>
      <c r="B564" s="102" t="s">
        <v>969</v>
      </c>
      <c r="C564" s="102" t="s">
        <v>1191</v>
      </c>
      <c r="D564" t="s">
        <v>369</v>
      </c>
      <c r="E564" t="s">
        <v>61</v>
      </c>
      <c r="F564" t="s">
        <v>63</v>
      </c>
      <c r="G564" t="s">
        <v>436</v>
      </c>
      <c r="H564" t="s">
        <v>1189</v>
      </c>
      <c r="I564" t="s">
        <v>139</v>
      </c>
      <c r="J564" t="s">
        <v>287</v>
      </c>
      <c r="K564" s="22">
        <f t="shared" si="117"/>
        <v>1.5042957706826741E-6</v>
      </c>
      <c r="L564" s="22">
        <f t="shared" si="124"/>
        <v>1.5041101562274073E-6</v>
      </c>
      <c r="M564" s="22">
        <f t="shared" si="124"/>
        <v>1.5037990080474479E-6</v>
      </c>
      <c r="N564" s="22">
        <f t="shared" si="124"/>
        <v>1.5035342015051588E-6</v>
      </c>
      <c r="O564" s="22">
        <f t="shared" si="124"/>
        <v>1.5034475541500297E-6</v>
      </c>
      <c r="P564" s="22">
        <f t="shared" si="124"/>
        <v>1.5033598532736611E-6</v>
      </c>
      <c r="Q564" s="22">
        <f t="shared" si="124"/>
        <v>1.5030924884075416E-6</v>
      </c>
      <c r="R564" s="22">
        <f t="shared" si="124"/>
        <v>1.5028829628543084E-6</v>
      </c>
      <c r="S564" s="22">
        <f t="shared" si="124"/>
        <v>1.5028688564063377E-6</v>
      </c>
      <c r="T564" s="22">
        <f t="shared" si="124"/>
        <v>1.5037403797983331E-6</v>
      </c>
      <c r="U564" s="22">
        <f t="shared" si="124"/>
        <v>1.5032636893433962E-6</v>
      </c>
      <c r="V564" s="22">
        <f t="shared" si="124"/>
        <v>1.5029031631649579E-6</v>
      </c>
      <c r="W564" s="22">
        <f t="shared" si="124"/>
        <v>1.5025707749068207E-6</v>
      </c>
      <c r="X564" s="22">
        <f t="shared" si="124"/>
        <v>1.5022014729721417E-6</v>
      </c>
      <c r="Y564" s="22">
        <f t="shared" si="124"/>
        <v>1.5016995943927613E-6</v>
      </c>
      <c r="Z564" s="22">
        <f t="shared" si="124"/>
        <v>1.5011740680052976E-6</v>
      </c>
      <c r="AA564" s="22">
        <f t="shared" si="124"/>
        <v>1.5006238629220729E-6</v>
      </c>
      <c r="AB564" s="22">
        <f t="shared" si="124"/>
        <v>1.5001348598172167E-6</v>
      </c>
      <c r="AC564" s="22">
        <f t="shared" si="124"/>
        <v>1.4995953899904175E-6</v>
      </c>
      <c r="AD564" s="22">
        <f t="shared" si="124"/>
        <v>1.4989957672619707E-6</v>
      </c>
      <c r="AE564" s="22">
        <f t="shared" si="124"/>
        <v>1.4984214199444828E-6</v>
      </c>
      <c r="AF564" s="22">
        <f t="shared" si="124"/>
        <v>1.497837496529933E-6</v>
      </c>
      <c r="AG564" s="22">
        <f t="shared" si="124"/>
        <v>1.497255244761296E-6</v>
      </c>
      <c r="AH564" s="22">
        <f t="shared" si="124"/>
        <v>1.4966314193507213E-6</v>
      </c>
      <c r="AI564" s="22">
        <f t="shared" si="124"/>
        <v>1.4960806708005854E-6</v>
      </c>
      <c r="AJ564" s="22">
        <f t="shared" si="124"/>
        <v>1.4955146468886474E-6</v>
      </c>
      <c r="AK564" s="22">
        <f t="shared" si="124"/>
        <v>1.494951666342579E-6</v>
      </c>
      <c r="AL564" s="22">
        <f t="shared" si="124"/>
        <v>1.494419656590365E-6</v>
      </c>
      <c r="AM564" s="22">
        <f t="shared" si="124"/>
        <v>1.493898345551086E-6</v>
      </c>
      <c r="AN564" s="22">
        <f t="shared" si="124"/>
        <v>1.4933709796429669E-6</v>
      </c>
      <c r="AO564" s="22">
        <f t="shared" si="124"/>
        <v>1.4928327101492978E-6</v>
      </c>
      <c r="AP564" s="22">
        <f t="shared" si="124"/>
        <v>1.4923302537837247E-6</v>
      </c>
      <c r="AQ564" s="22">
        <f t="shared" si="124"/>
        <v>1.4918310498196839E-6</v>
      </c>
      <c r="AR564" s="22">
        <f t="shared" si="124"/>
        <v>1.4913343479107866E-6</v>
      </c>
      <c r="AS564" s="22">
        <f t="shared" si="124"/>
        <v>1.490819371245326E-6</v>
      </c>
      <c r="AT564" s="22">
        <f t="shared" si="124"/>
        <v>1.490304304855021E-6</v>
      </c>
      <c r="AU564" s="22">
        <f t="shared" si="124"/>
        <v>1.4899847493286845E-6</v>
      </c>
      <c r="AV564" s="22">
        <f t="shared" si="124"/>
        <v>1.4896809753432154E-6</v>
      </c>
      <c r="AW564" s="22">
        <f t="shared" si="124"/>
        <v>1.489354888308437E-6</v>
      </c>
      <c r="AY564" s="85"/>
    </row>
    <row r="565" spans="1:51" x14ac:dyDescent="0.25">
      <c r="A565" s="102" t="str">
        <f t="shared" si="108"/>
        <v>PQ Leaching</v>
      </c>
      <c r="B565" s="102" t="s">
        <v>969</v>
      </c>
      <c r="C565" s="102" t="s">
        <v>1191</v>
      </c>
      <c r="D565" t="s">
        <v>369</v>
      </c>
      <c r="E565" t="s">
        <v>61</v>
      </c>
      <c r="F565" t="s">
        <v>63</v>
      </c>
      <c r="G565" t="s">
        <v>437</v>
      </c>
      <c r="H565" t="s">
        <v>1190</v>
      </c>
      <c r="I565" t="s">
        <v>139</v>
      </c>
      <c r="J565" t="s">
        <v>287</v>
      </c>
      <c r="K565" s="22">
        <f t="shared" si="117"/>
        <v>0.20796246117346509</v>
      </c>
      <c r="L565" s="22">
        <f t="shared" si="124"/>
        <v>0.20879880281717714</v>
      </c>
      <c r="M565" s="22">
        <f t="shared" si="124"/>
        <v>0.20890457388466332</v>
      </c>
      <c r="N565" s="22">
        <f t="shared" si="124"/>
        <v>0.20602106903310935</v>
      </c>
      <c r="O565" s="22">
        <f t="shared" si="124"/>
        <v>0.20329705233439804</v>
      </c>
      <c r="P565" s="22">
        <f t="shared" si="124"/>
        <v>0.2036877386085543</v>
      </c>
      <c r="Q565" s="22">
        <f t="shared" si="124"/>
        <v>0.20316717032442511</v>
      </c>
      <c r="R565" s="22">
        <f t="shared" si="124"/>
        <v>0.19951328045855884</v>
      </c>
      <c r="S565" s="22">
        <f t="shared" si="124"/>
        <v>0.18225765553275963</v>
      </c>
      <c r="T565" s="22">
        <f t="shared" si="124"/>
        <v>0.18705867990979133</v>
      </c>
      <c r="U565" s="22">
        <f t="shared" si="124"/>
        <v>0.19014638580373017</v>
      </c>
      <c r="V565" s="22">
        <f t="shared" si="124"/>
        <v>0.19284681200118092</v>
      </c>
      <c r="W565" s="22">
        <f t="shared" si="124"/>
        <v>0.19616592330537094</v>
      </c>
      <c r="X565" s="22">
        <f t="shared" si="124"/>
        <v>0.20162828761009829</v>
      </c>
      <c r="Y565" s="22">
        <f t="shared" si="124"/>
        <v>0.20757833119637956</v>
      </c>
      <c r="Z565" s="22">
        <f t="shared" si="124"/>
        <v>0.21404674804860749</v>
      </c>
      <c r="AA565" s="22">
        <f t="shared" si="124"/>
        <v>0.21962429406067066</v>
      </c>
      <c r="AB565" s="22">
        <f t="shared" si="124"/>
        <v>0.22615700545464837</v>
      </c>
      <c r="AC565" s="22">
        <f t="shared" si="124"/>
        <v>0.23386310920275319</v>
      </c>
      <c r="AD565" s="22">
        <f t="shared" si="124"/>
        <v>0.24045803544808661</v>
      </c>
      <c r="AE565" s="22">
        <f t="shared" si="124"/>
        <v>0.2473271758325005</v>
      </c>
      <c r="AF565" s="22">
        <f t="shared" si="124"/>
        <v>0.25427677762295814</v>
      </c>
      <c r="AG565" s="22">
        <f t="shared" si="124"/>
        <v>0.26211337132456192</v>
      </c>
      <c r="AH565" s="22">
        <f t="shared" si="124"/>
        <v>0.26870824753071121</v>
      </c>
      <c r="AI565" s="22">
        <f t="shared" si="124"/>
        <v>0.27569993419378713</v>
      </c>
      <c r="AJ565" s="22">
        <f t="shared" si="124"/>
        <v>0.28274240705203879</v>
      </c>
      <c r="AK565" s="22">
        <f t="shared" si="124"/>
        <v>0.28927915289758471</v>
      </c>
      <c r="AL565" s="22">
        <f t="shared" si="124"/>
        <v>0.29569320117774733</v>
      </c>
      <c r="AM565" s="22">
        <f t="shared" si="124"/>
        <v>0.30232005516642629</v>
      </c>
      <c r="AN565" s="22">
        <f t="shared" si="124"/>
        <v>0.30985829671321635</v>
      </c>
      <c r="AO565" s="22">
        <f t="shared" si="124"/>
        <v>0.31677461737836854</v>
      </c>
      <c r="AP565" s="22">
        <f t="shared" si="124"/>
        <v>0.32373626016150842</v>
      </c>
      <c r="AQ565" s="22">
        <f t="shared" si="124"/>
        <v>0.33075872909675869</v>
      </c>
      <c r="AR565" s="22">
        <f t="shared" si="124"/>
        <v>0.33830425894084387</v>
      </c>
      <c r="AS565" s="22">
        <f t="shared" si="124"/>
        <v>0.34598626899360208</v>
      </c>
      <c r="AT565" s="22">
        <f t="shared" si="124"/>
        <v>0.34932206816740874</v>
      </c>
      <c r="AU565" s="22">
        <f t="shared" si="124"/>
        <v>0.35232819188551001</v>
      </c>
      <c r="AV565" s="22">
        <f t="shared" si="124"/>
        <v>0.35587653234007416</v>
      </c>
      <c r="AW565" s="22">
        <f t="shared" si="124"/>
        <v>0.35914620590652685</v>
      </c>
      <c r="AY565" s="85"/>
    </row>
    <row r="566" spans="1:51" x14ac:dyDescent="0.25">
      <c r="A566" s="102" t="str">
        <f t="shared" si="108"/>
        <v>PQ Leaching</v>
      </c>
      <c r="B566" s="102" t="s">
        <v>969</v>
      </c>
      <c r="C566" s="102" t="s">
        <v>1191</v>
      </c>
      <c r="D566" t="s">
        <v>369</v>
      </c>
      <c r="E566" t="s">
        <v>61</v>
      </c>
      <c r="F566" t="s">
        <v>63</v>
      </c>
      <c r="G566" t="s">
        <v>438</v>
      </c>
      <c r="H566" t="s">
        <v>1192</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85"/>
    </row>
    <row r="567" spans="1:51" x14ac:dyDescent="0.25">
      <c r="A567" s="102" t="str">
        <f t="shared" si="108"/>
        <v>PQ Leaching</v>
      </c>
      <c r="B567" s="102" t="s">
        <v>969</v>
      </c>
      <c r="C567" s="102" t="s">
        <v>1191</v>
      </c>
      <c r="D567" t="s">
        <v>369</v>
      </c>
      <c r="E567" t="s">
        <v>61</v>
      </c>
      <c r="F567" t="s">
        <v>63</v>
      </c>
      <c r="G567" t="s">
        <v>439</v>
      </c>
      <c r="H567" t="s">
        <v>1193</v>
      </c>
      <c r="I567" t="s">
        <v>139</v>
      </c>
      <c r="J567" t="s">
        <v>287</v>
      </c>
      <c r="K567" s="22">
        <f t="shared" si="117"/>
        <v>0.10175116378121943</v>
      </c>
      <c r="L567" s="22">
        <f t="shared" si="125"/>
        <v>0.10196112149474701</v>
      </c>
      <c r="M567" s="22">
        <f t="shared" si="125"/>
        <v>0.10231307662851437</v>
      </c>
      <c r="N567" s="22">
        <f t="shared" si="125"/>
        <v>0.10261261243819185</v>
      </c>
      <c r="O567" s="22">
        <f t="shared" si="125"/>
        <v>0.10271062355774604</v>
      </c>
      <c r="P567" s="22">
        <f t="shared" si="125"/>
        <v>0.10280982636740998</v>
      </c>
      <c r="Q567" s="22">
        <f t="shared" si="125"/>
        <v>0.10311225602401949</v>
      </c>
      <c r="R567" s="22">
        <f t="shared" si="125"/>
        <v>0.10334926076602191</v>
      </c>
      <c r="S567" s="22">
        <f t="shared" si="125"/>
        <v>0.1033652172687505</v>
      </c>
      <c r="T567" s="22">
        <f t="shared" si="125"/>
        <v>0.10237939394800614</v>
      </c>
      <c r="U567" s="22">
        <f t="shared" si="125"/>
        <v>0.10291860215695282</v>
      </c>
      <c r="V567" s="22">
        <f t="shared" si="125"/>
        <v>0.10332641119306983</v>
      </c>
      <c r="W567" s="22">
        <f t="shared" si="125"/>
        <v>0.10370239203239459</v>
      </c>
      <c r="X567" s="22">
        <f t="shared" si="125"/>
        <v>0.1041201277615169</v>
      </c>
      <c r="Y567" s="22">
        <f t="shared" si="125"/>
        <v>0.1046878275069046</v>
      </c>
      <c r="Z567" s="22">
        <f t="shared" si="125"/>
        <v>0.10528227646052629</v>
      </c>
      <c r="AA567" s="22">
        <f t="shared" si="125"/>
        <v>0.1059046407105468</v>
      </c>
      <c r="AB567" s="22">
        <f t="shared" si="125"/>
        <v>0.10645777636830578</v>
      </c>
      <c r="AC567" s="22">
        <f t="shared" si="125"/>
        <v>0.10706799743750575</v>
      </c>
      <c r="AD567" s="22">
        <f t="shared" si="125"/>
        <v>0.10774626043627387</v>
      </c>
      <c r="AE567" s="22">
        <f t="shared" si="125"/>
        <v>0.10839593316449521</v>
      </c>
      <c r="AF567" s="22">
        <f t="shared" si="125"/>
        <v>0.10905643789090745</v>
      </c>
      <c r="AG567" s="22">
        <f t="shared" si="125"/>
        <v>0.10971505173574356</v>
      </c>
      <c r="AH567" s="22">
        <f t="shared" si="125"/>
        <v>0.11042069158828928</v>
      </c>
      <c r="AI567" s="22">
        <f t="shared" si="125"/>
        <v>0.11104367058067952</v>
      </c>
      <c r="AJ567" s="22">
        <f t="shared" si="125"/>
        <v>0.11168392829219058</v>
      </c>
      <c r="AK567" s="22">
        <f t="shared" si="125"/>
        <v>0.11232074350166987</v>
      </c>
      <c r="AL567" s="22">
        <f t="shared" si="125"/>
        <v>0.11292252611061948</v>
      </c>
      <c r="AM567" s="22">
        <f t="shared" si="125"/>
        <v>0.11351220687490285</v>
      </c>
      <c r="AN567" s="22">
        <f t="shared" si="125"/>
        <v>0.11410873660154547</v>
      </c>
      <c r="AO567" s="22">
        <f t="shared" si="125"/>
        <v>0.11471759991442693</v>
      </c>
      <c r="AP567" s="22">
        <f t="shared" si="125"/>
        <v>0.11528595322242488</v>
      </c>
      <c r="AQ567" s="22">
        <f t="shared" si="125"/>
        <v>0.1158506275777887</v>
      </c>
      <c r="AR567" s="22">
        <f t="shared" si="125"/>
        <v>0.1164124717345221</v>
      </c>
      <c r="AS567" s="22">
        <f t="shared" si="125"/>
        <v>0.11699498737450693</v>
      </c>
      <c r="AT567" s="22">
        <f t="shared" si="125"/>
        <v>0.11757760450671237</v>
      </c>
      <c r="AU567" s="22">
        <f t="shared" si="125"/>
        <v>0.11793906960682159</v>
      </c>
      <c r="AV567" s="22">
        <f t="shared" si="125"/>
        <v>0.11828268342357233</v>
      </c>
      <c r="AW567" s="22">
        <f t="shared" si="125"/>
        <v>0.11865153663672662</v>
      </c>
      <c r="AY567" s="85"/>
    </row>
    <row r="568" spans="1:51" x14ac:dyDescent="0.25">
      <c r="A568" s="102" t="str">
        <f t="shared" si="108"/>
        <v>PQ Leaching</v>
      </c>
      <c r="B568" s="102" t="s">
        <v>969</v>
      </c>
      <c r="C568" s="102" t="s">
        <v>1191</v>
      </c>
      <c r="D568" t="s">
        <v>369</v>
      </c>
      <c r="E568" t="s">
        <v>61</v>
      </c>
      <c r="F568" t="s">
        <v>63</v>
      </c>
      <c r="G568" t="s">
        <v>1194</v>
      </c>
      <c r="H568" t="s">
        <v>1195</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85"/>
    </row>
    <row r="569" spans="1:51" x14ac:dyDescent="0.25">
      <c r="A569" s="102" t="str">
        <f t="shared" si="108"/>
        <v>PQ Leaching</v>
      </c>
      <c r="B569" s="102" t="s">
        <v>969</v>
      </c>
      <c r="C569" s="102" t="s">
        <v>1191</v>
      </c>
      <c r="D569" t="s">
        <v>369</v>
      </c>
      <c r="E569" t="s">
        <v>61</v>
      </c>
      <c r="F569" t="s">
        <v>63</v>
      </c>
      <c r="G569" t="s">
        <v>1196</v>
      </c>
      <c r="H569" t="s">
        <v>1197</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85"/>
    </row>
    <row r="570" spans="1:51" x14ac:dyDescent="0.25">
      <c r="A570" s="102" t="str">
        <f t="shared" si="108"/>
        <v>PQ Leaching</v>
      </c>
      <c r="B570" s="102" t="s">
        <v>969</v>
      </c>
      <c r="C570" s="102" t="s">
        <v>1191</v>
      </c>
      <c r="D570" t="s">
        <v>369</v>
      </c>
      <c r="E570" t="s">
        <v>61</v>
      </c>
      <c r="F570" t="s">
        <v>63</v>
      </c>
      <c r="G570" t="s">
        <v>1198</v>
      </c>
      <c r="H570" t="s">
        <v>1199</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85"/>
    </row>
    <row r="571" spans="1:51" x14ac:dyDescent="0.25">
      <c r="A571" s="102" t="str">
        <f t="shared" si="108"/>
        <v>PQ Leaching</v>
      </c>
      <c r="B571" s="102" t="s">
        <v>969</v>
      </c>
      <c r="C571" s="102" t="s">
        <v>1191</v>
      </c>
      <c r="D571" t="s">
        <v>369</v>
      </c>
      <c r="E571" t="s">
        <v>61</v>
      </c>
      <c r="F571" t="s">
        <v>63</v>
      </c>
      <c r="G571" t="s">
        <v>1200</v>
      </c>
      <c r="H571" t="s">
        <v>1201</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85"/>
    </row>
    <row r="572" spans="1:51" x14ac:dyDescent="0.25">
      <c r="A572" s="102" t="str">
        <f t="shared" si="108"/>
        <v>PQ Leaching</v>
      </c>
      <c r="B572" s="102" t="s">
        <v>969</v>
      </c>
      <c r="C572" s="102" t="s">
        <v>1191</v>
      </c>
      <c r="D572" t="s">
        <v>369</v>
      </c>
      <c r="E572" t="s">
        <v>61</v>
      </c>
      <c r="F572" t="s">
        <v>63</v>
      </c>
      <c r="G572" t="s">
        <v>1202</v>
      </c>
      <c r="H572" t="s">
        <v>1203</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85"/>
    </row>
    <row r="573" spans="1:51" x14ac:dyDescent="0.25">
      <c r="A573" s="102" t="str">
        <f t="shared" si="108"/>
        <v>PQ Leaching</v>
      </c>
      <c r="B573" s="102" t="s">
        <v>969</v>
      </c>
      <c r="C573" s="102" t="s">
        <v>1191</v>
      </c>
      <c r="D573" t="s">
        <v>369</v>
      </c>
      <c r="E573" t="s">
        <v>61</v>
      </c>
      <c r="F573" t="s">
        <v>63</v>
      </c>
      <c r="G573" t="s">
        <v>1204</v>
      </c>
      <c r="H573" t="s">
        <v>1205</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85"/>
    </row>
    <row r="574" spans="1:51" x14ac:dyDescent="0.25">
      <c r="A574" s="102" t="str">
        <f t="shared" si="108"/>
        <v>PQ Leaching</v>
      </c>
      <c r="B574" s="102" t="s">
        <v>969</v>
      </c>
      <c r="C574" s="102" t="s">
        <v>1191</v>
      </c>
      <c r="D574" t="s">
        <v>369</v>
      </c>
      <c r="E574" t="s">
        <v>61</v>
      </c>
      <c r="F574" t="s">
        <v>63</v>
      </c>
      <c r="G574" t="s">
        <v>1206</v>
      </c>
      <c r="H574" t="s">
        <v>1207</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85"/>
    </row>
    <row r="575" spans="1:51" x14ac:dyDescent="0.25">
      <c r="A575" s="102" t="str">
        <f t="shared" si="108"/>
        <v>PQ Leaching</v>
      </c>
      <c r="B575" s="102" t="s">
        <v>969</v>
      </c>
      <c r="C575" s="102" t="s">
        <v>1191</v>
      </c>
      <c r="D575" t="s">
        <v>369</v>
      </c>
      <c r="E575" t="s">
        <v>61</v>
      </c>
      <c r="F575" t="s">
        <v>63</v>
      </c>
      <c r="G575" t="s">
        <v>1208</v>
      </c>
      <c r="H575" t="s">
        <v>1209</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85"/>
    </row>
    <row r="576" spans="1:51" x14ac:dyDescent="0.25">
      <c r="A576" s="102" t="str">
        <f t="shared" si="108"/>
        <v>PQ Leaching</v>
      </c>
      <c r="B576" s="102" t="s">
        <v>969</v>
      </c>
      <c r="C576" s="102" t="s">
        <v>1191</v>
      </c>
      <c r="D576" t="s">
        <v>369</v>
      </c>
      <c r="E576" t="s">
        <v>61</v>
      </c>
      <c r="F576" t="s">
        <v>63</v>
      </c>
      <c r="G576" t="s">
        <v>1210</v>
      </c>
      <c r="H576" t="s">
        <v>1211</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85"/>
    </row>
    <row r="577" spans="1:51" x14ac:dyDescent="0.25">
      <c r="A577" s="102" t="str">
        <f t="shared" si="108"/>
        <v>PQ Leaching</v>
      </c>
      <c r="B577" s="102" t="s">
        <v>969</v>
      </c>
      <c r="C577" s="102" t="s">
        <v>1191</v>
      </c>
      <c r="D577" t="s">
        <v>369</v>
      </c>
      <c r="E577" t="s">
        <v>61</v>
      </c>
      <c r="F577" t="s">
        <v>63</v>
      </c>
      <c r="G577" t="s">
        <v>1212</v>
      </c>
      <c r="H577" t="s">
        <v>1213</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85"/>
    </row>
    <row r="578" spans="1:51" x14ac:dyDescent="0.25">
      <c r="A578" s="102" t="str">
        <f t="shared" si="108"/>
        <v>PQ Leaching</v>
      </c>
      <c r="B578" s="102" t="s">
        <v>969</v>
      </c>
      <c r="C578" s="102" t="s">
        <v>1191</v>
      </c>
      <c r="D578" t="s">
        <v>369</v>
      </c>
      <c r="E578" t="s">
        <v>61</v>
      </c>
      <c r="F578" t="s">
        <v>63</v>
      </c>
      <c r="G578" t="s">
        <v>1214</v>
      </c>
      <c r="H578" t="s">
        <v>1215</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85"/>
    </row>
    <row r="579" spans="1:51" x14ac:dyDescent="0.25">
      <c r="A579" s="102" t="str">
        <f t="shared" si="108"/>
        <v xml:space="preserve">PQ </v>
      </c>
      <c r="B579" s="102" t="s">
        <v>969</v>
      </c>
      <c r="C579" s="102"/>
      <c r="D579" t="s">
        <v>369</v>
      </c>
      <c r="E579" t="s">
        <v>61</v>
      </c>
      <c r="F579" t="s">
        <v>63</v>
      </c>
      <c r="G579" t="s">
        <v>1216</v>
      </c>
      <c r="H579" t="s">
        <v>1217</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85"/>
    </row>
    <row r="580" spans="1:51" x14ac:dyDescent="0.25">
      <c r="A580" s="102" t="str">
        <f t="shared" si="108"/>
        <v>PQ MM Volatilisation</v>
      </c>
      <c r="B580" s="102" t="s">
        <v>969</v>
      </c>
      <c r="C580" s="102" t="s">
        <v>1333</v>
      </c>
      <c r="D580" t="s">
        <v>369</v>
      </c>
      <c r="E580" t="s">
        <v>64</v>
      </c>
      <c r="F580" t="s">
        <v>62</v>
      </c>
      <c r="G580" t="s">
        <v>1153</v>
      </c>
      <c r="H580" t="s">
        <v>1291</v>
      </c>
      <c r="I580" t="s">
        <v>139</v>
      </c>
      <c r="J580" t="s">
        <v>287</v>
      </c>
      <c r="K580" s="22">
        <f t="shared" si="127"/>
        <v>0.39650006889927725</v>
      </c>
      <c r="L580" s="22">
        <f t="shared" si="128"/>
        <v>0.39917725962597483</v>
      </c>
      <c r="M580" s="22">
        <f t="shared" si="128"/>
        <v>0.40151912336157097</v>
      </c>
      <c r="N580" s="22">
        <f t="shared" si="128"/>
        <v>0.40182204834461305</v>
      </c>
      <c r="O580" s="22">
        <f t="shared" si="128"/>
        <v>0.40234380692675509</v>
      </c>
      <c r="P580" s="22">
        <f t="shared" si="128"/>
        <v>0.40533756143141658</v>
      </c>
      <c r="Q580" s="22">
        <f t="shared" si="128"/>
        <v>0.40773146882804268</v>
      </c>
      <c r="R580" s="22">
        <f t="shared" si="128"/>
        <v>0.4077524587520438</v>
      </c>
      <c r="S580" s="22">
        <f t="shared" si="128"/>
        <v>0.39694956601748077</v>
      </c>
      <c r="T580" s="22">
        <f t="shared" si="128"/>
        <v>0.40216838368989699</v>
      </c>
      <c r="U580" s="22">
        <f t="shared" si="128"/>
        <v>0.40611893900122115</v>
      </c>
      <c r="V580" s="22">
        <f t="shared" si="128"/>
        <v>0.40984619445157972</v>
      </c>
      <c r="W580" s="22">
        <f t="shared" si="128"/>
        <v>0.41416805701435672</v>
      </c>
      <c r="X580" s="22">
        <f t="shared" si="128"/>
        <v>0.42036063160455023</v>
      </c>
      <c r="Y580" s="22">
        <f t="shared" si="128"/>
        <v>0.42680782230429931</v>
      </c>
      <c r="Z580" s="22">
        <f t="shared" si="128"/>
        <v>0.43381092675754646</v>
      </c>
      <c r="AA580" s="22">
        <f t="shared" si="128"/>
        <v>0.4401795345291673</v>
      </c>
      <c r="AB580" s="22">
        <f t="shared" si="128"/>
        <v>0.44747640522914289</v>
      </c>
      <c r="AC580" s="22">
        <f t="shared" si="128"/>
        <v>0.45590733118781618</v>
      </c>
      <c r="AD580" s="22">
        <f t="shared" si="128"/>
        <v>0.46402422732384918</v>
      </c>
      <c r="AE580" s="22">
        <f t="shared" si="128"/>
        <v>0.47256428946703954</v>
      </c>
      <c r="AF580" s="22">
        <f t="shared" si="128"/>
        <v>0.48136337732272266</v>
      </c>
      <c r="AG580" s="22">
        <f t="shared" si="128"/>
        <v>0.49115427006051043</v>
      </c>
      <c r="AH580" s="22">
        <f t="shared" si="128"/>
        <v>0.50001868003063199</v>
      </c>
      <c r="AI580" s="22">
        <f t="shared" si="128"/>
        <v>0.50922978725811852</v>
      </c>
      <c r="AJ580" s="22">
        <f t="shared" si="128"/>
        <v>0.51868165497998486</v>
      </c>
      <c r="AK580" s="22">
        <f t="shared" si="128"/>
        <v>0.52785098151313881</v>
      </c>
      <c r="AL580" s="22">
        <f t="shared" si="128"/>
        <v>0.53708980329541955</v>
      </c>
      <c r="AM580" s="22">
        <f t="shared" si="128"/>
        <v>0.54672053409535659</v>
      </c>
      <c r="AN580" s="22">
        <f t="shared" si="128"/>
        <v>0.55667014923331293</v>
      </c>
      <c r="AO580" s="22">
        <f t="shared" si="128"/>
        <v>0.5661730507090722</v>
      </c>
      <c r="AP580" s="22">
        <f t="shared" si="128"/>
        <v>0.57587669150956888</v>
      </c>
      <c r="AQ580" s="22">
        <f t="shared" si="128"/>
        <v>0.5857985598453167</v>
      </c>
      <c r="AR580" s="22">
        <f t="shared" si="128"/>
        <v>0.59640903003350576</v>
      </c>
      <c r="AS580" s="22">
        <f t="shared" si="128"/>
        <v>0.60713627699395989</v>
      </c>
      <c r="AT580" s="22">
        <f t="shared" si="128"/>
        <v>0.61355666329177083</v>
      </c>
      <c r="AU580" s="22">
        <f t="shared" si="128"/>
        <v>0.6197276036819036</v>
      </c>
      <c r="AV580" s="22">
        <f t="shared" si="128"/>
        <v>0.62655501037549211</v>
      </c>
      <c r="AW580" s="22">
        <f t="shared" si="128"/>
        <v>0.63318564946997902</v>
      </c>
      <c r="AY580" s="85"/>
    </row>
    <row r="581" spans="1:51" x14ac:dyDescent="0.25">
      <c r="A581" s="102" t="str">
        <f t="shared" si="108"/>
        <v>PQ MM Volatilisation</v>
      </c>
      <c r="B581" s="102" t="s">
        <v>969</v>
      </c>
      <c r="C581" s="102" t="s">
        <v>1333</v>
      </c>
      <c r="D581" t="s">
        <v>369</v>
      </c>
      <c r="E581" t="s">
        <v>64</v>
      </c>
      <c r="F581" t="s">
        <v>62</v>
      </c>
      <c r="G581" t="s">
        <v>1155</v>
      </c>
      <c r="H581" t="s">
        <v>1292</v>
      </c>
      <c r="I581" t="s">
        <v>139</v>
      </c>
      <c r="J581" t="s">
        <v>287</v>
      </c>
      <c r="K581" s="22">
        <f t="shared" si="127"/>
        <v>3.1281584559645491E-2</v>
      </c>
      <c r="L581" s="22">
        <f t="shared" si="128"/>
        <v>3.1492799574896264E-2</v>
      </c>
      <c r="M581" s="22">
        <f t="shared" si="128"/>
        <v>3.1677559211068809E-2</v>
      </c>
      <c r="N581" s="22">
        <f t="shared" si="128"/>
        <v>3.1701458257287304E-2</v>
      </c>
      <c r="O581" s="22">
        <f t="shared" si="128"/>
        <v>3.1742622021148185E-2</v>
      </c>
      <c r="P581" s="22">
        <f t="shared" si="128"/>
        <v>3.1978812105423256E-2</v>
      </c>
      <c r="Q581" s="22">
        <f t="shared" si="128"/>
        <v>3.2167677688381177E-2</v>
      </c>
      <c r="R581" s="22">
        <f t="shared" si="128"/>
        <v>3.2169333673169188E-2</v>
      </c>
      <c r="S581" s="22">
        <f t="shared" si="128"/>
        <v>3.1317047307865033E-2</v>
      </c>
      <c r="T581" s="22">
        <f t="shared" si="128"/>
        <v>3.1728782132462323E-2</v>
      </c>
      <c r="U581" s="22">
        <f t="shared" si="128"/>
        <v>3.2040458320493799E-2</v>
      </c>
      <c r="V581" s="22">
        <f t="shared" si="128"/>
        <v>3.2334517428401308E-2</v>
      </c>
      <c r="W581" s="22">
        <f t="shared" si="128"/>
        <v>3.2675487631982837E-2</v>
      </c>
      <c r="X581" s="22">
        <f t="shared" si="128"/>
        <v>3.316404630039068E-2</v>
      </c>
      <c r="Y581" s="22">
        <f t="shared" si="128"/>
        <v>3.3672692721578558E-2</v>
      </c>
      <c r="Z581" s="22">
        <f t="shared" si="128"/>
        <v>3.4225197554030251E-2</v>
      </c>
      <c r="AA581" s="22">
        <f t="shared" si="128"/>
        <v>3.4727644232257139E-2</v>
      </c>
      <c r="AB581" s="22">
        <f t="shared" si="128"/>
        <v>3.5303325539087042E-2</v>
      </c>
      <c r="AC581" s="22">
        <f t="shared" si="128"/>
        <v>3.5968477310748759E-2</v>
      </c>
      <c r="AD581" s="22">
        <f t="shared" si="128"/>
        <v>3.6608853927948493E-2</v>
      </c>
      <c r="AE581" s="22">
        <f t="shared" si="128"/>
        <v>3.7282615919512485E-2</v>
      </c>
      <c r="AF581" s="22">
        <f t="shared" si="128"/>
        <v>3.7976813556273109E-2</v>
      </c>
      <c r="AG581" s="22">
        <f t="shared" si="128"/>
        <v>3.8749258917863509E-2</v>
      </c>
      <c r="AH581" s="22">
        <f t="shared" si="128"/>
        <v>3.9448610095333729E-2</v>
      </c>
      <c r="AI581" s="22">
        <f t="shared" si="128"/>
        <v>4.0175313700769343E-2</v>
      </c>
      <c r="AJ581" s="22">
        <f t="shared" si="128"/>
        <v>4.0921011930302946E-2</v>
      </c>
      <c r="AK581" s="22">
        <f t="shared" si="128"/>
        <v>4.164441927824649E-2</v>
      </c>
      <c r="AL581" s="22">
        <f t="shared" si="128"/>
        <v>4.2373309403325697E-2</v>
      </c>
      <c r="AM581" s="22">
        <f t="shared" si="128"/>
        <v>4.313311890531582E-2</v>
      </c>
      <c r="AN581" s="22">
        <f t="shared" si="128"/>
        <v>4.3918086555228081E-2</v>
      </c>
      <c r="AO581" s="22">
        <f t="shared" si="128"/>
        <v>4.4667811055658022E-2</v>
      </c>
      <c r="AP581" s="22">
        <f t="shared" si="128"/>
        <v>4.5433372739114561E-2</v>
      </c>
      <c r="AQ581" s="22">
        <f t="shared" si="128"/>
        <v>4.6216151325246931E-2</v>
      </c>
      <c r="AR581" s="22">
        <f t="shared" si="128"/>
        <v>4.705325665370462E-2</v>
      </c>
      <c r="AS581" s="22">
        <f t="shared" si="128"/>
        <v>4.7899575000677964E-2</v>
      </c>
      <c r="AT581" s="22">
        <f t="shared" si="128"/>
        <v>4.8406106708069871E-2</v>
      </c>
      <c r="AU581" s="22">
        <f t="shared" si="128"/>
        <v>4.8892958561998573E-2</v>
      </c>
      <c r="AV581" s="22">
        <f t="shared" si="128"/>
        <v>4.9431601847487718E-2</v>
      </c>
      <c r="AW581" s="22">
        <f t="shared" si="128"/>
        <v>4.9954721296355649E-2</v>
      </c>
      <c r="AY581" s="85"/>
    </row>
    <row r="582" spans="1:51" x14ac:dyDescent="0.25">
      <c r="A582" s="102" t="str">
        <f t="shared" si="108"/>
        <v>PQ MM Volatilisation</v>
      </c>
      <c r="B582" s="102" t="s">
        <v>969</v>
      </c>
      <c r="C582" s="102" t="s">
        <v>1333</v>
      </c>
      <c r="D582" t="s">
        <v>369</v>
      </c>
      <c r="E582" t="s">
        <v>64</v>
      </c>
      <c r="F582" t="s">
        <v>62</v>
      </c>
      <c r="G582" t="s">
        <v>1157</v>
      </c>
      <c r="H582" t="s">
        <v>1293</v>
      </c>
      <c r="I582" t="s">
        <v>139</v>
      </c>
      <c r="J582" t="s">
        <v>287</v>
      </c>
      <c r="K582" s="22">
        <f t="shared" si="127"/>
        <v>2.8996787363609876E-4</v>
      </c>
      <c r="L582" s="22">
        <f t="shared" si="128"/>
        <v>2.9192575299913116E-4</v>
      </c>
      <c r="M582" s="22">
        <f t="shared" si="128"/>
        <v>2.9363840149788538E-4</v>
      </c>
      <c r="N582" s="22">
        <f t="shared" si="128"/>
        <v>2.9385993617112721E-4</v>
      </c>
      <c r="O582" s="22">
        <f t="shared" si="128"/>
        <v>2.9424150792478436E-4</v>
      </c>
      <c r="P582" s="22">
        <f t="shared" si="128"/>
        <v>2.964308962654098E-4</v>
      </c>
      <c r="Q582" s="22">
        <f t="shared" si="128"/>
        <v>2.9818160526127053E-4</v>
      </c>
      <c r="R582" s="22">
        <f t="shared" si="128"/>
        <v>2.9819695558301769E-4</v>
      </c>
      <c r="S582" s="22">
        <f t="shared" si="128"/>
        <v>2.9029659923741555E-4</v>
      </c>
      <c r="T582" s="22">
        <f t="shared" si="128"/>
        <v>2.9411321764952843E-4</v>
      </c>
      <c r="U582" s="22">
        <f t="shared" si="128"/>
        <v>2.970023322125765E-4</v>
      </c>
      <c r="V582" s="22">
        <f t="shared" si="128"/>
        <v>2.99728143434853E-4</v>
      </c>
      <c r="W582" s="22">
        <f t="shared" si="128"/>
        <v>3.0288880189565705E-4</v>
      </c>
      <c r="X582" s="22">
        <f t="shared" si="128"/>
        <v>3.0741754684956394E-4</v>
      </c>
      <c r="Y582" s="22">
        <f t="shared" si="128"/>
        <v>3.1213249729918828E-4</v>
      </c>
      <c r="Z582" s="22">
        <f t="shared" si="128"/>
        <v>3.1725399781442622E-4</v>
      </c>
      <c r="AA582" s="22">
        <f t="shared" si="128"/>
        <v>3.2191147910739512E-4</v>
      </c>
      <c r="AB582" s="22">
        <f t="shared" si="128"/>
        <v>3.2724781634169446E-4</v>
      </c>
      <c r="AC582" s="22">
        <f t="shared" si="128"/>
        <v>3.3341350927538441E-4</v>
      </c>
      <c r="AD582" s="22">
        <f t="shared" si="128"/>
        <v>3.3934954636013071E-4</v>
      </c>
      <c r="AE582" s="22">
        <f t="shared" si="128"/>
        <v>3.4559505261503654E-4</v>
      </c>
      <c r="AF582" s="22">
        <f t="shared" si="128"/>
        <v>3.5202998919028807E-4</v>
      </c>
      <c r="AG582" s="22">
        <f t="shared" si="128"/>
        <v>3.5919025111926287E-4</v>
      </c>
      <c r="AH582" s="22">
        <f t="shared" si="128"/>
        <v>3.6567295897152252E-4</v>
      </c>
      <c r="AI582" s="22">
        <f t="shared" si="128"/>
        <v>3.7240921297521811E-4</v>
      </c>
      <c r="AJ582" s="22">
        <f t="shared" si="128"/>
        <v>3.7932153960559638E-4</v>
      </c>
      <c r="AK582" s="22">
        <f t="shared" si="128"/>
        <v>3.8602723861057959E-4</v>
      </c>
      <c r="AL582" s="22">
        <f t="shared" si="128"/>
        <v>3.9278376078357157E-4</v>
      </c>
      <c r="AM582" s="22">
        <f t="shared" si="128"/>
        <v>3.9982689330905129E-4</v>
      </c>
      <c r="AN582" s="22">
        <f t="shared" si="128"/>
        <v>4.0710323188084528E-4</v>
      </c>
      <c r="AO582" s="22">
        <f t="shared" si="128"/>
        <v>4.1405288044446054E-4</v>
      </c>
      <c r="AP582" s="22">
        <f t="shared" si="128"/>
        <v>4.2114933340917202E-4</v>
      </c>
      <c r="AQ582" s="22">
        <f t="shared" si="128"/>
        <v>4.284053802285357E-4</v>
      </c>
      <c r="AR582" s="22">
        <f t="shared" si="128"/>
        <v>4.3616501438771657E-4</v>
      </c>
      <c r="AS582" s="22">
        <f t="shared" si="128"/>
        <v>4.4401004957201647E-4</v>
      </c>
      <c r="AT582" s="22">
        <f t="shared" si="128"/>
        <v>4.4870539746405302E-4</v>
      </c>
      <c r="AU582" s="22">
        <f t="shared" si="128"/>
        <v>4.5321832092514971E-4</v>
      </c>
      <c r="AV582" s="22">
        <f t="shared" si="128"/>
        <v>4.5821133040150263E-4</v>
      </c>
      <c r="AW582" s="22">
        <f t="shared" si="128"/>
        <v>4.630604400735748E-4</v>
      </c>
      <c r="AY582" s="85"/>
    </row>
    <row r="583" spans="1:51" x14ac:dyDescent="0.25">
      <c r="A583" s="102" t="str">
        <f t="shared" si="108"/>
        <v>PQ MM Volatilisation</v>
      </c>
      <c r="B583" s="102" t="s">
        <v>969</v>
      </c>
      <c r="C583" s="102" t="s">
        <v>1333</v>
      </c>
      <c r="D583" t="s">
        <v>369</v>
      </c>
      <c r="E583" t="s">
        <v>64</v>
      </c>
      <c r="F583" t="s">
        <v>62</v>
      </c>
      <c r="G583" t="s">
        <v>1159</v>
      </c>
      <c r="H583" t="s">
        <v>1294</v>
      </c>
      <c r="I583" t="s">
        <v>139</v>
      </c>
      <c r="J583" t="s">
        <v>287</v>
      </c>
      <c r="K583" s="22">
        <f t="shared" si="127"/>
        <v>3.2482696422712933E-3</v>
      </c>
      <c r="L583" s="22">
        <f t="shared" si="128"/>
        <v>3.2317319962183351E-3</v>
      </c>
      <c r="M583" s="22">
        <f t="shared" si="128"/>
        <v>3.2015477632972725E-3</v>
      </c>
      <c r="N583" s="22">
        <f t="shared" si="128"/>
        <v>3.1189249893783613E-3</v>
      </c>
      <c r="O583" s="22">
        <f t="shared" si="128"/>
        <v>3.0395993626659438E-3</v>
      </c>
      <c r="P583" s="22">
        <f t="shared" si="128"/>
        <v>3.013633441305081E-3</v>
      </c>
      <c r="Q583" s="22">
        <f t="shared" si="128"/>
        <v>2.9716957157217678E-3</v>
      </c>
      <c r="R583" s="22">
        <f t="shared" si="128"/>
        <v>2.8774698147158886E-3</v>
      </c>
      <c r="S583" s="22">
        <f t="shared" si="128"/>
        <v>2.5613322402579155E-3</v>
      </c>
      <c r="T583" s="22">
        <f t="shared" si="128"/>
        <v>2.623917982066072E-3</v>
      </c>
      <c r="U583" s="22">
        <f t="shared" si="128"/>
        <v>2.6577221861843617E-3</v>
      </c>
      <c r="V583" s="22">
        <f t="shared" si="128"/>
        <v>2.6845906828351748E-3</v>
      </c>
      <c r="W583" s="22">
        <f t="shared" si="128"/>
        <v>2.7207002140253378E-3</v>
      </c>
      <c r="X583" s="22">
        <f t="shared" si="128"/>
        <v>2.7900255688374769E-3</v>
      </c>
      <c r="Y583" s="22">
        <f t="shared" si="128"/>
        <v>2.8659005664794695E-3</v>
      </c>
      <c r="Z583" s="22">
        <f t="shared" si="128"/>
        <v>2.9485743375895451E-3</v>
      </c>
      <c r="AA583" s="22">
        <f t="shared" si="128"/>
        <v>3.0159847657098681E-3</v>
      </c>
      <c r="AB583" s="22">
        <f t="shared" si="128"/>
        <v>3.0969021916471581E-3</v>
      </c>
      <c r="AC583" s="22">
        <f t="shared" si="128"/>
        <v>3.1943690749044406E-3</v>
      </c>
      <c r="AD583" s="22">
        <f t="shared" si="128"/>
        <v>3.2585733035448653E-3</v>
      </c>
      <c r="AE583" s="22">
        <f t="shared" si="128"/>
        <v>3.3241557037935383E-3</v>
      </c>
      <c r="AF583" s="22">
        <f t="shared" si="128"/>
        <v>3.3880596297124936E-3</v>
      </c>
      <c r="AG583" s="22">
        <f t="shared" si="128"/>
        <v>3.4619913814758307E-3</v>
      </c>
      <c r="AH583" s="22">
        <f t="shared" si="128"/>
        <v>3.5146755709245725E-3</v>
      </c>
      <c r="AI583" s="22">
        <f t="shared" si="128"/>
        <v>3.5701775452979248E-3</v>
      </c>
      <c r="AJ583" s="22">
        <f t="shared" si="128"/>
        <v>3.6232879454531405E-3</v>
      </c>
      <c r="AK583" s="22">
        <f t="shared" si="128"/>
        <v>3.6661960797731564E-3</v>
      </c>
      <c r="AL583" s="22">
        <f t="shared" si="128"/>
        <v>3.7043821557080172E-3</v>
      </c>
      <c r="AM583" s="22">
        <f t="shared" si="128"/>
        <v>3.7423967810390727E-3</v>
      </c>
      <c r="AN583" s="22">
        <f t="shared" si="128"/>
        <v>3.8009071788089443E-3</v>
      </c>
      <c r="AO583" s="22">
        <f t="shared" si="128"/>
        <v>3.8485572102327672E-3</v>
      </c>
      <c r="AP583" s="22">
        <f t="shared" si="128"/>
        <v>3.8943125167611257E-3</v>
      </c>
      <c r="AQ583" s="22">
        <f t="shared" si="128"/>
        <v>3.9383232574175748E-3</v>
      </c>
      <c r="AR583" s="22">
        <f t="shared" si="128"/>
        <v>3.9864180340335002E-3</v>
      </c>
      <c r="AS583" s="22">
        <f t="shared" si="128"/>
        <v>4.0335263443460959E-3</v>
      </c>
      <c r="AT583" s="22">
        <f t="shared" si="128"/>
        <v>4.0238206460385395E-3</v>
      </c>
      <c r="AU583" s="22">
        <f t="shared" si="128"/>
        <v>4.0085912060413426E-3</v>
      </c>
      <c r="AV583" s="22">
        <f t="shared" si="128"/>
        <v>3.9985247622409742E-3</v>
      </c>
      <c r="AW583" s="22">
        <f t="shared" si="128"/>
        <v>3.9835451710550415E-3</v>
      </c>
      <c r="AY583" s="85"/>
    </row>
    <row r="584" spans="1:51" x14ac:dyDescent="0.25">
      <c r="A584" s="102" t="str">
        <f t="shared" si="108"/>
        <v>PQ MM Volatilisation</v>
      </c>
      <c r="B584" s="102" t="s">
        <v>969</v>
      </c>
      <c r="C584" s="102" t="s">
        <v>1333</v>
      </c>
      <c r="D584" t="s">
        <v>369</v>
      </c>
      <c r="E584" t="s">
        <v>64</v>
      </c>
      <c r="F584" t="s">
        <v>62</v>
      </c>
      <c r="G584" t="s">
        <v>1161</v>
      </c>
      <c r="H584" t="s">
        <v>1295</v>
      </c>
      <c r="I584" t="s">
        <v>139</v>
      </c>
      <c r="J584" t="s">
        <v>287</v>
      </c>
      <c r="K584" s="22">
        <f t="shared" si="127"/>
        <v>1.6169907052996448E-2</v>
      </c>
      <c r="L584" s="22">
        <f t="shared" si="128"/>
        <v>1.6087582545181053E-2</v>
      </c>
      <c r="M584" s="22">
        <f t="shared" si="128"/>
        <v>1.5937325240661746E-2</v>
      </c>
      <c r="N584" s="22">
        <f t="shared" si="128"/>
        <v>1.5526028543693155E-2</v>
      </c>
      <c r="O584" s="22">
        <f t="shared" si="128"/>
        <v>1.5131145066604845E-2</v>
      </c>
      <c r="P584" s="22">
        <f t="shared" si="128"/>
        <v>1.5001886544009729E-2</v>
      </c>
      <c r="Q584" s="22">
        <f t="shared" si="128"/>
        <v>1.4793120277850224E-2</v>
      </c>
      <c r="R584" s="22">
        <f t="shared" si="128"/>
        <v>1.4324063140036831E-2</v>
      </c>
      <c r="S584" s="22">
        <f t="shared" si="128"/>
        <v>1.2750328272579596E-2</v>
      </c>
      <c r="T584" s="22">
        <f t="shared" si="128"/>
        <v>1.3061880495557336E-2</v>
      </c>
      <c r="U584" s="22">
        <f t="shared" si="128"/>
        <v>1.3230158039847359E-2</v>
      </c>
      <c r="V584" s="22">
        <f t="shared" si="128"/>
        <v>1.3363909588008125E-2</v>
      </c>
      <c r="W584" s="22">
        <f t="shared" si="128"/>
        <v>1.3543663065205281E-2</v>
      </c>
      <c r="X584" s="22">
        <f t="shared" si="128"/>
        <v>1.3888765124818915E-2</v>
      </c>
      <c r="Y584" s="22">
        <f t="shared" si="128"/>
        <v>1.4266471348326726E-2</v>
      </c>
      <c r="Z584" s="22">
        <f t="shared" si="128"/>
        <v>1.4678021909639079E-2</v>
      </c>
      <c r="AA584" s="22">
        <f t="shared" si="128"/>
        <v>1.5013591451934262E-2</v>
      </c>
      <c r="AB584" s="22">
        <f t="shared" si="128"/>
        <v>1.5416398915744074E-2</v>
      </c>
      <c r="AC584" s="22">
        <f t="shared" si="128"/>
        <v>1.5901589683932116E-2</v>
      </c>
      <c r="AD584" s="22">
        <f t="shared" si="128"/>
        <v>1.6221198744711653E-2</v>
      </c>
      <c r="AE584" s="22">
        <f t="shared" si="128"/>
        <v>1.6547668352570915E-2</v>
      </c>
      <c r="AF584" s="22">
        <f t="shared" si="128"/>
        <v>1.6865782504482438E-2</v>
      </c>
      <c r="AG584" s="22">
        <f t="shared" si="128"/>
        <v>1.7233815237578592E-2</v>
      </c>
      <c r="AH584" s="22">
        <f t="shared" si="128"/>
        <v>1.7496077469587427E-2</v>
      </c>
      <c r="AI584" s="22">
        <f t="shared" si="128"/>
        <v>1.7772366652971647E-2</v>
      </c>
      <c r="AJ584" s="22">
        <f t="shared" si="128"/>
        <v>1.8036750564603077E-2</v>
      </c>
      <c r="AK584" s="22">
        <f t="shared" si="128"/>
        <v>1.825034753165997E-2</v>
      </c>
      <c r="AL584" s="22">
        <f t="shared" si="128"/>
        <v>1.8440438061876424E-2</v>
      </c>
      <c r="AM584" s="22">
        <f t="shared" si="128"/>
        <v>1.862967510989065E-2</v>
      </c>
      <c r="AN584" s="22">
        <f t="shared" si="128"/>
        <v>1.8920940244182623E-2</v>
      </c>
      <c r="AO584" s="22">
        <f t="shared" si="128"/>
        <v>1.9158142405348286E-2</v>
      </c>
      <c r="AP584" s="22">
        <f t="shared" si="128"/>
        <v>1.9385912613866938E-2</v>
      </c>
      <c r="AQ584" s="22">
        <f t="shared" si="128"/>
        <v>1.9604998362318136E-2</v>
      </c>
      <c r="AR584" s="22">
        <f t="shared" si="128"/>
        <v>1.9844414467894381E-2</v>
      </c>
      <c r="AS584" s="22">
        <f t="shared" si="128"/>
        <v>2.0078919937903877E-2</v>
      </c>
      <c r="AT584" s="22">
        <f t="shared" si="128"/>
        <v>2.0030604909657669E-2</v>
      </c>
      <c r="AU584" s="22">
        <f t="shared" si="128"/>
        <v>1.9954792659954267E-2</v>
      </c>
      <c r="AV584" s="22">
        <f t="shared" si="128"/>
        <v>1.9904681838337764E-2</v>
      </c>
      <c r="AW584" s="22">
        <f t="shared" si="128"/>
        <v>1.9830113337614693E-2</v>
      </c>
      <c r="AY584" s="85"/>
    </row>
    <row r="585" spans="1:51" x14ac:dyDescent="0.25">
      <c r="A585" s="102" t="str">
        <f t="shared" si="108"/>
        <v>PQ MM Volatilisation</v>
      </c>
      <c r="B585" s="102" t="s">
        <v>969</v>
      </c>
      <c r="C585" s="102" t="s">
        <v>1333</v>
      </c>
      <c r="D585" t="s">
        <v>369</v>
      </c>
      <c r="E585" t="s">
        <v>64</v>
      </c>
      <c r="F585" t="s">
        <v>62</v>
      </c>
      <c r="G585" t="s">
        <v>1163</v>
      </c>
      <c r="H585" t="s">
        <v>1296</v>
      </c>
      <c r="I585" t="s">
        <v>139</v>
      </c>
      <c r="J585" t="s">
        <v>287</v>
      </c>
      <c r="K585" s="22">
        <f t="shared" si="127"/>
        <v>0.15881310952891459</v>
      </c>
      <c r="L585" s="22">
        <f t="shared" si="128"/>
        <v>0.16473779708525871</v>
      </c>
      <c r="M585" s="22">
        <f t="shared" si="128"/>
        <v>0.17006036536738212</v>
      </c>
      <c r="N585" s="22">
        <f t="shared" si="128"/>
        <v>0.1725581026820969</v>
      </c>
      <c r="O585" s="22">
        <f t="shared" si="128"/>
        <v>0.17509405758016705</v>
      </c>
      <c r="P585" s="22">
        <f t="shared" si="128"/>
        <v>0.18069182253517682</v>
      </c>
      <c r="Q585" s="22">
        <f t="shared" si="128"/>
        <v>0.18541356320951116</v>
      </c>
      <c r="R585" s="22">
        <f t="shared" si="128"/>
        <v>0.18679194415388084</v>
      </c>
      <c r="S585" s="22">
        <f t="shared" si="128"/>
        <v>0.17296868678120739</v>
      </c>
      <c r="T585" s="22">
        <f t="shared" si="128"/>
        <v>0.18144262132443914</v>
      </c>
      <c r="U585" s="22">
        <f t="shared" si="128"/>
        <v>0.18812503294384797</v>
      </c>
      <c r="V585" s="22">
        <f t="shared" si="128"/>
        <v>0.19446239722796549</v>
      </c>
      <c r="W585" s="22">
        <f t="shared" si="128"/>
        <v>0.2016240264907645</v>
      </c>
      <c r="X585" s="22">
        <f t="shared" si="128"/>
        <v>0.21147893804143503</v>
      </c>
      <c r="Y585" s="22">
        <f t="shared" si="128"/>
        <v>0.2221363393242273</v>
      </c>
      <c r="Z585" s="22">
        <f t="shared" si="128"/>
        <v>0.23365788448441194</v>
      </c>
      <c r="AA585" s="22">
        <f t="shared" si="128"/>
        <v>0.24430091045471902</v>
      </c>
      <c r="AB585" s="22">
        <f t="shared" si="128"/>
        <v>0.25637491269914275</v>
      </c>
      <c r="AC585" s="22">
        <f t="shared" si="128"/>
        <v>0.27021906806746643</v>
      </c>
      <c r="AD585" s="22">
        <f t="shared" si="128"/>
        <v>0.28476142142999822</v>
      </c>
      <c r="AE585" s="22">
        <f t="shared" si="128"/>
        <v>0.30011305574638969</v>
      </c>
      <c r="AF585" s="22">
        <f t="shared" si="128"/>
        <v>0.31603885980078922</v>
      </c>
      <c r="AG585" s="22">
        <f t="shared" si="128"/>
        <v>0.33369229141350232</v>
      </c>
      <c r="AH585" s="22">
        <f t="shared" si="128"/>
        <v>0.35009811029288379</v>
      </c>
      <c r="AI585" s="22">
        <f t="shared" si="128"/>
        <v>0.3675707773071587</v>
      </c>
      <c r="AJ585" s="22">
        <f t="shared" si="128"/>
        <v>0.38563080115839554</v>
      </c>
      <c r="AK585" s="22">
        <f t="shared" si="128"/>
        <v>0.4034429737992129</v>
      </c>
      <c r="AL585" s="22">
        <f t="shared" si="128"/>
        <v>0.42156904095031289</v>
      </c>
      <c r="AM585" s="22">
        <f t="shared" si="128"/>
        <v>0.44054187589856841</v>
      </c>
      <c r="AN585" s="22">
        <f t="shared" si="128"/>
        <v>0.4600083648860695</v>
      </c>
      <c r="AO585" s="22">
        <f t="shared" si="128"/>
        <v>0.4789155318145385</v>
      </c>
      <c r="AP585" s="22">
        <f t="shared" si="128"/>
        <v>0.4983346210539078</v>
      </c>
      <c r="AQ585" s="22">
        <f t="shared" si="128"/>
        <v>0.51830220925788251</v>
      </c>
      <c r="AR585" s="22">
        <f t="shared" si="128"/>
        <v>0.53962685269510091</v>
      </c>
      <c r="AS585" s="22">
        <f t="shared" si="128"/>
        <v>0.56169127095769178</v>
      </c>
      <c r="AT585" s="22">
        <f t="shared" si="128"/>
        <v>0.57653019243567449</v>
      </c>
      <c r="AU585" s="22">
        <f t="shared" si="128"/>
        <v>0.59104442540925484</v>
      </c>
      <c r="AV585" s="22">
        <f t="shared" si="128"/>
        <v>0.60681048738089205</v>
      </c>
      <c r="AW585" s="22">
        <f t="shared" si="128"/>
        <v>0.62234884521273104</v>
      </c>
      <c r="AY585" s="85"/>
    </row>
    <row r="586" spans="1:51" x14ac:dyDescent="0.25">
      <c r="A586" s="102" t="str">
        <f t="shared" si="108"/>
        <v>PQ MM Volatilisation</v>
      </c>
      <c r="B586" s="102" t="s">
        <v>969</v>
      </c>
      <c r="C586" s="102" t="s">
        <v>1333</v>
      </c>
      <c r="D586" t="s">
        <v>369</v>
      </c>
      <c r="E586" t="s">
        <v>64</v>
      </c>
      <c r="F586" t="s">
        <v>62</v>
      </c>
      <c r="G586" t="s">
        <v>1165</v>
      </c>
      <c r="H586" t="s">
        <v>1297</v>
      </c>
      <c r="I586" t="s">
        <v>139</v>
      </c>
      <c r="J586" t="s">
        <v>287</v>
      </c>
      <c r="K586" s="22">
        <f t="shared" si="127"/>
        <v>1.1717139101759614E-4</v>
      </c>
      <c r="L586" s="22">
        <f t="shared" si="128"/>
        <v>1.1723462618367247E-4</v>
      </c>
      <c r="M586" s="22">
        <f t="shared" si="128"/>
        <v>1.1737999843906114E-4</v>
      </c>
      <c r="N586" s="22">
        <f t="shared" si="128"/>
        <v>1.1759581709566441E-4</v>
      </c>
      <c r="O586" s="22">
        <f t="shared" si="128"/>
        <v>1.178871134646596E-4</v>
      </c>
      <c r="P586" s="22">
        <f t="shared" si="128"/>
        <v>1.182597418054167E-4</v>
      </c>
      <c r="Q586" s="22">
        <f t="shared" si="128"/>
        <v>1.1867033947255795E-4</v>
      </c>
      <c r="R586" s="22">
        <f t="shared" si="128"/>
        <v>1.1911252923744314E-4</v>
      </c>
      <c r="S586" s="22">
        <f t="shared" si="128"/>
        <v>1.1955062486439893E-4</v>
      </c>
      <c r="T586" s="22">
        <f t="shared" si="128"/>
        <v>1.1972991314052751E-4</v>
      </c>
      <c r="U586" s="22">
        <f t="shared" si="128"/>
        <v>1.1993350054454542E-4</v>
      </c>
      <c r="V586" s="22">
        <f t="shared" si="128"/>
        <v>1.2016374349275828E-4</v>
      </c>
      <c r="W586" s="22">
        <f t="shared" si="128"/>
        <v>1.2042231214139446E-4</v>
      </c>
      <c r="X586" s="22">
        <f t="shared" si="128"/>
        <v>1.207128620599027E-4</v>
      </c>
      <c r="Y586" s="22">
        <f t="shared" si="128"/>
        <v>1.2089554719264044E-4</v>
      </c>
      <c r="Z586" s="22">
        <f t="shared" si="128"/>
        <v>1.2110125995232866E-4</v>
      </c>
      <c r="AA586" s="22">
        <f t="shared" si="128"/>
        <v>1.2132427506998271E-4</v>
      </c>
      <c r="AB586" s="22">
        <f t="shared" si="128"/>
        <v>1.2156982110770359E-4</v>
      </c>
      <c r="AC586" s="22">
        <f t="shared" si="128"/>
        <v>1.2183786994920164E-4</v>
      </c>
      <c r="AD586" s="22">
        <f t="shared" si="128"/>
        <v>1.2201528623614288E-4</v>
      </c>
      <c r="AE586" s="22">
        <f t="shared" si="128"/>
        <v>1.2220996410772502E-4</v>
      </c>
      <c r="AF586" s="22">
        <f t="shared" si="128"/>
        <v>1.2242059577670001E-4</v>
      </c>
      <c r="AG586" s="22">
        <f t="shared" si="128"/>
        <v>1.2264946134615736E-4</v>
      </c>
      <c r="AH586" s="22">
        <f t="shared" si="128"/>
        <v>1.2288846185835745E-4</v>
      </c>
      <c r="AI586" s="22">
        <f t="shared" ref="L586:AW593" si="129">AI1537</f>
        <v>1.2304136792276417E-4</v>
      </c>
      <c r="AJ586" s="22">
        <f t="shared" si="129"/>
        <v>1.2320724493915228E-4</v>
      </c>
      <c r="AK586" s="22">
        <f t="shared" si="129"/>
        <v>1.2338358070705196E-4</v>
      </c>
      <c r="AL586" s="22">
        <f t="shared" si="129"/>
        <v>1.2357134049580156E-4</v>
      </c>
      <c r="AM586" s="22">
        <f t="shared" si="129"/>
        <v>1.2377140391233165E-4</v>
      </c>
      <c r="AN586" s="22">
        <f t="shared" si="129"/>
        <v>1.2388931849227042E-4</v>
      </c>
      <c r="AO586" s="22">
        <f t="shared" si="129"/>
        <v>1.2401495917055069E-4</v>
      </c>
      <c r="AP586" s="22">
        <f t="shared" si="129"/>
        <v>1.2415054004629534E-4</v>
      </c>
      <c r="AQ586" s="22">
        <f t="shared" si="129"/>
        <v>1.2429582194532134E-4</v>
      </c>
      <c r="AR586" s="22">
        <f t="shared" si="129"/>
        <v>1.2445236467960286E-4</v>
      </c>
      <c r="AS586" s="22">
        <f t="shared" si="129"/>
        <v>1.2452291839205781E-4</v>
      </c>
      <c r="AT586" s="22">
        <f t="shared" si="129"/>
        <v>1.2458415812408247E-4</v>
      </c>
      <c r="AU586" s="22">
        <f t="shared" si="129"/>
        <v>1.2465176490232825E-4</v>
      </c>
      <c r="AV586" s="22">
        <f t="shared" si="129"/>
        <v>1.2472905780449089E-4</v>
      </c>
      <c r="AW586" s="22">
        <f t="shared" si="129"/>
        <v>1.248124658088483E-4</v>
      </c>
      <c r="AY586" s="85"/>
    </row>
    <row r="587" spans="1:51" x14ac:dyDescent="0.25">
      <c r="A587" s="102" t="str">
        <f t="shared" si="108"/>
        <v>PQ MM Volatilisation</v>
      </c>
      <c r="B587" s="102" t="s">
        <v>969</v>
      </c>
      <c r="C587" s="102" t="s">
        <v>1333</v>
      </c>
      <c r="D587" t="s">
        <v>369</v>
      </c>
      <c r="E587" t="s">
        <v>64</v>
      </c>
      <c r="F587" t="s">
        <v>62</v>
      </c>
      <c r="G587" t="s">
        <v>1167</v>
      </c>
      <c r="H587" t="s">
        <v>1298</v>
      </c>
      <c r="I587" t="s">
        <v>139</v>
      </c>
      <c r="J587" t="s">
        <v>287</v>
      </c>
      <c r="K587" s="22">
        <f t="shared" si="127"/>
        <v>8.0409045079441203E-4</v>
      </c>
      <c r="L587" s="22">
        <f t="shared" si="129"/>
        <v>8.0452440308220838E-4</v>
      </c>
      <c r="M587" s="22">
        <f t="shared" si="129"/>
        <v>8.055220223931452E-4</v>
      </c>
      <c r="N587" s="22">
        <f t="shared" si="129"/>
        <v>8.0700308120255969E-4</v>
      </c>
      <c r="O587" s="22">
        <f t="shared" si="129"/>
        <v>8.0900210695983646E-4</v>
      </c>
      <c r="P587" s="22">
        <f t="shared" si="129"/>
        <v>8.1155927460883318E-4</v>
      </c>
      <c r="Q587" s="22">
        <f t="shared" si="129"/>
        <v>8.1437700733692851E-4</v>
      </c>
      <c r="R587" s="22">
        <f t="shared" si="129"/>
        <v>8.1741154131570351E-4</v>
      </c>
      <c r="S587" s="22">
        <f t="shared" si="129"/>
        <v>8.2041797921074454E-4</v>
      </c>
      <c r="T587" s="22">
        <f t="shared" si="129"/>
        <v>8.2164834772922271E-4</v>
      </c>
      <c r="U587" s="22">
        <f t="shared" si="129"/>
        <v>8.2304546938196678E-4</v>
      </c>
      <c r="V587" s="22">
        <f t="shared" si="129"/>
        <v>8.2462551511166995E-4</v>
      </c>
      <c r="W587" s="22">
        <f t="shared" si="129"/>
        <v>8.2639994639082011E-4</v>
      </c>
      <c r="X587" s="22">
        <f t="shared" si="129"/>
        <v>8.2839384962029086E-4</v>
      </c>
      <c r="Y587" s="22">
        <f t="shared" si="129"/>
        <v>8.2964752911885125E-4</v>
      </c>
      <c r="Z587" s="22">
        <f t="shared" si="129"/>
        <v>8.3105923605716848E-4</v>
      </c>
      <c r="AA587" s="22">
        <f t="shared" si="129"/>
        <v>8.3258968068986462E-4</v>
      </c>
      <c r="AB587" s="22">
        <f t="shared" si="129"/>
        <v>8.3427474410378356E-4</v>
      </c>
      <c r="AC587" s="22">
        <f t="shared" si="129"/>
        <v>8.3611423335046113E-4</v>
      </c>
      <c r="AD587" s="22">
        <f t="shared" si="129"/>
        <v>8.373317553147042E-4</v>
      </c>
      <c r="AE587" s="22">
        <f t="shared" si="129"/>
        <v>8.3866773516576396E-4</v>
      </c>
      <c r="AF587" s="22">
        <f t="shared" si="129"/>
        <v>8.4011319819378471E-4</v>
      </c>
      <c r="AG587" s="22">
        <f t="shared" si="129"/>
        <v>8.416837916408544E-4</v>
      </c>
      <c r="AH587" s="22">
        <f t="shared" si="129"/>
        <v>8.4332393628645482E-4</v>
      </c>
      <c r="AI587" s="22">
        <f t="shared" si="129"/>
        <v>8.4437325647622322E-4</v>
      </c>
      <c r="AJ587" s="22">
        <f t="shared" si="129"/>
        <v>8.4551159002100391E-4</v>
      </c>
      <c r="AK587" s="22">
        <f t="shared" si="129"/>
        <v>8.4672169690691037E-4</v>
      </c>
      <c r="AL587" s="22">
        <f t="shared" si="129"/>
        <v>8.4801020130944032E-4</v>
      </c>
      <c r="AM587" s="22">
        <f t="shared" si="129"/>
        <v>8.4938313954451667E-4</v>
      </c>
      <c r="AN587" s="22">
        <f t="shared" si="129"/>
        <v>8.5019233014057226E-4</v>
      </c>
      <c r="AO587" s="22">
        <f t="shared" si="129"/>
        <v>8.5105454120386272E-4</v>
      </c>
      <c r="AP587" s="22">
        <f t="shared" si="129"/>
        <v>8.5198496702325278E-4</v>
      </c>
      <c r="AQ587" s="22">
        <f t="shared" si="129"/>
        <v>8.5298196626227814E-4</v>
      </c>
      <c r="AR587" s="22">
        <f t="shared" si="129"/>
        <v>8.5405624315430654E-4</v>
      </c>
      <c r="AS587" s="22">
        <f t="shared" si="129"/>
        <v>8.545404190778012E-4</v>
      </c>
      <c r="AT587" s="22">
        <f t="shared" si="129"/>
        <v>8.5496067766910582E-4</v>
      </c>
      <c r="AU587" s="22">
        <f t="shared" si="129"/>
        <v>8.5542463021182405E-4</v>
      </c>
      <c r="AV587" s="22">
        <f t="shared" si="129"/>
        <v>8.5595505392706218E-4</v>
      </c>
      <c r="AW587" s="22">
        <f t="shared" si="129"/>
        <v>8.5652744262400531E-4</v>
      </c>
      <c r="AY587" s="85"/>
    </row>
    <row r="588" spans="1:51" x14ac:dyDescent="0.25">
      <c r="A588" s="102" t="str">
        <f t="shared" si="108"/>
        <v>PQ MM Volatilisation</v>
      </c>
      <c r="B588" s="102" t="s">
        <v>969</v>
      </c>
      <c r="C588" s="102" t="s">
        <v>1333</v>
      </c>
      <c r="D588" t="s">
        <v>369</v>
      </c>
      <c r="E588" t="s">
        <v>64</v>
      </c>
      <c r="F588" t="s">
        <v>62</v>
      </c>
      <c r="G588" t="s">
        <v>1169</v>
      </c>
      <c r="H588" t="s">
        <v>1299</v>
      </c>
      <c r="I588" t="s">
        <v>139</v>
      </c>
      <c r="J588" t="s">
        <v>287</v>
      </c>
      <c r="K588" s="22">
        <f t="shared" si="127"/>
        <v>1.4482807028187922E-5</v>
      </c>
      <c r="L588" s="22">
        <f t="shared" si="129"/>
        <v>1.4520450251739282E-5</v>
      </c>
      <c r="M588" s="22">
        <f t="shared" si="129"/>
        <v>1.4571212872745464E-5</v>
      </c>
      <c r="N588" s="22">
        <f t="shared" si="129"/>
        <v>1.4633040456364911E-5</v>
      </c>
      <c r="O588" s="22">
        <f t="shared" si="129"/>
        <v>1.4707094987006923E-5</v>
      </c>
      <c r="P588" s="22">
        <f t="shared" si="129"/>
        <v>1.4794644538423194E-5</v>
      </c>
      <c r="Q588" s="22">
        <f t="shared" si="129"/>
        <v>1.4887429784482061E-5</v>
      </c>
      <c r="R588" s="22">
        <f t="shared" si="129"/>
        <v>1.4984365063470914E-5</v>
      </c>
      <c r="S588" s="22">
        <f t="shared" si="129"/>
        <v>1.5078737379247896E-5</v>
      </c>
      <c r="T588" s="22">
        <f t="shared" si="129"/>
        <v>1.5122022085784052E-5</v>
      </c>
      <c r="U588" s="22">
        <f t="shared" si="129"/>
        <v>1.5168700186651053E-5</v>
      </c>
      <c r="V588" s="22">
        <f t="shared" si="129"/>
        <v>1.5219291662698976E-5</v>
      </c>
      <c r="W588" s="22">
        <f t="shared" si="129"/>
        <v>1.5274171031448217E-5</v>
      </c>
      <c r="X588" s="22">
        <f t="shared" si="129"/>
        <v>1.5334076575093776E-5</v>
      </c>
      <c r="Y588" s="22">
        <f t="shared" si="129"/>
        <v>1.5372633836154438E-5</v>
      </c>
      <c r="Z588" s="22">
        <f t="shared" si="129"/>
        <v>1.5414710813994563E-5</v>
      </c>
      <c r="AA588" s="22">
        <f t="shared" si="129"/>
        <v>1.5459260848218299E-5</v>
      </c>
      <c r="AB588" s="22">
        <f t="shared" si="129"/>
        <v>1.550729679110253E-5</v>
      </c>
      <c r="AC588" s="22">
        <f t="shared" si="129"/>
        <v>1.5558834836357002E-5</v>
      </c>
      <c r="AD588" s="22">
        <f t="shared" si="129"/>
        <v>1.5592757830860554E-5</v>
      </c>
      <c r="AE588" s="22">
        <f t="shared" si="129"/>
        <v>1.5629324786279091E-5</v>
      </c>
      <c r="AF588" s="22">
        <f t="shared" si="129"/>
        <v>1.5668308058264363E-5</v>
      </c>
      <c r="AG588" s="22">
        <f t="shared" si="129"/>
        <v>1.5710145809478675E-5</v>
      </c>
      <c r="AH588" s="22">
        <f t="shared" si="129"/>
        <v>1.5753347197297649E-5</v>
      </c>
      <c r="AI588" s="22">
        <f t="shared" si="129"/>
        <v>1.5780128357590142E-5</v>
      </c>
      <c r="AJ588" s="22">
        <f t="shared" si="129"/>
        <v>1.5808895494916665E-5</v>
      </c>
      <c r="AK588" s="22">
        <f t="shared" si="129"/>
        <v>1.5839194459493418E-5</v>
      </c>
      <c r="AL588" s="22">
        <f t="shared" si="129"/>
        <v>1.5871212894447166E-5</v>
      </c>
      <c r="AM588" s="22">
        <f t="shared" si="129"/>
        <v>1.5905120208325659E-5</v>
      </c>
      <c r="AN588" s="22">
        <f t="shared" si="129"/>
        <v>1.5923608440521578E-5</v>
      </c>
      <c r="AO588" s="22">
        <f t="shared" si="129"/>
        <v>1.5943219194385969E-5</v>
      </c>
      <c r="AP588" s="22">
        <f t="shared" si="129"/>
        <v>1.5964364076511548E-5</v>
      </c>
      <c r="AQ588" s="22">
        <f t="shared" si="129"/>
        <v>1.5987003748719161E-5</v>
      </c>
      <c r="AR588" s="22">
        <f t="shared" si="129"/>
        <v>1.6011426014492075E-5</v>
      </c>
      <c r="AS588" s="22">
        <f t="shared" si="129"/>
        <v>1.6019956720470997E-5</v>
      </c>
      <c r="AT588" s="22">
        <f t="shared" si="129"/>
        <v>1.6026597354274649E-5</v>
      </c>
      <c r="AU588" s="22">
        <f t="shared" si="129"/>
        <v>1.6034206571030276E-5</v>
      </c>
      <c r="AV588" s="22">
        <f t="shared" si="129"/>
        <v>1.6043388029308272E-5</v>
      </c>
      <c r="AW588" s="22">
        <f t="shared" si="129"/>
        <v>1.6053496862987396E-5</v>
      </c>
      <c r="AY588" s="85"/>
    </row>
    <row r="589" spans="1:51" x14ac:dyDescent="0.25">
      <c r="A589" s="102" t="str">
        <f t="shared" si="108"/>
        <v>PQ MM Volatilisation</v>
      </c>
      <c r="B589" s="102" t="s">
        <v>969</v>
      </c>
      <c r="C589" s="102" t="s">
        <v>1333</v>
      </c>
      <c r="D589" t="s">
        <v>369</v>
      </c>
      <c r="E589" t="s">
        <v>64</v>
      </c>
      <c r="F589" t="s">
        <v>62</v>
      </c>
      <c r="G589" t="s">
        <v>1171</v>
      </c>
      <c r="H589" t="s">
        <v>1300</v>
      </c>
      <c r="I589" t="s">
        <v>139</v>
      </c>
      <c r="J589" t="s">
        <v>287</v>
      </c>
      <c r="K589" s="22">
        <f t="shared" si="127"/>
        <v>1.4734983248944019E-3</v>
      </c>
      <c r="L589" s="22">
        <f t="shared" si="129"/>
        <v>1.4773281920422968E-3</v>
      </c>
      <c r="M589" s="22">
        <f t="shared" si="129"/>
        <v>1.4824928425740808E-3</v>
      </c>
      <c r="N589" s="22">
        <f t="shared" si="129"/>
        <v>1.4887832558011719E-3</v>
      </c>
      <c r="O589" s="22">
        <f t="shared" si="129"/>
        <v>1.4963176534244689E-3</v>
      </c>
      <c r="P589" s="22">
        <f t="shared" si="129"/>
        <v>1.5052250508030326E-3</v>
      </c>
      <c r="Q589" s="22">
        <f t="shared" si="129"/>
        <v>1.5146651340946602E-3</v>
      </c>
      <c r="R589" s="22">
        <f t="shared" si="129"/>
        <v>1.5245274467620346E-3</v>
      </c>
      <c r="S589" s="22">
        <f t="shared" si="129"/>
        <v>1.5341290004486333E-3</v>
      </c>
      <c r="T589" s="22">
        <f t="shared" si="129"/>
        <v>1.5385328389069129E-3</v>
      </c>
      <c r="U589" s="22">
        <f t="shared" si="129"/>
        <v>1.5432819254136169E-3</v>
      </c>
      <c r="V589" s="22">
        <f t="shared" si="129"/>
        <v>1.5484291634501014E-3</v>
      </c>
      <c r="W589" s="22">
        <f t="shared" si="129"/>
        <v>1.5540126568824096E-3</v>
      </c>
      <c r="X589" s="22">
        <f t="shared" si="129"/>
        <v>1.5601075194350781E-3</v>
      </c>
      <c r="Y589" s="22">
        <f t="shared" si="129"/>
        <v>1.5640303818660153E-3</v>
      </c>
      <c r="Z589" s="22">
        <f t="shared" si="129"/>
        <v>1.5683113445442707E-3</v>
      </c>
      <c r="AA589" s="22">
        <f t="shared" si="129"/>
        <v>1.5728439189737231E-3</v>
      </c>
      <c r="AB589" s="22">
        <f t="shared" si="129"/>
        <v>1.5777311539715299E-3</v>
      </c>
      <c r="AC589" s="22">
        <f t="shared" si="129"/>
        <v>1.5829746971053286E-3</v>
      </c>
      <c r="AD589" s="22">
        <f t="shared" si="129"/>
        <v>1.5864260636449165E-3</v>
      </c>
      <c r="AE589" s="22">
        <f t="shared" si="129"/>
        <v>1.5901464299696787E-3</v>
      </c>
      <c r="AF589" s="22">
        <f t="shared" si="129"/>
        <v>1.5941126352679608E-3</v>
      </c>
      <c r="AG589" s="22">
        <f t="shared" si="129"/>
        <v>1.5983692587396162E-3</v>
      </c>
      <c r="AH589" s="22">
        <f t="shared" si="129"/>
        <v>1.6027646202507156E-3</v>
      </c>
      <c r="AI589" s="22">
        <f t="shared" si="129"/>
        <v>1.6054893679293186E-3</v>
      </c>
      <c r="AJ589" s="22">
        <f t="shared" si="129"/>
        <v>1.6084161713162683E-3</v>
      </c>
      <c r="AK589" s="22">
        <f t="shared" si="129"/>
        <v>1.6114988246626113E-3</v>
      </c>
      <c r="AL589" s="22">
        <f t="shared" si="129"/>
        <v>1.6147564190072887E-3</v>
      </c>
      <c r="AM589" s="22">
        <f t="shared" si="129"/>
        <v>1.6182061901810947E-3</v>
      </c>
      <c r="AN589" s="22">
        <f t="shared" si="129"/>
        <v>1.6200872053128935E-3</v>
      </c>
      <c r="AO589" s="22">
        <f t="shared" si="129"/>
        <v>1.6220824271585524E-3</v>
      </c>
      <c r="AP589" s="22">
        <f t="shared" si="129"/>
        <v>1.6242337330712453E-3</v>
      </c>
      <c r="AQ589" s="22">
        <f t="shared" si="129"/>
        <v>1.6265371207369889E-3</v>
      </c>
      <c r="AR589" s="22">
        <f t="shared" si="129"/>
        <v>1.6290218716306845E-3</v>
      </c>
      <c r="AS589" s="22">
        <f t="shared" si="129"/>
        <v>1.6298897959871744E-3</v>
      </c>
      <c r="AT589" s="22">
        <f t="shared" si="129"/>
        <v>1.6305654221117833E-3</v>
      </c>
      <c r="AU589" s="22">
        <f t="shared" si="129"/>
        <v>1.6313395930388258E-3</v>
      </c>
      <c r="AV589" s="22">
        <f t="shared" si="129"/>
        <v>1.6322737257222465E-3</v>
      </c>
      <c r="AW589" s="22">
        <f t="shared" si="129"/>
        <v>1.6333022107019772E-3</v>
      </c>
      <c r="AY589" s="85"/>
    </row>
    <row r="590" spans="1:51" x14ac:dyDescent="0.25">
      <c r="A590" s="102" t="str">
        <f t="shared" si="108"/>
        <v>PQ MM Volatilisation</v>
      </c>
      <c r="B590" s="102" t="s">
        <v>969</v>
      </c>
      <c r="C590" s="102" t="s">
        <v>1333</v>
      </c>
      <c r="D590" t="s">
        <v>369</v>
      </c>
      <c r="E590" t="s">
        <v>64</v>
      </c>
      <c r="F590" t="s">
        <v>62</v>
      </c>
      <c r="G590" t="s">
        <v>1173</v>
      </c>
      <c r="H590" t="s">
        <v>1301</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85"/>
    </row>
    <row r="591" spans="1:51" x14ac:dyDescent="0.25">
      <c r="A591" s="102" t="str">
        <f t="shared" si="108"/>
        <v>PQ MM Volatilisation</v>
      </c>
      <c r="B591" s="102" t="s">
        <v>969</v>
      </c>
      <c r="C591" s="102" t="s">
        <v>1333</v>
      </c>
      <c r="D591" t="s">
        <v>369</v>
      </c>
      <c r="E591" t="s">
        <v>64</v>
      </c>
      <c r="F591" t="s">
        <v>62</v>
      </c>
      <c r="G591" t="s">
        <v>1175</v>
      </c>
      <c r="H591" t="s">
        <v>1302</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85"/>
    </row>
    <row r="592" spans="1:51" x14ac:dyDescent="0.25">
      <c r="A592" s="102" t="str">
        <f t="shared" si="108"/>
        <v>PQ MM Volatilisation</v>
      </c>
      <c r="B592" s="102" t="s">
        <v>969</v>
      </c>
      <c r="C592" s="102" t="s">
        <v>1333</v>
      </c>
      <c r="D592" t="s">
        <v>369</v>
      </c>
      <c r="E592" t="s">
        <v>64</v>
      </c>
      <c r="F592" t="s">
        <v>62</v>
      </c>
      <c r="G592" t="s">
        <v>1177</v>
      </c>
      <c r="H592" t="s">
        <v>1303</v>
      </c>
      <c r="I592" t="s">
        <v>139</v>
      </c>
      <c r="J592" t="s">
        <v>287</v>
      </c>
      <c r="K592" s="22">
        <f t="shared" si="127"/>
        <v>0.13127680408912967</v>
      </c>
      <c r="L592" s="22">
        <f t="shared" si="129"/>
        <v>0.13104478756679175</v>
      </c>
      <c r="M592" s="22">
        <f t="shared" si="129"/>
        <v>0.13030955774266942</v>
      </c>
      <c r="N592" s="22">
        <f t="shared" si="129"/>
        <v>0.12743411073001928</v>
      </c>
      <c r="O592" s="22">
        <f t="shared" si="129"/>
        <v>0.1247149107669546</v>
      </c>
      <c r="P592" s="22">
        <f t="shared" si="129"/>
        <v>0.1242760261027246</v>
      </c>
      <c r="Q592" s="22">
        <f t="shared" si="129"/>
        <v>0.1232106270346093</v>
      </c>
      <c r="R592" s="22">
        <f t="shared" si="129"/>
        <v>0.11992927074804736</v>
      </c>
      <c r="S592" s="22">
        <f t="shared" si="129"/>
        <v>0.10697136059413564</v>
      </c>
      <c r="T592" s="22">
        <f t="shared" si="129"/>
        <v>0.10927238007305687</v>
      </c>
      <c r="U592" s="22">
        <f t="shared" si="129"/>
        <v>0.11033195793154126</v>
      </c>
      <c r="V592" s="22">
        <f t="shared" si="129"/>
        <v>0.11110365742908961</v>
      </c>
      <c r="W592" s="22">
        <f t="shared" si="129"/>
        <v>0.1122884240961687</v>
      </c>
      <c r="X592" s="22">
        <f t="shared" si="129"/>
        <v>0.11491943317032226</v>
      </c>
      <c r="Y592" s="22">
        <f t="shared" si="129"/>
        <v>0.117880487302873</v>
      </c>
      <c r="Z592" s="22">
        <f t="shared" si="129"/>
        <v>0.12113886796014842</v>
      </c>
      <c r="AA592" s="22">
        <f t="shared" si="129"/>
        <v>0.12374440018879811</v>
      </c>
      <c r="AB592" s="22">
        <f t="shared" si="129"/>
        <v>0.12693570858518674</v>
      </c>
      <c r="AC592" s="22">
        <f t="shared" si="129"/>
        <v>0.13084113615278595</v>
      </c>
      <c r="AD592" s="22">
        <f t="shared" si="129"/>
        <v>0.13453780909031221</v>
      </c>
      <c r="AE592" s="22">
        <f t="shared" si="129"/>
        <v>0.13838522984786125</v>
      </c>
      <c r="AF592" s="22">
        <f t="shared" si="129"/>
        <v>0.1422552100509078</v>
      </c>
      <c r="AG592" s="22">
        <f t="shared" si="129"/>
        <v>0.14666883461308858</v>
      </c>
      <c r="AH592" s="22">
        <f t="shared" si="129"/>
        <v>0.15024709495665656</v>
      </c>
      <c r="AI592" s="22">
        <f t="shared" si="129"/>
        <v>0.15408132184002271</v>
      </c>
      <c r="AJ592" s="22">
        <f t="shared" si="129"/>
        <v>0.15791627313476184</v>
      </c>
      <c r="AK592" s="22">
        <f t="shared" si="129"/>
        <v>0.16139685457136538</v>
      </c>
      <c r="AL592" s="22">
        <f t="shared" si="129"/>
        <v>0.16476948346525533</v>
      </c>
      <c r="AM592" s="22">
        <f t="shared" si="129"/>
        <v>0.1682466106779141</v>
      </c>
      <c r="AN592" s="22">
        <f t="shared" si="129"/>
        <v>0.17192264568830376</v>
      </c>
      <c r="AO592" s="22">
        <f t="shared" si="129"/>
        <v>0.17515461564548812</v>
      </c>
      <c r="AP592" s="22">
        <f t="shared" si="129"/>
        <v>0.17836303688392388</v>
      </c>
      <c r="AQ592" s="22">
        <f t="shared" si="129"/>
        <v>0.18155644014490915</v>
      </c>
      <c r="AR592" s="22">
        <f t="shared" si="129"/>
        <v>0.18501677268932123</v>
      </c>
      <c r="AS592" s="22">
        <f t="shared" si="129"/>
        <v>0.1885273047927761</v>
      </c>
      <c r="AT592" s="22">
        <f t="shared" si="129"/>
        <v>0.1893481182412324</v>
      </c>
      <c r="AU592" s="22">
        <f t="shared" si="129"/>
        <v>0.18994311944670875</v>
      </c>
      <c r="AV592" s="22">
        <f t="shared" si="129"/>
        <v>0.19083634950059308</v>
      </c>
      <c r="AW592" s="22">
        <f t="shared" si="129"/>
        <v>0.19153378485504027</v>
      </c>
      <c r="AY592" s="85"/>
    </row>
    <row r="593" spans="1:51" x14ac:dyDescent="0.25">
      <c r="A593" s="102" t="str">
        <f t="shared" si="108"/>
        <v>PQ MM Volatilisation</v>
      </c>
      <c r="B593" s="102" t="s">
        <v>969</v>
      </c>
      <c r="C593" s="102" t="s">
        <v>1333</v>
      </c>
      <c r="D593" t="s">
        <v>369</v>
      </c>
      <c r="E593" t="s">
        <v>64</v>
      </c>
      <c r="F593" t="s">
        <v>62</v>
      </c>
      <c r="G593" t="s">
        <v>1179</v>
      </c>
      <c r="H593" t="s">
        <v>1304</v>
      </c>
      <c r="I593" t="s">
        <v>139</v>
      </c>
      <c r="J593" t="s">
        <v>287</v>
      </c>
      <c r="K593" s="22">
        <f t="shared" si="127"/>
        <v>1.2775290998949166E-2</v>
      </c>
      <c r="L593" s="22">
        <f t="shared" si="129"/>
        <v>1.2752712154118219E-2</v>
      </c>
      <c r="M593" s="22">
        <f t="shared" si="129"/>
        <v>1.2681162766399339E-2</v>
      </c>
      <c r="N593" s="22">
        <f t="shared" si="129"/>
        <v>1.2401336695117745E-2</v>
      </c>
      <c r="O593" s="22">
        <f t="shared" si="129"/>
        <v>1.2136715911167996E-2</v>
      </c>
      <c r="P593" s="22">
        <f t="shared" si="129"/>
        <v>1.2094005553162118E-2</v>
      </c>
      <c r="Q593" s="22">
        <f t="shared" si="129"/>
        <v>1.1990325522103915E-2</v>
      </c>
      <c r="R593" s="22">
        <f t="shared" si="129"/>
        <v>1.1670998115233177E-2</v>
      </c>
      <c r="S593" s="22">
        <f t="shared" si="129"/>
        <v>1.0409990322553617E-2</v>
      </c>
      <c r="T593" s="22">
        <f t="shared" si="129"/>
        <v>1.0633915589789026E-2</v>
      </c>
      <c r="U593" s="22">
        <f t="shared" si="129"/>
        <v>1.0737029125893931E-2</v>
      </c>
      <c r="V593" s="22">
        <f t="shared" si="129"/>
        <v>1.0812127584554078E-2</v>
      </c>
      <c r="W593" s="22">
        <f t="shared" si="129"/>
        <v>1.092742395425785E-2</v>
      </c>
      <c r="X593" s="22">
        <f t="shared" ref="L593:AW600" si="130">X1544</f>
        <v>1.1183462382191907E-2</v>
      </c>
      <c r="Y593" s="22">
        <f t="shared" si="130"/>
        <v>1.1471619368260015E-2</v>
      </c>
      <c r="Z593" s="22">
        <f t="shared" si="130"/>
        <v>1.1788710886223677E-2</v>
      </c>
      <c r="AA593" s="22">
        <f t="shared" si="130"/>
        <v>1.2042270017702387E-2</v>
      </c>
      <c r="AB593" s="22">
        <f t="shared" si="130"/>
        <v>1.2352834353223334E-2</v>
      </c>
      <c r="AC593" s="22">
        <f t="shared" si="130"/>
        <v>1.2732893678993665E-2</v>
      </c>
      <c r="AD593" s="22">
        <f t="shared" si="130"/>
        <v>1.3092637906715528E-2</v>
      </c>
      <c r="AE593" s="22">
        <f t="shared" si="130"/>
        <v>1.3467052260524101E-2</v>
      </c>
      <c r="AF593" s="22">
        <f t="shared" si="130"/>
        <v>1.384366200203278E-2</v>
      </c>
      <c r="AG593" s="22">
        <f t="shared" si="130"/>
        <v>1.4273176862127078E-2</v>
      </c>
      <c r="AH593" s="22">
        <f t="shared" si="130"/>
        <v>1.4621397688161536E-2</v>
      </c>
      <c r="AI593" s="22">
        <f t="shared" si="130"/>
        <v>1.4994528071178318E-2</v>
      </c>
      <c r="AJ593" s="22">
        <f t="shared" si="130"/>
        <v>1.5367728950777933E-2</v>
      </c>
      <c r="AK593" s="22">
        <f t="shared" si="130"/>
        <v>1.5706444087901172E-2</v>
      </c>
      <c r="AL593" s="22">
        <f t="shared" si="130"/>
        <v>1.6034653750300141E-2</v>
      </c>
      <c r="AM593" s="22">
        <f t="shared" si="130"/>
        <v>1.6373032737283407E-2</v>
      </c>
      <c r="AN593" s="22">
        <f t="shared" si="130"/>
        <v>1.673076857116438E-2</v>
      </c>
      <c r="AO593" s="22">
        <f t="shared" si="130"/>
        <v>1.7045289913981791E-2</v>
      </c>
      <c r="AP593" s="22">
        <f t="shared" si="130"/>
        <v>1.7357519597303427E-2</v>
      </c>
      <c r="AQ593" s="22">
        <f t="shared" si="130"/>
        <v>1.7668287795989782E-2</v>
      </c>
      <c r="AR593" s="22">
        <f t="shared" si="130"/>
        <v>1.8005032398471E-2</v>
      </c>
      <c r="AS593" s="22">
        <f t="shared" si="130"/>
        <v>1.8346662205000568E-2</v>
      </c>
      <c r="AT593" s="22">
        <f t="shared" si="130"/>
        <v>1.8426540221018993E-2</v>
      </c>
      <c r="AU593" s="22">
        <f t="shared" si="130"/>
        <v>1.8484443165849414E-2</v>
      </c>
      <c r="AV593" s="22">
        <f t="shared" si="130"/>
        <v>1.8571368452815044E-2</v>
      </c>
      <c r="AW593" s="22">
        <f t="shared" si="130"/>
        <v>1.8639239846149461E-2</v>
      </c>
      <c r="AY593" s="85"/>
    </row>
    <row r="594" spans="1:51" x14ac:dyDescent="0.25">
      <c r="A594" s="102" t="str">
        <f t="shared" si="108"/>
        <v>PQ MM Volatilisation</v>
      </c>
      <c r="B594" s="102" t="s">
        <v>969</v>
      </c>
      <c r="C594" s="102" t="s">
        <v>1333</v>
      </c>
      <c r="D594" t="s">
        <v>369</v>
      </c>
      <c r="E594" t="s">
        <v>64</v>
      </c>
      <c r="F594" t="s">
        <v>62</v>
      </c>
      <c r="G594" t="s">
        <v>1181</v>
      </c>
      <c r="H594" t="s">
        <v>1305</v>
      </c>
      <c r="I594" t="s">
        <v>139</v>
      </c>
      <c r="J594" t="s">
        <v>287</v>
      </c>
      <c r="K594" s="22">
        <f t="shared" si="127"/>
        <v>6.4639922525530427E-2</v>
      </c>
      <c r="L594" s="22">
        <f t="shared" si="130"/>
        <v>6.6092820241884495E-2</v>
      </c>
      <c r="M594" s="22">
        <f t="shared" si="130"/>
        <v>6.7406950311631311E-2</v>
      </c>
      <c r="N594" s="22">
        <f t="shared" si="130"/>
        <v>6.8085378535523336E-2</v>
      </c>
      <c r="O594" s="22">
        <f t="shared" si="130"/>
        <v>6.8782509933711544E-2</v>
      </c>
      <c r="P594" s="22">
        <f t="shared" si="130"/>
        <v>7.0170496606956442E-2</v>
      </c>
      <c r="Q594" s="22">
        <f t="shared" si="130"/>
        <v>7.1357352719614867E-2</v>
      </c>
      <c r="R594" s="22">
        <f t="shared" si="130"/>
        <v>7.1807853842609945E-2</v>
      </c>
      <c r="S594" s="22">
        <f t="shared" si="130"/>
        <v>6.89560372793145E-2</v>
      </c>
      <c r="T594" s="22">
        <f t="shared" si="130"/>
        <v>7.1008173280929857E-2</v>
      </c>
      <c r="U594" s="22">
        <f t="shared" si="130"/>
        <v>7.2666722437194436E-2</v>
      </c>
      <c r="V594" s="22">
        <f t="shared" si="130"/>
        <v>7.4247222856444403E-2</v>
      </c>
      <c r="W594" s="22">
        <f t="shared" si="130"/>
        <v>7.600218438166105E-2</v>
      </c>
      <c r="X594" s="22">
        <f t="shared" si="130"/>
        <v>7.8331736592242102E-2</v>
      </c>
      <c r="Y594" s="22">
        <f t="shared" si="130"/>
        <v>8.0778487004079483E-2</v>
      </c>
      <c r="Z594" s="22">
        <f t="shared" si="130"/>
        <v>8.3401229369706939E-2</v>
      </c>
      <c r="AA594" s="22">
        <f t="shared" si="130"/>
        <v>8.5827271656106763E-2</v>
      </c>
      <c r="AB594" s="22">
        <f t="shared" si="130"/>
        <v>8.8549064394725929E-2</v>
      </c>
      <c r="AC594" s="22">
        <f t="shared" si="130"/>
        <v>9.1636240743728642E-2</v>
      </c>
      <c r="AD594" s="22">
        <f t="shared" si="130"/>
        <v>9.4662173779080358E-2</v>
      </c>
      <c r="AE594" s="22">
        <f t="shared" si="130"/>
        <v>9.7831321391472395E-2</v>
      </c>
      <c r="AF594" s="22">
        <f t="shared" si="130"/>
        <v>0.1010924495137356</v>
      </c>
      <c r="AG594" s="22">
        <f t="shared" si="130"/>
        <v>0.10468368456707709</v>
      </c>
      <c r="AH594" s="22">
        <f t="shared" si="130"/>
        <v>0.10798542807128246</v>
      </c>
      <c r="AI594" s="22">
        <f t="shared" si="130"/>
        <v>0.11143964262193619</v>
      </c>
      <c r="AJ594" s="22">
        <f t="shared" si="130"/>
        <v>0.11498300476041527</v>
      </c>
      <c r="AK594" s="22">
        <f t="shared" si="130"/>
        <v>0.11844428302751359</v>
      </c>
      <c r="AL594" s="22">
        <f t="shared" si="130"/>
        <v>0.12193846206930534</v>
      </c>
      <c r="AM594" s="22">
        <f t="shared" si="130"/>
        <v>0.12557241914152842</v>
      </c>
      <c r="AN594" s="22">
        <f t="shared" si="130"/>
        <v>0.12935192234708767</v>
      </c>
      <c r="AO594" s="22">
        <f t="shared" si="130"/>
        <v>0.13299431940651141</v>
      </c>
      <c r="AP594" s="22">
        <f t="shared" si="130"/>
        <v>0.13671453058130023</v>
      </c>
      <c r="AQ594" s="22">
        <f t="shared" si="130"/>
        <v>0.14051897664424154</v>
      </c>
      <c r="AR594" s="22">
        <f t="shared" si="130"/>
        <v>0.14456662668799888</v>
      </c>
      <c r="AS594" s="22">
        <f t="shared" si="130"/>
        <v>0.14869599338087189</v>
      </c>
      <c r="AT594" s="22">
        <f t="shared" si="130"/>
        <v>0.15137911693275455</v>
      </c>
      <c r="AU594" s="22">
        <f t="shared" si="130"/>
        <v>0.1539813872955596</v>
      </c>
      <c r="AV594" s="22">
        <f t="shared" si="130"/>
        <v>0.15681091101615385</v>
      </c>
      <c r="AW594" s="22">
        <f t="shared" si="130"/>
        <v>0.15957796848952543</v>
      </c>
      <c r="AY594" s="85"/>
    </row>
    <row r="595" spans="1:51" x14ac:dyDescent="0.25">
      <c r="A595" s="102" t="str">
        <f t="shared" si="108"/>
        <v>PQ MM Volatilisation</v>
      </c>
      <c r="B595" s="102" t="s">
        <v>969</v>
      </c>
      <c r="C595" s="102" t="s">
        <v>1333</v>
      </c>
      <c r="D595" t="s">
        <v>369</v>
      </c>
      <c r="E595" t="s">
        <v>64</v>
      </c>
      <c r="F595" t="s">
        <v>62</v>
      </c>
      <c r="G595" t="s">
        <v>1183</v>
      </c>
      <c r="H595" t="s">
        <v>1306</v>
      </c>
      <c r="I595" t="s">
        <v>139</v>
      </c>
      <c r="J595" t="s">
        <v>287</v>
      </c>
      <c r="K595" s="22">
        <f t="shared" si="127"/>
        <v>0.3124157271084777</v>
      </c>
      <c r="L595" s="22">
        <f t="shared" si="130"/>
        <v>0.31821414255231495</v>
      </c>
      <c r="M595" s="22">
        <f t="shared" si="130"/>
        <v>0.32201191440693633</v>
      </c>
      <c r="N595" s="22">
        <f t="shared" si="130"/>
        <v>0.3178348082585094</v>
      </c>
      <c r="O595" s="22">
        <f t="shared" si="130"/>
        <v>0.31378386599173785</v>
      </c>
      <c r="P595" s="22">
        <f t="shared" si="130"/>
        <v>0.31779798966820449</v>
      </c>
      <c r="Q595" s="22">
        <f t="shared" si="130"/>
        <v>0.31934474546532327</v>
      </c>
      <c r="R595" s="22">
        <f t="shared" si="130"/>
        <v>0.3122534460886785</v>
      </c>
      <c r="S595" s="22">
        <f t="shared" si="130"/>
        <v>0.26726842990845273</v>
      </c>
      <c r="T595" s="22">
        <f t="shared" si="130"/>
        <v>0.28155383456320437</v>
      </c>
      <c r="U595" s="22">
        <f t="shared" si="130"/>
        <v>0.29111754321840305</v>
      </c>
      <c r="V595" s="22">
        <f t="shared" si="130"/>
        <v>0.2996184601617527</v>
      </c>
      <c r="W595" s="22">
        <f t="shared" si="130"/>
        <v>0.30988409927740257</v>
      </c>
      <c r="X595" s="22">
        <f t="shared" si="130"/>
        <v>0.32626779257260974</v>
      </c>
      <c r="Y595" s="22">
        <f t="shared" si="130"/>
        <v>0.34459114138127506</v>
      </c>
      <c r="Z595" s="22">
        <f t="shared" si="130"/>
        <v>0.36451721195122694</v>
      </c>
      <c r="AA595" s="22">
        <f t="shared" si="130"/>
        <v>0.38201404405887901</v>
      </c>
      <c r="AB595" s="22">
        <f t="shared" si="130"/>
        <v>0.40238508942677492</v>
      </c>
      <c r="AC595" s="22">
        <f t="shared" si="130"/>
        <v>0.4263053965641187</v>
      </c>
      <c r="AD595" s="22">
        <f t="shared" si="130"/>
        <v>0.44998725989455773</v>
      </c>
      <c r="AE595" s="22">
        <f t="shared" si="130"/>
        <v>0.47482812670868052</v>
      </c>
      <c r="AF595" s="22">
        <f t="shared" si="130"/>
        <v>0.50027841318334143</v>
      </c>
      <c r="AG595" s="22">
        <f t="shared" si="130"/>
        <v>0.52877672683612675</v>
      </c>
      <c r="AH595" s="22">
        <f t="shared" si="130"/>
        <v>0.55394333487777203</v>
      </c>
      <c r="AI595" s="22">
        <f t="shared" si="130"/>
        <v>0.58103945126716949</v>
      </c>
      <c r="AJ595" s="22">
        <f t="shared" si="130"/>
        <v>0.60869953568846558</v>
      </c>
      <c r="AK595" s="22">
        <f t="shared" si="130"/>
        <v>0.6352030919632573</v>
      </c>
      <c r="AL595" s="22">
        <f t="shared" si="130"/>
        <v>0.66171943775292319</v>
      </c>
      <c r="AM595" s="22">
        <f t="shared" si="130"/>
        <v>0.68930855279653469</v>
      </c>
      <c r="AN595" s="22">
        <f t="shared" si="130"/>
        <v>0.71866455371182625</v>
      </c>
      <c r="AO595" s="22">
        <f t="shared" si="130"/>
        <v>0.74635733605458598</v>
      </c>
      <c r="AP595" s="22">
        <f t="shared" si="130"/>
        <v>0.7745069527648214</v>
      </c>
      <c r="AQ595" s="22">
        <f t="shared" si="130"/>
        <v>0.80317067030208755</v>
      </c>
      <c r="AR595" s="22">
        <f t="shared" si="130"/>
        <v>0.83386954359351506</v>
      </c>
      <c r="AS595" s="22">
        <f t="shared" si="130"/>
        <v>0.86568293208899882</v>
      </c>
      <c r="AT595" s="22">
        <f t="shared" si="130"/>
        <v>0.88344012524771687</v>
      </c>
      <c r="AU595" s="22">
        <f t="shared" si="130"/>
        <v>0.90027059680950883</v>
      </c>
      <c r="AV595" s="22">
        <f t="shared" si="130"/>
        <v>0.91908561041712944</v>
      </c>
      <c r="AW595" s="22">
        <f t="shared" si="130"/>
        <v>0.9371463380375723</v>
      </c>
      <c r="AY595" s="85"/>
    </row>
    <row r="596" spans="1:51" x14ac:dyDescent="0.25">
      <c r="A596" s="102" t="str">
        <f t="shared" si="108"/>
        <v>PQ MM Leaching</v>
      </c>
      <c r="B596" s="102" t="s">
        <v>969</v>
      </c>
      <c r="C596" s="102" t="s">
        <v>1334</v>
      </c>
      <c r="D596" t="s">
        <v>369</v>
      </c>
      <c r="E596" t="s">
        <v>64</v>
      </c>
      <c r="F596" t="s">
        <v>63</v>
      </c>
      <c r="G596" t="s">
        <v>1153</v>
      </c>
      <c r="H596" t="s">
        <v>1307</v>
      </c>
      <c r="I596" t="s">
        <v>139</v>
      </c>
      <c r="J596" t="s">
        <v>287</v>
      </c>
      <c r="K596" s="22">
        <f t="shared" si="127"/>
        <v>8.9301817319657029E-2</v>
      </c>
      <c r="L596" s="22">
        <f t="shared" si="130"/>
        <v>8.9904788204048389E-2</v>
      </c>
      <c r="M596" s="22">
        <f t="shared" si="130"/>
        <v>9.0432234991344826E-2</v>
      </c>
      <c r="N596" s="22">
        <f t="shared" si="130"/>
        <v>9.0500461338876806E-2</v>
      </c>
      <c r="O596" s="22">
        <f t="shared" si="130"/>
        <v>9.0617974533052939E-2</v>
      </c>
      <c r="P596" s="22">
        <f t="shared" si="130"/>
        <v>9.1292243565634368E-2</v>
      </c>
      <c r="Q596" s="22">
        <f t="shared" si="130"/>
        <v>9.1831411898207801E-2</v>
      </c>
      <c r="R596" s="22">
        <f t="shared" si="130"/>
        <v>9.1836139358568436E-2</v>
      </c>
      <c r="S596" s="22">
        <f t="shared" si="130"/>
        <v>8.9403055409342513E-2</v>
      </c>
      <c r="T596" s="22">
        <f t="shared" si="130"/>
        <v>9.0578464795021837E-2</v>
      </c>
      <c r="U596" s="22">
        <f t="shared" si="130"/>
        <v>9.1468229504779536E-2</v>
      </c>
      <c r="V596" s="22">
        <f t="shared" si="130"/>
        <v>9.2307701453058486E-2</v>
      </c>
      <c r="W596" s="22">
        <f t="shared" si="130"/>
        <v>9.3281093922152392E-2</v>
      </c>
      <c r="X596" s="22">
        <f t="shared" si="130"/>
        <v>9.4675817928952744E-2</v>
      </c>
      <c r="Y596" s="22">
        <f t="shared" si="130"/>
        <v>9.6127887906373721E-2</v>
      </c>
      <c r="Z596" s="22">
        <f t="shared" si="130"/>
        <v>9.7705163684132096E-2</v>
      </c>
      <c r="AA596" s="22">
        <f t="shared" si="130"/>
        <v>9.9139534803866503E-2</v>
      </c>
      <c r="AB596" s="22">
        <f t="shared" si="130"/>
        <v>0.10078297415070787</v>
      </c>
      <c r="AC596" s="22">
        <f t="shared" si="130"/>
        <v>0.10268183134860724</v>
      </c>
      <c r="AD596" s="22">
        <f t="shared" si="130"/>
        <v>0.10450996110897502</v>
      </c>
      <c r="AE596" s="22">
        <f t="shared" si="130"/>
        <v>0.1064333985286125</v>
      </c>
      <c r="AF596" s="22">
        <f t="shared" si="130"/>
        <v>0.10841517507268528</v>
      </c>
      <c r="AG596" s="22">
        <f t="shared" si="130"/>
        <v>0.11062033109470952</v>
      </c>
      <c r="AH596" s="22">
        <f t="shared" si="130"/>
        <v>0.11261681982671894</v>
      </c>
      <c r="AI596" s="22">
        <f t="shared" si="130"/>
        <v>0.11469139352660324</v>
      </c>
      <c r="AJ596" s="22">
        <f t="shared" si="130"/>
        <v>0.11682019256305964</v>
      </c>
      <c r="AK596" s="22">
        <f t="shared" si="130"/>
        <v>0.11888535619665287</v>
      </c>
      <c r="AL596" s="22">
        <f t="shared" si="130"/>
        <v>0.12096617191338277</v>
      </c>
      <c r="AM596" s="22">
        <f t="shared" si="130"/>
        <v>0.12313525542688207</v>
      </c>
      <c r="AN596" s="22">
        <f t="shared" si="130"/>
        <v>0.12537615973723265</v>
      </c>
      <c r="AO596" s="22">
        <f t="shared" si="130"/>
        <v>0.12751645286240365</v>
      </c>
      <c r="AP596" s="22">
        <f t="shared" si="130"/>
        <v>0.12970195754720021</v>
      </c>
      <c r="AQ596" s="22">
        <f t="shared" si="130"/>
        <v>0.131936612577774</v>
      </c>
      <c r="AR596" s="22">
        <f t="shared" si="130"/>
        <v>0.13432635811565444</v>
      </c>
      <c r="AS596" s="22">
        <f t="shared" si="130"/>
        <v>0.13674240472836932</v>
      </c>
      <c r="AT596" s="22">
        <f t="shared" si="130"/>
        <v>0.13818843767832675</v>
      </c>
      <c r="AU596" s="22">
        <f t="shared" si="130"/>
        <v>0.13957828911754586</v>
      </c>
      <c r="AV596" s="22">
        <f t="shared" si="130"/>
        <v>0.14111599332781352</v>
      </c>
      <c r="AW596" s="22">
        <f t="shared" si="130"/>
        <v>0.14260938051125654</v>
      </c>
      <c r="AY596" s="85"/>
    </row>
    <row r="597" spans="1:51" x14ac:dyDescent="0.25">
      <c r="A597" s="102" t="str">
        <f t="shared" si="108"/>
        <v>PQ MM Leaching</v>
      </c>
      <c r="B597" s="102" t="s">
        <v>969</v>
      </c>
      <c r="C597" s="102" t="s">
        <v>1334</v>
      </c>
      <c r="D597" t="s">
        <v>369</v>
      </c>
      <c r="E597" t="s">
        <v>64</v>
      </c>
      <c r="F597" t="s">
        <v>63</v>
      </c>
      <c r="G597" t="s">
        <v>1155</v>
      </c>
      <c r="H597" t="s">
        <v>1308</v>
      </c>
      <c r="I597" t="s">
        <v>139</v>
      </c>
      <c r="J597" t="s">
        <v>287</v>
      </c>
      <c r="K597" s="22">
        <f t="shared" si="127"/>
        <v>2.69668832410737E-2</v>
      </c>
      <c r="L597" s="22">
        <f t="shared" si="130"/>
        <v>2.7148965150772641E-2</v>
      </c>
      <c r="M597" s="22">
        <f t="shared" si="130"/>
        <v>2.730824069919725E-2</v>
      </c>
      <c r="N597" s="22">
        <f t="shared" si="130"/>
        <v>2.7328843325247671E-2</v>
      </c>
      <c r="O597" s="22">
        <f t="shared" si="130"/>
        <v>2.7364329328576024E-2</v>
      </c>
      <c r="P597" s="22">
        <f t="shared" si="130"/>
        <v>2.756794147019246E-2</v>
      </c>
      <c r="Q597" s="22">
        <f t="shared" si="130"/>
        <v>2.7730756627914813E-2</v>
      </c>
      <c r="R597" s="22">
        <f t="shared" si="130"/>
        <v>2.7732184201007922E-2</v>
      </c>
      <c r="S597" s="22">
        <f t="shared" si="130"/>
        <v>2.6997454575745719E-2</v>
      </c>
      <c r="T597" s="22">
        <f t="shared" si="130"/>
        <v>2.7352398390053725E-2</v>
      </c>
      <c r="U597" s="22">
        <f t="shared" si="130"/>
        <v>2.7621084759046378E-2</v>
      </c>
      <c r="V597" s="22">
        <f t="shared" si="130"/>
        <v>2.7874583990001138E-2</v>
      </c>
      <c r="W597" s="22">
        <f t="shared" si="130"/>
        <v>2.8168523820674866E-2</v>
      </c>
      <c r="X597" s="22">
        <f t="shared" si="130"/>
        <v>2.8589695086543694E-2</v>
      </c>
      <c r="Y597" s="22">
        <f t="shared" si="130"/>
        <v>2.9028183380671174E-2</v>
      </c>
      <c r="Z597" s="22">
        <f t="shared" si="130"/>
        <v>2.9504480650026085E-2</v>
      </c>
      <c r="AA597" s="22">
        <f t="shared" si="130"/>
        <v>2.9937624338152707E-2</v>
      </c>
      <c r="AB597" s="22">
        <f t="shared" si="130"/>
        <v>3.0433901326799174E-2</v>
      </c>
      <c r="AC597" s="22">
        <f t="shared" si="130"/>
        <v>3.1007308026507561E-2</v>
      </c>
      <c r="AD597" s="22">
        <f t="shared" si="130"/>
        <v>3.1559356834438362E-2</v>
      </c>
      <c r="AE597" s="22">
        <f t="shared" si="130"/>
        <v>3.2140186137510761E-2</v>
      </c>
      <c r="AF597" s="22">
        <f t="shared" si="130"/>
        <v>3.2738632376097511E-2</v>
      </c>
      <c r="AG597" s="22">
        <f t="shared" si="130"/>
        <v>3.3404533549882341E-2</v>
      </c>
      <c r="AH597" s="22">
        <f t="shared" si="130"/>
        <v>3.4007422495977352E-2</v>
      </c>
      <c r="AI597" s="22">
        <f t="shared" si="130"/>
        <v>3.4633891121352886E-2</v>
      </c>
      <c r="AJ597" s="22">
        <f t="shared" si="130"/>
        <v>3.5276734422674962E-2</v>
      </c>
      <c r="AK597" s="22">
        <f t="shared" si="130"/>
        <v>3.5900361446764215E-2</v>
      </c>
      <c r="AL597" s="22">
        <f t="shared" si="130"/>
        <v>3.6528715002866974E-2</v>
      </c>
      <c r="AM597" s="22">
        <f t="shared" si="130"/>
        <v>3.718372319423778E-2</v>
      </c>
      <c r="AN597" s="22">
        <f t="shared" si="130"/>
        <v>3.7860419444162144E-2</v>
      </c>
      <c r="AO597" s="22">
        <f t="shared" si="130"/>
        <v>3.8506733668670703E-2</v>
      </c>
      <c r="AP597" s="22">
        <f t="shared" si="130"/>
        <v>3.9166700637167727E-2</v>
      </c>
      <c r="AQ597" s="22">
        <f t="shared" si="130"/>
        <v>3.9841509763143906E-2</v>
      </c>
      <c r="AR597" s="22">
        <f t="shared" si="130"/>
        <v>4.0563152287676402E-2</v>
      </c>
      <c r="AS597" s="22">
        <f t="shared" si="130"/>
        <v>4.1292737069549959E-2</v>
      </c>
      <c r="AT597" s="22">
        <f t="shared" si="130"/>
        <v>4.1729402334542996E-2</v>
      </c>
      <c r="AU597" s="22">
        <f t="shared" si="130"/>
        <v>4.2149102208619463E-2</v>
      </c>
      <c r="AV597" s="22">
        <f t="shared" si="130"/>
        <v>4.2613449868523889E-2</v>
      </c>
      <c r="AW597" s="22">
        <f t="shared" si="130"/>
        <v>4.3064414910651432E-2</v>
      </c>
      <c r="AY597" s="85"/>
    </row>
    <row r="598" spans="1:51" x14ac:dyDescent="0.25">
      <c r="A598" s="102" t="str">
        <f t="shared" si="108"/>
        <v>PQ MM Leaching</v>
      </c>
      <c r="B598" s="102" t="s">
        <v>969</v>
      </c>
      <c r="C598" s="102" t="s">
        <v>1334</v>
      </c>
      <c r="D598" t="s">
        <v>369</v>
      </c>
      <c r="E598" t="s">
        <v>64</v>
      </c>
      <c r="F598" t="s">
        <v>63</v>
      </c>
      <c r="G598" t="s">
        <v>1157</v>
      </c>
      <c r="H598" t="s">
        <v>1309</v>
      </c>
      <c r="I598" t="s">
        <v>139</v>
      </c>
      <c r="J598" t="s">
        <v>287</v>
      </c>
      <c r="K598" s="22">
        <f t="shared" si="127"/>
        <v>1.4498393681804938E-3</v>
      </c>
      <c r="L598" s="22">
        <f t="shared" si="130"/>
        <v>1.4596287649956559E-3</v>
      </c>
      <c r="M598" s="22">
        <f t="shared" si="130"/>
        <v>1.4681920074894272E-3</v>
      </c>
      <c r="N598" s="22">
        <f t="shared" si="130"/>
        <v>1.4692996808556361E-3</v>
      </c>
      <c r="O598" s="22">
        <f t="shared" si="130"/>
        <v>1.4712075396239221E-3</v>
      </c>
      <c r="P598" s="22">
        <f t="shared" si="130"/>
        <v>1.4821544813270488E-3</v>
      </c>
      <c r="Q598" s="22">
        <f t="shared" si="130"/>
        <v>1.4909080263063527E-3</v>
      </c>
      <c r="R598" s="22">
        <f t="shared" si="130"/>
        <v>1.4909847779150886E-3</v>
      </c>
      <c r="S598" s="22">
        <f t="shared" si="130"/>
        <v>1.451482996187078E-3</v>
      </c>
      <c r="T598" s="22">
        <f t="shared" si="130"/>
        <v>1.4705660882476425E-3</v>
      </c>
      <c r="U598" s="22">
        <f t="shared" si="130"/>
        <v>1.4850116610628827E-3</v>
      </c>
      <c r="V598" s="22">
        <f t="shared" si="130"/>
        <v>1.4986407171742647E-3</v>
      </c>
      <c r="W598" s="22">
        <f t="shared" si="130"/>
        <v>1.5144440094782853E-3</v>
      </c>
      <c r="X598" s="22">
        <f t="shared" si="130"/>
        <v>1.5370877342478196E-3</v>
      </c>
      <c r="Y598" s="22">
        <f t="shared" si="130"/>
        <v>1.5606624864959412E-3</v>
      </c>
      <c r="Z598" s="22">
        <f t="shared" si="130"/>
        <v>1.5862699890721308E-3</v>
      </c>
      <c r="AA598" s="22">
        <f t="shared" si="130"/>
        <v>1.6095573955369755E-3</v>
      </c>
      <c r="AB598" s="22">
        <f t="shared" si="130"/>
        <v>1.6362390817084723E-3</v>
      </c>
      <c r="AC598" s="22">
        <f t="shared" si="130"/>
        <v>1.6670675463769219E-3</v>
      </c>
      <c r="AD598" s="22">
        <f t="shared" si="130"/>
        <v>1.6967477318006537E-3</v>
      </c>
      <c r="AE598" s="22">
        <f t="shared" si="130"/>
        <v>1.7279752630751828E-3</v>
      </c>
      <c r="AF598" s="22">
        <f t="shared" si="130"/>
        <v>1.7601499459514404E-3</v>
      </c>
      <c r="AG598" s="22">
        <f t="shared" si="130"/>
        <v>1.7959512555963141E-3</v>
      </c>
      <c r="AH598" s="22">
        <f t="shared" si="130"/>
        <v>1.8283647948576127E-3</v>
      </c>
      <c r="AI598" s="22">
        <f t="shared" si="130"/>
        <v>1.8620460648760904E-3</v>
      </c>
      <c r="AJ598" s="22">
        <f t="shared" si="130"/>
        <v>1.8966076980279822E-3</v>
      </c>
      <c r="AK598" s="22">
        <f t="shared" si="130"/>
        <v>1.9301361930528979E-3</v>
      </c>
      <c r="AL598" s="22">
        <f t="shared" si="130"/>
        <v>1.9639188039178583E-3</v>
      </c>
      <c r="AM598" s="22">
        <f t="shared" si="130"/>
        <v>1.9991344665452565E-3</v>
      </c>
      <c r="AN598" s="22">
        <f t="shared" si="130"/>
        <v>2.0355161594042262E-3</v>
      </c>
      <c r="AO598" s="22">
        <f t="shared" si="130"/>
        <v>2.0702644022223028E-3</v>
      </c>
      <c r="AP598" s="22">
        <f t="shared" si="130"/>
        <v>2.1057466670458603E-3</v>
      </c>
      <c r="AQ598" s="22">
        <f t="shared" si="130"/>
        <v>2.1420269011426783E-3</v>
      </c>
      <c r="AR598" s="22">
        <f t="shared" si="130"/>
        <v>2.1808250719385831E-3</v>
      </c>
      <c r="AS598" s="22">
        <f t="shared" si="130"/>
        <v>2.2200502478600822E-3</v>
      </c>
      <c r="AT598" s="22">
        <f t="shared" si="130"/>
        <v>2.2435269873202655E-3</v>
      </c>
      <c r="AU598" s="22">
        <f t="shared" si="130"/>
        <v>2.2660916046257488E-3</v>
      </c>
      <c r="AV598" s="22">
        <f t="shared" si="130"/>
        <v>2.2910566520075136E-3</v>
      </c>
      <c r="AW598" s="22">
        <f t="shared" si="130"/>
        <v>2.3153022003678742E-3</v>
      </c>
      <c r="AY598" s="85"/>
    </row>
    <row r="599" spans="1:51" x14ac:dyDescent="0.25">
      <c r="A599" s="102" t="str">
        <f t="shared" si="108"/>
        <v>PQ MM Leaching</v>
      </c>
      <c r="B599" s="102" t="s">
        <v>969</v>
      </c>
      <c r="C599" s="102" t="s">
        <v>1334</v>
      </c>
      <c r="D599" t="s">
        <v>369</v>
      </c>
      <c r="E599" t="s">
        <v>64</v>
      </c>
      <c r="F599" t="s">
        <v>63</v>
      </c>
      <c r="G599" t="s">
        <v>1159</v>
      </c>
      <c r="H599" t="s">
        <v>1310</v>
      </c>
      <c r="I599" t="s">
        <v>139</v>
      </c>
      <c r="J599" t="s">
        <v>287</v>
      </c>
      <c r="K599" s="22">
        <f t="shared" si="127"/>
        <v>3.0452527896293373E-2</v>
      </c>
      <c r="L599" s="22">
        <f t="shared" si="130"/>
        <v>3.0297487464546878E-2</v>
      </c>
      <c r="M599" s="22">
        <f t="shared" si="130"/>
        <v>3.0014510280911927E-2</v>
      </c>
      <c r="N599" s="22">
        <f t="shared" si="130"/>
        <v>2.9239921775422131E-2</v>
      </c>
      <c r="O599" s="22">
        <f t="shared" si="130"/>
        <v>2.8496244024993216E-2</v>
      </c>
      <c r="P599" s="22">
        <f t="shared" si="130"/>
        <v>2.8252813512235145E-2</v>
      </c>
      <c r="Q599" s="22">
        <f t="shared" si="130"/>
        <v>2.7859647334891578E-2</v>
      </c>
      <c r="R599" s="22">
        <f t="shared" si="130"/>
        <v>2.6976279512961457E-2</v>
      </c>
      <c r="S599" s="22">
        <f t="shared" si="130"/>
        <v>2.4012489752417959E-2</v>
      </c>
      <c r="T599" s="22">
        <f t="shared" si="130"/>
        <v>2.4599231081869424E-2</v>
      </c>
      <c r="U599" s="22">
        <f t="shared" si="130"/>
        <v>2.4916145495478388E-2</v>
      </c>
      <c r="V599" s="22">
        <f t="shared" si="130"/>
        <v>2.5168037651579767E-2</v>
      </c>
      <c r="W599" s="22">
        <f t="shared" si="130"/>
        <v>2.5506564506487542E-2</v>
      </c>
      <c r="X599" s="22">
        <f t="shared" si="130"/>
        <v>2.6156489707851342E-2</v>
      </c>
      <c r="Y599" s="22">
        <f t="shared" si="130"/>
        <v>2.6867817810745018E-2</v>
      </c>
      <c r="Z599" s="22">
        <f t="shared" si="130"/>
        <v>2.7642884414901984E-2</v>
      </c>
      <c r="AA599" s="22">
        <f t="shared" si="130"/>
        <v>2.8274857178530011E-2</v>
      </c>
      <c r="AB599" s="22">
        <f t="shared" si="130"/>
        <v>2.903345804669211E-2</v>
      </c>
      <c r="AC599" s="22">
        <f t="shared" si="130"/>
        <v>2.9947210077229128E-2</v>
      </c>
      <c r="AD599" s="22">
        <f t="shared" si="130"/>
        <v>3.0549124720733112E-2</v>
      </c>
      <c r="AE599" s="22">
        <f t="shared" si="130"/>
        <v>3.1163959723064422E-2</v>
      </c>
      <c r="AF599" s="22">
        <f t="shared" si="130"/>
        <v>3.1763059028554627E-2</v>
      </c>
      <c r="AG599" s="22">
        <f t="shared" si="130"/>
        <v>3.2456169201335913E-2</v>
      </c>
      <c r="AH599" s="22">
        <f t="shared" si="130"/>
        <v>3.2950083477417874E-2</v>
      </c>
      <c r="AI599" s="22">
        <f t="shared" si="130"/>
        <v>3.3470414487168046E-2</v>
      </c>
      <c r="AJ599" s="22">
        <f t="shared" si="130"/>
        <v>3.3968324488623199E-2</v>
      </c>
      <c r="AK599" s="22">
        <f t="shared" si="130"/>
        <v>3.4370588247873347E-2</v>
      </c>
      <c r="AL599" s="22">
        <f t="shared" si="130"/>
        <v>3.4728582709762659E-2</v>
      </c>
      <c r="AM599" s="22">
        <f t="shared" si="130"/>
        <v>3.5084969822241303E-2</v>
      </c>
      <c r="AN599" s="22">
        <f t="shared" si="130"/>
        <v>3.563350480133385E-2</v>
      </c>
      <c r="AO599" s="22">
        <f t="shared" si="130"/>
        <v>3.6080223845932187E-2</v>
      </c>
      <c r="AP599" s="22">
        <f t="shared" si="130"/>
        <v>3.6509179844635559E-2</v>
      </c>
      <c r="AQ599" s="22">
        <f t="shared" si="130"/>
        <v>3.6921780538289761E-2</v>
      </c>
      <c r="AR599" s="22">
        <f t="shared" si="130"/>
        <v>3.7372669069064057E-2</v>
      </c>
      <c r="AS599" s="22">
        <f t="shared" si="130"/>
        <v>3.781430947824465E-2</v>
      </c>
      <c r="AT599" s="22">
        <f t="shared" si="130"/>
        <v>3.7723318556611311E-2</v>
      </c>
      <c r="AU599" s="22">
        <f t="shared" si="130"/>
        <v>3.7580542556637592E-2</v>
      </c>
      <c r="AV599" s="22">
        <f t="shared" si="130"/>
        <v>3.7486169646009135E-2</v>
      </c>
      <c r="AW599" s="22">
        <f t="shared" si="130"/>
        <v>3.7345735978641013E-2</v>
      </c>
      <c r="AY599" s="85"/>
    </row>
    <row r="600" spans="1:51" x14ac:dyDescent="0.25">
      <c r="A600" s="102" t="str">
        <f t="shared" si="108"/>
        <v>PQ MM Leaching</v>
      </c>
      <c r="B600" s="102" t="s">
        <v>969</v>
      </c>
      <c r="C600" s="102" t="s">
        <v>1334</v>
      </c>
      <c r="D600" t="s">
        <v>369</v>
      </c>
      <c r="E600" t="s">
        <v>64</v>
      </c>
      <c r="F600" t="s">
        <v>63</v>
      </c>
      <c r="G600" t="s">
        <v>1161</v>
      </c>
      <c r="H600" t="s">
        <v>1311</v>
      </c>
      <c r="I600" t="s">
        <v>139</v>
      </c>
      <c r="J600" t="s">
        <v>287</v>
      </c>
      <c r="K600" s="22">
        <f t="shared" si="127"/>
        <v>4.0424767632491129E-2</v>
      </c>
      <c r="L600" s="22">
        <f t="shared" si="130"/>
        <v>4.0218956362952633E-2</v>
      </c>
      <c r="M600" s="22">
        <f t="shared" ref="L600:AW606" si="131">M1551</f>
        <v>3.9843313101654371E-2</v>
      </c>
      <c r="N600" s="22">
        <f t="shared" si="131"/>
        <v>3.8815071359232893E-2</v>
      </c>
      <c r="O600" s="22">
        <f t="shared" si="131"/>
        <v>3.7827862666512127E-2</v>
      </c>
      <c r="P600" s="22">
        <f t="shared" si="131"/>
        <v>3.7504716360024323E-2</v>
      </c>
      <c r="Q600" s="22">
        <f t="shared" si="131"/>
        <v>3.6982800694625562E-2</v>
      </c>
      <c r="R600" s="22">
        <f t="shared" si="131"/>
        <v>3.5810157850092082E-2</v>
      </c>
      <c r="S600" s="22">
        <f t="shared" si="131"/>
        <v>3.1875820681448994E-2</v>
      </c>
      <c r="T600" s="22">
        <f t="shared" si="131"/>
        <v>3.2654701238893337E-2</v>
      </c>
      <c r="U600" s="22">
        <f t="shared" si="131"/>
        <v>3.307539509961839E-2</v>
      </c>
      <c r="V600" s="22">
        <f t="shared" si="131"/>
        <v>3.3409773970020318E-2</v>
      </c>
      <c r="W600" s="22">
        <f t="shared" si="131"/>
        <v>3.3859157663013208E-2</v>
      </c>
      <c r="X600" s="22">
        <f t="shared" si="131"/>
        <v>3.4721912812047291E-2</v>
      </c>
      <c r="Y600" s="22">
        <f t="shared" si="131"/>
        <v>3.5666178370816821E-2</v>
      </c>
      <c r="Z600" s="22">
        <f t="shared" si="131"/>
        <v>3.6695054774097693E-2</v>
      </c>
      <c r="AA600" s="22">
        <f t="shared" si="131"/>
        <v>3.7533978629835658E-2</v>
      </c>
      <c r="AB600" s="22">
        <f t="shared" si="131"/>
        <v>3.8540997289360182E-2</v>
      </c>
      <c r="AC600" s="22">
        <f t="shared" si="131"/>
        <v>3.9753974209830296E-2</v>
      </c>
      <c r="AD600" s="22">
        <f t="shared" si="131"/>
        <v>4.0552996861779135E-2</v>
      </c>
      <c r="AE600" s="22">
        <f t="shared" si="131"/>
        <v>4.1369170881427282E-2</v>
      </c>
      <c r="AF600" s="22">
        <f t="shared" si="131"/>
        <v>4.2164456261206094E-2</v>
      </c>
      <c r="AG600" s="22">
        <f t="shared" si="131"/>
        <v>4.3084538093946481E-2</v>
      </c>
      <c r="AH600" s="22">
        <f t="shared" si="131"/>
        <v>4.3740193673968565E-2</v>
      </c>
      <c r="AI600" s="22">
        <f t="shared" si="131"/>
        <v>4.4430916632429117E-2</v>
      </c>
      <c r="AJ600" s="22">
        <f t="shared" si="131"/>
        <v>4.5091876411507692E-2</v>
      </c>
      <c r="AK600" s="22">
        <f t="shared" si="131"/>
        <v>4.5625868829149929E-2</v>
      </c>
      <c r="AL600" s="22">
        <f t="shared" si="131"/>
        <v>4.610109515469106E-2</v>
      </c>
      <c r="AM600" s="22">
        <f t="shared" si="131"/>
        <v>4.6574187774726626E-2</v>
      </c>
      <c r="AN600" s="22">
        <f t="shared" si="131"/>
        <v>4.730235061045656E-2</v>
      </c>
      <c r="AO600" s="22">
        <f t="shared" si="131"/>
        <v>4.7895356013370721E-2</v>
      </c>
      <c r="AP600" s="22">
        <f t="shared" si="131"/>
        <v>4.8464781534667351E-2</v>
      </c>
      <c r="AQ600" s="22">
        <f t="shared" si="131"/>
        <v>4.9012495905795345E-2</v>
      </c>
      <c r="AR600" s="22">
        <f t="shared" si="131"/>
        <v>4.9611036169735952E-2</v>
      </c>
      <c r="AS600" s="22">
        <f t="shared" si="131"/>
        <v>5.019729984475968E-2</v>
      </c>
      <c r="AT600" s="22">
        <f t="shared" si="131"/>
        <v>5.0076512274144176E-2</v>
      </c>
      <c r="AU600" s="22">
        <f t="shared" si="131"/>
        <v>4.9886981649885677E-2</v>
      </c>
      <c r="AV600" s="22">
        <f t="shared" si="131"/>
        <v>4.9761704595844405E-2</v>
      </c>
      <c r="AW600" s="22">
        <f t="shared" si="131"/>
        <v>4.9575283344036727E-2</v>
      </c>
      <c r="AY600" s="85"/>
    </row>
    <row r="601" spans="1:51" x14ac:dyDescent="0.25">
      <c r="A601" s="102" t="str">
        <f t="shared" si="108"/>
        <v>PQ MM Leaching</v>
      </c>
      <c r="B601" s="102" t="s">
        <v>969</v>
      </c>
      <c r="C601" s="102" t="s">
        <v>1334</v>
      </c>
      <c r="D601" t="s">
        <v>369</v>
      </c>
      <c r="E601" t="s">
        <v>64</v>
      </c>
      <c r="F601" t="s">
        <v>63</v>
      </c>
      <c r="G601" t="s">
        <v>1163</v>
      </c>
      <c r="H601" t="s">
        <v>1312</v>
      </c>
      <c r="I601" t="s">
        <v>139</v>
      </c>
      <c r="J601" t="s">
        <v>287</v>
      </c>
      <c r="K601" s="22">
        <f t="shared" si="127"/>
        <v>4.2088279910489731E-2</v>
      </c>
      <c r="L601" s="22">
        <f t="shared" si="131"/>
        <v>4.3658426789379527E-2</v>
      </c>
      <c r="M601" s="22">
        <f t="shared" si="131"/>
        <v>4.5069001422451092E-2</v>
      </c>
      <c r="N601" s="22">
        <f t="shared" si="131"/>
        <v>4.5730945940485053E-2</v>
      </c>
      <c r="O601" s="22">
        <f t="shared" si="131"/>
        <v>4.6403018793330496E-2</v>
      </c>
      <c r="P601" s="22">
        <f t="shared" si="131"/>
        <v>4.788652540684897E-2</v>
      </c>
      <c r="Q601" s="22">
        <f t="shared" si="131"/>
        <v>4.9137870108527694E-2</v>
      </c>
      <c r="R601" s="22">
        <f t="shared" si="131"/>
        <v>4.9503165411805869E-2</v>
      </c>
      <c r="S601" s="22">
        <f t="shared" si="131"/>
        <v>4.5839757980885354E-2</v>
      </c>
      <c r="T601" s="22">
        <f t="shared" si="131"/>
        <v>4.8085500350999781E-2</v>
      </c>
      <c r="U601" s="22">
        <f t="shared" si="131"/>
        <v>4.9856457493952649E-2</v>
      </c>
      <c r="V601" s="22">
        <f t="shared" si="131"/>
        <v>5.1535970996810648E-2</v>
      </c>
      <c r="W601" s="22">
        <f t="shared" si="131"/>
        <v>5.3433929282004737E-2</v>
      </c>
      <c r="X601" s="22">
        <f t="shared" si="131"/>
        <v>5.6045654957977475E-2</v>
      </c>
      <c r="Y601" s="22">
        <f t="shared" si="131"/>
        <v>5.8870054591226323E-2</v>
      </c>
      <c r="Z601" s="22">
        <f t="shared" si="131"/>
        <v>6.1923467619543808E-2</v>
      </c>
      <c r="AA601" s="22">
        <f t="shared" si="131"/>
        <v>6.4744057541003291E-2</v>
      </c>
      <c r="AB601" s="22">
        <f t="shared" si="131"/>
        <v>6.7943881457369987E-2</v>
      </c>
      <c r="AC601" s="22">
        <f t="shared" si="131"/>
        <v>7.1612827226360365E-2</v>
      </c>
      <c r="AD601" s="22">
        <f t="shared" si="131"/>
        <v>7.5466807799469487E-2</v>
      </c>
      <c r="AE601" s="22">
        <f t="shared" si="131"/>
        <v>7.9535262123601499E-2</v>
      </c>
      <c r="AF601" s="22">
        <f t="shared" si="131"/>
        <v>8.3755881572647323E-2</v>
      </c>
      <c r="AG601" s="22">
        <f t="shared" si="131"/>
        <v>8.8434352848101333E-2</v>
      </c>
      <c r="AH601" s="22">
        <f t="shared" si="131"/>
        <v>9.2782184706594648E-2</v>
      </c>
      <c r="AI601" s="22">
        <f t="shared" si="131"/>
        <v>9.7412750169741713E-2</v>
      </c>
      <c r="AJ601" s="22">
        <f t="shared" si="131"/>
        <v>0.10219897557201296</v>
      </c>
      <c r="AK601" s="22">
        <f t="shared" si="131"/>
        <v>0.10691951602452639</v>
      </c>
      <c r="AL601" s="22">
        <f t="shared" si="131"/>
        <v>0.11172324406810413</v>
      </c>
      <c r="AM601" s="22">
        <f t="shared" si="131"/>
        <v>0.11675138053848984</v>
      </c>
      <c r="AN601" s="22">
        <f t="shared" si="131"/>
        <v>0.12191034405107851</v>
      </c>
      <c r="AO601" s="22">
        <f t="shared" si="131"/>
        <v>0.12692107733600846</v>
      </c>
      <c r="AP601" s="22">
        <f t="shared" si="131"/>
        <v>0.13206747907789079</v>
      </c>
      <c r="AQ601" s="22">
        <f t="shared" si="131"/>
        <v>0.13735924273618794</v>
      </c>
      <c r="AR601" s="22">
        <f t="shared" si="131"/>
        <v>0.14301065000753557</v>
      </c>
      <c r="AS601" s="22">
        <f t="shared" si="131"/>
        <v>0.14885811067783355</v>
      </c>
      <c r="AT601" s="22">
        <f t="shared" si="131"/>
        <v>0.15279068704125651</v>
      </c>
      <c r="AU601" s="22">
        <f t="shared" si="131"/>
        <v>0.15663721521446686</v>
      </c>
      <c r="AV601" s="22">
        <f t="shared" si="131"/>
        <v>0.16081550018928234</v>
      </c>
      <c r="AW601" s="22">
        <f t="shared" si="131"/>
        <v>0.16493343954400999</v>
      </c>
      <c r="AY601" s="85"/>
    </row>
    <row r="602" spans="1:51" x14ac:dyDescent="0.25">
      <c r="A602" s="102" t="str">
        <f t="shared" si="108"/>
        <v>PQ MM Leaching</v>
      </c>
      <c r="B602" s="102" t="s">
        <v>969</v>
      </c>
      <c r="C602" s="102" t="s">
        <v>1334</v>
      </c>
      <c r="D602" t="s">
        <v>369</v>
      </c>
      <c r="E602" t="s">
        <v>64</v>
      </c>
      <c r="F602" t="s">
        <v>63</v>
      </c>
      <c r="G602" t="s">
        <v>1165</v>
      </c>
      <c r="H602" t="s">
        <v>1313</v>
      </c>
      <c r="I602" t="s">
        <v>139</v>
      </c>
      <c r="J602" t="s">
        <v>287</v>
      </c>
      <c r="K602" s="22">
        <f t="shared" si="127"/>
        <v>4.3939271631598543E-3</v>
      </c>
      <c r="L602" s="22">
        <f t="shared" si="131"/>
        <v>4.3962984818877171E-3</v>
      </c>
      <c r="M602" s="22">
        <f t="shared" si="131"/>
        <v>4.4017499414647923E-3</v>
      </c>
      <c r="N602" s="22">
        <f t="shared" si="131"/>
        <v>4.4098431410874153E-3</v>
      </c>
      <c r="O602" s="22">
        <f t="shared" si="131"/>
        <v>4.4207667549247352E-3</v>
      </c>
      <c r="P602" s="22">
        <f t="shared" si="131"/>
        <v>4.4347403177031263E-3</v>
      </c>
      <c r="Q602" s="22">
        <f t="shared" si="131"/>
        <v>4.4501377302209226E-3</v>
      </c>
      <c r="R602" s="22">
        <f t="shared" si="131"/>
        <v>4.4667198464041179E-3</v>
      </c>
      <c r="S602" s="22">
        <f t="shared" si="131"/>
        <v>4.4831484324149608E-3</v>
      </c>
      <c r="T602" s="22">
        <f t="shared" si="131"/>
        <v>4.4898717427697809E-3</v>
      </c>
      <c r="U602" s="22">
        <f t="shared" si="131"/>
        <v>4.4975062704204526E-3</v>
      </c>
      <c r="V602" s="22">
        <f t="shared" si="131"/>
        <v>4.5061403809784359E-3</v>
      </c>
      <c r="W602" s="22">
        <f t="shared" si="131"/>
        <v>4.5158367053022919E-3</v>
      </c>
      <c r="X602" s="22">
        <f t="shared" si="131"/>
        <v>4.526732327246351E-3</v>
      </c>
      <c r="Y602" s="22">
        <f t="shared" si="131"/>
        <v>4.5335830197240166E-3</v>
      </c>
      <c r="Z602" s="22">
        <f t="shared" si="131"/>
        <v>4.5412972482123245E-3</v>
      </c>
      <c r="AA602" s="22">
        <f t="shared" si="131"/>
        <v>4.5496603151243516E-3</v>
      </c>
      <c r="AB602" s="22">
        <f t="shared" si="131"/>
        <v>4.558868291538884E-3</v>
      </c>
      <c r="AC602" s="22">
        <f t="shared" si="131"/>
        <v>4.5689201230950608E-3</v>
      </c>
      <c r="AD602" s="22">
        <f t="shared" si="131"/>
        <v>4.5755732338553573E-3</v>
      </c>
      <c r="AE602" s="22">
        <f t="shared" si="131"/>
        <v>4.5828736540396882E-3</v>
      </c>
      <c r="AF602" s="22">
        <f t="shared" si="131"/>
        <v>4.5907723416262498E-3</v>
      </c>
      <c r="AG602" s="22">
        <f t="shared" si="131"/>
        <v>4.5993548004809003E-3</v>
      </c>
      <c r="AH602" s="22">
        <f t="shared" si="131"/>
        <v>4.608317319688404E-3</v>
      </c>
      <c r="AI602" s="22">
        <f t="shared" si="131"/>
        <v>4.614051297103656E-3</v>
      </c>
      <c r="AJ602" s="22">
        <f t="shared" si="131"/>
        <v>4.6202716852182099E-3</v>
      </c>
      <c r="AK602" s="22">
        <f t="shared" si="131"/>
        <v>4.6268842765144489E-3</v>
      </c>
      <c r="AL602" s="22">
        <f t="shared" si="131"/>
        <v>4.6339252685925585E-3</v>
      </c>
      <c r="AM602" s="22">
        <f t="shared" si="131"/>
        <v>4.6414276467124371E-3</v>
      </c>
      <c r="AN602" s="22">
        <f t="shared" si="131"/>
        <v>4.6458494434601398E-3</v>
      </c>
      <c r="AO602" s="22">
        <f t="shared" si="131"/>
        <v>4.650560968895651E-3</v>
      </c>
      <c r="AP602" s="22">
        <f t="shared" si="131"/>
        <v>4.6556452517360746E-3</v>
      </c>
      <c r="AQ602" s="22">
        <f t="shared" si="131"/>
        <v>4.6610933229495489E-3</v>
      </c>
      <c r="AR602" s="22">
        <f t="shared" si="131"/>
        <v>4.6669636754851076E-3</v>
      </c>
      <c r="AS602" s="22">
        <f t="shared" si="131"/>
        <v>4.6696094397021678E-3</v>
      </c>
      <c r="AT602" s="22">
        <f t="shared" si="131"/>
        <v>4.671905929653092E-3</v>
      </c>
      <c r="AU602" s="22">
        <f t="shared" si="131"/>
        <v>4.6744411838373096E-3</v>
      </c>
      <c r="AV602" s="22">
        <f t="shared" si="131"/>
        <v>4.6773396676684084E-3</v>
      </c>
      <c r="AW602" s="22">
        <f t="shared" si="131"/>
        <v>4.6804674678318113E-3</v>
      </c>
      <c r="AY602" s="85"/>
    </row>
    <row r="603" spans="1:51" x14ac:dyDescent="0.25">
      <c r="A603" s="102" t="str">
        <f t="shared" si="108"/>
        <v>PQ MM Leaching</v>
      </c>
      <c r="B603" s="102" t="s">
        <v>969</v>
      </c>
      <c r="C603" s="102" t="s">
        <v>1334</v>
      </c>
      <c r="D603" t="s">
        <v>369</v>
      </c>
      <c r="E603" t="s">
        <v>64</v>
      </c>
      <c r="F603" t="s">
        <v>63</v>
      </c>
      <c r="G603" t="s">
        <v>1167</v>
      </c>
      <c r="H603" t="s">
        <v>1314</v>
      </c>
      <c r="I603" t="s">
        <v>139</v>
      </c>
      <c r="J603" t="s">
        <v>287</v>
      </c>
      <c r="K603" s="22">
        <f t="shared" si="127"/>
        <v>3.6549565945200539E-3</v>
      </c>
      <c r="L603" s="22">
        <f t="shared" si="131"/>
        <v>3.6569291049191287E-3</v>
      </c>
      <c r="M603" s="22">
        <f t="shared" si="131"/>
        <v>3.6614637381506597E-3</v>
      </c>
      <c r="N603" s="22">
        <f t="shared" si="131"/>
        <v>3.6681958236479987E-3</v>
      </c>
      <c r="O603" s="22">
        <f t="shared" si="131"/>
        <v>3.677282304362893E-3</v>
      </c>
      <c r="P603" s="22">
        <f t="shared" si="131"/>
        <v>3.6889057936765148E-3</v>
      </c>
      <c r="Q603" s="22">
        <f t="shared" si="131"/>
        <v>3.7017136697133114E-3</v>
      </c>
      <c r="R603" s="22">
        <f t="shared" si="131"/>
        <v>3.7155070059804707E-3</v>
      </c>
      <c r="S603" s="22">
        <f t="shared" si="131"/>
        <v>3.7291726327761108E-3</v>
      </c>
      <c r="T603" s="22">
        <f t="shared" si="131"/>
        <v>3.734765216951012E-3</v>
      </c>
      <c r="U603" s="22">
        <f t="shared" si="131"/>
        <v>3.7411157699180305E-3</v>
      </c>
      <c r="V603" s="22">
        <f t="shared" si="131"/>
        <v>3.7482977959621354E-3</v>
      </c>
      <c r="W603" s="22">
        <f t="shared" si="131"/>
        <v>3.7563633926855455E-3</v>
      </c>
      <c r="X603" s="22">
        <f t="shared" si="131"/>
        <v>3.7654265891831403E-3</v>
      </c>
      <c r="Y603" s="22">
        <f t="shared" si="131"/>
        <v>3.7711251323584139E-3</v>
      </c>
      <c r="Z603" s="22">
        <f t="shared" si="131"/>
        <v>3.7775419820780388E-3</v>
      </c>
      <c r="AA603" s="22">
        <f t="shared" si="131"/>
        <v>3.7844985485902928E-3</v>
      </c>
      <c r="AB603" s="22">
        <f t="shared" si="131"/>
        <v>3.7921579277444711E-3</v>
      </c>
      <c r="AC603" s="22">
        <f t="shared" si="131"/>
        <v>3.8005192425020961E-3</v>
      </c>
      <c r="AD603" s="22">
        <f t="shared" si="131"/>
        <v>3.8060534332486559E-3</v>
      </c>
      <c r="AE603" s="22">
        <f t="shared" si="131"/>
        <v>3.812126068935291E-3</v>
      </c>
      <c r="AF603" s="22">
        <f t="shared" si="131"/>
        <v>3.8186963554262946E-3</v>
      </c>
      <c r="AG603" s="22">
        <f t="shared" si="131"/>
        <v>3.8258354165493381E-3</v>
      </c>
      <c r="AH603" s="22">
        <f t="shared" si="131"/>
        <v>3.8332906194838865E-3</v>
      </c>
      <c r="AI603" s="22">
        <f t="shared" si="131"/>
        <v>3.8380602567101062E-3</v>
      </c>
      <c r="AJ603" s="22">
        <f t="shared" si="131"/>
        <v>3.8432345000954712E-3</v>
      </c>
      <c r="AK603" s="22">
        <f t="shared" si="131"/>
        <v>3.8487349859405015E-3</v>
      </c>
      <c r="AL603" s="22">
        <f t="shared" si="131"/>
        <v>3.854591824133819E-3</v>
      </c>
      <c r="AM603" s="22">
        <f t="shared" si="131"/>
        <v>3.860832452475075E-3</v>
      </c>
      <c r="AN603" s="22">
        <f t="shared" si="131"/>
        <v>3.8645105915480556E-3</v>
      </c>
      <c r="AO603" s="22">
        <f t="shared" si="131"/>
        <v>3.868429732744831E-3</v>
      </c>
      <c r="AP603" s="22">
        <f t="shared" si="131"/>
        <v>3.8726589410147858E-3</v>
      </c>
      <c r="AQ603" s="22">
        <f t="shared" si="131"/>
        <v>3.8771907557376274E-3</v>
      </c>
      <c r="AR603" s="22">
        <f t="shared" si="131"/>
        <v>3.8820738325195756E-3</v>
      </c>
      <c r="AS603" s="22">
        <f t="shared" si="131"/>
        <v>3.8842746321718241E-3</v>
      </c>
      <c r="AT603" s="22">
        <f t="shared" si="131"/>
        <v>3.8861848984959361E-3</v>
      </c>
      <c r="AU603" s="22">
        <f t="shared" si="131"/>
        <v>3.8882937736901091E-3</v>
      </c>
      <c r="AV603" s="22">
        <f t="shared" si="131"/>
        <v>3.8907047905775548E-3</v>
      </c>
      <c r="AW603" s="22">
        <f t="shared" si="131"/>
        <v>3.893306557381843E-3</v>
      </c>
      <c r="AY603" s="85"/>
    </row>
    <row r="604" spans="1:51" x14ac:dyDescent="0.25">
      <c r="A604" s="102" t="str">
        <f t="shared" si="108"/>
        <v>PQ MM Leaching</v>
      </c>
      <c r="B604" s="102" t="s">
        <v>969</v>
      </c>
      <c r="C604" s="102" t="s">
        <v>1334</v>
      </c>
      <c r="D604" t="s">
        <v>369</v>
      </c>
      <c r="E604" t="s">
        <v>64</v>
      </c>
      <c r="F604" t="s">
        <v>63</v>
      </c>
      <c r="G604" t="s">
        <v>1169</v>
      </c>
      <c r="H604" t="s">
        <v>1315</v>
      </c>
      <c r="I604" t="s">
        <v>139</v>
      </c>
      <c r="J604" t="s">
        <v>287</v>
      </c>
      <c r="K604" s="22">
        <f t="shared" si="127"/>
        <v>5.4310526355704706E-4</v>
      </c>
      <c r="L604" s="22">
        <f t="shared" si="131"/>
        <v>5.4451688444022309E-4</v>
      </c>
      <c r="M604" s="22">
        <f t="shared" si="131"/>
        <v>5.4642048272795488E-4</v>
      </c>
      <c r="N604" s="22">
        <f t="shared" si="131"/>
        <v>5.4873901711368408E-4</v>
      </c>
      <c r="O604" s="22">
        <f t="shared" si="131"/>
        <v>5.5151606201275956E-4</v>
      </c>
      <c r="P604" s="22">
        <f t="shared" si="131"/>
        <v>5.5479917019086967E-4</v>
      </c>
      <c r="Q604" s="22">
        <f t="shared" si="131"/>
        <v>5.5827861691807733E-4</v>
      </c>
      <c r="R604" s="22">
        <f t="shared" si="131"/>
        <v>5.6191368988015911E-4</v>
      </c>
      <c r="S604" s="22">
        <f t="shared" si="131"/>
        <v>5.6545265172179603E-4</v>
      </c>
      <c r="T604" s="22">
        <f t="shared" si="131"/>
        <v>5.6707582821690196E-4</v>
      </c>
      <c r="U604" s="22">
        <f t="shared" si="131"/>
        <v>5.688262569994144E-4</v>
      </c>
      <c r="V604" s="22">
        <f t="shared" si="131"/>
        <v>5.7072343735121143E-4</v>
      </c>
      <c r="W604" s="22">
        <f t="shared" si="131"/>
        <v>5.7278141367930822E-4</v>
      </c>
      <c r="X604" s="22">
        <f t="shared" si="131"/>
        <v>5.7502787156601661E-4</v>
      </c>
      <c r="Y604" s="22">
        <f t="shared" si="131"/>
        <v>5.7647376885579151E-4</v>
      </c>
      <c r="Z604" s="22">
        <f t="shared" si="131"/>
        <v>5.7805165552479612E-4</v>
      </c>
      <c r="AA604" s="22">
        <f t="shared" si="131"/>
        <v>5.7972228180818623E-4</v>
      </c>
      <c r="AB604" s="22">
        <f t="shared" si="131"/>
        <v>5.8152362966634491E-4</v>
      </c>
      <c r="AC604" s="22">
        <f t="shared" si="131"/>
        <v>5.8345630636338756E-4</v>
      </c>
      <c r="AD604" s="22">
        <f t="shared" si="131"/>
        <v>5.8472841865727081E-4</v>
      </c>
      <c r="AE604" s="22">
        <f t="shared" si="131"/>
        <v>5.8609967948546591E-4</v>
      </c>
      <c r="AF604" s="22">
        <f t="shared" si="131"/>
        <v>5.8756155218491358E-4</v>
      </c>
      <c r="AG604" s="22">
        <f t="shared" si="131"/>
        <v>5.8913046785545045E-4</v>
      </c>
      <c r="AH604" s="22">
        <f t="shared" si="131"/>
        <v>5.907505198986619E-4</v>
      </c>
      <c r="AI604" s="22">
        <f t="shared" si="131"/>
        <v>5.9175481340963034E-4</v>
      </c>
      <c r="AJ604" s="22">
        <f t="shared" si="131"/>
        <v>5.9283358105937484E-4</v>
      </c>
      <c r="AK604" s="22">
        <f t="shared" si="131"/>
        <v>5.9396979223100309E-4</v>
      </c>
      <c r="AL604" s="22">
        <f t="shared" si="131"/>
        <v>5.951704835417687E-4</v>
      </c>
      <c r="AM604" s="22">
        <f t="shared" si="131"/>
        <v>5.9644200781221212E-4</v>
      </c>
      <c r="AN604" s="22">
        <f t="shared" si="131"/>
        <v>5.9713531651955909E-4</v>
      </c>
      <c r="AO604" s="22">
        <f t="shared" si="131"/>
        <v>5.9787071978947392E-4</v>
      </c>
      <c r="AP604" s="22">
        <f t="shared" si="131"/>
        <v>5.9866365286918302E-4</v>
      </c>
      <c r="AQ604" s="22">
        <f t="shared" si="131"/>
        <v>5.995126405769686E-4</v>
      </c>
      <c r="AR604" s="22">
        <f t="shared" si="131"/>
        <v>6.0042847554345289E-4</v>
      </c>
      <c r="AS604" s="22">
        <f t="shared" si="131"/>
        <v>6.0074837701766222E-4</v>
      </c>
      <c r="AT604" s="22">
        <f t="shared" si="131"/>
        <v>6.009974007852993E-4</v>
      </c>
      <c r="AU604" s="22">
        <f t="shared" si="131"/>
        <v>6.0128274641363551E-4</v>
      </c>
      <c r="AV604" s="22">
        <f t="shared" si="131"/>
        <v>6.0162705109906029E-4</v>
      </c>
      <c r="AW604" s="22">
        <f t="shared" si="131"/>
        <v>6.0200613236202735E-4</v>
      </c>
      <c r="AY604" s="85"/>
    </row>
    <row r="605" spans="1:51" x14ac:dyDescent="0.25">
      <c r="A605" s="102" t="str">
        <f t="shared" si="108"/>
        <v>PQ MM Leaching</v>
      </c>
      <c r="B605" s="102" t="s">
        <v>969</v>
      </c>
      <c r="C605" s="102" t="s">
        <v>1334</v>
      </c>
      <c r="D605" t="s">
        <v>369</v>
      </c>
      <c r="E605" t="s">
        <v>64</v>
      </c>
      <c r="F605" t="s">
        <v>63</v>
      </c>
      <c r="G605" t="s">
        <v>1171</v>
      </c>
      <c r="H605" t="s">
        <v>1316</v>
      </c>
      <c r="I605" t="s">
        <v>139</v>
      </c>
      <c r="J605" t="s">
        <v>287</v>
      </c>
      <c r="K605" s="22">
        <f t="shared" si="127"/>
        <v>6.697719658610918E-3</v>
      </c>
      <c r="L605" s="22">
        <f t="shared" si="131"/>
        <v>6.7151281456468035E-3</v>
      </c>
      <c r="M605" s="22">
        <f t="shared" si="131"/>
        <v>6.7386038298821848E-3</v>
      </c>
      <c r="N605" s="22">
        <f t="shared" si="131"/>
        <v>6.7671966172780547E-3</v>
      </c>
      <c r="O605" s="22">
        <f t="shared" si="131"/>
        <v>6.801443879202132E-3</v>
      </c>
      <c r="P605" s="22">
        <f t="shared" si="131"/>
        <v>6.8419320491046936E-3</v>
      </c>
      <c r="Q605" s="22">
        <f t="shared" si="131"/>
        <v>6.8848415186120908E-3</v>
      </c>
      <c r="R605" s="22">
        <f t="shared" si="131"/>
        <v>6.9296702125547019E-3</v>
      </c>
      <c r="S605" s="22">
        <f t="shared" si="131"/>
        <v>6.9733136384028775E-3</v>
      </c>
      <c r="T605" s="22">
        <f t="shared" si="131"/>
        <v>6.9933310859405127E-3</v>
      </c>
      <c r="U605" s="22">
        <f t="shared" si="131"/>
        <v>7.0149178427891682E-3</v>
      </c>
      <c r="V605" s="22">
        <f t="shared" si="131"/>
        <v>7.0383143793186411E-3</v>
      </c>
      <c r="W605" s="22">
        <f t="shared" si="131"/>
        <v>7.0636938949200419E-3</v>
      </c>
      <c r="X605" s="22">
        <f t="shared" si="131"/>
        <v>7.0913978156139906E-3</v>
      </c>
      <c r="Y605" s="22">
        <f t="shared" si="131"/>
        <v>7.1092290084818878E-3</v>
      </c>
      <c r="Z605" s="22">
        <f t="shared" si="131"/>
        <v>7.1286879297466866E-3</v>
      </c>
      <c r="AA605" s="22">
        <f t="shared" si="131"/>
        <v>7.1492905407896492E-3</v>
      </c>
      <c r="AB605" s="22">
        <f t="shared" si="131"/>
        <v>7.1715052453251351E-3</v>
      </c>
      <c r="AC605" s="22">
        <f t="shared" si="131"/>
        <v>7.1953395322969481E-3</v>
      </c>
      <c r="AD605" s="22">
        <f t="shared" si="131"/>
        <v>7.2110275620223471E-3</v>
      </c>
      <c r="AE605" s="22">
        <f t="shared" si="131"/>
        <v>7.2279383180439954E-3</v>
      </c>
      <c r="AF605" s="22">
        <f t="shared" si="131"/>
        <v>7.2459665239452764E-3</v>
      </c>
      <c r="AG605" s="22">
        <f t="shared" si="131"/>
        <v>7.2653148124528005E-3</v>
      </c>
      <c r="AH605" s="22">
        <f t="shared" si="131"/>
        <v>7.2852937284123434E-3</v>
      </c>
      <c r="AI605" s="22">
        <f t="shared" si="131"/>
        <v>7.2976789451332669E-3</v>
      </c>
      <c r="AJ605" s="22">
        <f t="shared" si="131"/>
        <v>7.3109825968921283E-3</v>
      </c>
      <c r="AK605" s="22">
        <f t="shared" si="131"/>
        <v>7.3249946575573233E-3</v>
      </c>
      <c r="AL605" s="22">
        <f t="shared" si="131"/>
        <v>7.3398019045785847E-3</v>
      </c>
      <c r="AM605" s="22">
        <f t="shared" si="131"/>
        <v>7.3554826826413384E-3</v>
      </c>
      <c r="AN605" s="22">
        <f t="shared" si="131"/>
        <v>7.3640327514222425E-3</v>
      </c>
      <c r="AO605" s="22">
        <f t="shared" si="131"/>
        <v>7.3731019416297819E-3</v>
      </c>
      <c r="AP605" s="22">
        <f t="shared" si="131"/>
        <v>7.3828806048692958E-3</v>
      </c>
      <c r="AQ605" s="22">
        <f t="shared" si="131"/>
        <v>7.3933505488044948E-3</v>
      </c>
      <c r="AR605" s="22">
        <f t="shared" si="131"/>
        <v>7.4046448710485676E-3</v>
      </c>
      <c r="AS605" s="22">
        <f t="shared" si="131"/>
        <v>7.4085899817598836E-3</v>
      </c>
      <c r="AT605" s="22">
        <f t="shared" si="131"/>
        <v>7.411661009599016E-3</v>
      </c>
      <c r="AU605" s="22">
        <f t="shared" si="131"/>
        <v>7.4151799683582981E-3</v>
      </c>
      <c r="AV605" s="22">
        <f t="shared" si="131"/>
        <v>7.4194260260102111E-3</v>
      </c>
      <c r="AW605" s="22">
        <f t="shared" si="131"/>
        <v>7.4241009577362587E-3</v>
      </c>
      <c r="AY605" s="85"/>
    </row>
    <row r="606" spans="1:51" x14ac:dyDescent="0.25">
      <c r="A606" s="102" t="str">
        <f t="shared" si="108"/>
        <v>PQ MM Leaching</v>
      </c>
      <c r="B606" s="102" t="s">
        <v>969</v>
      </c>
      <c r="C606" s="102" t="s">
        <v>1334</v>
      </c>
      <c r="D606" t="s">
        <v>369</v>
      </c>
      <c r="E606" t="s">
        <v>64</v>
      </c>
      <c r="F606" t="s">
        <v>63</v>
      </c>
      <c r="G606" t="s">
        <v>1173</v>
      </c>
      <c r="H606" t="s">
        <v>1317</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85"/>
    </row>
    <row r="607" spans="1:51" x14ac:dyDescent="0.25">
      <c r="A607" s="102" t="str">
        <f t="shared" si="108"/>
        <v>PQ MM Leaching</v>
      </c>
      <c r="B607" s="102" t="s">
        <v>969</v>
      </c>
      <c r="C607" s="102" t="s">
        <v>1334</v>
      </c>
      <c r="D607" t="s">
        <v>369</v>
      </c>
      <c r="E607" t="s">
        <v>64</v>
      </c>
      <c r="F607" t="s">
        <v>63</v>
      </c>
      <c r="G607" t="s">
        <v>1175</v>
      </c>
      <c r="H607" t="s">
        <v>1318</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85"/>
    </row>
    <row r="608" spans="1:51" x14ac:dyDescent="0.25">
      <c r="A608" s="102" t="str">
        <f t="shared" si="108"/>
        <v>PQ MM Leaching</v>
      </c>
      <c r="B608" s="102" t="s">
        <v>969</v>
      </c>
      <c r="C608" s="102" t="s">
        <v>1334</v>
      </c>
      <c r="D608" t="s">
        <v>369</v>
      </c>
      <c r="E608" t="s">
        <v>64</v>
      </c>
      <c r="F608" t="s">
        <v>63</v>
      </c>
      <c r="G608" t="s">
        <v>1177</v>
      </c>
      <c r="H608" t="s">
        <v>1319</v>
      </c>
      <c r="I608" t="s">
        <v>139</v>
      </c>
      <c r="J608" t="s">
        <v>287</v>
      </c>
      <c r="K608" s="22">
        <f t="shared" si="127"/>
        <v>2.6982078121909357E-2</v>
      </c>
      <c r="L608" s="22">
        <f t="shared" si="132"/>
        <v>2.6934390428910333E-2</v>
      </c>
      <c r="M608" s="22">
        <f t="shared" si="132"/>
        <v>2.6783274405865188E-2</v>
      </c>
      <c r="N608" s="22">
        <f t="shared" si="132"/>
        <v>2.6192267209513419E-2</v>
      </c>
      <c r="O608" s="22">
        <f t="shared" si="132"/>
        <v>2.5633374369749509E-2</v>
      </c>
      <c r="P608" s="22">
        <f t="shared" si="132"/>
        <v>2.5543167875320214E-2</v>
      </c>
      <c r="Q608" s="22">
        <f t="shared" si="132"/>
        <v>2.5324190264718272E-2</v>
      </c>
      <c r="R608" s="22">
        <f t="shared" si="132"/>
        <v>2.4649754195953832E-2</v>
      </c>
      <c r="S608" s="22">
        <f t="shared" si="132"/>
        <v>2.1986440242697105E-2</v>
      </c>
      <c r="T608" s="22">
        <f t="shared" si="132"/>
        <v>2.2459382037487714E-2</v>
      </c>
      <c r="U608" s="22">
        <f t="shared" si="132"/>
        <v>2.2677163181325274E-2</v>
      </c>
      <c r="V608" s="22">
        <f t="shared" si="132"/>
        <v>2.2835775026532532E-2</v>
      </c>
      <c r="W608" s="22">
        <f t="shared" si="132"/>
        <v>2.3079286947691565E-2</v>
      </c>
      <c r="X608" s="22">
        <f t="shared" si="132"/>
        <v>2.3620053405793831E-2</v>
      </c>
      <c r="Y608" s="22">
        <f t="shared" si="132"/>
        <v>2.4228655926871678E-2</v>
      </c>
      <c r="Z608" s="22">
        <f t="shared" si="132"/>
        <v>2.4898369682135196E-2</v>
      </c>
      <c r="AA608" s="22">
        <f t="shared" si="132"/>
        <v>2.5433899737352311E-2</v>
      </c>
      <c r="AB608" s="22">
        <f t="shared" si="132"/>
        <v>2.6089827744283384E-2</v>
      </c>
      <c r="AC608" s="22">
        <f t="shared" si="132"/>
        <v>2.6892532780101251E-2</v>
      </c>
      <c r="AD608" s="22">
        <f t="shared" si="132"/>
        <v>2.765233127370078E-2</v>
      </c>
      <c r="AE608" s="22">
        <f t="shared" si="132"/>
        <v>2.844311383554287E-2</v>
      </c>
      <c r="AF608" s="22">
        <f t="shared" si="132"/>
        <v>2.9238533170233168E-2</v>
      </c>
      <c r="AG608" s="22">
        <f t="shared" si="132"/>
        <v>3.0145690863199903E-2</v>
      </c>
      <c r="AH608" s="22">
        <f t="shared" si="132"/>
        <v>3.0881151333925026E-2</v>
      </c>
      <c r="AI608" s="22">
        <f t="shared" si="132"/>
        <v>3.1669222082767075E-2</v>
      </c>
      <c r="AJ608" s="22">
        <f t="shared" si="132"/>
        <v>3.2457441724053543E-2</v>
      </c>
      <c r="AK608" s="22">
        <f t="shared" si="132"/>
        <v>3.3172825686084956E-2</v>
      </c>
      <c r="AL608" s="22">
        <f t="shared" si="132"/>
        <v>3.3866021539857898E-2</v>
      </c>
      <c r="AM608" s="22">
        <f t="shared" si="132"/>
        <v>3.4580695535334494E-2</v>
      </c>
      <c r="AN608" s="22">
        <f t="shared" si="132"/>
        <v>3.533625219682867E-2</v>
      </c>
      <c r="AO608" s="22">
        <f t="shared" si="132"/>
        <v>3.6000537608691721E-2</v>
      </c>
      <c r="AP608" s="22">
        <f t="shared" si="132"/>
        <v>3.6659982916673862E-2</v>
      </c>
      <c r="AQ608" s="22">
        <f t="shared" si="132"/>
        <v>3.7316341493198645E-2</v>
      </c>
      <c r="AR608" s="22">
        <f t="shared" si="132"/>
        <v>3.8027563583719087E-2</v>
      </c>
      <c r="AS608" s="22">
        <f t="shared" si="132"/>
        <v>3.8749103478920827E-2</v>
      </c>
      <c r="AT608" s="22">
        <f t="shared" si="132"/>
        <v>3.891780999751282E-2</v>
      </c>
      <c r="AU608" s="22">
        <f t="shared" si="132"/>
        <v>3.9040104024398906E-2</v>
      </c>
      <c r="AV608" s="22">
        <f t="shared" si="132"/>
        <v>3.9223694745257554E-2</v>
      </c>
      <c r="AW608" s="22">
        <f t="shared" si="132"/>
        <v>3.9367042653132414E-2</v>
      </c>
      <c r="AY608" s="85"/>
    </row>
    <row r="609" spans="1:52" x14ac:dyDescent="0.25">
      <c r="A609" s="102" t="str">
        <f t="shared" si="108"/>
        <v>PQ MM Leaching</v>
      </c>
      <c r="B609" s="102" t="s">
        <v>969</v>
      </c>
      <c r="C609" s="102" t="s">
        <v>1334</v>
      </c>
      <c r="D609" t="s">
        <v>369</v>
      </c>
      <c r="E609" t="s">
        <v>64</v>
      </c>
      <c r="F609" t="s">
        <v>63</v>
      </c>
      <c r="G609" t="s">
        <v>1179</v>
      </c>
      <c r="H609" t="s">
        <v>1320</v>
      </c>
      <c r="I609" t="s">
        <v>139</v>
      </c>
      <c r="J609" t="s">
        <v>287</v>
      </c>
      <c r="K609" s="22">
        <f t="shared" si="127"/>
        <v>4.0326044819915296E-3</v>
      </c>
      <c r="L609" s="22">
        <f t="shared" si="132"/>
        <v>4.0254773213757008E-3</v>
      </c>
      <c r="M609" s="22">
        <f t="shared" si="132"/>
        <v>4.0028922873735296E-3</v>
      </c>
      <c r="N609" s="22">
        <f t="shared" si="132"/>
        <v>3.9145633507316107E-3</v>
      </c>
      <c r="O609" s="22">
        <f t="shared" si="132"/>
        <v>3.8310340628686856E-3</v>
      </c>
      <c r="P609" s="22">
        <f t="shared" si="132"/>
        <v>3.8175522579425875E-3</v>
      </c>
      <c r="Q609" s="22">
        <f t="shared" si="132"/>
        <v>3.7848249754115887E-3</v>
      </c>
      <c r="R609" s="22">
        <f t="shared" si="132"/>
        <v>3.6840271828387553E-3</v>
      </c>
      <c r="S609" s="22">
        <f t="shared" si="132"/>
        <v>3.2859817937353586E-3</v>
      </c>
      <c r="T609" s="22">
        <f t="shared" si="132"/>
        <v>3.3566652745546173E-3</v>
      </c>
      <c r="U609" s="22">
        <f t="shared" si="132"/>
        <v>3.3892137392341954E-3</v>
      </c>
      <c r="V609" s="22">
        <f t="shared" si="132"/>
        <v>3.4129190607809592E-3</v>
      </c>
      <c r="W609" s="22">
        <f t="shared" si="132"/>
        <v>3.4493131168743213E-3</v>
      </c>
      <c r="X609" s="22">
        <f t="shared" si="132"/>
        <v>3.5301333277120909E-3</v>
      </c>
      <c r="Y609" s="22">
        <f t="shared" si="132"/>
        <v>3.6210919723042977E-3</v>
      </c>
      <c r="Z609" s="22">
        <f t="shared" si="132"/>
        <v>3.7211839918635339E-3</v>
      </c>
      <c r="AA609" s="22">
        <f t="shared" si="132"/>
        <v>3.801221596496966E-3</v>
      </c>
      <c r="AB609" s="22">
        <f t="shared" si="132"/>
        <v>3.8992532680629222E-3</v>
      </c>
      <c r="AC609" s="22">
        <f t="shared" si="132"/>
        <v>4.0192214895813328E-3</v>
      </c>
      <c r="AD609" s="22">
        <f t="shared" si="132"/>
        <v>4.1327771170187903E-3</v>
      </c>
      <c r="AE609" s="22">
        <f t="shared" si="132"/>
        <v>4.250963466074527E-3</v>
      </c>
      <c r="AF609" s="22">
        <f t="shared" si="132"/>
        <v>4.3698428036719628E-3</v>
      </c>
      <c r="AG609" s="22">
        <f t="shared" si="132"/>
        <v>4.5054219893077892E-3</v>
      </c>
      <c r="AH609" s="22">
        <f t="shared" si="132"/>
        <v>4.6153401793439189E-3</v>
      </c>
      <c r="AI609" s="22">
        <f t="shared" si="132"/>
        <v>4.7331212345891162E-3</v>
      </c>
      <c r="AJ609" s="22">
        <f t="shared" si="132"/>
        <v>4.8509245425435391E-3</v>
      </c>
      <c r="AK609" s="22">
        <f t="shared" si="132"/>
        <v>4.9578421994637533E-3</v>
      </c>
      <c r="AL609" s="22">
        <f t="shared" si="132"/>
        <v>5.061443734311913E-3</v>
      </c>
      <c r="AM609" s="22">
        <f t="shared" si="132"/>
        <v>5.1682552832333995E-3</v>
      </c>
      <c r="AN609" s="22">
        <f t="shared" si="132"/>
        <v>5.2811769479685538E-3</v>
      </c>
      <c r="AO609" s="22">
        <f t="shared" si="132"/>
        <v>5.3804576748679887E-3</v>
      </c>
      <c r="AP609" s="22">
        <f t="shared" si="132"/>
        <v>5.4790150244013337E-3</v>
      </c>
      <c r="AQ609" s="22">
        <f t="shared" si="132"/>
        <v>5.5771110467139461E-3</v>
      </c>
      <c r="AR609" s="22">
        <f t="shared" si="132"/>
        <v>5.6834066914365532E-3</v>
      </c>
      <c r="AS609" s="22">
        <f t="shared" si="132"/>
        <v>5.7912443828915926E-3</v>
      </c>
      <c r="AT609" s="22">
        <f t="shared" si="132"/>
        <v>5.8164584030994289E-3</v>
      </c>
      <c r="AU609" s="22">
        <f t="shared" si="132"/>
        <v>5.8347358478060014E-3</v>
      </c>
      <c r="AV609" s="22">
        <f t="shared" si="132"/>
        <v>5.8621743853582847E-3</v>
      </c>
      <c r="AW609" s="22">
        <f t="shared" si="132"/>
        <v>5.8835984362845513E-3</v>
      </c>
      <c r="AY609" s="85"/>
    </row>
    <row r="610" spans="1:52" x14ac:dyDescent="0.25">
      <c r="A610" s="102" t="str">
        <f t="shared" si="108"/>
        <v>PQ MM Leaching</v>
      </c>
      <c r="B610" s="102" t="s">
        <v>969</v>
      </c>
      <c r="C610" s="102" t="s">
        <v>1334</v>
      </c>
      <c r="D610" t="s">
        <v>369</v>
      </c>
      <c r="E610" t="s">
        <v>64</v>
      </c>
      <c r="F610" t="s">
        <v>63</v>
      </c>
      <c r="G610" t="s">
        <v>1181</v>
      </c>
      <c r="H610" t="s">
        <v>1321</v>
      </c>
      <c r="I610" t="s">
        <v>139</v>
      </c>
      <c r="J610" t="s">
        <v>287</v>
      </c>
      <c r="K610" s="22">
        <f t="shared" si="127"/>
        <v>1.677506639935911E-2</v>
      </c>
      <c r="L610" s="22">
        <f t="shared" si="132"/>
        <v>1.7152115979727815E-2</v>
      </c>
      <c r="M610" s="22">
        <f t="shared" si="132"/>
        <v>1.7493153195060028E-2</v>
      </c>
      <c r="N610" s="22">
        <f t="shared" si="132"/>
        <v>1.7669215882921287E-2</v>
      </c>
      <c r="O610" s="22">
        <f t="shared" si="132"/>
        <v>1.7850132335738296E-2</v>
      </c>
      <c r="P610" s="22">
        <f t="shared" si="132"/>
        <v>1.8210336489694584E-2</v>
      </c>
      <c r="Q610" s="22">
        <f t="shared" si="132"/>
        <v>1.8518344131387941E-2</v>
      </c>
      <c r="R610" s="22">
        <f t="shared" si="132"/>
        <v>1.8635256187528534E-2</v>
      </c>
      <c r="S610" s="22">
        <f t="shared" si="132"/>
        <v>1.7895165383905148E-2</v>
      </c>
      <c r="T610" s="22">
        <f t="shared" si="132"/>
        <v>1.8427726629999096E-2</v>
      </c>
      <c r="U610" s="22">
        <f t="shared" si="132"/>
        <v>1.8858145961209626E-2</v>
      </c>
      <c r="V610" s="22">
        <f t="shared" si="132"/>
        <v>1.926831042987312E-2</v>
      </c>
      <c r="W610" s="22">
        <f t="shared" si="132"/>
        <v>1.9723750272057364E-2</v>
      </c>
      <c r="X610" s="22">
        <f t="shared" si="132"/>
        <v>2.0328305344007466E-2</v>
      </c>
      <c r="Y610" s="22">
        <f t="shared" si="132"/>
        <v>2.0963275174069075E-2</v>
      </c>
      <c r="Z610" s="22">
        <f t="shared" si="132"/>
        <v>2.1643917656498337E-2</v>
      </c>
      <c r="AA610" s="22">
        <f t="shared" si="132"/>
        <v>2.2273513405564039E-2</v>
      </c>
      <c r="AB610" s="22">
        <f t="shared" si="132"/>
        <v>2.2979861002091512E-2</v>
      </c>
      <c r="AC610" s="22">
        <f t="shared" si="132"/>
        <v>2.3781031334877679E-2</v>
      </c>
      <c r="AD610" s="22">
        <f t="shared" si="132"/>
        <v>2.4566308074155798E-2</v>
      </c>
      <c r="AE610" s="22">
        <f t="shared" si="132"/>
        <v>2.5388751226160661E-2</v>
      </c>
      <c r="AF610" s="22">
        <f t="shared" si="132"/>
        <v>2.6235064752699551E-2</v>
      </c>
      <c r="AG610" s="22">
        <f t="shared" si="132"/>
        <v>2.7167046167926586E-2</v>
      </c>
      <c r="AH610" s="22">
        <f t="shared" si="132"/>
        <v>2.8023900018498905E-2</v>
      </c>
      <c r="AI610" s="22">
        <f t="shared" si="132"/>
        <v>2.8920322479741228E-2</v>
      </c>
      <c r="AJ610" s="22">
        <f t="shared" si="132"/>
        <v>2.9839880128135453E-2</v>
      </c>
      <c r="AK610" s="22">
        <f t="shared" si="132"/>
        <v>3.0738135733783801E-2</v>
      </c>
      <c r="AL610" s="22">
        <f t="shared" si="132"/>
        <v>3.1644929602760906E-2</v>
      </c>
      <c r="AM610" s="22">
        <f t="shared" si="132"/>
        <v>3.2587998047109448E-2</v>
      </c>
      <c r="AN610" s="22">
        <f t="shared" si="132"/>
        <v>3.3568837979348017E-2</v>
      </c>
      <c r="AO610" s="22">
        <f t="shared" si="132"/>
        <v>3.451409673179362E-2</v>
      </c>
      <c r="AP610" s="22">
        <f t="shared" si="132"/>
        <v>3.5479549458814943E-2</v>
      </c>
      <c r="AQ610" s="22">
        <f t="shared" si="132"/>
        <v>3.6466862450927735E-2</v>
      </c>
      <c r="AR610" s="22">
        <f t="shared" si="132"/>
        <v>3.7517290662975496E-2</v>
      </c>
      <c r="AS610" s="22">
        <f t="shared" si="132"/>
        <v>3.8588925617873325E-2</v>
      </c>
      <c r="AT610" s="22">
        <f t="shared" si="132"/>
        <v>3.9285237958327314E-2</v>
      </c>
      <c r="AU610" s="22">
        <f t="shared" si="132"/>
        <v>3.9960567637255945E-2</v>
      </c>
      <c r="AV610" s="22">
        <f t="shared" si="132"/>
        <v>4.0694873101077993E-2</v>
      </c>
      <c r="AW610" s="22">
        <f t="shared" si="132"/>
        <v>4.1412967601087917E-2</v>
      </c>
      <c r="AY610" s="85"/>
    </row>
    <row r="611" spans="1:52" x14ac:dyDescent="0.25">
      <c r="A611" s="102" t="str">
        <f t="shared" si="108"/>
        <v>PQ MM Leaching</v>
      </c>
      <c r="B611" s="102" t="s">
        <v>969</v>
      </c>
      <c r="C611" s="102" t="s">
        <v>1334</v>
      </c>
      <c r="D611" t="s">
        <v>369</v>
      </c>
      <c r="E611" t="s">
        <v>64</v>
      </c>
      <c r="F611" t="s">
        <v>63</v>
      </c>
      <c r="G611" t="s">
        <v>1183</v>
      </c>
      <c r="H611" t="s">
        <v>1322</v>
      </c>
      <c r="I611" t="s">
        <v>139</v>
      </c>
      <c r="J611" t="s">
        <v>287</v>
      </c>
      <c r="K611" s="22">
        <f t="shared" si="127"/>
        <v>7.810393177711944E-2</v>
      </c>
      <c r="L611" s="22">
        <f t="shared" si="132"/>
        <v>7.9553535638078737E-2</v>
      </c>
      <c r="M611" s="22">
        <f t="shared" si="132"/>
        <v>8.0502978601734096E-2</v>
      </c>
      <c r="N611" s="22">
        <f t="shared" si="132"/>
        <v>7.9458702064627351E-2</v>
      </c>
      <c r="O611" s="22">
        <f t="shared" si="132"/>
        <v>7.8445966497934463E-2</v>
      </c>
      <c r="P611" s="22">
        <f t="shared" si="132"/>
        <v>7.944949741705111E-2</v>
      </c>
      <c r="Q611" s="22">
        <f t="shared" si="132"/>
        <v>7.9836186366330816E-2</v>
      </c>
      <c r="R611" s="22">
        <f t="shared" si="132"/>
        <v>7.8063361522169639E-2</v>
      </c>
      <c r="S611" s="22">
        <f t="shared" si="132"/>
        <v>6.6817107477113183E-2</v>
      </c>
      <c r="T611" s="22">
        <f t="shared" si="132"/>
        <v>7.0388458640801108E-2</v>
      </c>
      <c r="U611" s="22">
        <f t="shared" si="132"/>
        <v>7.2779385804600763E-2</v>
      </c>
      <c r="V611" s="22">
        <f t="shared" si="132"/>
        <v>7.4904615040438174E-2</v>
      </c>
      <c r="W611" s="22">
        <f t="shared" si="132"/>
        <v>7.7471024819350642E-2</v>
      </c>
      <c r="X611" s="22">
        <f t="shared" si="132"/>
        <v>8.1566948143152435E-2</v>
      </c>
      <c r="Y611" s="22">
        <f t="shared" si="132"/>
        <v>8.614778534531875E-2</v>
      </c>
      <c r="Z611" s="22">
        <f t="shared" si="132"/>
        <v>9.1129302987806735E-2</v>
      </c>
      <c r="AA611" s="22">
        <f t="shared" si="132"/>
        <v>9.5503511014719752E-2</v>
      </c>
      <c r="AB611" s="22">
        <f t="shared" si="132"/>
        <v>0.10059627235669374</v>
      </c>
      <c r="AC611" s="22">
        <f t="shared" si="132"/>
        <v>0.10657634914102967</v>
      </c>
      <c r="AD611" s="22">
        <f t="shared" si="132"/>
        <v>0.11249681497363943</v>
      </c>
      <c r="AE611" s="22">
        <f t="shared" si="132"/>
        <v>0.11870703167717016</v>
      </c>
      <c r="AF611" s="22">
        <f t="shared" si="132"/>
        <v>0.12506960329583536</v>
      </c>
      <c r="AG611" s="22">
        <f t="shared" si="132"/>
        <v>0.13219418170903169</v>
      </c>
      <c r="AH611" s="22">
        <f t="shared" si="132"/>
        <v>0.13848583371944298</v>
      </c>
      <c r="AI611" s="22">
        <f t="shared" si="132"/>
        <v>0.1452598628167924</v>
      </c>
      <c r="AJ611" s="22">
        <f t="shared" si="132"/>
        <v>0.15217488392211642</v>
      </c>
      <c r="AK611" s="22">
        <f t="shared" si="132"/>
        <v>0.15880077299081433</v>
      </c>
      <c r="AL611" s="22">
        <f t="shared" si="132"/>
        <v>0.16542985943823083</v>
      </c>
      <c r="AM611" s="22">
        <f t="shared" si="132"/>
        <v>0.17232713819913364</v>
      </c>
      <c r="AN611" s="22">
        <f t="shared" si="132"/>
        <v>0.17966613842795656</v>
      </c>
      <c r="AO611" s="22">
        <f t="shared" si="132"/>
        <v>0.1865893340136465</v>
      </c>
      <c r="AP611" s="22">
        <f t="shared" si="132"/>
        <v>0.19362673819120535</v>
      </c>
      <c r="AQ611" s="22">
        <f t="shared" si="132"/>
        <v>0.20079266757552186</v>
      </c>
      <c r="AR611" s="22">
        <f t="shared" si="132"/>
        <v>0.20846738589837877</v>
      </c>
      <c r="AS611" s="22">
        <f t="shared" si="132"/>
        <v>0.21642073302224971</v>
      </c>
      <c r="AT611" s="22">
        <f t="shared" si="132"/>
        <v>0.22086003131192922</v>
      </c>
      <c r="AU611" s="22">
        <f t="shared" si="132"/>
        <v>0.22506764920237721</v>
      </c>
      <c r="AV611" s="22">
        <f t="shared" si="132"/>
        <v>0.22977140260428236</v>
      </c>
      <c r="AW611" s="22">
        <f t="shared" si="132"/>
        <v>0.23428658450939308</v>
      </c>
      <c r="AY611" s="85"/>
    </row>
    <row r="614" spans="1:52" x14ac:dyDescent="0.25">
      <c r="A614" s="102" t="str">
        <f t="shared" ref="A614:A677" si="133">B614&amp;" "&amp;C614</f>
        <v>NI Cattle</v>
      </c>
      <c r="B614" s="102" t="s">
        <v>970</v>
      </c>
      <c r="C614" s="102" t="s">
        <v>1109</v>
      </c>
      <c r="D614" t="s">
        <v>15</v>
      </c>
      <c r="E614" t="s">
        <v>16</v>
      </c>
      <c r="F614" t="s">
        <v>6</v>
      </c>
      <c r="G614" t="s">
        <v>136</v>
      </c>
      <c r="H614" t="s">
        <v>1021</v>
      </c>
      <c r="I614" t="s">
        <v>121</v>
      </c>
      <c r="J614" t="s">
        <v>286</v>
      </c>
      <c r="K614" s="28">
        <f>K1379</f>
        <v>72.319515891788683</v>
      </c>
      <c r="L614" s="28">
        <f t="shared" ref="L614:AW621" si="134">L1379</f>
        <v>72.807821323468076</v>
      </c>
      <c r="M614" s="28">
        <f t="shared" si="134"/>
        <v>73.234964885165326</v>
      </c>
      <c r="N614" s="28">
        <f t="shared" si="134"/>
        <v>73.290216800217806</v>
      </c>
      <c r="O614" s="28">
        <f t="shared" si="134"/>
        <v>73.385382806563399</v>
      </c>
      <c r="P614" s="28">
        <f t="shared" si="134"/>
        <v>73.931427797367633</v>
      </c>
      <c r="Q614" s="28">
        <f t="shared" si="134"/>
        <v>74.368063847632101</v>
      </c>
      <c r="R614" s="28">
        <f t="shared" si="134"/>
        <v>74.371892298776103</v>
      </c>
      <c r="S614" s="28">
        <f t="shared" si="134"/>
        <v>72.401501789227453</v>
      </c>
      <c r="T614" s="28">
        <f t="shared" si="134"/>
        <v>73.35338653579106</v>
      </c>
      <c r="U614" s="28">
        <f t="shared" si="134"/>
        <v>74.073946934208749</v>
      </c>
      <c r="V614" s="28">
        <f t="shared" si="134"/>
        <v>74.753778618786441</v>
      </c>
      <c r="W614" s="28">
        <f t="shared" si="134"/>
        <v>75.542063496412212</v>
      </c>
      <c r="X614" s="28">
        <f t="shared" si="134"/>
        <v>76.67155635559341</v>
      </c>
      <c r="Y614" s="28">
        <f t="shared" si="134"/>
        <v>77.847489846758435</v>
      </c>
      <c r="Z614" s="28">
        <f t="shared" si="134"/>
        <v>79.124819066913304</v>
      </c>
      <c r="AA614" s="28">
        <f t="shared" si="134"/>
        <v>80.286419447530889</v>
      </c>
      <c r="AB614" s="28">
        <f t="shared" si="134"/>
        <v>81.617330077665642</v>
      </c>
      <c r="AC614" s="28">
        <f t="shared" si="134"/>
        <v>83.15508639015107</v>
      </c>
      <c r="AD614" s="28">
        <f t="shared" si="134"/>
        <v>84.635565323563185</v>
      </c>
      <c r="AE614" s="28">
        <f t="shared" si="134"/>
        <v>86.193227498997032</v>
      </c>
      <c r="AF614" s="28">
        <f t="shared" si="134"/>
        <v>87.798134594672661</v>
      </c>
      <c r="AG614" s="28">
        <f t="shared" si="134"/>
        <v>89.583941656222265</v>
      </c>
      <c r="AH614" s="28">
        <f t="shared" si="134"/>
        <v>91.200763160150927</v>
      </c>
      <c r="AI614" s="28">
        <f t="shared" si="134"/>
        <v>92.880820410502608</v>
      </c>
      <c r="AJ614" s="28">
        <f t="shared" si="134"/>
        <v>94.604791101897987</v>
      </c>
      <c r="AK614" s="28">
        <f t="shared" si="134"/>
        <v>96.277227774537934</v>
      </c>
      <c r="AL614" s="28">
        <f t="shared" si="134"/>
        <v>97.962340013130714</v>
      </c>
      <c r="AM614" s="28">
        <f t="shared" si="134"/>
        <v>99.718934384145854</v>
      </c>
      <c r="AN614" s="28">
        <f t="shared" si="134"/>
        <v>101.53369157216896</v>
      </c>
      <c r="AO614" s="28">
        <f t="shared" si="134"/>
        <v>103.26697055041011</v>
      </c>
      <c r="AP614" s="28">
        <f t="shared" si="134"/>
        <v>105.03686331998236</v>
      </c>
      <c r="AQ614" s="28">
        <f t="shared" si="134"/>
        <v>106.8465596380065</v>
      </c>
      <c r="AR614" s="28">
        <f t="shared" si="134"/>
        <v>108.78185329261875</v>
      </c>
      <c r="AS614" s="28">
        <f t="shared" si="134"/>
        <v>110.73844641298153</v>
      </c>
      <c r="AT614" s="28">
        <f t="shared" si="134"/>
        <v>111.90949092297359</v>
      </c>
      <c r="AU614" s="28">
        <f t="shared" si="134"/>
        <v>113.03503781846446</v>
      </c>
      <c r="AV614" s="28">
        <f t="shared" si="134"/>
        <v>114.28032069633981</v>
      </c>
      <c r="AW614" s="28">
        <f t="shared" si="134"/>
        <v>115.48971420463774</v>
      </c>
      <c r="AY614" s="85"/>
      <c r="AZ614" s="85"/>
    </row>
    <row r="615" spans="1:52" x14ac:dyDescent="0.25">
      <c r="A615" s="102" t="str">
        <f t="shared" si="133"/>
        <v>NI Cattle</v>
      </c>
      <c r="B615" s="102" t="s">
        <v>970</v>
      </c>
      <c r="C615" s="102" t="s">
        <v>1109</v>
      </c>
      <c r="D615" t="s">
        <v>15</v>
      </c>
      <c r="E615" t="s">
        <v>16</v>
      </c>
      <c r="F615" t="s">
        <v>6</v>
      </c>
      <c r="G615" t="s">
        <v>137</v>
      </c>
      <c r="H615" t="s">
        <v>1021</v>
      </c>
      <c r="I615" t="s">
        <v>121</v>
      </c>
      <c r="J615" t="s">
        <v>286</v>
      </c>
      <c r="K615" s="28">
        <f t="shared" ref="K615:Z663" si="135">K1380</f>
        <v>57.842346035228502</v>
      </c>
      <c r="L615" s="28">
        <f t="shared" si="135"/>
        <v>58.232900803215919</v>
      </c>
      <c r="M615" s="28">
        <f t="shared" si="135"/>
        <v>58.574537295077718</v>
      </c>
      <c r="N615" s="28">
        <f t="shared" si="135"/>
        <v>58.618728691413338</v>
      </c>
      <c r="O615" s="28">
        <f t="shared" si="135"/>
        <v>58.6948440387294</v>
      </c>
      <c r="P615" s="28">
        <f t="shared" si="135"/>
        <v>59.13157986196363</v>
      </c>
      <c r="Q615" s="28">
        <f t="shared" si="135"/>
        <v>59.480808603326388</v>
      </c>
      <c r="R615" s="28">
        <f t="shared" si="135"/>
        <v>59.483870661930055</v>
      </c>
      <c r="S615" s="28">
        <f t="shared" si="135"/>
        <v>57.907919713248667</v>
      </c>
      <c r="T615" s="28">
        <f t="shared" si="135"/>
        <v>58.669252891678312</v>
      </c>
      <c r="U615" s="28">
        <f t="shared" si="135"/>
        <v>59.245569026964958</v>
      </c>
      <c r="V615" s="28">
        <f t="shared" si="135"/>
        <v>59.78930966267238</v>
      </c>
      <c r="W615" s="28">
        <f t="shared" si="135"/>
        <v>60.419792957585386</v>
      </c>
      <c r="X615" s="28">
        <f t="shared" si="135"/>
        <v>61.323180044728431</v>
      </c>
      <c r="Y615" s="28">
        <f t="shared" si="135"/>
        <v>62.263711118141018</v>
      </c>
      <c r="Z615" s="28">
        <f t="shared" si="135"/>
        <v>63.285340174171438</v>
      </c>
      <c r="AA615" s="28">
        <f t="shared" si="134"/>
        <v>64.214407388488411</v>
      </c>
      <c r="AB615" s="28">
        <f t="shared" si="134"/>
        <v>65.278891743242767</v>
      </c>
      <c r="AC615" s="28">
        <f t="shared" si="134"/>
        <v>66.508814699001078</v>
      </c>
      <c r="AD615" s="28">
        <f t="shared" si="134"/>
        <v>67.692926258769063</v>
      </c>
      <c r="AE615" s="28">
        <f t="shared" si="134"/>
        <v>68.938770253248308</v>
      </c>
      <c r="AF615" s="28">
        <f t="shared" si="134"/>
        <v>70.222401517060504</v>
      </c>
      <c r="AG615" s="28">
        <f t="shared" si="134"/>
        <v>71.650719568316063</v>
      </c>
      <c r="AH615" s="28">
        <f t="shared" si="134"/>
        <v>72.943880173088047</v>
      </c>
      <c r="AI615" s="28">
        <f t="shared" si="134"/>
        <v>74.287617774695377</v>
      </c>
      <c r="AJ615" s="28">
        <f t="shared" si="134"/>
        <v>75.66647807342153</v>
      </c>
      <c r="AK615" s="28">
        <f t="shared" si="134"/>
        <v>77.004120610818973</v>
      </c>
      <c r="AL615" s="28">
        <f t="shared" si="134"/>
        <v>78.351901275705174</v>
      </c>
      <c r="AM615" s="28">
        <f t="shared" si="134"/>
        <v>79.75685453346513</v>
      </c>
      <c r="AN615" s="28">
        <f t="shared" si="134"/>
        <v>81.20832737513372</v>
      </c>
      <c r="AO615" s="28">
        <f t="shared" si="134"/>
        <v>82.594632595774641</v>
      </c>
      <c r="AP615" s="28">
        <f t="shared" si="134"/>
        <v>84.010222132851055</v>
      </c>
      <c r="AQ615" s="28">
        <f t="shared" si="134"/>
        <v>85.457647206913492</v>
      </c>
      <c r="AR615" s="28">
        <f t="shared" si="134"/>
        <v>87.005527110000244</v>
      </c>
      <c r="AS615" s="28">
        <f t="shared" si="134"/>
        <v>88.570442678399701</v>
      </c>
      <c r="AT615" s="28">
        <f t="shared" si="134"/>
        <v>89.50706346373471</v>
      </c>
      <c r="AU615" s="28">
        <f t="shared" si="134"/>
        <v>90.407294503794148</v>
      </c>
      <c r="AV615" s="28">
        <f t="shared" si="134"/>
        <v>91.403292364753156</v>
      </c>
      <c r="AW615" s="28">
        <f t="shared" si="134"/>
        <v>92.370585313787814</v>
      </c>
      <c r="AY615" s="85"/>
      <c r="AZ615" s="85"/>
    </row>
    <row r="616" spans="1:52" x14ac:dyDescent="0.25">
      <c r="A616" s="102" t="str">
        <f t="shared" si="133"/>
        <v>NI Cattle</v>
      </c>
      <c r="B616" s="102" t="s">
        <v>970</v>
      </c>
      <c r="C616" s="102" t="s">
        <v>1109</v>
      </c>
      <c r="D616" t="s">
        <v>15</v>
      </c>
      <c r="E616" t="s">
        <v>16</v>
      </c>
      <c r="F616" t="s">
        <v>67</v>
      </c>
      <c r="G616" t="s">
        <v>307</v>
      </c>
      <c r="H616" t="s">
        <v>1021</v>
      </c>
      <c r="I616" t="s">
        <v>121</v>
      </c>
      <c r="J616" t="s">
        <v>286</v>
      </c>
      <c r="K616" s="28">
        <f t="shared" si="135"/>
        <v>26.152753652516633</v>
      </c>
      <c r="L616" s="28">
        <f t="shared" si="134"/>
        <v>26.329338513524345</v>
      </c>
      <c r="M616" s="28">
        <f t="shared" si="134"/>
        <v>26.483805536783215</v>
      </c>
      <c r="N616" s="28">
        <f t="shared" si="134"/>
        <v>26.503786170024174</v>
      </c>
      <c r="O616" s="28">
        <f t="shared" si="134"/>
        <v>26.538200851723289</v>
      </c>
      <c r="P616" s="28">
        <f t="shared" si="134"/>
        <v>26.735665947439109</v>
      </c>
      <c r="Q616" s="28">
        <f t="shared" si="134"/>
        <v>26.893565719271944</v>
      </c>
      <c r="R616" s="28">
        <f t="shared" si="134"/>
        <v>26.894950193966014</v>
      </c>
      <c r="S616" s="28">
        <f t="shared" si="134"/>
        <v>26.182402039293791</v>
      </c>
      <c r="T616" s="28">
        <f t="shared" si="134"/>
        <v>26.526630107962227</v>
      </c>
      <c r="U616" s="28">
        <f t="shared" si="134"/>
        <v>26.787204841617442</v>
      </c>
      <c r="V616" s="28">
        <f t="shared" si="134"/>
        <v>27.033050936584925</v>
      </c>
      <c r="W616" s="28">
        <f t="shared" si="134"/>
        <v>27.318116730490384</v>
      </c>
      <c r="X616" s="28">
        <f t="shared" si="134"/>
        <v>27.72657284547105</v>
      </c>
      <c r="Y616" s="28">
        <f t="shared" si="134"/>
        <v>28.151823188023119</v>
      </c>
      <c r="Z616" s="28">
        <f t="shared" si="134"/>
        <v>28.61374105370485</v>
      </c>
      <c r="AA616" s="28">
        <f t="shared" si="134"/>
        <v>29.033808143789049</v>
      </c>
      <c r="AB616" s="28">
        <f t="shared" si="134"/>
        <v>29.515102541493693</v>
      </c>
      <c r="AC616" s="28">
        <f t="shared" si="134"/>
        <v>30.071198106046545</v>
      </c>
      <c r="AD616" s="28">
        <f t="shared" si="134"/>
        <v>30.606580573086323</v>
      </c>
      <c r="AE616" s="28">
        <f t="shared" si="134"/>
        <v>31.169874652777334</v>
      </c>
      <c r="AF616" s="28">
        <f t="shared" si="134"/>
        <v>31.750253813102248</v>
      </c>
      <c r="AG616" s="28">
        <f t="shared" si="134"/>
        <v>32.396051445673713</v>
      </c>
      <c r="AH616" s="28">
        <f t="shared" si="134"/>
        <v>32.980739188268778</v>
      </c>
      <c r="AI616" s="28">
        <f t="shared" si="134"/>
        <v>33.588294740165949</v>
      </c>
      <c r="AJ616" s="28">
        <f t="shared" si="134"/>
        <v>34.211730616917187</v>
      </c>
      <c r="AK616" s="28">
        <f t="shared" si="134"/>
        <v>34.816530355405931</v>
      </c>
      <c r="AL616" s="28">
        <f t="shared" si="134"/>
        <v>35.42591393201478</v>
      </c>
      <c r="AM616" s="28">
        <f t="shared" si="134"/>
        <v>36.061147441062253</v>
      </c>
      <c r="AN616" s="28">
        <f t="shared" si="134"/>
        <v>36.717414246671382</v>
      </c>
      <c r="AO616" s="28">
        <f t="shared" si="134"/>
        <v>37.344216259517445</v>
      </c>
      <c r="AP616" s="28">
        <f t="shared" si="134"/>
        <v>37.984258840323065</v>
      </c>
      <c r="AQ616" s="28">
        <f t="shared" si="134"/>
        <v>38.638695494212854</v>
      </c>
      <c r="AR616" s="28">
        <f t="shared" si="134"/>
        <v>39.338551647427231</v>
      </c>
      <c r="AS616" s="28">
        <f t="shared" si="134"/>
        <v>40.046110281415082</v>
      </c>
      <c r="AT616" s="28">
        <f t="shared" si="134"/>
        <v>40.469592632040602</v>
      </c>
      <c r="AU616" s="28">
        <f t="shared" si="134"/>
        <v>40.876621776513481</v>
      </c>
      <c r="AV616" s="28">
        <f t="shared" si="134"/>
        <v>41.326950791180863</v>
      </c>
      <c r="AW616" s="28">
        <f t="shared" si="134"/>
        <v>41.764301208996081</v>
      </c>
      <c r="AY616" s="85"/>
      <c r="AZ616" s="85"/>
    </row>
    <row r="617" spans="1:52" x14ac:dyDescent="0.25">
      <c r="A617" s="102" t="str">
        <f t="shared" si="133"/>
        <v>NI Cattle</v>
      </c>
      <c r="B617" s="102" t="s">
        <v>970</v>
      </c>
      <c r="C617" s="102" t="s">
        <v>1109</v>
      </c>
      <c r="D617" t="s">
        <v>15</v>
      </c>
      <c r="E617" t="s">
        <v>16</v>
      </c>
      <c r="F617" t="s">
        <v>67</v>
      </c>
      <c r="G617" t="s">
        <v>122</v>
      </c>
      <c r="H617" t="s">
        <v>1021</v>
      </c>
      <c r="I617" t="s">
        <v>121</v>
      </c>
      <c r="J617" t="s">
        <v>286</v>
      </c>
      <c r="K617" s="28">
        <f t="shared" si="135"/>
        <v>465.52056336079949</v>
      </c>
      <c r="L617" s="28">
        <f t="shared" si="134"/>
        <v>463.15049709319385</v>
      </c>
      <c r="M617" s="28">
        <f t="shared" si="134"/>
        <v>458.82469207652616</v>
      </c>
      <c r="N617" s="28">
        <f t="shared" si="134"/>
        <v>446.98374150991339</v>
      </c>
      <c r="O617" s="28">
        <f t="shared" si="134"/>
        <v>435.61531631652565</v>
      </c>
      <c r="P617" s="28">
        <f t="shared" si="134"/>
        <v>431.8940518676672</v>
      </c>
      <c r="Q617" s="28">
        <f t="shared" si="134"/>
        <v>425.88381386723944</v>
      </c>
      <c r="R617" s="28">
        <f t="shared" si="134"/>
        <v>412.37997971855566</v>
      </c>
      <c r="S617" s="28">
        <f t="shared" si="134"/>
        <v>367.07322936568551</v>
      </c>
      <c r="T617" s="28">
        <f t="shared" si="134"/>
        <v>376.04260475427378</v>
      </c>
      <c r="U617" s="28">
        <f t="shared" si="134"/>
        <v>380.88720014756319</v>
      </c>
      <c r="V617" s="28">
        <f t="shared" si="134"/>
        <v>384.73781572909445</v>
      </c>
      <c r="W617" s="28">
        <f t="shared" si="134"/>
        <v>389.91279538090225</v>
      </c>
      <c r="X617" s="28">
        <f t="shared" si="134"/>
        <v>399.84804761715691</v>
      </c>
      <c r="Y617" s="28">
        <f t="shared" si="134"/>
        <v>410.72195142971174</v>
      </c>
      <c r="Z617" s="28">
        <f t="shared" si="134"/>
        <v>422.57021057713075</v>
      </c>
      <c r="AA617" s="28">
        <f t="shared" si="134"/>
        <v>432.23102816031104</v>
      </c>
      <c r="AB617" s="28">
        <f t="shared" si="134"/>
        <v>443.82757951116929</v>
      </c>
      <c r="AC617" s="28">
        <f t="shared" si="134"/>
        <v>457.79588984245851</v>
      </c>
      <c r="AD617" s="28">
        <f t="shared" si="134"/>
        <v>466.99721608024504</v>
      </c>
      <c r="AE617" s="28">
        <f t="shared" si="134"/>
        <v>476.39605277563965</v>
      </c>
      <c r="AF617" s="28">
        <f t="shared" si="134"/>
        <v>485.55434160967809</v>
      </c>
      <c r="AG617" s="28">
        <f t="shared" si="134"/>
        <v>496.149752250235</v>
      </c>
      <c r="AH617" s="28">
        <f t="shared" si="134"/>
        <v>503.70010251464106</v>
      </c>
      <c r="AI617" s="28">
        <f t="shared" si="134"/>
        <v>511.6542791142947</v>
      </c>
      <c r="AJ617" s="28">
        <f t="shared" si="134"/>
        <v>519.26571108374344</v>
      </c>
      <c r="AK617" s="28">
        <f t="shared" si="134"/>
        <v>525.41502165866484</v>
      </c>
      <c r="AL617" s="28">
        <f t="shared" si="134"/>
        <v>530.88759799604804</v>
      </c>
      <c r="AM617" s="28">
        <f t="shared" si="134"/>
        <v>536.33560316463638</v>
      </c>
      <c r="AN617" s="28">
        <f t="shared" si="134"/>
        <v>544.72092714693053</v>
      </c>
      <c r="AO617" s="28">
        <f t="shared" si="134"/>
        <v>551.54981511359176</v>
      </c>
      <c r="AP617" s="28">
        <f t="shared" si="134"/>
        <v>558.10716361528034</v>
      </c>
      <c r="AQ617" s="28">
        <f t="shared" si="134"/>
        <v>564.41449245205456</v>
      </c>
      <c r="AR617" s="28">
        <f t="shared" si="134"/>
        <v>571.30711836389287</v>
      </c>
      <c r="AS617" s="28">
        <f t="shared" si="134"/>
        <v>578.05837043678457</v>
      </c>
      <c r="AT617" s="28">
        <f t="shared" si="134"/>
        <v>576.66741382248574</v>
      </c>
      <c r="AU617" s="28">
        <f t="shared" si="134"/>
        <v>574.48483101134718</v>
      </c>
      <c r="AV617" s="28">
        <f t="shared" si="134"/>
        <v>573.04217473429298</v>
      </c>
      <c r="AW617" s="28">
        <f t="shared" si="134"/>
        <v>570.89539860553714</v>
      </c>
      <c r="AY617" s="85"/>
      <c r="AZ617" s="85"/>
    </row>
    <row r="618" spans="1:52" x14ac:dyDescent="0.25">
      <c r="A618" s="102" t="str">
        <f t="shared" si="133"/>
        <v>NI Cattle</v>
      </c>
      <c r="B618" s="102" t="s">
        <v>970</v>
      </c>
      <c r="C618" s="102" t="s">
        <v>1109</v>
      </c>
      <c r="D618" t="s">
        <v>15</v>
      </c>
      <c r="E618" t="s">
        <v>16</v>
      </c>
      <c r="F618" t="s">
        <v>67</v>
      </c>
      <c r="G618" t="s">
        <v>123</v>
      </c>
      <c r="H618" t="s">
        <v>1021</v>
      </c>
      <c r="I618" t="s">
        <v>121</v>
      </c>
      <c r="J618" t="s">
        <v>286</v>
      </c>
      <c r="K618" s="28">
        <f t="shared" si="135"/>
        <v>327.80986528142375</v>
      </c>
      <c r="L618" s="28">
        <f t="shared" si="134"/>
        <v>326.14091407917653</v>
      </c>
      <c r="M618" s="28">
        <f t="shared" si="134"/>
        <v>323.0947724662044</v>
      </c>
      <c r="N618" s="28">
        <f t="shared" si="134"/>
        <v>314.75662219842133</v>
      </c>
      <c r="O618" s="28">
        <f t="shared" si="134"/>
        <v>306.75121443683565</v>
      </c>
      <c r="P618" s="28">
        <f t="shared" si="134"/>
        <v>304.13077767492297</v>
      </c>
      <c r="Q618" s="28">
        <f t="shared" si="134"/>
        <v>299.89849350898703</v>
      </c>
      <c r="R618" s="28">
        <f t="shared" si="134"/>
        <v>290.38937532717256</v>
      </c>
      <c r="S618" s="28">
        <f t="shared" si="134"/>
        <v>258.48530728280883</v>
      </c>
      <c r="T618" s="28">
        <f t="shared" si="134"/>
        <v>264.80135424014338</v>
      </c>
      <c r="U618" s="28">
        <f t="shared" si="134"/>
        <v>268.21281720915158</v>
      </c>
      <c r="V618" s="28">
        <f t="shared" si="134"/>
        <v>270.92434033912764</v>
      </c>
      <c r="W618" s="28">
        <f t="shared" si="134"/>
        <v>274.56845300784875</v>
      </c>
      <c r="X618" s="28">
        <f t="shared" si="134"/>
        <v>281.56465028341216</v>
      </c>
      <c r="Y618" s="28">
        <f t="shared" si="134"/>
        <v>289.22182640930129</v>
      </c>
      <c r="Z618" s="28">
        <f t="shared" si="134"/>
        <v>297.56512322715759</v>
      </c>
      <c r="AA618" s="28">
        <f t="shared" si="134"/>
        <v>304.36806934749092</v>
      </c>
      <c r="AB618" s="28">
        <f t="shared" si="134"/>
        <v>312.53411878816331</v>
      </c>
      <c r="AC618" s="28">
        <f t="shared" si="134"/>
        <v>322.37031140412756</v>
      </c>
      <c r="AD618" s="28">
        <f t="shared" si="134"/>
        <v>328.8496933086418</v>
      </c>
      <c r="AE618" s="28">
        <f t="shared" si="134"/>
        <v>335.46815795535053</v>
      </c>
      <c r="AF618" s="28">
        <f t="shared" si="134"/>
        <v>341.91723381833816</v>
      </c>
      <c r="AG618" s="28">
        <f t="shared" si="134"/>
        <v>349.37830086467267</v>
      </c>
      <c r="AH618" s="28">
        <f t="shared" si="134"/>
        <v>354.6950999446828</v>
      </c>
      <c r="AI618" s="28">
        <f t="shared" si="134"/>
        <v>360.29626510209863</v>
      </c>
      <c r="AJ618" s="28">
        <f t="shared" si="134"/>
        <v>365.65607664402177</v>
      </c>
      <c r="AK618" s="28">
        <f t="shared" si="134"/>
        <v>369.98629281446455</v>
      </c>
      <c r="AL618" s="28">
        <f t="shared" si="134"/>
        <v>373.83996685831022</v>
      </c>
      <c r="AM618" s="28">
        <f t="shared" si="134"/>
        <v>377.67633839789198</v>
      </c>
      <c r="AN618" s="28">
        <f t="shared" si="134"/>
        <v>383.58110854409597</v>
      </c>
      <c r="AO618" s="28">
        <f t="shared" si="134"/>
        <v>388.38986893098826</v>
      </c>
      <c r="AP618" s="28">
        <f t="shared" si="134"/>
        <v>393.00741689368874</v>
      </c>
      <c r="AQ618" s="28">
        <f t="shared" si="134"/>
        <v>397.44890622627946</v>
      </c>
      <c r="AR618" s="28">
        <f t="shared" si="134"/>
        <v>402.30254954395133</v>
      </c>
      <c r="AS618" s="28">
        <f t="shared" si="134"/>
        <v>407.05664035471597</v>
      </c>
      <c r="AT618" s="28">
        <f t="shared" si="134"/>
        <v>406.07715773626023</v>
      </c>
      <c r="AU618" s="28">
        <f t="shared" si="134"/>
        <v>404.54022847126805</v>
      </c>
      <c r="AV618" s="28">
        <f t="shared" si="134"/>
        <v>403.52434002927453</v>
      </c>
      <c r="AW618" s="28">
        <f t="shared" si="134"/>
        <v>402.01262508272896</v>
      </c>
      <c r="AY618" s="85"/>
      <c r="AZ618" s="85"/>
    </row>
    <row r="619" spans="1:52" x14ac:dyDescent="0.25">
      <c r="A619" s="102" t="str">
        <f t="shared" si="133"/>
        <v>NI Cattle</v>
      </c>
      <c r="B619" s="102" t="s">
        <v>970</v>
      </c>
      <c r="C619" s="102" t="s">
        <v>1109</v>
      </c>
      <c r="D619" t="s">
        <v>15</v>
      </c>
      <c r="E619" t="s">
        <v>16</v>
      </c>
      <c r="F619" t="s">
        <v>67</v>
      </c>
      <c r="G619" t="s">
        <v>135</v>
      </c>
      <c r="H619" t="s">
        <v>1021</v>
      </c>
      <c r="I619" t="s">
        <v>121</v>
      </c>
      <c r="J619" t="s">
        <v>286</v>
      </c>
      <c r="K619" s="28">
        <f t="shared" si="135"/>
        <v>31.983141266454435</v>
      </c>
      <c r="L619" s="28">
        <f t="shared" si="134"/>
        <v>33.176305480896438</v>
      </c>
      <c r="M619" s="28">
        <f t="shared" si="134"/>
        <v>34.248209769984797</v>
      </c>
      <c r="N619" s="28">
        <f t="shared" si="134"/>
        <v>34.751225456913808</v>
      </c>
      <c r="O619" s="28">
        <f t="shared" si="134"/>
        <v>35.261937727399058</v>
      </c>
      <c r="P619" s="28">
        <f t="shared" si="134"/>
        <v>36.389263474395328</v>
      </c>
      <c r="Q619" s="28">
        <f t="shared" si="134"/>
        <v>37.34016796495505</v>
      </c>
      <c r="R619" s="28">
        <f t="shared" si="134"/>
        <v>37.617758099633058</v>
      </c>
      <c r="S619" s="28">
        <f t="shared" si="134"/>
        <v>34.833912391780601</v>
      </c>
      <c r="T619" s="28">
        <f t="shared" si="134"/>
        <v>36.540465751152517</v>
      </c>
      <c r="U619" s="28">
        <f t="shared" si="134"/>
        <v>37.886226913175705</v>
      </c>
      <c r="V619" s="28">
        <f t="shared" si="134"/>
        <v>39.162499493928941</v>
      </c>
      <c r="W619" s="28">
        <f t="shared" si="134"/>
        <v>40.604769600531014</v>
      </c>
      <c r="X619" s="28">
        <f t="shared" si="134"/>
        <v>42.589435911948605</v>
      </c>
      <c r="Y619" s="28">
        <f t="shared" si="134"/>
        <v>44.735714463964371</v>
      </c>
      <c r="Z619" s="28">
        <f t="shared" si="134"/>
        <v>47.056021695269649</v>
      </c>
      <c r="AA619" s="28">
        <f t="shared" si="134"/>
        <v>49.199405224000948</v>
      </c>
      <c r="AB619" s="28">
        <f t="shared" si="134"/>
        <v>51.630970984411839</v>
      </c>
      <c r="AC619" s="28">
        <f t="shared" si="134"/>
        <v>54.419025309229532</v>
      </c>
      <c r="AD619" s="28">
        <f t="shared" si="134"/>
        <v>57.347688713152579</v>
      </c>
      <c r="AE619" s="28">
        <f t="shared" si="134"/>
        <v>60.439332031947394</v>
      </c>
      <c r="AF619" s="28">
        <f t="shared" si="134"/>
        <v>63.646606559627351</v>
      </c>
      <c r="AG619" s="28">
        <f t="shared" si="134"/>
        <v>67.201805489878737</v>
      </c>
      <c r="AH619" s="28">
        <f t="shared" si="134"/>
        <v>70.505749505379512</v>
      </c>
      <c r="AI619" s="28">
        <f t="shared" si="134"/>
        <v>74.024544515923196</v>
      </c>
      <c r="AJ619" s="28">
        <f t="shared" si="134"/>
        <v>77.661626466040673</v>
      </c>
      <c r="AK619" s="28">
        <f t="shared" si="134"/>
        <v>81.248794021185191</v>
      </c>
      <c r="AL619" s="28">
        <f t="shared" si="134"/>
        <v>84.899176335457057</v>
      </c>
      <c r="AM619" s="28">
        <f t="shared" si="134"/>
        <v>88.7200879854786</v>
      </c>
      <c r="AN619" s="28">
        <f t="shared" si="134"/>
        <v>92.640415904854649</v>
      </c>
      <c r="AO619" s="28">
        <f t="shared" si="134"/>
        <v>96.448102767830918</v>
      </c>
      <c r="AP619" s="28">
        <f t="shared" si="134"/>
        <v>100.35888492083421</v>
      </c>
      <c r="AQ619" s="28">
        <f t="shared" si="134"/>
        <v>104.38012848298382</v>
      </c>
      <c r="AR619" s="28">
        <f t="shared" si="134"/>
        <v>108.6746674258483</v>
      </c>
      <c r="AS619" s="28">
        <f t="shared" si="134"/>
        <v>113.11818854540739</v>
      </c>
      <c r="AT619" s="28">
        <f t="shared" si="134"/>
        <v>116.10657737098944</v>
      </c>
      <c r="AU619" s="28">
        <f t="shared" si="134"/>
        <v>119.02957765065928</v>
      </c>
      <c r="AV619" s="28">
        <f t="shared" si="134"/>
        <v>122.20468195250368</v>
      </c>
      <c r="AW619" s="28">
        <f t="shared" si="134"/>
        <v>125.33392924864043</v>
      </c>
      <c r="AY619" s="85"/>
      <c r="AZ619" s="85"/>
    </row>
    <row r="620" spans="1:52" x14ac:dyDescent="0.25">
      <c r="A620" s="102" t="str">
        <f t="shared" si="133"/>
        <v>NI Sheep</v>
      </c>
      <c r="B620" s="102" t="s">
        <v>970</v>
      </c>
      <c r="C620" s="102" t="s">
        <v>152</v>
      </c>
      <c r="D620" t="s">
        <v>15</v>
      </c>
      <c r="E620" t="s">
        <v>16</v>
      </c>
      <c r="F620" t="s">
        <v>18</v>
      </c>
      <c r="G620" t="s">
        <v>122</v>
      </c>
      <c r="H620" t="s">
        <v>1021</v>
      </c>
      <c r="I620" t="s">
        <v>121</v>
      </c>
      <c r="J620" t="s">
        <v>286</v>
      </c>
      <c r="K620" s="28">
        <f t="shared" si="135"/>
        <v>132.57119038642557</v>
      </c>
      <c r="L620" s="28">
        <f t="shared" si="134"/>
        <v>132.64273653065254</v>
      </c>
      <c r="M620" s="28">
        <f t="shared" si="134"/>
        <v>132.80721501621684</v>
      </c>
      <c r="N620" s="28">
        <f t="shared" si="134"/>
        <v>133.051398651531</v>
      </c>
      <c r="O620" s="28">
        <f t="shared" si="134"/>
        <v>133.38098001143086</v>
      </c>
      <c r="P620" s="28">
        <f t="shared" si="134"/>
        <v>133.80258277876908</v>
      </c>
      <c r="Q620" s="28">
        <f t="shared" si="134"/>
        <v>134.26714516921325</v>
      </c>
      <c r="R620" s="28">
        <f t="shared" si="134"/>
        <v>134.76745179695249</v>
      </c>
      <c r="S620" s="28">
        <f t="shared" si="134"/>
        <v>135.2631261954914</v>
      </c>
      <c r="T620" s="28">
        <f t="shared" si="134"/>
        <v>135.46597827382104</v>
      </c>
      <c r="U620" s="28">
        <f t="shared" si="134"/>
        <v>135.69632310683818</v>
      </c>
      <c r="V620" s="28">
        <f t="shared" si="134"/>
        <v>135.95682681390846</v>
      </c>
      <c r="W620" s="28">
        <f t="shared" si="134"/>
        <v>136.24937905937216</v>
      </c>
      <c r="X620" s="28">
        <f t="shared" si="134"/>
        <v>136.57811586303043</v>
      </c>
      <c r="Y620" s="28">
        <f t="shared" si="134"/>
        <v>136.78481124577374</v>
      </c>
      <c r="Z620" s="28">
        <f t="shared" si="134"/>
        <v>137.01756076929394</v>
      </c>
      <c r="AA620" s="28">
        <f t="shared" si="134"/>
        <v>137.26988669428977</v>
      </c>
      <c r="AB620" s="28">
        <f t="shared" si="134"/>
        <v>137.54770477114812</v>
      </c>
      <c r="AC620" s="28">
        <f t="shared" si="134"/>
        <v>137.85098318826414</v>
      </c>
      <c r="AD620" s="28">
        <f t="shared" si="134"/>
        <v>138.0517172424515</v>
      </c>
      <c r="AE620" s="28">
        <f t="shared" si="134"/>
        <v>138.27198156596427</v>
      </c>
      <c r="AF620" s="28">
        <f t="shared" si="134"/>
        <v>138.51029648948435</v>
      </c>
      <c r="AG620" s="28">
        <f t="shared" si="134"/>
        <v>138.76924178933888</v>
      </c>
      <c r="AH620" s="28">
        <f t="shared" si="134"/>
        <v>139.03965406429921</v>
      </c>
      <c r="AI620" s="28">
        <f t="shared" si="134"/>
        <v>139.21265652505053</v>
      </c>
      <c r="AJ620" s="28">
        <f t="shared" si="134"/>
        <v>139.40033470595577</v>
      </c>
      <c r="AK620" s="28">
        <f t="shared" si="134"/>
        <v>139.59984622882109</v>
      </c>
      <c r="AL620" s="28">
        <f t="shared" si="134"/>
        <v>139.81228322803275</v>
      </c>
      <c r="AM620" s="28">
        <f t="shared" si="134"/>
        <v>140.03864091698591</v>
      </c>
      <c r="AN620" s="28">
        <f t="shared" si="134"/>
        <v>140.17205297338157</v>
      </c>
      <c r="AO620" s="28">
        <f t="shared" si="134"/>
        <v>140.3142065668136</v>
      </c>
      <c r="AP620" s="28">
        <f t="shared" si="134"/>
        <v>140.46760679476171</v>
      </c>
      <c r="AQ620" s="28">
        <f t="shared" si="134"/>
        <v>140.63198304845474</v>
      </c>
      <c r="AR620" s="28">
        <f t="shared" si="134"/>
        <v>140.80910014546811</v>
      </c>
      <c r="AS620" s="28">
        <f t="shared" si="134"/>
        <v>140.88892671034117</v>
      </c>
      <c r="AT620" s="28">
        <f t="shared" si="134"/>
        <v>140.95821516124155</v>
      </c>
      <c r="AU620" s="28">
        <f t="shared" si="134"/>
        <v>141.03470747726172</v>
      </c>
      <c r="AV620" s="28">
        <f t="shared" si="134"/>
        <v>141.12215896144338</v>
      </c>
      <c r="AW620" s="28">
        <f t="shared" si="134"/>
        <v>141.21652925379365</v>
      </c>
      <c r="AY620" s="85"/>
      <c r="AZ620" s="85"/>
    </row>
    <row r="621" spans="1:52" x14ac:dyDescent="0.25">
      <c r="A621" s="102" t="str">
        <f t="shared" si="133"/>
        <v>NI Sheep</v>
      </c>
      <c r="B621" s="102" t="s">
        <v>970</v>
      </c>
      <c r="C621" s="102" t="s">
        <v>152</v>
      </c>
      <c r="D621" t="s">
        <v>15</v>
      </c>
      <c r="E621" t="s">
        <v>16</v>
      </c>
      <c r="F621" t="s">
        <v>18</v>
      </c>
      <c r="G621" t="s">
        <v>123</v>
      </c>
      <c r="H621" t="s">
        <v>1021</v>
      </c>
      <c r="I621" t="s">
        <v>121</v>
      </c>
      <c r="J621" t="s">
        <v>286</v>
      </c>
      <c r="K621" s="28">
        <f t="shared" si="135"/>
        <v>14.367245816070934</v>
      </c>
      <c r="L621" s="28">
        <f t="shared" si="134"/>
        <v>14.374999544752898</v>
      </c>
      <c r="M621" s="28">
        <f t="shared" si="134"/>
        <v>14.392824705910984</v>
      </c>
      <c r="N621" s="28">
        <f t="shared" si="134"/>
        <v>14.419287818315681</v>
      </c>
      <c r="O621" s="28">
        <f t="shared" si="134"/>
        <v>14.455005808025765</v>
      </c>
      <c r="P621" s="28">
        <f t="shared" ref="L621:AW627" si="136">P1386</f>
        <v>14.500696508829069</v>
      </c>
      <c r="Q621" s="28">
        <f t="shared" si="136"/>
        <v>14.551042907929491</v>
      </c>
      <c r="R621" s="28">
        <f t="shared" si="136"/>
        <v>14.605263046431578</v>
      </c>
      <c r="S621" s="28">
        <f t="shared" si="136"/>
        <v>14.658981172577873</v>
      </c>
      <c r="T621" s="28">
        <f t="shared" si="136"/>
        <v>14.680965026424001</v>
      </c>
      <c r="U621" s="28">
        <f t="shared" si="136"/>
        <v>14.705928375012579</v>
      </c>
      <c r="V621" s="28">
        <f t="shared" si="136"/>
        <v>14.734160155873615</v>
      </c>
      <c r="W621" s="28">
        <f t="shared" si="136"/>
        <v>14.765865159142944</v>
      </c>
      <c r="X621" s="28">
        <f t="shared" si="136"/>
        <v>14.801491621070163</v>
      </c>
      <c r="Y621" s="28">
        <f t="shared" si="136"/>
        <v>14.823891988482297</v>
      </c>
      <c r="Z621" s="28">
        <f t="shared" si="136"/>
        <v>14.84911594255739</v>
      </c>
      <c r="AA621" s="28">
        <f t="shared" si="136"/>
        <v>14.876461465967234</v>
      </c>
      <c r="AB621" s="28">
        <f t="shared" si="136"/>
        <v>14.906569671156744</v>
      </c>
      <c r="AC621" s="28">
        <f t="shared" si="136"/>
        <v>14.939437110580908</v>
      </c>
      <c r="AD621" s="28">
        <f t="shared" si="136"/>
        <v>14.961191426068007</v>
      </c>
      <c r="AE621" s="28">
        <f t="shared" si="136"/>
        <v>14.985062311372678</v>
      </c>
      <c r="AF621" s="28">
        <f t="shared" si="136"/>
        <v>15.01088940908426</v>
      </c>
      <c r="AG621" s="28">
        <f t="shared" si="136"/>
        <v>15.038952299408185</v>
      </c>
      <c r="AH621" s="28">
        <f t="shared" si="136"/>
        <v>15.068257909584224</v>
      </c>
      <c r="AI621" s="28">
        <f t="shared" si="136"/>
        <v>15.087006846462247</v>
      </c>
      <c r="AJ621" s="28">
        <f t="shared" si="136"/>
        <v>15.107346247138357</v>
      </c>
      <c r="AK621" s="28">
        <f t="shared" si="136"/>
        <v>15.128968072240701</v>
      </c>
      <c r="AL621" s="28">
        <f t="shared" si="136"/>
        <v>15.151990680540484</v>
      </c>
      <c r="AM621" s="28">
        <f t="shared" si="136"/>
        <v>15.176521927111235</v>
      </c>
      <c r="AN621" s="28">
        <f t="shared" si="136"/>
        <v>15.190980300785611</v>
      </c>
      <c r="AO621" s="28">
        <f t="shared" si="136"/>
        <v>15.206386028187788</v>
      </c>
      <c r="AP621" s="28">
        <f t="shared" si="136"/>
        <v>15.223010596291525</v>
      </c>
      <c r="AQ621" s="28">
        <f t="shared" si="136"/>
        <v>15.240824678191588</v>
      </c>
      <c r="AR621" s="28">
        <f t="shared" si="136"/>
        <v>15.260019533903467</v>
      </c>
      <c r="AS621" s="28">
        <f t="shared" si="136"/>
        <v>15.268670643370319</v>
      </c>
      <c r="AT621" s="28">
        <f t="shared" si="136"/>
        <v>15.276179697210745</v>
      </c>
      <c r="AU621" s="28">
        <f t="shared" si="136"/>
        <v>15.284469461405354</v>
      </c>
      <c r="AV621" s="28">
        <f t="shared" si="136"/>
        <v>15.293946912475652</v>
      </c>
      <c r="AW621" s="28">
        <f t="shared" si="136"/>
        <v>15.304174181190511</v>
      </c>
      <c r="AY621" s="85"/>
      <c r="AZ621" s="85"/>
    </row>
    <row r="622" spans="1:52" x14ac:dyDescent="0.25">
      <c r="A622" s="102" t="str">
        <f t="shared" si="133"/>
        <v>NI Goats</v>
      </c>
      <c r="B622" s="102" t="s">
        <v>970</v>
      </c>
      <c r="C622" s="102" t="s">
        <v>153</v>
      </c>
      <c r="D622" t="s">
        <v>15</v>
      </c>
      <c r="E622" t="s">
        <v>16</v>
      </c>
      <c r="F622" t="s">
        <v>19</v>
      </c>
      <c r="G622" t="s">
        <v>122</v>
      </c>
      <c r="H622" t="s">
        <v>1021</v>
      </c>
      <c r="I622" t="s">
        <v>121</v>
      </c>
      <c r="J622" t="s">
        <v>286</v>
      </c>
      <c r="K622" s="28">
        <f t="shared" si="135"/>
        <v>15.11994504352057</v>
      </c>
      <c r="L622" s="28">
        <f t="shared" si="136"/>
        <v>15.159244294711982</v>
      </c>
      <c r="M622" s="28">
        <f t="shared" si="136"/>
        <v>15.212240101283504</v>
      </c>
      <c r="N622" s="28">
        <f t="shared" si="136"/>
        <v>15.276787648225215</v>
      </c>
      <c r="O622" s="28">
        <f t="shared" si="136"/>
        <v>15.354100038796439</v>
      </c>
      <c r="P622" s="28">
        <f t="shared" si="136"/>
        <v>15.445501132757192</v>
      </c>
      <c r="Q622" s="28">
        <f t="shared" si="136"/>
        <v>15.542368253787608</v>
      </c>
      <c r="R622" s="28">
        <f t="shared" si="136"/>
        <v>15.643567978967758</v>
      </c>
      <c r="S622" s="28">
        <f t="shared" si="136"/>
        <v>15.742091989223546</v>
      </c>
      <c r="T622" s="28">
        <f t="shared" si="136"/>
        <v>15.787280907558081</v>
      </c>
      <c r="U622" s="28">
        <f t="shared" si="136"/>
        <v>15.836012504856258</v>
      </c>
      <c r="V622" s="28">
        <f t="shared" si="136"/>
        <v>15.888829637337995</v>
      </c>
      <c r="W622" s="28">
        <f t="shared" si="136"/>
        <v>15.946123298566558</v>
      </c>
      <c r="X622" s="28">
        <f t="shared" si="136"/>
        <v>16.008664249775823</v>
      </c>
      <c r="Y622" s="28">
        <f t="shared" si="136"/>
        <v>16.048917749469023</v>
      </c>
      <c r="Z622" s="28">
        <f t="shared" si="136"/>
        <v>16.092845807842092</v>
      </c>
      <c r="AA622" s="28">
        <f t="shared" si="136"/>
        <v>16.139355719065712</v>
      </c>
      <c r="AB622" s="28">
        <f t="shared" si="136"/>
        <v>16.189504893539258</v>
      </c>
      <c r="AC622" s="28">
        <f t="shared" si="136"/>
        <v>16.243310237377745</v>
      </c>
      <c r="AD622" s="28">
        <f t="shared" si="136"/>
        <v>16.27872559654169</v>
      </c>
      <c r="AE622" s="28">
        <f t="shared" si="136"/>
        <v>16.316901231642056</v>
      </c>
      <c r="AF622" s="28">
        <f t="shared" si="136"/>
        <v>16.357599483637454</v>
      </c>
      <c r="AG622" s="28">
        <f t="shared" si="136"/>
        <v>16.401277791155717</v>
      </c>
      <c r="AH622" s="28">
        <f t="shared" si="136"/>
        <v>16.446379725356415</v>
      </c>
      <c r="AI622" s="28">
        <f t="shared" si="136"/>
        <v>16.474339061625695</v>
      </c>
      <c r="AJ622" s="28">
        <f t="shared" si="136"/>
        <v>16.504371743452488</v>
      </c>
      <c r="AK622" s="28">
        <f t="shared" si="136"/>
        <v>16.53600364177057</v>
      </c>
      <c r="AL622" s="28">
        <f t="shared" si="136"/>
        <v>16.569430654637483</v>
      </c>
      <c r="AM622" s="28">
        <f t="shared" si="136"/>
        <v>16.604829643343088</v>
      </c>
      <c r="AN622" s="28">
        <f t="shared" si="136"/>
        <v>16.624131223085882</v>
      </c>
      <c r="AO622" s="28">
        <f t="shared" si="136"/>
        <v>16.644604707274034</v>
      </c>
      <c r="AP622" s="28">
        <f t="shared" si="136"/>
        <v>16.66667981019215</v>
      </c>
      <c r="AQ622" s="28">
        <f t="shared" si="136"/>
        <v>16.690315463067741</v>
      </c>
      <c r="AR622" s="28">
        <f t="shared" si="136"/>
        <v>16.715812130640956</v>
      </c>
      <c r="AS622" s="28">
        <f t="shared" si="136"/>
        <v>16.724718125544612</v>
      </c>
      <c r="AT622" s="28">
        <f t="shared" si="136"/>
        <v>16.731650898864725</v>
      </c>
      <c r="AU622" s="28">
        <f t="shared" si="136"/>
        <v>16.739594865731469</v>
      </c>
      <c r="AV622" s="28">
        <f t="shared" si="136"/>
        <v>16.749180241295228</v>
      </c>
      <c r="AW622" s="28">
        <f t="shared" si="136"/>
        <v>16.759733790022693</v>
      </c>
      <c r="AY622" s="85"/>
      <c r="AZ622" s="85"/>
    </row>
    <row r="623" spans="1:52" x14ac:dyDescent="0.25">
      <c r="A623" s="102" t="str">
        <f t="shared" si="133"/>
        <v>NI Goats</v>
      </c>
      <c r="B623" s="102" t="s">
        <v>970</v>
      </c>
      <c r="C623" s="102" t="s">
        <v>153</v>
      </c>
      <c r="D623" t="s">
        <v>15</v>
      </c>
      <c r="E623" t="s">
        <v>16</v>
      </c>
      <c r="F623" t="s">
        <v>19</v>
      </c>
      <c r="G623" t="s">
        <v>123</v>
      </c>
      <c r="H623" t="s">
        <v>1021</v>
      </c>
      <c r="I623" t="s">
        <v>121</v>
      </c>
      <c r="J623" t="s">
        <v>286</v>
      </c>
      <c r="K623" s="28">
        <f t="shared" si="135"/>
        <v>22.375967695369447</v>
      </c>
      <c r="L623" s="28">
        <f t="shared" si="136"/>
        <v>22.434126555906317</v>
      </c>
      <c r="M623" s="28">
        <f t="shared" si="136"/>
        <v>22.512554913444735</v>
      </c>
      <c r="N623" s="28">
        <f t="shared" si="136"/>
        <v>22.60807866178018</v>
      </c>
      <c r="O623" s="28">
        <f t="shared" si="136"/>
        <v>22.722493069299134</v>
      </c>
      <c r="P623" s="28">
        <f t="shared" si="136"/>
        <v>22.85775731264793</v>
      </c>
      <c r="Q623" s="28">
        <f t="shared" si="136"/>
        <v>23.001110715367403</v>
      </c>
      <c r="R623" s="28">
        <f t="shared" si="136"/>
        <v>23.150875927799948</v>
      </c>
      <c r="S623" s="28">
        <f t="shared" si="136"/>
        <v>23.296681356613096</v>
      </c>
      <c r="T623" s="28">
        <f t="shared" si="136"/>
        <v>23.363556320373338</v>
      </c>
      <c r="U623" s="28">
        <f t="shared" si="136"/>
        <v>23.435674085599938</v>
      </c>
      <c r="V623" s="28">
        <f t="shared" si="136"/>
        <v>23.513838023813449</v>
      </c>
      <c r="W623" s="28">
        <f t="shared" si="136"/>
        <v>23.598626765380281</v>
      </c>
      <c r="X623" s="28">
        <f t="shared" si="136"/>
        <v>23.691180957863665</v>
      </c>
      <c r="Y623" s="28">
        <f t="shared" si="136"/>
        <v>23.750752008298576</v>
      </c>
      <c r="Z623" s="28">
        <f t="shared" si="136"/>
        <v>23.815761028651949</v>
      </c>
      <c r="AA623" s="28">
        <f t="shared" si="136"/>
        <v>23.884590926383627</v>
      </c>
      <c r="AB623" s="28">
        <f t="shared" si="136"/>
        <v>23.958806560417987</v>
      </c>
      <c r="AC623" s="28">
        <f t="shared" si="136"/>
        <v>24.038432950071041</v>
      </c>
      <c r="AD623" s="28">
        <f t="shared" si="136"/>
        <v>24.090844048807938</v>
      </c>
      <c r="AE623" s="28">
        <f t="shared" si="136"/>
        <v>24.147340072788001</v>
      </c>
      <c r="AF623" s="28">
        <f t="shared" si="136"/>
        <v>24.207569311008498</v>
      </c>
      <c r="AG623" s="28">
        <f t="shared" si="136"/>
        <v>24.272208725715629</v>
      </c>
      <c r="AH623" s="28">
        <f t="shared" si="136"/>
        <v>24.338954961880422</v>
      </c>
      <c r="AI623" s="28">
        <f t="shared" si="136"/>
        <v>24.380331911554812</v>
      </c>
      <c r="AJ623" s="28">
        <f t="shared" si="136"/>
        <v>24.424777199975328</v>
      </c>
      <c r="AK623" s="28">
        <f t="shared" si="136"/>
        <v>24.471589164759028</v>
      </c>
      <c r="AL623" s="28">
        <f t="shared" si="136"/>
        <v>24.521057714936269</v>
      </c>
      <c r="AM623" s="28">
        <f t="shared" si="136"/>
        <v>24.573444587074068</v>
      </c>
      <c r="AN623" s="28">
        <f t="shared" si="136"/>
        <v>24.602008945181939</v>
      </c>
      <c r="AO623" s="28">
        <f t="shared" si="136"/>
        <v>24.632307601657676</v>
      </c>
      <c r="AP623" s="28">
        <f t="shared" si="136"/>
        <v>24.664976489563418</v>
      </c>
      <c r="AQ623" s="28">
        <f t="shared" si="136"/>
        <v>24.699954831328611</v>
      </c>
      <c r="AR623" s="28">
        <f t="shared" si="136"/>
        <v>24.737687283947693</v>
      </c>
      <c r="AS623" s="28">
        <f t="shared" si="136"/>
        <v>24.75086724284872</v>
      </c>
      <c r="AT623" s="28">
        <f t="shared" si="136"/>
        <v>24.76112703621461</v>
      </c>
      <c r="AU623" s="28">
        <f t="shared" si="136"/>
        <v>24.772883292303622</v>
      </c>
      <c r="AV623" s="28">
        <f t="shared" si="136"/>
        <v>24.787068664892292</v>
      </c>
      <c r="AW623" s="28">
        <f t="shared" si="136"/>
        <v>24.802686834450295</v>
      </c>
      <c r="AY623" s="85"/>
      <c r="AZ623" s="85"/>
    </row>
    <row r="624" spans="1:52" x14ac:dyDescent="0.25">
      <c r="A624" s="102" t="str">
        <f t="shared" si="133"/>
        <v>NI Horses</v>
      </c>
      <c r="B624" s="102" t="s">
        <v>970</v>
      </c>
      <c r="C624" s="102" t="s">
        <v>3</v>
      </c>
      <c r="D624" t="s">
        <v>15</v>
      </c>
      <c r="E624" t="s">
        <v>16</v>
      </c>
      <c r="F624" t="s">
        <v>20</v>
      </c>
      <c r="G624" t="s">
        <v>3</v>
      </c>
      <c r="H624" t="s">
        <v>1021</v>
      </c>
      <c r="I624" t="s">
        <v>121</v>
      </c>
      <c r="J624" t="s">
        <v>286</v>
      </c>
      <c r="K624" s="28">
        <f t="shared" si="135"/>
        <v>5.5625078668475236</v>
      </c>
      <c r="L624" s="28">
        <f t="shared" si="136"/>
        <v>5.5999708339814545</v>
      </c>
      <c r="M624" s="28">
        <f t="shared" si="136"/>
        <v>5.6226370840776179</v>
      </c>
      <c r="N624" s="28">
        <f t="shared" si="136"/>
        <v>5.5928142970106265</v>
      </c>
      <c r="O624" s="28">
        <f t="shared" si="136"/>
        <v>5.5623376589201499</v>
      </c>
      <c r="P624" s="28">
        <f t="shared" si="136"/>
        <v>5.5812216853376206</v>
      </c>
      <c r="Q624" s="28">
        <f t="shared" si="136"/>
        <v>5.5836612172513842</v>
      </c>
      <c r="R624" s="28">
        <f t="shared" si="136"/>
        <v>5.5315877353552168</v>
      </c>
      <c r="S624" s="28">
        <f t="shared" si="136"/>
        <v>5.2455147526194601</v>
      </c>
      <c r="T624" s="28">
        <f t="shared" si="136"/>
        <v>5.332808287437901</v>
      </c>
      <c r="U624" s="28">
        <f t="shared" si="136"/>
        <v>5.3901753132609427</v>
      </c>
      <c r="V624" s="28">
        <f t="shared" si="136"/>
        <v>5.440230309739654</v>
      </c>
      <c r="W624" s="28">
        <f t="shared" si="136"/>
        <v>5.5003068027462358</v>
      </c>
      <c r="X624" s="28">
        <f t="shared" si="136"/>
        <v>5.5968430891840955</v>
      </c>
      <c r="Y624" s="28">
        <f t="shared" si="136"/>
        <v>5.7072120457799942</v>
      </c>
      <c r="Z624" s="28">
        <f t="shared" si="136"/>
        <v>5.8264820494807026</v>
      </c>
      <c r="AA624" s="28">
        <f t="shared" si="136"/>
        <v>5.9301104930204529</v>
      </c>
      <c r="AB624" s="28">
        <f t="shared" si="136"/>
        <v>6.0502396904604057</v>
      </c>
      <c r="AC624" s="28">
        <f t="shared" si="136"/>
        <v>6.1907930019013007</v>
      </c>
      <c r="AD624" s="28">
        <f t="shared" si="136"/>
        <v>6.3320471664105931</v>
      </c>
      <c r="AE624" s="28">
        <f t="shared" si="136"/>
        <v>6.4794646415598249</v>
      </c>
      <c r="AF624" s="28">
        <f t="shared" si="136"/>
        <v>6.6296689370175557</v>
      </c>
      <c r="AG624" s="28">
        <f t="shared" si="136"/>
        <v>6.7972348352901832</v>
      </c>
      <c r="AH624" s="28">
        <f t="shared" si="136"/>
        <v>6.9438088425470355</v>
      </c>
      <c r="AI624" s="28">
        <f t="shared" si="136"/>
        <v>7.1048815884414847</v>
      </c>
      <c r="AJ624" s="28">
        <f t="shared" si="136"/>
        <v>7.268627225560472</v>
      </c>
      <c r="AK624" s="28">
        <f t="shared" si="136"/>
        <v>7.42471904610154</v>
      </c>
      <c r="AL624" s="28">
        <f t="shared" si="136"/>
        <v>7.5801220888649867</v>
      </c>
      <c r="AM624" s="28">
        <f t="shared" si="136"/>
        <v>7.7411228012577773</v>
      </c>
      <c r="AN624" s="28">
        <f t="shared" si="136"/>
        <v>7.9163247577118536</v>
      </c>
      <c r="AO624" s="28">
        <f t="shared" si="136"/>
        <v>8.0810947340099517</v>
      </c>
      <c r="AP624" s="28">
        <f t="shared" si="136"/>
        <v>8.2480372843312519</v>
      </c>
      <c r="AQ624" s="28">
        <f t="shared" si="136"/>
        <v>8.4174605770969908</v>
      </c>
      <c r="AR624" s="28">
        <f t="shared" si="136"/>
        <v>8.5983802423376101</v>
      </c>
      <c r="AS624" s="28">
        <f t="shared" si="136"/>
        <v>8.7907471853609671</v>
      </c>
      <c r="AT624" s="28">
        <f t="shared" si="136"/>
        <v>8.8991507547228217</v>
      </c>
      <c r="AU624" s="28">
        <f t="shared" si="136"/>
        <v>9.0016825973480952</v>
      </c>
      <c r="AV624" s="28">
        <f t="shared" si="136"/>
        <v>9.1156705075973274</v>
      </c>
      <c r="AW624" s="28">
        <f t="shared" si="136"/>
        <v>9.2247946500114306</v>
      </c>
      <c r="AY624" s="85"/>
      <c r="AZ624" s="85"/>
    </row>
    <row r="625" spans="1:52" x14ac:dyDescent="0.25">
      <c r="A625" s="102" t="str">
        <f t="shared" si="133"/>
        <v>NI Mules&amp;Asses</v>
      </c>
      <c r="B625" s="102" t="s">
        <v>970</v>
      </c>
      <c r="C625" s="102" t="s">
        <v>1324</v>
      </c>
      <c r="D625" t="s">
        <v>15</v>
      </c>
      <c r="E625" t="s">
        <v>16</v>
      </c>
      <c r="F625" t="s">
        <v>140</v>
      </c>
      <c r="G625" t="s">
        <v>124</v>
      </c>
      <c r="H625" t="s">
        <v>1021</v>
      </c>
      <c r="I625" t="s">
        <v>121</v>
      </c>
      <c r="J625" t="s">
        <v>286</v>
      </c>
      <c r="K625" s="28">
        <f t="shared" si="135"/>
        <v>1.67</v>
      </c>
      <c r="L625" s="28">
        <f t="shared" si="136"/>
        <v>1.67</v>
      </c>
      <c r="M625" s="28">
        <f t="shared" si="136"/>
        <v>1.67</v>
      </c>
      <c r="N625" s="28">
        <f t="shared" si="136"/>
        <v>1.67</v>
      </c>
      <c r="O625" s="28">
        <f t="shared" si="136"/>
        <v>1.67</v>
      </c>
      <c r="P625" s="28">
        <f t="shared" si="136"/>
        <v>1.67</v>
      </c>
      <c r="Q625" s="28">
        <f t="shared" si="136"/>
        <v>1.67</v>
      </c>
      <c r="R625" s="28">
        <f t="shared" si="136"/>
        <v>1.67</v>
      </c>
      <c r="S625" s="28">
        <f t="shared" si="136"/>
        <v>1.67</v>
      </c>
      <c r="T625" s="28">
        <f t="shared" si="136"/>
        <v>1.67</v>
      </c>
      <c r="U625" s="28">
        <f t="shared" si="136"/>
        <v>1.67</v>
      </c>
      <c r="V625" s="28">
        <f t="shared" si="136"/>
        <v>1.67</v>
      </c>
      <c r="W625" s="28">
        <f t="shared" si="136"/>
        <v>1.67</v>
      </c>
      <c r="X625" s="28">
        <f t="shared" si="136"/>
        <v>1.67</v>
      </c>
      <c r="Y625" s="28">
        <f t="shared" si="136"/>
        <v>1.67</v>
      </c>
      <c r="Z625" s="28">
        <f t="shared" si="136"/>
        <v>1.67</v>
      </c>
      <c r="AA625" s="28">
        <f t="shared" si="136"/>
        <v>1.67</v>
      </c>
      <c r="AB625" s="28">
        <f t="shared" si="136"/>
        <v>1.67</v>
      </c>
      <c r="AC625" s="28">
        <f t="shared" si="136"/>
        <v>1.67</v>
      </c>
      <c r="AD625" s="28">
        <f t="shared" si="136"/>
        <v>1.67</v>
      </c>
      <c r="AE625" s="28">
        <f t="shared" si="136"/>
        <v>1.67</v>
      </c>
      <c r="AF625" s="28">
        <f t="shared" si="136"/>
        <v>1.67</v>
      </c>
      <c r="AG625" s="28">
        <f t="shared" si="136"/>
        <v>1.67</v>
      </c>
      <c r="AH625" s="28">
        <f t="shared" si="136"/>
        <v>1.67</v>
      </c>
      <c r="AI625" s="28">
        <f t="shared" si="136"/>
        <v>1.67</v>
      </c>
      <c r="AJ625" s="28">
        <f t="shared" si="136"/>
        <v>1.67</v>
      </c>
      <c r="AK625" s="28">
        <f t="shared" si="136"/>
        <v>1.67</v>
      </c>
      <c r="AL625" s="28">
        <f t="shared" si="136"/>
        <v>1.67</v>
      </c>
      <c r="AM625" s="28">
        <f t="shared" si="136"/>
        <v>1.67</v>
      </c>
      <c r="AN625" s="28">
        <f t="shared" si="136"/>
        <v>1.67</v>
      </c>
      <c r="AO625" s="28">
        <f t="shared" si="136"/>
        <v>1.67</v>
      </c>
      <c r="AP625" s="28">
        <f t="shared" si="136"/>
        <v>1.67</v>
      </c>
      <c r="AQ625" s="28">
        <f t="shared" si="136"/>
        <v>1.67</v>
      </c>
      <c r="AR625" s="28">
        <f t="shared" si="136"/>
        <v>1.67</v>
      </c>
      <c r="AS625" s="28">
        <f t="shared" si="136"/>
        <v>1.67</v>
      </c>
      <c r="AT625" s="28">
        <f t="shared" si="136"/>
        <v>1.67</v>
      </c>
      <c r="AU625" s="28">
        <f t="shared" si="136"/>
        <v>1.67</v>
      </c>
      <c r="AV625" s="28">
        <f t="shared" si="136"/>
        <v>1.67</v>
      </c>
      <c r="AW625" s="28">
        <f t="shared" si="136"/>
        <v>1.67</v>
      </c>
      <c r="AY625" s="85"/>
      <c r="AZ625" s="85"/>
    </row>
    <row r="626" spans="1:52" x14ac:dyDescent="0.25">
      <c r="A626" s="102" t="str">
        <f t="shared" si="133"/>
        <v>NI Swine</v>
      </c>
      <c r="B626" s="102" t="s">
        <v>970</v>
      </c>
      <c r="C626" s="102" t="s">
        <v>155</v>
      </c>
      <c r="D626" t="s">
        <v>15</v>
      </c>
      <c r="E626" t="s">
        <v>16</v>
      </c>
      <c r="F626" t="s">
        <v>21</v>
      </c>
      <c r="G626" t="s">
        <v>122</v>
      </c>
      <c r="H626" t="s">
        <v>1021</v>
      </c>
      <c r="I626" t="s">
        <v>121</v>
      </c>
      <c r="J626" t="s">
        <v>286</v>
      </c>
      <c r="K626" s="28">
        <f t="shared" si="135"/>
        <v>1.8474255451679995</v>
      </c>
      <c r="L626" s="28">
        <f t="shared" si="136"/>
        <v>1.8441604348292597</v>
      </c>
      <c r="M626" s="28">
        <f t="shared" si="136"/>
        <v>1.8338137298795358</v>
      </c>
      <c r="N626" s="28">
        <f t="shared" si="136"/>
        <v>1.7933482851133742</v>
      </c>
      <c r="O626" s="28">
        <f t="shared" si="136"/>
        <v>1.7550816658957487</v>
      </c>
      <c r="P626" s="28">
        <f t="shared" si="136"/>
        <v>1.7489053520701128</v>
      </c>
      <c r="Q626" s="28">
        <f t="shared" si="136"/>
        <v>1.7339122581424293</v>
      </c>
      <c r="R626" s="28">
        <f t="shared" si="136"/>
        <v>1.6877345539497199</v>
      </c>
      <c r="S626" s="28">
        <f t="shared" si="136"/>
        <v>1.5053811336602128</v>
      </c>
      <c r="T626" s="28">
        <f t="shared" si="136"/>
        <v>1.5377628037868112</v>
      </c>
      <c r="U626" s="28">
        <f t="shared" si="136"/>
        <v>1.552673977291076</v>
      </c>
      <c r="V626" s="28">
        <f t="shared" si="136"/>
        <v>1.5635339108098432</v>
      </c>
      <c r="W626" s="28">
        <f t="shared" si="136"/>
        <v>1.5802068350253002</v>
      </c>
      <c r="X626" s="28">
        <f t="shared" si="136"/>
        <v>1.6172323659778973</v>
      </c>
      <c r="Y626" s="28">
        <f t="shared" si="136"/>
        <v>1.6589025382757046</v>
      </c>
      <c r="Z626" s="28">
        <f t="shared" si="136"/>
        <v>1.7047569121988</v>
      </c>
      <c r="AA626" s="28">
        <f t="shared" si="136"/>
        <v>1.7414239138931573</v>
      </c>
      <c r="AB626" s="28">
        <f t="shared" si="136"/>
        <v>1.7863343967077348</v>
      </c>
      <c r="AC626" s="28">
        <f t="shared" si="136"/>
        <v>1.8412944995472851</v>
      </c>
      <c r="AD626" s="28">
        <f t="shared" si="136"/>
        <v>1.8933168508248233</v>
      </c>
      <c r="AE626" s="28">
        <f t="shared" si="136"/>
        <v>1.9474606383722404</v>
      </c>
      <c r="AF626" s="28">
        <f t="shared" si="136"/>
        <v>2.0019218993391705</v>
      </c>
      <c r="AG626" s="28">
        <f t="shared" si="136"/>
        <v>2.0640337310487364</v>
      </c>
      <c r="AH626" s="28">
        <f t="shared" si="136"/>
        <v>2.1143896915844675</v>
      </c>
      <c r="AI626" s="28">
        <f t="shared" si="136"/>
        <v>2.1683478050489855</v>
      </c>
      <c r="AJ626" s="28">
        <f t="shared" si="136"/>
        <v>2.2223161129731017</v>
      </c>
      <c r="AK626" s="28">
        <f t="shared" si="136"/>
        <v>2.2712974627449407</v>
      </c>
      <c r="AL626" s="28">
        <f t="shared" si="136"/>
        <v>2.3187596234531931</v>
      </c>
      <c r="AM626" s="28">
        <f t="shared" si="136"/>
        <v>2.3676923627976345</v>
      </c>
      <c r="AN626" s="28">
        <f t="shared" si="136"/>
        <v>2.4194242817017155</v>
      </c>
      <c r="AO626" s="28">
        <f t="shared" si="136"/>
        <v>2.4649069844651375</v>
      </c>
      <c r="AP626" s="28">
        <f t="shared" si="136"/>
        <v>2.5100582920146528</v>
      </c>
      <c r="AQ626" s="28">
        <f t="shared" si="136"/>
        <v>2.5549982553333939</v>
      </c>
      <c r="AR626" s="28">
        <f t="shared" si="136"/>
        <v>2.6036946475230054</v>
      </c>
      <c r="AS626" s="28">
        <f t="shared" si="136"/>
        <v>2.653097485519059</v>
      </c>
      <c r="AT626" s="28">
        <f t="shared" si="136"/>
        <v>2.6646485873532106</v>
      </c>
      <c r="AU626" s="28">
        <f t="shared" si="136"/>
        <v>2.6730218901162521</v>
      </c>
      <c r="AV626" s="28">
        <f t="shared" si="136"/>
        <v>2.6855920926795118</v>
      </c>
      <c r="AW626" s="28">
        <f t="shared" si="136"/>
        <v>2.6954069255347832</v>
      </c>
      <c r="AY626" s="85"/>
      <c r="AZ626" s="85"/>
    </row>
    <row r="627" spans="1:52" x14ac:dyDescent="0.25">
      <c r="A627" s="102" t="str">
        <f t="shared" si="133"/>
        <v>NI Swine</v>
      </c>
      <c r="B627" s="102" t="s">
        <v>970</v>
      </c>
      <c r="C627" s="102" t="s">
        <v>155</v>
      </c>
      <c r="D627" t="s">
        <v>15</v>
      </c>
      <c r="E627" t="s">
        <v>16</v>
      </c>
      <c r="F627" t="s">
        <v>21</v>
      </c>
      <c r="G627" t="s">
        <v>123</v>
      </c>
      <c r="H627" t="s">
        <v>1021</v>
      </c>
      <c r="I627" t="s">
        <v>121</v>
      </c>
      <c r="J627" t="s">
        <v>286</v>
      </c>
      <c r="K627" s="28">
        <f t="shared" si="135"/>
        <v>0.25598228499623599</v>
      </c>
      <c r="L627" s="28">
        <f t="shared" si="136"/>
        <v>0.25552986600297178</v>
      </c>
      <c r="M627" s="28">
        <f t="shared" si="136"/>
        <v>0.2540962097551519</v>
      </c>
      <c r="N627" s="28">
        <f t="shared" si="136"/>
        <v>0.24848925198533875</v>
      </c>
      <c r="O627" s="28">
        <f t="shared" si="136"/>
        <v>0.24318696705589768</v>
      </c>
      <c r="P627" s="28">
        <f t="shared" si="136"/>
        <v>0.24233116697774282</v>
      </c>
      <c r="Q627" s="28">
        <f t="shared" si="136"/>
        <v>0.24025369952428582</v>
      </c>
      <c r="R627" s="28">
        <f t="shared" si="136"/>
        <v>0.23385524180779091</v>
      </c>
      <c r="S627" s="28">
        <f t="shared" si="136"/>
        <v>0.20858805562825686</v>
      </c>
      <c r="T627" s="28">
        <f t="shared" si="136"/>
        <v>0.21307491245054205</v>
      </c>
      <c r="U627" s="28">
        <f t="shared" si="136"/>
        <v>0.21514102887703648</v>
      </c>
      <c r="V627" s="28">
        <f t="shared" si="136"/>
        <v>0.21664579890921035</v>
      </c>
      <c r="W627" s="28">
        <f t="shared" si="136"/>
        <v>0.21895602637651193</v>
      </c>
      <c r="X627" s="28">
        <f t="shared" si="136"/>
        <v>0.22408634409959116</v>
      </c>
      <c r="Y627" s="28">
        <f t="shared" si="136"/>
        <v>0.22986023087347443</v>
      </c>
      <c r="Z627" s="28">
        <f t="shared" si="136"/>
        <v>0.23621388742250649</v>
      </c>
      <c r="AA627" s="28">
        <f t="shared" si="136"/>
        <v>0.24129452674907209</v>
      </c>
      <c r="AB627" s="28">
        <f t="shared" si="136"/>
        <v>0.24751739621259586</v>
      </c>
      <c r="AC627" s="28">
        <f t="shared" si="136"/>
        <v>0.25513275735410096</v>
      </c>
      <c r="AD627" s="28">
        <f t="shared" si="136"/>
        <v>0.26234105886629538</v>
      </c>
      <c r="AE627" s="28">
        <f t="shared" si="136"/>
        <v>0.26984331003467904</v>
      </c>
      <c r="AF627" s="28">
        <f t="shared" si="136"/>
        <v>0.27738955083586025</v>
      </c>
      <c r="AG627" s="28">
        <f t="shared" si="136"/>
        <v>0.28599586714879749</v>
      </c>
      <c r="AH627" s="28">
        <f t="shared" si="136"/>
        <v>0.29297327085247121</v>
      </c>
      <c r="AI627" s="28">
        <f t="shared" si="136"/>
        <v>0.30044979471826921</v>
      </c>
      <c r="AJ627" s="28">
        <f t="shared" si="136"/>
        <v>0.30792773114495187</v>
      </c>
      <c r="AK627" s="28">
        <f t="shared" si="136"/>
        <v>0.31471466654789126</v>
      </c>
      <c r="AL627" s="28">
        <f t="shared" si="136"/>
        <v>0.32129110064599836</v>
      </c>
      <c r="AM627" s="28">
        <f t="shared" si="136"/>
        <v>0.32807130050914157</v>
      </c>
      <c r="AN627" s="28">
        <f t="shared" si="136"/>
        <v>0.33523935923981285</v>
      </c>
      <c r="AO627" s="28">
        <f t="shared" si="136"/>
        <v>0.3415415164291174</v>
      </c>
      <c r="AP627" s="28">
        <f t="shared" si="136"/>
        <v>0.34779775495917498</v>
      </c>
      <c r="AQ627" s="28">
        <f t="shared" ref="L627:AW634" si="137">AQ1392</f>
        <v>0.35402470928925173</v>
      </c>
      <c r="AR627" s="28">
        <f t="shared" si="137"/>
        <v>0.36077216050663552</v>
      </c>
      <c r="AS627" s="28">
        <f t="shared" si="137"/>
        <v>0.36761749800270155</v>
      </c>
      <c r="AT627" s="28">
        <f t="shared" si="137"/>
        <v>0.36921803743957582</v>
      </c>
      <c r="AU627" s="28">
        <f t="shared" si="137"/>
        <v>0.37037825587428075</v>
      </c>
      <c r="AV627" s="28">
        <f t="shared" si="137"/>
        <v>0.37212000356388308</v>
      </c>
      <c r="AW627" s="28">
        <f t="shared" si="137"/>
        <v>0.37347996275017875</v>
      </c>
      <c r="AY627" s="85"/>
      <c r="AZ627" s="85"/>
    </row>
    <row r="628" spans="1:52" x14ac:dyDescent="0.25">
      <c r="A628" s="102" t="str">
        <f t="shared" si="133"/>
        <v>NI Cattle MMCH4</v>
      </c>
      <c r="B628" s="102" t="s">
        <v>970</v>
      </c>
      <c r="C628" s="102" t="s">
        <v>1230</v>
      </c>
      <c r="D628" t="s">
        <v>15</v>
      </c>
      <c r="E628" t="s">
        <v>22</v>
      </c>
      <c r="F628" t="s">
        <v>6</v>
      </c>
      <c r="G628" t="s">
        <v>136</v>
      </c>
      <c r="H628" t="s">
        <v>1228</v>
      </c>
      <c r="I628" t="s">
        <v>121</v>
      </c>
      <c r="J628" t="s">
        <v>286</v>
      </c>
      <c r="K628" s="28">
        <f t="shared" si="135"/>
        <v>7.3588045650103595</v>
      </c>
      <c r="L628" s="28">
        <f t="shared" si="137"/>
        <v>7.4084916265932694</v>
      </c>
      <c r="M628" s="28">
        <f t="shared" si="137"/>
        <v>7.4519552194142697</v>
      </c>
      <c r="N628" s="28">
        <f t="shared" si="137"/>
        <v>7.4575773262508553</v>
      </c>
      <c r="O628" s="28">
        <f t="shared" si="137"/>
        <v>7.4672608540413012</v>
      </c>
      <c r="P628" s="28">
        <f t="shared" si="137"/>
        <v>7.5228231503520746</v>
      </c>
      <c r="Q628" s="28">
        <f t="shared" si="137"/>
        <v>7.5672526424513036</v>
      </c>
      <c r="R628" s="28">
        <f t="shared" si="137"/>
        <v>7.5676422029096111</v>
      </c>
      <c r="S628" s="28">
        <f t="shared" si="137"/>
        <v>7.3671469631707884</v>
      </c>
      <c r="T628" s="28">
        <f t="shared" si="137"/>
        <v>7.4640051034943111</v>
      </c>
      <c r="U628" s="28">
        <f t="shared" si="137"/>
        <v>7.5373250515588941</v>
      </c>
      <c r="V628" s="28">
        <f t="shared" si="137"/>
        <v>7.6065006875157843</v>
      </c>
      <c r="W628" s="28">
        <f t="shared" si="137"/>
        <v>7.686711876493888</v>
      </c>
      <c r="X628" s="28">
        <f t="shared" si="137"/>
        <v>7.801642363870573</v>
      </c>
      <c r="Y628" s="28">
        <f t="shared" si="137"/>
        <v>7.9212983742327268</v>
      </c>
      <c r="Z628" s="28">
        <f t="shared" si="137"/>
        <v>8.051271811974777</v>
      </c>
      <c r="AA628" s="28">
        <f t="shared" si="137"/>
        <v>8.1694693701055154</v>
      </c>
      <c r="AB628" s="28">
        <f t="shared" si="137"/>
        <v>8.304894934006013</v>
      </c>
      <c r="AC628" s="28">
        <f t="shared" si="137"/>
        <v>8.4613678864677428</v>
      </c>
      <c r="AD628" s="28">
        <f t="shared" si="137"/>
        <v>8.6120126328996225</v>
      </c>
      <c r="AE628" s="28">
        <f t="shared" si="137"/>
        <v>8.7705110877908012</v>
      </c>
      <c r="AF628" s="28">
        <f t="shared" si="137"/>
        <v>8.9338169052653935</v>
      </c>
      <c r="AG628" s="28">
        <f t="shared" si="137"/>
        <v>9.1155300292362771</v>
      </c>
      <c r="AH628" s="28">
        <f t="shared" si="137"/>
        <v>9.2800481861570177</v>
      </c>
      <c r="AI628" s="28">
        <f t="shared" si="137"/>
        <v>9.4510008371933658</v>
      </c>
      <c r="AJ628" s="28">
        <f t="shared" si="137"/>
        <v>9.6264218592694402</v>
      </c>
      <c r="AK628" s="28">
        <f t="shared" si="137"/>
        <v>9.7965990855623915</v>
      </c>
      <c r="AL628" s="28">
        <f t="shared" si="137"/>
        <v>9.9680661021899084</v>
      </c>
      <c r="AM628" s="28">
        <f t="shared" si="137"/>
        <v>10.146806716212263</v>
      </c>
      <c r="AN628" s="28">
        <f t="shared" si="137"/>
        <v>10.331465633171717</v>
      </c>
      <c r="AO628" s="28">
        <f t="shared" si="137"/>
        <v>10.50783381125248</v>
      </c>
      <c r="AP628" s="28">
        <f t="shared" si="137"/>
        <v>10.68792759135736</v>
      </c>
      <c r="AQ628" s="28">
        <f t="shared" si="137"/>
        <v>10.872071544232886</v>
      </c>
      <c r="AR628" s="28">
        <f t="shared" si="137"/>
        <v>11.068995536388829</v>
      </c>
      <c r="AS628" s="28">
        <f t="shared" si="137"/>
        <v>11.268086835721329</v>
      </c>
      <c r="AT628" s="28">
        <f t="shared" si="137"/>
        <v>11.387245372385955</v>
      </c>
      <c r="AU628" s="28">
        <f t="shared" si="137"/>
        <v>11.501774341925307</v>
      </c>
      <c r="AV628" s="28">
        <f t="shared" si="137"/>
        <v>11.628486934141081</v>
      </c>
      <c r="AW628" s="28">
        <f t="shared" si="137"/>
        <v>11.75154763718939</v>
      </c>
      <c r="AY628" s="85"/>
      <c r="AZ628" s="85"/>
    </row>
    <row r="629" spans="1:52" x14ac:dyDescent="0.25">
      <c r="A629" s="102" t="str">
        <f t="shared" si="133"/>
        <v>NI Cattle MMCH4</v>
      </c>
      <c r="B629" s="102" t="s">
        <v>970</v>
      </c>
      <c r="C629" s="102" t="s">
        <v>1230</v>
      </c>
      <c r="D629" t="s">
        <v>15</v>
      </c>
      <c r="E629" t="s">
        <v>22</v>
      </c>
      <c r="F629" t="s">
        <v>6</v>
      </c>
      <c r="G629" t="s">
        <v>137</v>
      </c>
      <c r="H629" t="s">
        <v>1228</v>
      </c>
      <c r="I629" t="s">
        <v>121</v>
      </c>
      <c r="J629" t="s">
        <v>286</v>
      </c>
      <c r="K629" s="28">
        <f t="shared" si="135"/>
        <v>2.0965784624729791</v>
      </c>
      <c r="L629" s="28">
        <f t="shared" si="137"/>
        <v>2.11073467796396</v>
      </c>
      <c r="M629" s="28">
        <f t="shared" si="137"/>
        <v>2.123117780654781</v>
      </c>
      <c r="N629" s="28">
        <f t="shared" si="137"/>
        <v>2.1247195609443885</v>
      </c>
      <c r="O629" s="28">
        <f t="shared" si="137"/>
        <v>2.1274784704420999</v>
      </c>
      <c r="P629" s="28">
        <f t="shared" si="137"/>
        <v>2.1433085842522419</v>
      </c>
      <c r="Q629" s="28">
        <f t="shared" si="137"/>
        <v>2.1559668788721003</v>
      </c>
      <c r="R629" s="28">
        <f t="shared" si="137"/>
        <v>2.1560778675604801</v>
      </c>
      <c r="S629" s="28">
        <f t="shared" si="137"/>
        <v>2.0989552741078059</v>
      </c>
      <c r="T629" s="28">
        <f t="shared" si="137"/>
        <v>2.1265508827591137</v>
      </c>
      <c r="U629" s="28">
        <f t="shared" si="137"/>
        <v>2.14744028437643</v>
      </c>
      <c r="V629" s="28">
        <f t="shared" si="137"/>
        <v>2.1671489404759119</v>
      </c>
      <c r="W629" s="28">
        <f t="shared" si="137"/>
        <v>2.1900017081741403</v>
      </c>
      <c r="X629" s="28">
        <f t="shared" si="137"/>
        <v>2.2227462636772444</v>
      </c>
      <c r="Y629" s="28">
        <f t="shared" si="137"/>
        <v>2.2568371560245644</v>
      </c>
      <c r="Z629" s="28">
        <f t="shared" si="137"/>
        <v>2.2938675606040304</v>
      </c>
      <c r="AA629" s="28">
        <f t="shared" si="137"/>
        <v>2.3275429290017851</v>
      </c>
      <c r="AB629" s="28">
        <f t="shared" si="137"/>
        <v>2.3661266851042466</v>
      </c>
      <c r="AC629" s="28">
        <f t="shared" si="137"/>
        <v>2.4107069996366737</v>
      </c>
      <c r="AD629" s="28">
        <f t="shared" si="137"/>
        <v>2.4536268146777656</v>
      </c>
      <c r="AE629" s="28">
        <f t="shared" si="137"/>
        <v>2.4987842100025621</v>
      </c>
      <c r="AF629" s="28">
        <f t="shared" si="137"/>
        <v>2.545311258885167</v>
      </c>
      <c r="AG629" s="28">
        <f t="shared" si="137"/>
        <v>2.5970826870703236</v>
      </c>
      <c r="AH629" s="28">
        <f t="shared" si="137"/>
        <v>2.6439551405291128</v>
      </c>
      <c r="AI629" s="28">
        <f t="shared" si="137"/>
        <v>2.6926608294897441</v>
      </c>
      <c r="AJ629" s="28">
        <f t="shared" si="137"/>
        <v>2.74263959078182</v>
      </c>
      <c r="AK629" s="28">
        <f t="shared" si="137"/>
        <v>2.7911243554330865</v>
      </c>
      <c r="AL629" s="28">
        <f t="shared" si="137"/>
        <v>2.83997659099796</v>
      </c>
      <c r="AM629" s="28">
        <f t="shared" si="137"/>
        <v>2.8909011288651962</v>
      </c>
      <c r="AN629" s="28">
        <f t="shared" si="137"/>
        <v>2.9435118355065453</v>
      </c>
      <c r="AO629" s="28">
        <f t="shared" si="137"/>
        <v>2.9937604486288318</v>
      </c>
      <c r="AP629" s="28">
        <f t="shared" si="137"/>
        <v>3.045070513634303</v>
      </c>
      <c r="AQ629" s="28">
        <f t="shared" si="137"/>
        <v>3.0975345031563459</v>
      </c>
      <c r="AR629" s="28">
        <f t="shared" si="137"/>
        <v>3.1536396214606754</v>
      </c>
      <c r="AS629" s="28">
        <f t="shared" si="137"/>
        <v>3.2103622217904881</v>
      </c>
      <c r="AT629" s="28">
        <f t="shared" si="137"/>
        <v>3.2443113801604118</v>
      </c>
      <c r="AU629" s="28">
        <f t="shared" si="137"/>
        <v>3.2769415402284139</v>
      </c>
      <c r="AV629" s="28">
        <f t="shared" si="137"/>
        <v>3.3130429055271864</v>
      </c>
      <c r="AW629" s="28">
        <f t="shared" si="137"/>
        <v>3.3481038202869873</v>
      </c>
      <c r="AY629" s="85"/>
      <c r="AZ629" s="85"/>
    </row>
    <row r="630" spans="1:52" x14ac:dyDescent="0.25">
      <c r="A630" s="102" t="str">
        <f t="shared" si="133"/>
        <v>NI Cattle MMCH4</v>
      </c>
      <c r="B630" s="102" t="s">
        <v>970</v>
      </c>
      <c r="C630" s="102" t="s">
        <v>1230</v>
      </c>
      <c r="D630" t="s">
        <v>15</v>
      </c>
      <c r="E630" t="s">
        <v>22</v>
      </c>
      <c r="F630" t="s">
        <v>67</v>
      </c>
      <c r="G630" t="s">
        <v>307</v>
      </c>
      <c r="H630" t="s">
        <v>1228</v>
      </c>
      <c r="I630" t="s">
        <v>121</v>
      </c>
      <c r="J630" t="s">
        <v>286</v>
      </c>
      <c r="K630" s="28">
        <f t="shared" si="135"/>
        <v>0.43302356896670435</v>
      </c>
      <c r="L630" s="28">
        <f t="shared" si="137"/>
        <v>0.43594736841646864</v>
      </c>
      <c r="M630" s="28">
        <f t="shared" si="137"/>
        <v>0.43850495231711395</v>
      </c>
      <c r="N630" s="28">
        <f t="shared" si="137"/>
        <v>0.43883578115568184</v>
      </c>
      <c r="O630" s="28">
        <f t="shared" si="137"/>
        <v>0.43940560139305368</v>
      </c>
      <c r="P630" s="28">
        <f t="shared" si="137"/>
        <v>0.44267512481033205</v>
      </c>
      <c r="Q630" s="28">
        <f t="shared" si="137"/>
        <v>0.44528954636022133</v>
      </c>
      <c r="R630" s="28">
        <f t="shared" si="137"/>
        <v>0.44531246976557798</v>
      </c>
      <c r="S630" s="28">
        <f t="shared" si="137"/>
        <v>0.43351447139430072</v>
      </c>
      <c r="T630" s="28">
        <f t="shared" si="137"/>
        <v>0.43921401909064739</v>
      </c>
      <c r="U630" s="28">
        <f t="shared" si="137"/>
        <v>0.44352847877046275</v>
      </c>
      <c r="V630" s="28">
        <f t="shared" si="137"/>
        <v>0.44759906938106581</v>
      </c>
      <c r="W630" s="28">
        <f t="shared" si="137"/>
        <v>0.45231903918261634</v>
      </c>
      <c r="X630" s="28">
        <f t="shared" si="137"/>
        <v>0.45908204116035195</v>
      </c>
      <c r="Y630" s="28">
        <f t="shared" si="137"/>
        <v>0.46612311314393218</v>
      </c>
      <c r="Z630" s="28">
        <f t="shared" si="137"/>
        <v>0.47377130673090989</v>
      </c>
      <c r="AA630" s="28">
        <f t="shared" si="137"/>
        <v>0.48072655714050544</v>
      </c>
      <c r="AB630" s="28">
        <f t="shared" si="137"/>
        <v>0.48869557717513923</v>
      </c>
      <c r="AC630" s="28">
        <f t="shared" si="137"/>
        <v>0.4979031156717999</v>
      </c>
      <c r="AD630" s="28">
        <f t="shared" si="137"/>
        <v>0.50676769757090157</v>
      </c>
      <c r="AE630" s="28">
        <f t="shared" si="137"/>
        <v>0.51609442530315108</v>
      </c>
      <c r="AF630" s="28">
        <f t="shared" si="137"/>
        <v>0.52570403883360262</v>
      </c>
      <c r="AG630" s="28">
        <f t="shared" si="137"/>
        <v>0.53639681709328069</v>
      </c>
      <c r="AH630" s="28">
        <f t="shared" si="137"/>
        <v>0.54607776986764511</v>
      </c>
      <c r="AI630" s="28">
        <f t="shared" si="137"/>
        <v>0.55613735582649237</v>
      </c>
      <c r="AJ630" s="28">
        <f t="shared" si="137"/>
        <v>0.5664598798696433</v>
      </c>
      <c r="AK630" s="28">
        <f t="shared" si="137"/>
        <v>0.57647383651643525</v>
      </c>
      <c r="AL630" s="28">
        <f t="shared" si="137"/>
        <v>0.58656368994903785</v>
      </c>
      <c r="AM630" s="28">
        <f t="shared" si="137"/>
        <v>0.5970815529958805</v>
      </c>
      <c r="AN630" s="28">
        <f t="shared" si="137"/>
        <v>0.60794767432807506</v>
      </c>
      <c r="AO630" s="28">
        <f t="shared" si="137"/>
        <v>0.61832593308600126</v>
      </c>
      <c r="AP630" s="28">
        <f t="shared" si="137"/>
        <v>0.62892342221902187</v>
      </c>
      <c r="AQ630" s="28">
        <f t="shared" si="137"/>
        <v>0.63975924085958458</v>
      </c>
      <c r="AR630" s="28">
        <f t="shared" si="137"/>
        <v>0.65134709173199301</v>
      </c>
      <c r="AS630" s="28">
        <f t="shared" si="137"/>
        <v>0.66306247623847858</v>
      </c>
      <c r="AT630" s="28">
        <f t="shared" si="137"/>
        <v>0.67007427473965175</v>
      </c>
      <c r="AU630" s="28">
        <f t="shared" si="137"/>
        <v>0.67681364968865065</v>
      </c>
      <c r="AV630" s="28">
        <f t="shared" si="137"/>
        <v>0.68426996116282568</v>
      </c>
      <c r="AW630" s="28">
        <f t="shared" si="137"/>
        <v>0.6915113798420095</v>
      </c>
      <c r="AY630" s="85"/>
      <c r="AZ630" s="85"/>
    </row>
    <row r="631" spans="1:52" x14ac:dyDescent="0.25">
      <c r="A631" s="102" t="str">
        <f t="shared" si="133"/>
        <v>NI Cattle MMCH4</v>
      </c>
      <c r="B631" s="102" t="s">
        <v>970</v>
      </c>
      <c r="C631" s="102" t="s">
        <v>1230</v>
      </c>
      <c r="D631" t="s">
        <v>15</v>
      </c>
      <c r="E631" t="s">
        <v>22</v>
      </c>
      <c r="F631" t="s">
        <v>67</v>
      </c>
      <c r="G631" t="s">
        <v>122</v>
      </c>
      <c r="H631" t="s">
        <v>1228</v>
      </c>
      <c r="I631" t="s">
        <v>121</v>
      </c>
      <c r="J631" t="s">
        <v>286</v>
      </c>
      <c r="K631" s="28">
        <f t="shared" si="135"/>
        <v>9.5339728940472587E-2</v>
      </c>
      <c r="L631" s="28">
        <f t="shared" si="137"/>
        <v>9.4854333679105063E-2</v>
      </c>
      <c r="M631" s="28">
        <f t="shared" si="137"/>
        <v>9.3968398426833952E-2</v>
      </c>
      <c r="N631" s="28">
        <f t="shared" si="137"/>
        <v>9.1543343324502313E-2</v>
      </c>
      <c r="O631" s="28">
        <f t="shared" si="137"/>
        <v>8.9215062552987667E-2</v>
      </c>
      <c r="P631" s="28">
        <f t="shared" si="137"/>
        <v>8.8452938660310093E-2</v>
      </c>
      <c r="Q631" s="28">
        <f t="shared" si="137"/>
        <v>8.7222027489186615E-2</v>
      </c>
      <c r="R631" s="28">
        <f t="shared" si="137"/>
        <v>8.4456409837201651E-2</v>
      </c>
      <c r="S631" s="28">
        <f t="shared" si="137"/>
        <v>7.5177478598092318E-2</v>
      </c>
      <c r="T631" s="28">
        <f t="shared" si="137"/>
        <v>7.7014428210242056E-2</v>
      </c>
      <c r="U631" s="28">
        <f t="shared" si="137"/>
        <v>7.8006612977093048E-2</v>
      </c>
      <c r="V631" s="28">
        <f t="shared" si="137"/>
        <v>7.8795228292272187E-2</v>
      </c>
      <c r="W631" s="28">
        <f t="shared" si="137"/>
        <v>7.9855076548413395E-2</v>
      </c>
      <c r="X631" s="28">
        <f t="shared" si="137"/>
        <v>8.1889840057722874E-2</v>
      </c>
      <c r="Y631" s="28">
        <f t="shared" si="137"/>
        <v>8.4116841663257197E-2</v>
      </c>
      <c r="Z631" s="28">
        <f t="shared" si="137"/>
        <v>8.6543393580483491E-2</v>
      </c>
      <c r="AA631" s="28">
        <f t="shared" si="137"/>
        <v>8.8521952214014571E-2</v>
      </c>
      <c r="AB631" s="28">
        <f t="shared" si="137"/>
        <v>9.0896953770236252E-2</v>
      </c>
      <c r="AC631" s="28">
        <f t="shared" si="137"/>
        <v>9.3757697259475761E-2</v>
      </c>
      <c r="AD631" s="28">
        <f t="shared" si="137"/>
        <v>9.5642150962380226E-2</v>
      </c>
      <c r="AE631" s="28">
        <f t="shared" si="137"/>
        <v>9.7567055281161469E-2</v>
      </c>
      <c r="AF631" s="28">
        <f t="shared" si="137"/>
        <v>9.9442694820459449E-2</v>
      </c>
      <c r="AG631" s="28">
        <f t="shared" si="137"/>
        <v>0.10161266035579665</v>
      </c>
      <c r="AH631" s="28">
        <f t="shared" si="137"/>
        <v>0.10315899021589392</v>
      </c>
      <c r="AI631" s="28">
        <f t="shared" si="137"/>
        <v>0.10478802467890617</v>
      </c>
      <c r="AJ631" s="28">
        <f t="shared" si="137"/>
        <v>0.10634686421883358</v>
      </c>
      <c r="AK631" s="28">
        <f t="shared" si="137"/>
        <v>0.10760625778708158</v>
      </c>
      <c r="AL631" s="28">
        <f t="shared" si="137"/>
        <v>0.10872705455886196</v>
      </c>
      <c r="AM631" s="28">
        <f t="shared" si="137"/>
        <v>0.10984281909628571</v>
      </c>
      <c r="AN631" s="28">
        <f t="shared" si="137"/>
        <v>0.11156015357830804</v>
      </c>
      <c r="AO631" s="28">
        <f t="shared" si="137"/>
        <v>0.11295872622782972</v>
      </c>
      <c r="AP631" s="28">
        <f t="shared" si="137"/>
        <v>0.11430168694304664</v>
      </c>
      <c r="AQ631" s="28">
        <f t="shared" si="137"/>
        <v>0.11559344303067282</v>
      </c>
      <c r="AR631" s="28">
        <f t="shared" si="137"/>
        <v>0.11700506936438095</v>
      </c>
      <c r="AS631" s="28">
        <f t="shared" si="137"/>
        <v>0.11838774199647999</v>
      </c>
      <c r="AT631" s="28">
        <f t="shared" si="137"/>
        <v>0.11810287074263501</v>
      </c>
      <c r="AU631" s="28">
        <f t="shared" si="137"/>
        <v>0.117655872543239</v>
      </c>
      <c r="AV631" s="28">
        <f t="shared" si="137"/>
        <v>0.11736041307434758</v>
      </c>
      <c r="AW631" s="28">
        <f t="shared" si="137"/>
        <v>0.11692074816946382</v>
      </c>
      <c r="AY631" s="85"/>
      <c r="AZ631" s="85"/>
    </row>
    <row r="632" spans="1:52" x14ac:dyDescent="0.25">
      <c r="A632" s="102" t="str">
        <f t="shared" si="133"/>
        <v>NI Cattle MMCH4</v>
      </c>
      <c r="B632" s="102" t="s">
        <v>970</v>
      </c>
      <c r="C632" s="102" t="s">
        <v>1230</v>
      </c>
      <c r="D632" t="s">
        <v>15</v>
      </c>
      <c r="E632" t="s">
        <v>22</v>
      </c>
      <c r="F632" t="s">
        <v>67</v>
      </c>
      <c r="G632" t="s">
        <v>123</v>
      </c>
      <c r="H632" t="s">
        <v>1228</v>
      </c>
      <c r="I632" t="s">
        <v>121</v>
      </c>
      <c r="J632" t="s">
        <v>286</v>
      </c>
      <c r="K632" s="28">
        <f t="shared" si="135"/>
        <v>7.0033293869835936E-2</v>
      </c>
      <c r="L632" s="28">
        <f t="shared" si="137"/>
        <v>6.9676739164256679E-2</v>
      </c>
      <c r="M632" s="28">
        <f t="shared" si="137"/>
        <v>6.9025961523482296E-2</v>
      </c>
      <c r="N632" s="28">
        <f t="shared" si="137"/>
        <v>6.724459924650146E-2</v>
      </c>
      <c r="O632" s="28">
        <f t="shared" si="137"/>
        <v>6.5534324072709205E-2</v>
      </c>
      <c r="P632" s="28">
        <f t="shared" si="137"/>
        <v>6.4974494008849484E-2</v>
      </c>
      <c r="Q632" s="28">
        <f t="shared" si="137"/>
        <v>6.4070308893861602E-2</v>
      </c>
      <c r="R632" s="28">
        <f t="shared" si="137"/>
        <v>6.2038781052262654E-2</v>
      </c>
      <c r="S632" s="28">
        <f t="shared" si="137"/>
        <v>5.5222796514774769E-2</v>
      </c>
      <c r="T632" s="28">
        <f t="shared" si="137"/>
        <v>5.657215667597356E-2</v>
      </c>
      <c r="U632" s="28">
        <f t="shared" si="137"/>
        <v>5.7300981564844748E-2</v>
      </c>
      <c r="V632" s="28">
        <f t="shared" si="137"/>
        <v>5.7880271318780145E-2</v>
      </c>
      <c r="W632" s="28">
        <f t="shared" si="137"/>
        <v>5.865879948541796E-2</v>
      </c>
      <c r="X632" s="28">
        <f t="shared" si="137"/>
        <v>6.0153466948675183E-2</v>
      </c>
      <c r="Y632" s="28">
        <f t="shared" si="137"/>
        <v>6.1789345921924234E-2</v>
      </c>
      <c r="Z632" s="28">
        <f t="shared" si="137"/>
        <v>6.3571807707772474E-2</v>
      </c>
      <c r="AA632" s="28">
        <f t="shared" si="137"/>
        <v>6.5025188997615446E-2</v>
      </c>
      <c r="AB632" s="28">
        <f t="shared" si="137"/>
        <v>6.6769783656910539E-2</v>
      </c>
      <c r="AC632" s="28">
        <f t="shared" si="137"/>
        <v>6.8871187674885259E-2</v>
      </c>
      <c r="AD632" s="28">
        <f t="shared" si="137"/>
        <v>7.0255442711335062E-2</v>
      </c>
      <c r="AE632" s="28">
        <f t="shared" si="137"/>
        <v>7.1669411382388193E-2</v>
      </c>
      <c r="AF632" s="28">
        <f t="shared" si="137"/>
        <v>7.3047191836657727E-2</v>
      </c>
      <c r="AG632" s="28">
        <f t="shared" si="137"/>
        <v>7.4641174069589936E-2</v>
      </c>
      <c r="AH632" s="28">
        <f t="shared" si="137"/>
        <v>7.5777054931801216E-2</v>
      </c>
      <c r="AI632" s="28">
        <f t="shared" si="137"/>
        <v>7.6973687757802431E-2</v>
      </c>
      <c r="AJ632" s="28">
        <f t="shared" si="137"/>
        <v>7.8118757801622474E-2</v>
      </c>
      <c r="AK632" s="28">
        <f t="shared" si="137"/>
        <v>7.904386510833572E-2</v>
      </c>
      <c r="AL632" s="28">
        <f t="shared" si="137"/>
        <v>7.9867163963480023E-2</v>
      </c>
      <c r="AM632" s="28">
        <f t="shared" si="137"/>
        <v>8.0686766311916805E-2</v>
      </c>
      <c r="AN632" s="28">
        <f t="shared" si="137"/>
        <v>8.1948261302398337E-2</v>
      </c>
      <c r="AO632" s="28">
        <f t="shared" si="137"/>
        <v>8.2975604787121515E-2</v>
      </c>
      <c r="AP632" s="28">
        <f t="shared" si="137"/>
        <v>8.3962097652893697E-2</v>
      </c>
      <c r="AQ632" s="28">
        <f t="shared" si="137"/>
        <v>8.491097735601684E-2</v>
      </c>
      <c r="AR632" s="28">
        <f t="shared" si="137"/>
        <v>8.5947909629284627E-2</v>
      </c>
      <c r="AS632" s="28">
        <f t="shared" si="137"/>
        <v>8.6963573506722666E-2</v>
      </c>
      <c r="AT632" s="28">
        <f t="shared" si="137"/>
        <v>8.6754316857293221E-2</v>
      </c>
      <c r="AU632" s="28">
        <f t="shared" si="137"/>
        <v>8.6425967316073798E-2</v>
      </c>
      <c r="AV632" s="28">
        <f t="shared" si="137"/>
        <v>8.6208932927142212E-2</v>
      </c>
      <c r="AW632" s="28">
        <f t="shared" si="137"/>
        <v>8.5885970172473555E-2</v>
      </c>
      <c r="AY632" s="85"/>
      <c r="AZ632" s="85"/>
    </row>
    <row r="633" spans="1:52" x14ac:dyDescent="0.25">
      <c r="A633" s="102" t="str">
        <f t="shared" si="133"/>
        <v>NI Cattle MMCH4</v>
      </c>
      <c r="B633" s="102" t="s">
        <v>970</v>
      </c>
      <c r="C633" s="102" t="s">
        <v>1230</v>
      </c>
      <c r="D633" t="s">
        <v>15</v>
      </c>
      <c r="E633" t="s">
        <v>22</v>
      </c>
      <c r="F633" t="s">
        <v>67</v>
      </c>
      <c r="G633" t="s">
        <v>135</v>
      </c>
      <c r="H633" t="s">
        <v>1228</v>
      </c>
      <c r="I633" t="s">
        <v>121</v>
      </c>
      <c r="J633" t="s">
        <v>286</v>
      </c>
      <c r="K633" s="28">
        <f t="shared" si="135"/>
        <v>0.47241651785764616</v>
      </c>
      <c r="L633" s="28">
        <f t="shared" si="137"/>
        <v>0.49004050540543137</v>
      </c>
      <c r="M633" s="28">
        <f t="shared" si="137"/>
        <v>0.50587338709485186</v>
      </c>
      <c r="N633" s="28">
        <f t="shared" si="137"/>
        <v>0.51330333017852303</v>
      </c>
      <c r="O633" s="28">
        <f t="shared" si="137"/>
        <v>0.52084695794290625</v>
      </c>
      <c r="P633" s="28">
        <f t="shared" si="137"/>
        <v>0.53749845878988001</v>
      </c>
      <c r="Q633" s="28">
        <f t="shared" si="137"/>
        <v>0.55154407690171303</v>
      </c>
      <c r="R633" s="28">
        <f t="shared" si="137"/>
        <v>0.55564430469746628</v>
      </c>
      <c r="S633" s="28">
        <f t="shared" si="137"/>
        <v>0.51452468218759118</v>
      </c>
      <c r="T633" s="28">
        <f t="shared" si="137"/>
        <v>0.53973183707135297</v>
      </c>
      <c r="U633" s="28">
        <f t="shared" si="137"/>
        <v>0.55960980330157661</v>
      </c>
      <c r="V633" s="28">
        <f t="shared" si="137"/>
        <v>0.57846136773715073</v>
      </c>
      <c r="W633" s="28">
        <f t="shared" si="137"/>
        <v>0.59976484808933772</v>
      </c>
      <c r="X633" s="28">
        <f t="shared" si="137"/>
        <v>0.6290799531985618</v>
      </c>
      <c r="Y633" s="28">
        <f t="shared" si="137"/>
        <v>0.66078220006195243</v>
      </c>
      <c r="Z633" s="28">
        <f t="shared" si="137"/>
        <v>0.6950549893868353</v>
      </c>
      <c r="AA633" s="28">
        <f t="shared" si="137"/>
        <v>0.72671447444619408</v>
      </c>
      <c r="AB633" s="28">
        <f t="shared" si="137"/>
        <v>0.76263064102611711</v>
      </c>
      <c r="AC633" s="28">
        <f t="shared" si="137"/>
        <v>0.80381242816688792</v>
      </c>
      <c r="AD633" s="28">
        <f t="shared" si="137"/>
        <v>0.84707112360683778</v>
      </c>
      <c r="AE633" s="28">
        <f t="shared" si="137"/>
        <v>0.89273716244132828</v>
      </c>
      <c r="AF633" s="28">
        <f t="shared" si="137"/>
        <v>0.94011116650043791</v>
      </c>
      <c r="AG633" s="28">
        <f t="shared" si="137"/>
        <v>0.99262429161620569</v>
      </c>
      <c r="AH633" s="28">
        <f t="shared" si="137"/>
        <v>1.0414261811490693</v>
      </c>
      <c r="AI633" s="28">
        <f t="shared" si="137"/>
        <v>1.0934015913217856</v>
      </c>
      <c r="AJ633" s="28">
        <f t="shared" si="137"/>
        <v>1.1471241939805665</v>
      </c>
      <c r="AK633" s="28">
        <f t="shared" si="137"/>
        <v>1.2001095211957744</v>
      </c>
      <c r="AL633" s="28">
        <f t="shared" si="137"/>
        <v>1.2540285808463096</v>
      </c>
      <c r="AM633" s="28">
        <f t="shared" si="137"/>
        <v>1.310466494861908</v>
      </c>
      <c r="AN633" s="28">
        <f t="shared" si="137"/>
        <v>1.3683728665063422</v>
      </c>
      <c r="AO633" s="28">
        <f t="shared" si="137"/>
        <v>1.4246154398643955</v>
      </c>
      <c r="AP633" s="28">
        <f t="shared" si="137"/>
        <v>1.482380812922339</v>
      </c>
      <c r="AQ633" s="28">
        <f t="shared" si="137"/>
        <v>1.541777789137452</v>
      </c>
      <c r="AR633" s="28">
        <f t="shared" si="137"/>
        <v>1.6052115562052296</v>
      </c>
      <c r="AS633" s="28">
        <f t="shared" si="137"/>
        <v>1.670845908904999</v>
      </c>
      <c r="AT633" s="28">
        <f t="shared" si="137"/>
        <v>1.7149867964815078</v>
      </c>
      <c r="AU633" s="28">
        <f t="shared" si="137"/>
        <v>1.7581618430572761</v>
      </c>
      <c r="AV633" s="28">
        <f t="shared" si="137"/>
        <v>1.8050606672101563</v>
      </c>
      <c r="AW633" s="28">
        <f t="shared" si="137"/>
        <v>1.8512821467965566</v>
      </c>
      <c r="AY633" s="85"/>
      <c r="AZ633" s="85"/>
    </row>
    <row r="634" spans="1:52" x14ac:dyDescent="0.25">
      <c r="A634" s="102" t="str">
        <f t="shared" si="133"/>
        <v>NI Sheep MMCH4</v>
      </c>
      <c r="B634" s="102" t="s">
        <v>970</v>
      </c>
      <c r="C634" s="102" t="s">
        <v>1325</v>
      </c>
      <c r="D634" t="s">
        <v>15</v>
      </c>
      <c r="E634" t="s">
        <v>22</v>
      </c>
      <c r="F634" t="s">
        <v>18</v>
      </c>
      <c r="G634" t="s">
        <v>122</v>
      </c>
      <c r="H634" t="s">
        <v>1228</v>
      </c>
      <c r="I634" t="s">
        <v>121</v>
      </c>
      <c r="J634" t="s">
        <v>286</v>
      </c>
      <c r="K634" s="28">
        <f t="shared" si="135"/>
        <v>3.6049467288640238E-2</v>
      </c>
      <c r="L634" s="28">
        <f t="shared" si="137"/>
        <v>3.6068922498919492E-2</v>
      </c>
      <c r="M634" s="28">
        <f t="shared" si="137"/>
        <v>3.6113648368603188E-2</v>
      </c>
      <c r="N634" s="28">
        <f t="shared" si="137"/>
        <v>3.6180048088995075E-2</v>
      </c>
      <c r="O634" s="28">
        <f t="shared" si="137"/>
        <v>3.6269669615497352E-2</v>
      </c>
      <c r="P634" s="28">
        <f t="shared" si="137"/>
        <v>3.6384314095385159E-2</v>
      </c>
      <c r="Q634" s="28">
        <f t="shared" si="137"/>
        <v>3.6510640385803414E-2</v>
      </c>
      <c r="R634" s="28">
        <f t="shared" si="137"/>
        <v>3.6646686440443228E-2</v>
      </c>
      <c r="S634" s="28">
        <f t="shared" si="137"/>
        <v>3.6781472874538444E-2</v>
      </c>
      <c r="T634" s="28">
        <f t="shared" si="137"/>
        <v>3.6836633496849083E-2</v>
      </c>
      <c r="U634" s="28">
        <f t="shared" si="137"/>
        <v>3.6899270096088746E-2</v>
      </c>
      <c r="V634" s="28">
        <f t="shared" si="137"/>
        <v>3.6970107657697912E-2</v>
      </c>
      <c r="W634" s="28">
        <f t="shared" si="137"/>
        <v>3.7049660029312891E-2</v>
      </c>
      <c r="X634" s="28">
        <f t="shared" si="137"/>
        <v>3.7139051899563943E-2</v>
      </c>
      <c r="Y634" s="28">
        <f t="shared" si="137"/>
        <v>3.7195257613770766E-2</v>
      </c>
      <c r="Z634" s="28">
        <f t="shared" si="137"/>
        <v>3.7258548109316066E-2</v>
      </c>
      <c r="AA634" s="28">
        <f t="shared" si="137"/>
        <v>3.7327161924675951E-2</v>
      </c>
      <c r="AB634" s="28">
        <f t="shared" si="137"/>
        <v>3.740270770234231E-2</v>
      </c>
      <c r="AC634" s="28">
        <f t="shared" si="137"/>
        <v>3.7485176791933403E-2</v>
      </c>
      <c r="AD634" s="28">
        <f t="shared" si="137"/>
        <v>3.7539761469788754E-2</v>
      </c>
      <c r="AE634" s="28">
        <f t="shared" si="137"/>
        <v>3.7599656922957594E-2</v>
      </c>
      <c r="AF634" s="28">
        <f t="shared" ref="L634:AW641" si="138">AF1399</f>
        <v>3.7664460791843352E-2</v>
      </c>
      <c r="AG634" s="28">
        <f t="shared" si="138"/>
        <v>3.7734874583025615E-2</v>
      </c>
      <c r="AH634" s="28">
        <f t="shared" si="138"/>
        <v>3.7808406535422022E-2</v>
      </c>
      <c r="AI634" s="28">
        <f t="shared" si="138"/>
        <v>3.7855450290038166E-2</v>
      </c>
      <c r="AJ634" s="28">
        <f t="shared" si="138"/>
        <v>3.790648474498734E-2</v>
      </c>
      <c r="AK634" s="28">
        <f t="shared" si="138"/>
        <v>3.7960736985585587E-2</v>
      </c>
      <c r="AL634" s="28">
        <f t="shared" si="138"/>
        <v>3.8018503990857662E-2</v>
      </c>
      <c r="AM634" s="28">
        <f t="shared" si="138"/>
        <v>3.8080056384553931E-2</v>
      </c>
      <c r="AN634" s="28">
        <f t="shared" si="138"/>
        <v>3.8116334504626079E-2</v>
      </c>
      <c r="AO634" s="28">
        <f t="shared" si="138"/>
        <v>3.8154989670212594E-2</v>
      </c>
      <c r="AP634" s="28">
        <f t="shared" si="138"/>
        <v>3.8196703080821404E-2</v>
      </c>
      <c r="AQ634" s="28">
        <f t="shared" si="138"/>
        <v>3.8241401151067764E-2</v>
      </c>
      <c r="AR634" s="28">
        <f t="shared" si="138"/>
        <v>3.828956377958781E-2</v>
      </c>
      <c r="AS634" s="28">
        <f t="shared" si="138"/>
        <v>3.8311270646145826E-2</v>
      </c>
      <c r="AT634" s="28">
        <f t="shared" si="138"/>
        <v>3.8330111932378036E-2</v>
      </c>
      <c r="AU634" s="28">
        <f t="shared" si="138"/>
        <v>3.8350912132151166E-2</v>
      </c>
      <c r="AV634" s="28">
        <f t="shared" si="138"/>
        <v>3.8374692407557622E-2</v>
      </c>
      <c r="AW634" s="28">
        <f t="shared" si="138"/>
        <v>3.8400354082293926E-2</v>
      </c>
      <c r="AY634" s="85"/>
      <c r="AZ634" s="85"/>
    </row>
    <row r="635" spans="1:52" x14ac:dyDescent="0.25">
      <c r="A635" s="102" t="str">
        <f t="shared" si="133"/>
        <v>NI Sheep MMCH4</v>
      </c>
      <c r="B635" s="102" t="s">
        <v>970</v>
      </c>
      <c r="C635" s="102" t="s">
        <v>1325</v>
      </c>
      <c r="D635" t="s">
        <v>15</v>
      </c>
      <c r="E635" t="s">
        <v>22</v>
      </c>
      <c r="F635" t="s">
        <v>18</v>
      </c>
      <c r="G635" t="s">
        <v>123</v>
      </c>
      <c r="H635" t="s">
        <v>1228</v>
      </c>
      <c r="I635" t="s">
        <v>121</v>
      </c>
      <c r="J635" t="s">
        <v>286</v>
      </c>
      <c r="K635" s="28">
        <f t="shared" si="135"/>
        <v>4.1170209951421942E-3</v>
      </c>
      <c r="L635" s="28">
        <f t="shared" si="138"/>
        <v>4.1192428728898823E-3</v>
      </c>
      <c r="M635" s="28">
        <f t="shared" si="138"/>
        <v>4.12435078039485E-3</v>
      </c>
      <c r="N635" s="28">
        <f t="shared" si="138"/>
        <v>4.1319339449597016E-3</v>
      </c>
      <c r="O635" s="28">
        <f t="shared" si="138"/>
        <v>4.1421691504697385E-3</v>
      </c>
      <c r="P635" s="28">
        <f t="shared" si="138"/>
        <v>4.1552620965289999E-3</v>
      </c>
      <c r="Q635" s="28">
        <f t="shared" si="138"/>
        <v>4.1696891610325101E-3</v>
      </c>
      <c r="R635" s="28">
        <f t="shared" si="138"/>
        <v>4.1852262689396433E-3</v>
      </c>
      <c r="S635" s="28">
        <f t="shared" si="138"/>
        <v>4.2006195221765729E-3</v>
      </c>
      <c r="T635" s="28">
        <f t="shared" si="138"/>
        <v>4.2069191281690734E-3</v>
      </c>
      <c r="U635" s="28">
        <f t="shared" si="138"/>
        <v>4.2140725263613192E-3</v>
      </c>
      <c r="V635" s="28">
        <f t="shared" si="138"/>
        <v>4.2221625135462756E-3</v>
      </c>
      <c r="W635" s="28">
        <f t="shared" si="138"/>
        <v>4.2312477735732788E-3</v>
      </c>
      <c r="X635" s="28">
        <f t="shared" si="138"/>
        <v>4.2414567512447637E-3</v>
      </c>
      <c r="Y635" s="28">
        <f t="shared" si="138"/>
        <v>4.2478757117132681E-3</v>
      </c>
      <c r="Z635" s="28">
        <f t="shared" si="138"/>
        <v>4.2551037879804332E-3</v>
      </c>
      <c r="AA635" s="28">
        <f t="shared" si="138"/>
        <v>4.2629398127441735E-3</v>
      </c>
      <c r="AB635" s="28">
        <f t="shared" si="138"/>
        <v>4.2715675006447032E-3</v>
      </c>
      <c r="AC635" s="28">
        <f t="shared" si="138"/>
        <v>4.2809858637671951E-3</v>
      </c>
      <c r="AD635" s="28">
        <f t="shared" si="138"/>
        <v>4.2872196941576481E-3</v>
      </c>
      <c r="AE635" s="28">
        <f t="shared" si="138"/>
        <v>4.294060040402857E-3</v>
      </c>
      <c r="AF635" s="28">
        <f t="shared" si="138"/>
        <v>4.3014609511190394E-3</v>
      </c>
      <c r="AG635" s="28">
        <f t="shared" si="138"/>
        <v>4.3095025417013294E-3</v>
      </c>
      <c r="AH635" s="28">
        <f t="shared" si="138"/>
        <v>4.3179002411570773E-3</v>
      </c>
      <c r="AI635" s="28">
        <f t="shared" si="138"/>
        <v>4.3232728621695939E-3</v>
      </c>
      <c r="AJ635" s="28">
        <f t="shared" si="138"/>
        <v>4.3291012401819257E-3</v>
      </c>
      <c r="AK635" s="28">
        <f t="shared" si="138"/>
        <v>4.335297104653045E-3</v>
      </c>
      <c r="AL635" s="28">
        <f t="shared" si="138"/>
        <v>4.3418943720031399E-3</v>
      </c>
      <c r="AM635" s="28">
        <f t="shared" si="138"/>
        <v>4.3489239487544346E-3</v>
      </c>
      <c r="AN635" s="28">
        <f t="shared" si="138"/>
        <v>4.3530670829873327E-3</v>
      </c>
      <c r="AO635" s="28">
        <f t="shared" si="138"/>
        <v>4.3574816871482253E-3</v>
      </c>
      <c r="AP635" s="28">
        <f t="shared" si="138"/>
        <v>4.362245557467872E-3</v>
      </c>
      <c r="AQ635" s="28">
        <f t="shared" si="138"/>
        <v>4.3673502901445905E-3</v>
      </c>
      <c r="AR635" s="28">
        <f t="shared" si="138"/>
        <v>4.3728506918900767E-3</v>
      </c>
      <c r="AS635" s="28">
        <f t="shared" si="138"/>
        <v>4.3753297195173796E-3</v>
      </c>
      <c r="AT635" s="28">
        <f t="shared" si="138"/>
        <v>4.3774814842126074E-3</v>
      </c>
      <c r="AU635" s="28">
        <f t="shared" si="138"/>
        <v>4.3798569661714264E-3</v>
      </c>
      <c r="AV635" s="28">
        <f t="shared" si="138"/>
        <v>4.3825727869721814E-3</v>
      </c>
      <c r="AW635" s="28">
        <f t="shared" si="138"/>
        <v>4.385503472544146E-3</v>
      </c>
      <c r="AY635" s="85"/>
      <c r="AZ635" s="85"/>
    </row>
    <row r="636" spans="1:52" x14ac:dyDescent="0.25">
      <c r="A636" s="102" t="str">
        <f t="shared" si="133"/>
        <v>NI Goats MMCH4</v>
      </c>
      <c r="B636" s="102" t="s">
        <v>970</v>
      </c>
      <c r="C636" s="102" t="s">
        <v>1326</v>
      </c>
      <c r="D636" t="s">
        <v>15</v>
      </c>
      <c r="E636" t="s">
        <v>22</v>
      </c>
      <c r="F636" t="s">
        <v>19</v>
      </c>
      <c r="G636" t="s">
        <v>122</v>
      </c>
      <c r="H636" t="s">
        <v>1228</v>
      </c>
      <c r="I636" t="s">
        <v>121</v>
      </c>
      <c r="J636" t="s">
        <v>286</v>
      </c>
      <c r="K636" s="28">
        <f t="shared" si="135"/>
        <v>1.5786050776084536E-2</v>
      </c>
      <c r="L636" s="28">
        <f t="shared" si="138"/>
        <v>1.5827081346829606E-2</v>
      </c>
      <c r="M636" s="28">
        <f t="shared" si="138"/>
        <v>1.5882411871580165E-2</v>
      </c>
      <c r="N636" s="28">
        <f t="shared" si="138"/>
        <v>1.5949803045989901E-2</v>
      </c>
      <c r="O636" s="28">
        <f t="shared" si="138"/>
        <v>1.6030521416305728E-2</v>
      </c>
      <c r="P636" s="28">
        <f t="shared" si="138"/>
        <v>1.6125949164627635E-2</v>
      </c>
      <c r="Q636" s="28">
        <f t="shared" si="138"/>
        <v>1.6227083744595871E-2</v>
      </c>
      <c r="R636" s="28">
        <f t="shared" si="138"/>
        <v>1.6332741800602117E-2</v>
      </c>
      <c r="S636" s="28">
        <f t="shared" si="138"/>
        <v>1.6435606263672888E-2</v>
      </c>
      <c r="T636" s="28">
        <f t="shared" si="138"/>
        <v>1.6482785969504622E-2</v>
      </c>
      <c r="U636" s="28">
        <f t="shared" si="138"/>
        <v>1.6533664426214255E-2</v>
      </c>
      <c r="V636" s="28">
        <f t="shared" si="138"/>
        <v>1.6588808405428729E-2</v>
      </c>
      <c r="W636" s="28">
        <f t="shared" si="138"/>
        <v>1.6648626125843623E-2</v>
      </c>
      <c r="X636" s="28">
        <f t="shared" si="138"/>
        <v>1.671392230440329E-2</v>
      </c>
      <c r="Y636" s="28">
        <f t="shared" si="138"/>
        <v>1.6755949162850392E-2</v>
      </c>
      <c r="Z636" s="28">
        <f t="shared" si="138"/>
        <v>1.6801812461822448E-2</v>
      </c>
      <c r="AA636" s="28">
        <f t="shared" si="138"/>
        <v>1.6850371356583897E-2</v>
      </c>
      <c r="AB636" s="28">
        <f t="shared" si="138"/>
        <v>1.6902729841508243E-2</v>
      </c>
      <c r="AC636" s="28">
        <f t="shared" si="138"/>
        <v>1.6958905567505546E-2</v>
      </c>
      <c r="AD636" s="28">
        <f t="shared" si="138"/>
        <v>1.6995881142245144E-2</v>
      </c>
      <c r="AE636" s="28">
        <f t="shared" si="138"/>
        <v>1.7035738596248386E-2</v>
      </c>
      <c r="AF636" s="28">
        <f t="shared" si="138"/>
        <v>1.7078229800458981E-2</v>
      </c>
      <c r="AG636" s="28">
        <f t="shared" si="138"/>
        <v>1.7123832345859253E-2</v>
      </c>
      <c r="AH636" s="28">
        <f t="shared" si="138"/>
        <v>1.7170921235490962E-2</v>
      </c>
      <c r="AI636" s="28">
        <f t="shared" si="138"/>
        <v>1.720011231394674E-2</v>
      </c>
      <c r="AJ636" s="28">
        <f t="shared" si="138"/>
        <v>1.7231468078725984E-2</v>
      </c>
      <c r="AK636" s="28">
        <f t="shared" si="138"/>
        <v>1.7264493513114532E-2</v>
      </c>
      <c r="AL636" s="28">
        <f t="shared" si="138"/>
        <v>1.7299393145414187E-2</v>
      </c>
      <c r="AM636" s="28">
        <f t="shared" si="138"/>
        <v>1.7336351628498631E-2</v>
      </c>
      <c r="AN636" s="28">
        <f t="shared" si="138"/>
        <v>1.7356503534937538E-2</v>
      </c>
      <c r="AO636" s="28">
        <f t="shared" si="138"/>
        <v>1.7377878973805026E-2</v>
      </c>
      <c r="AP636" s="28">
        <f t="shared" si="138"/>
        <v>1.7400926590350561E-2</v>
      </c>
      <c r="AQ636" s="28">
        <f t="shared" si="138"/>
        <v>1.7425603506526253E-2</v>
      </c>
      <c r="AR636" s="28">
        <f t="shared" si="138"/>
        <v>1.7452223423977883E-2</v>
      </c>
      <c r="AS636" s="28">
        <f t="shared" si="138"/>
        <v>1.7461521770457056E-2</v>
      </c>
      <c r="AT636" s="28">
        <f t="shared" si="138"/>
        <v>1.7468759965525583E-2</v>
      </c>
      <c r="AU636" s="28">
        <f t="shared" si="138"/>
        <v>1.7477053902041951E-2</v>
      </c>
      <c r="AV636" s="28">
        <f t="shared" si="138"/>
        <v>1.7487061559141349E-2</v>
      </c>
      <c r="AW636" s="28">
        <f t="shared" si="138"/>
        <v>1.7498080042052506E-2</v>
      </c>
      <c r="AY636" s="85"/>
      <c r="AZ636" s="85"/>
    </row>
    <row r="637" spans="1:52" x14ac:dyDescent="0.25">
      <c r="A637" s="102" t="str">
        <f t="shared" si="133"/>
        <v>NI Goats MMCH4</v>
      </c>
      <c r="B637" s="102" t="s">
        <v>970</v>
      </c>
      <c r="C637" s="102" t="s">
        <v>1326</v>
      </c>
      <c r="D637" t="s">
        <v>15</v>
      </c>
      <c r="E637" t="s">
        <v>22</v>
      </c>
      <c r="F637" t="s">
        <v>19</v>
      </c>
      <c r="G637" t="s">
        <v>123</v>
      </c>
      <c r="H637" t="s">
        <v>1228</v>
      </c>
      <c r="I637" t="s">
        <v>121</v>
      </c>
      <c r="J637" t="s">
        <v>286</v>
      </c>
      <c r="K637" s="28">
        <f t="shared" si="135"/>
        <v>2.6586118821625565E-2</v>
      </c>
      <c r="L637" s="28">
        <f t="shared" si="138"/>
        <v>2.6655220564969766E-2</v>
      </c>
      <c r="M637" s="28">
        <f t="shared" si="138"/>
        <v>2.674840561336134E-2</v>
      </c>
      <c r="N637" s="28">
        <f t="shared" si="138"/>
        <v>2.6861902636511708E-2</v>
      </c>
      <c r="O637" s="28">
        <f t="shared" si="138"/>
        <v>2.6997844691604787E-2</v>
      </c>
      <c r="P637" s="28">
        <f t="shared" si="138"/>
        <v>2.7158559584249745E-2</v>
      </c>
      <c r="Q637" s="28">
        <f t="shared" si="138"/>
        <v>2.7328885652380994E-2</v>
      </c>
      <c r="R637" s="28">
        <f t="shared" si="138"/>
        <v>2.7506829944546809E-2</v>
      </c>
      <c r="S637" s="28">
        <f t="shared" si="138"/>
        <v>2.7680069399842709E-2</v>
      </c>
      <c r="T637" s="28">
        <f t="shared" si="138"/>
        <v>2.7759527225172408E-2</v>
      </c>
      <c r="U637" s="28">
        <f t="shared" si="138"/>
        <v>2.7845214311494997E-2</v>
      </c>
      <c r="V637" s="28">
        <f t="shared" si="138"/>
        <v>2.7938085188732656E-2</v>
      </c>
      <c r="W637" s="28">
        <f t="shared" si="138"/>
        <v>2.8038827359472312E-2</v>
      </c>
      <c r="X637" s="28">
        <f t="shared" si="138"/>
        <v>2.814879608986658E-2</v>
      </c>
      <c r="Y637" s="28">
        <f t="shared" si="138"/>
        <v>2.821957573375743E-2</v>
      </c>
      <c r="Z637" s="28">
        <f t="shared" si="138"/>
        <v>2.8296816529021451E-2</v>
      </c>
      <c r="AA637" s="28">
        <f t="shared" si="138"/>
        <v>2.8378597119004759E-2</v>
      </c>
      <c r="AB637" s="28">
        <f t="shared" si="138"/>
        <v>2.8466776798727306E-2</v>
      </c>
      <c r="AC637" s="28">
        <f t="shared" si="138"/>
        <v>2.8561385295015548E-2</v>
      </c>
      <c r="AD637" s="28">
        <f t="shared" si="138"/>
        <v>2.8623657806200815E-2</v>
      </c>
      <c r="AE637" s="28">
        <f t="shared" si="138"/>
        <v>2.8690783841907163E-2</v>
      </c>
      <c r="AF637" s="28">
        <f t="shared" si="138"/>
        <v>2.876234551493359E-2</v>
      </c>
      <c r="AG637" s="28">
        <f t="shared" si="138"/>
        <v>2.8839147161385727E-2</v>
      </c>
      <c r="AH637" s="28">
        <f t="shared" si="138"/>
        <v>2.891845203837394E-2</v>
      </c>
      <c r="AI637" s="28">
        <f t="shared" si="138"/>
        <v>2.8967614269723933E-2</v>
      </c>
      <c r="AJ637" s="28">
        <f t="shared" si="138"/>
        <v>2.9020422163223609E-2</v>
      </c>
      <c r="AK637" s="28">
        <f t="shared" si="138"/>
        <v>2.9076042035175369E-2</v>
      </c>
      <c r="AL637" s="28">
        <f t="shared" si="138"/>
        <v>2.9134818342455165E-2</v>
      </c>
      <c r="AM637" s="28">
        <f t="shared" si="138"/>
        <v>2.9197062068684575E-2</v>
      </c>
      <c r="AN637" s="28">
        <f t="shared" si="138"/>
        <v>2.9231000954772463E-2</v>
      </c>
      <c r="AO637" s="28">
        <f t="shared" si="138"/>
        <v>2.926700045620928E-2</v>
      </c>
      <c r="AP637" s="28">
        <f t="shared" si="138"/>
        <v>2.9305816160068741E-2</v>
      </c>
      <c r="AQ637" s="28">
        <f t="shared" si="138"/>
        <v>2.9347375853174006E-2</v>
      </c>
      <c r="AR637" s="28">
        <f t="shared" si="138"/>
        <v>2.9392207856974665E-2</v>
      </c>
      <c r="AS637" s="28">
        <f t="shared" si="138"/>
        <v>2.9407867691587285E-2</v>
      </c>
      <c r="AT637" s="28">
        <f t="shared" si="138"/>
        <v>2.9420057916797852E-2</v>
      </c>
      <c r="AU637" s="28">
        <f t="shared" si="138"/>
        <v>2.9434026171737036E-2</v>
      </c>
      <c r="AV637" s="28">
        <f t="shared" si="138"/>
        <v>2.9450880593691244E-2</v>
      </c>
      <c r="AW637" s="28">
        <f t="shared" si="138"/>
        <v>2.9469437400587745E-2</v>
      </c>
      <c r="AY637" s="85"/>
      <c r="AZ637" s="85"/>
    </row>
    <row r="638" spans="1:52" x14ac:dyDescent="0.25">
      <c r="A638" s="102" t="str">
        <f t="shared" si="133"/>
        <v>NI Horses MMCH4</v>
      </c>
      <c r="B638" s="102" t="s">
        <v>970</v>
      </c>
      <c r="C638" s="102" t="s">
        <v>1327</v>
      </c>
      <c r="D638" t="s">
        <v>15</v>
      </c>
      <c r="E638" t="s">
        <v>22</v>
      </c>
      <c r="F638" t="s">
        <v>20</v>
      </c>
      <c r="G638" t="s">
        <v>3</v>
      </c>
      <c r="H638" t="s">
        <v>1228</v>
      </c>
      <c r="I638" t="s">
        <v>121</v>
      </c>
      <c r="J638" t="s">
        <v>286</v>
      </c>
      <c r="K638" s="28">
        <f t="shared" si="135"/>
        <v>4.1409780786531561E-3</v>
      </c>
      <c r="L638" s="28">
        <f t="shared" si="138"/>
        <v>4.1688671764084162E-3</v>
      </c>
      <c r="M638" s="28">
        <f t="shared" si="138"/>
        <v>4.1857409403688933E-3</v>
      </c>
      <c r="N638" s="28">
        <f t="shared" si="138"/>
        <v>4.1635395322190223E-3</v>
      </c>
      <c r="O638" s="28">
        <f t="shared" si="138"/>
        <v>4.1408513683072233E-3</v>
      </c>
      <c r="P638" s="28">
        <f t="shared" si="138"/>
        <v>4.1549094768624506E-3</v>
      </c>
      <c r="Q638" s="28">
        <f t="shared" si="138"/>
        <v>4.1567255728426969E-3</v>
      </c>
      <c r="R638" s="28">
        <f t="shared" si="138"/>
        <v>4.1179597585422178E-3</v>
      </c>
      <c r="S638" s="28">
        <f t="shared" si="138"/>
        <v>3.9049943158389311E-3</v>
      </c>
      <c r="T638" s="28">
        <f t="shared" si="138"/>
        <v>3.9699795028704365E-3</v>
      </c>
      <c r="U638" s="28">
        <f t="shared" si="138"/>
        <v>4.0126860665387013E-3</v>
      </c>
      <c r="V638" s="28">
        <f t="shared" si="138"/>
        <v>4.0499492305839649E-3</v>
      </c>
      <c r="W638" s="28">
        <f t="shared" si="138"/>
        <v>4.09467284204442E-3</v>
      </c>
      <c r="X638" s="28">
        <f t="shared" si="138"/>
        <v>4.1665387441703824E-3</v>
      </c>
      <c r="Y638" s="28">
        <f t="shared" si="138"/>
        <v>4.248702300747329E-3</v>
      </c>
      <c r="Z638" s="28">
        <f t="shared" si="138"/>
        <v>4.3374921923911899E-3</v>
      </c>
      <c r="AA638" s="28">
        <f t="shared" si="138"/>
        <v>4.414637811470782E-3</v>
      </c>
      <c r="AB638" s="28">
        <f t="shared" si="138"/>
        <v>4.5040673251205239E-3</v>
      </c>
      <c r="AC638" s="28">
        <f t="shared" si="138"/>
        <v>4.6087014569709678E-3</v>
      </c>
      <c r="AD638" s="28">
        <f t="shared" si="138"/>
        <v>4.7138573349945522E-3</v>
      </c>
      <c r="AE638" s="28">
        <f t="shared" si="138"/>
        <v>4.8236014553834257E-3</v>
      </c>
      <c r="AF638" s="28">
        <f t="shared" si="138"/>
        <v>4.9354202086686252E-3</v>
      </c>
      <c r="AG638" s="28">
        <f t="shared" si="138"/>
        <v>5.0601637107160246E-3</v>
      </c>
      <c r="AH638" s="28">
        <f t="shared" si="138"/>
        <v>5.1692799161183493E-3</v>
      </c>
      <c r="AI638" s="28">
        <f t="shared" si="138"/>
        <v>5.2891896269508833E-3</v>
      </c>
      <c r="AJ638" s="28">
        <f t="shared" si="138"/>
        <v>5.4110891568061297E-3</v>
      </c>
      <c r="AK638" s="28">
        <f t="shared" si="138"/>
        <v>5.5272908454311459E-3</v>
      </c>
      <c r="AL638" s="28">
        <f t="shared" si="138"/>
        <v>5.6429797772661562E-3</v>
      </c>
      <c r="AM638" s="28">
        <f t="shared" si="138"/>
        <v>5.7628358631585681E-3</v>
      </c>
      <c r="AN638" s="28">
        <f t="shared" si="138"/>
        <v>5.8932639862966018E-3</v>
      </c>
      <c r="AO638" s="28">
        <f t="shared" si="138"/>
        <v>6.015926079762964E-3</v>
      </c>
      <c r="AP638" s="28">
        <f t="shared" si="138"/>
        <v>6.1402055338910435E-3</v>
      </c>
      <c r="AQ638" s="28">
        <f t="shared" si="138"/>
        <v>6.266331762949981E-3</v>
      </c>
      <c r="AR638" s="28">
        <f t="shared" si="138"/>
        <v>6.4010164026291104E-3</v>
      </c>
      <c r="AS638" s="28">
        <f t="shared" si="138"/>
        <v>6.544222904657609E-3</v>
      </c>
      <c r="AT638" s="28">
        <f t="shared" si="138"/>
        <v>6.6249233396269902E-3</v>
      </c>
      <c r="AU638" s="28">
        <f t="shared" si="138"/>
        <v>6.7012526002480271E-3</v>
      </c>
      <c r="AV638" s="28">
        <f t="shared" si="138"/>
        <v>6.7861102667668991E-3</v>
      </c>
      <c r="AW638" s="28">
        <f t="shared" si="138"/>
        <v>6.8673471283418426E-3</v>
      </c>
      <c r="AY638" s="85"/>
      <c r="AZ638" s="85"/>
    </row>
    <row r="639" spans="1:52" x14ac:dyDescent="0.25">
      <c r="A639" s="102" t="str">
        <f t="shared" si="133"/>
        <v>NI Mules MMCH4</v>
      </c>
      <c r="B639" s="102" t="s">
        <v>970</v>
      </c>
      <c r="C639" s="102" t="s">
        <v>1328</v>
      </c>
      <c r="D639" t="s">
        <v>15</v>
      </c>
      <c r="E639" t="s">
        <v>22</v>
      </c>
      <c r="F639" t="s">
        <v>140</v>
      </c>
      <c r="G639" t="s">
        <v>124</v>
      </c>
      <c r="H639" t="s">
        <v>1228</v>
      </c>
      <c r="I639" t="s">
        <v>121</v>
      </c>
      <c r="J639" t="s">
        <v>286</v>
      </c>
      <c r="K639" s="28">
        <f t="shared" si="135"/>
        <v>7.515E-4</v>
      </c>
      <c r="L639" s="28">
        <f t="shared" si="138"/>
        <v>7.515E-4</v>
      </c>
      <c r="M639" s="28">
        <f t="shared" si="138"/>
        <v>7.515E-4</v>
      </c>
      <c r="N639" s="28">
        <f t="shared" si="138"/>
        <v>7.515E-4</v>
      </c>
      <c r="O639" s="28">
        <f t="shared" si="138"/>
        <v>7.515E-4</v>
      </c>
      <c r="P639" s="28">
        <f t="shared" si="138"/>
        <v>7.515E-4</v>
      </c>
      <c r="Q639" s="28">
        <f t="shared" si="138"/>
        <v>7.515E-4</v>
      </c>
      <c r="R639" s="28">
        <f t="shared" si="138"/>
        <v>7.515E-4</v>
      </c>
      <c r="S639" s="28">
        <f t="shared" si="138"/>
        <v>7.515E-4</v>
      </c>
      <c r="T639" s="28">
        <f t="shared" si="138"/>
        <v>7.515E-4</v>
      </c>
      <c r="U639" s="28">
        <f t="shared" si="138"/>
        <v>7.515E-4</v>
      </c>
      <c r="V639" s="28">
        <f t="shared" si="138"/>
        <v>7.515E-4</v>
      </c>
      <c r="W639" s="28">
        <f t="shared" si="138"/>
        <v>7.515E-4</v>
      </c>
      <c r="X639" s="28">
        <f t="shared" si="138"/>
        <v>7.515E-4</v>
      </c>
      <c r="Y639" s="28">
        <f t="shared" si="138"/>
        <v>7.515E-4</v>
      </c>
      <c r="Z639" s="28">
        <f t="shared" si="138"/>
        <v>7.515E-4</v>
      </c>
      <c r="AA639" s="28">
        <f t="shared" si="138"/>
        <v>7.515E-4</v>
      </c>
      <c r="AB639" s="28">
        <f t="shared" si="138"/>
        <v>7.515E-4</v>
      </c>
      <c r="AC639" s="28">
        <f t="shared" si="138"/>
        <v>7.515E-4</v>
      </c>
      <c r="AD639" s="28">
        <f t="shared" si="138"/>
        <v>7.515E-4</v>
      </c>
      <c r="AE639" s="28">
        <f t="shared" si="138"/>
        <v>7.515E-4</v>
      </c>
      <c r="AF639" s="28">
        <f t="shared" si="138"/>
        <v>7.515E-4</v>
      </c>
      <c r="AG639" s="28">
        <f t="shared" si="138"/>
        <v>7.515E-4</v>
      </c>
      <c r="AH639" s="28">
        <f t="shared" si="138"/>
        <v>7.515E-4</v>
      </c>
      <c r="AI639" s="28">
        <f t="shared" si="138"/>
        <v>7.515E-4</v>
      </c>
      <c r="AJ639" s="28">
        <f t="shared" si="138"/>
        <v>7.515E-4</v>
      </c>
      <c r="AK639" s="28">
        <f t="shared" si="138"/>
        <v>7.515E-4</v>
      </c>
      <c r="AL639" s="28">
        <f t="shared" si="138"/>
        <v>7.515E-4</v>
      </c>
      <c r="AM639" s="28">
        <f t="shared" si="138"/>
        <v>7.515E-4</v>
      </c>
      <c r="AN639" s="28">
        <f t="shared" si="138"/>
        <v>7.515E-4</v>
      </c>
      <c r="AO639" s="28">
        <f t="shared" si="138"/>
        <v>7.515E-4</v>
      </c>
      <c r="AP639" s="28">
        <f t="shared" si="138"/>
        <v>7.515E-4</v>
      </c>
      <c r="AQ639" s="28">
        <f t="shared" si="138"/>
        <v>7.515E-4</v>
      </c>
      <c r="AR639" s="28">
        <f t="shared" si="138"/>
        <v>7.515E-4</v>
      </c>
      <c r="AS639" s="28">
        <f t="shared" si="138"/>
        <v>7.515E-4</v>
      </c>
      <c r="AT639" s="28">
        <f t="shared" si="138"/>
        <v>7.515E-4</v>
      </c>
      <c r="AU639" s="28">
        <f t="shared" si="138"/>
        <v>7.515E-4</v>
      </c>
      <c r="AV639" s="28">
        <f t="shared" si="138"/>
        <v>7.515E-4</v>
      </c>
      <c r="AW639" s="28">
        <f t="shared" si="138"/>
        <v>7.515E-4</v>
      </c>
      <c r="AY639" s="85"/>
      <c r="AZ639" s="85"/>
    </row>
    <row r="640" spans="1:52" x14ac:dyDescent="0.25">
      <c r="A640" s="102" t="str">
        <f t="shared" si="133"/>
        <v>NI Swine MMCH4</v>
      </c>
      <c r="B640" s="102" t="s">
        <v>970</v>
      </c>
      <c r="C640" s="102" t="s">
        <v>1231</v>
      </c>
      <c r="D640" t="s">
        <v>15</v>
      </c>
      <c r="E640" t="s">
        <v>22</v>
      </c>
      <c r="F640" t="s">
        <v>21</v>
      </c>
      <c r="G640" t="s">
        <v>122</v>
      </c>
      <c r="H640" t="s">
        <v>1228</v>
      </c>
      <c r="I640" t="s">
        <v>121</v>
      </c>
      <c r="J640" t="s">
        <v>286</v>
      </c>
      <c r="K640" s="28">
        <f t="shared" si="135"/>
        <v>23.371743761076022</v>
      </c>
      <c r="L640" s="28">
        <f t="shared" si="138"/>
        <v>23.330436915239524</v>
      </c>
      <c r="M640" s="28">
        <f t="shared" si="138"/>
        <v>23.199540957083649</v>
      </c>
      <c r="N640" s="28">
        <f t="shared" si="138"/>
        <v>22.687613421640428</v>
      </c>
      <c r="O640" s="28">
        <f t="shared" si="138"/>
        <v>22.203503184399075</v>
      </c>
      <c r="P640" s="28">
        <f t="shared" si="138"/>
        <v>22.125366761256988</v>
      </c>
      <c r="Q640" s="28">
        <f t="shared" si="138"/>
        <v>21.935689428722483</v>
      </c>
      <c r="R640" s="28">
        <f t="shared" si="138"/>
        <v>21.35149621309353</v>
      </c>
      <c r="S640" s="28">
        <f t="shared" si="138"/>
        <v>19.044546726490758</v>
      </c>
      <c r="T640" s="28">
        <f t="shared" si="138"/>
        <v>19.454206590041967</v>
      </c>
      <c r="U640" s="28">
        <f t="shared" si="138"/>
        <v>19.642847548932107</v>
      </c>
      <c r="V640" s="28">
        <f t="shared" si="138"/>
        <v>19.780236351488622</v>
      </c>
      <c r="W640" s="28">
        <f t="shared" si="138"/>
        <v>19.991165183522316</v>
      </c>
      <c r="X640" s="28">
        <f t="shared" si="138"/>
        <v>20.459574437852073</v>
      </c>
      <c r="Y640" s="28">
        <f t="shared" si="138"/>
        <v>20.986742957293373</v>
      </c>
      <c r="Z640" s="28">
        <f t="shared" si="138"/>
        <v>21.566845728123951</v>
      </c>
      <c r="AA640" s="28">
        <f t="shared" si="138"/>
        <v>22.030719235951583</v>
      </c>
      <c r="AB640" s="28">
        <f t="shared" si="138"/>
        <v>22.598880859175789</v>
      </c>
      <c r="AC640" s="28">
        <f t="shared" si="138"/>
        <v>23.294180025092402</v>
      </c>
      <c r="AD640" s="28">
        <f t="shared" si="138"/>
        <v>23.952313754534117</v>
      </c>
      <c r="AE640" s="28">
        <f t="shared" si="138"/>
        <v>24.63728573195543</v>
      </c>
      <c r="AF640" s="28">
        <f t="shared" si="138"/>
        <v>25.326274059281189</v>
      </c>
      <c r="AG640" s="28">
        <f t="shared" si="138"/>
        <v>26.11204960463073</v>
      </c>
      <c r="AH640" s="28">
        <f t="shared" si="138"/>
        <v>26.749101858001481</v>
      </c>
      <c r="AI640" s="28">
        <f t="shared" si="138"/>
        <v>27.431724876299679</v>
      </c>
      <c r="AJ640" s="28">
        <f t="shared" si="138"/>
        <v>28.114476864503132</v>
      </c>
      <c r="AK640" s="28">
        <f t="shared" si="138"/>
        <v>28.734138944489672</v>
      </c>
      <c r="AL640" s="28">
        <f t="shared" si="138"/>
        <v>29.334581793903347</v>
      </c>
      <c r="AM640" s="28">
        <f t="shared" si="138"/>
        <v>29.953628904341453</v>
      </c>
      <c r="AN640" s="28">
        <f t="shared" si="138"/>
        <v>30.608088379613569</v>
      </c>
      <c r="AO640" s="28">
        <f t="shared" si="138"/>
        <v>31.183489146008849</v>
      </c>
      <c r="AP640" s="28">
        <f t="shared" si="138"/>
        <v>31.754697438156203</v>
      </c>
      <c r="AQ640" s="28">
        <f t="shared" si="138"/>
        <v>32.323232018651169</v>
      </c>
      <c r="AR640" s="28">
        <f t="shared" si="138"/>
        <v>32.939289105942862</v>
      </c>
      <c r="AS640" s="28">
        <f t="shared" si="138"/>
        <v>33.564283425055578</v>
      </c>
      <c r="AT640" s="28">
        <f t="shared" si="138"/>
        <v>33.710416184198159</v>
      </c>
      <c r="AU640" s="28">
        <f t="shared" si="138"/>
        <v>33.816346670611303</v>
      </c>
      <c r="AV640" s="28">
        <f t="shared" si="138"/>
        <v>33.97537205277176</v>
      </c>
      <c r="AW640" s="28">
        <f t="shared" si="138"/>
        <v>34.099539307658524</v>
      </c>
      <c r="AY640" s="85"/>
      <c r="AZ640" s="85"/>
    </row>
    <row r="641" spans="1:52" x14ac:dyDescent="0.25">
      <c r="A641" s="102" t="str">
        <f t="shared" si="133"/>
        <v>NI Swine MMCH4</v>
      </c>
      <c r="B641" s="102" t="s">
        <v>970</v>
      </c>
      <c r="C641" s="102" t="s">
        <v>1231</v>
      </c>
      <c r="D641" t="s">
        <v>15</v>
      </c>
      <c r="E641" t="s">
        <v>22</v>
      </c>
      <c r="F641" t="s">
        <v>21</v>
      </c>
      <c r="G641" t="s">
        <v>123</v>
      </c>
      <c r="H641" t="s">
        <v>1228</v>
      </c>
      <c r="I641" t="s">
        <v>121</v>
      </c>
      <c r="J641" t="s">
        <v>286</v>
      </c>
      <c r="K641" s="28">
        <f t="shared" si="135"/>
        <v>7.8242315709845453E-2</v>
      </c>
      <c r="L641" s="28">
        <f t="shared" si="138"/>
        <v>7.8104031493402004E-2</v>
      </c>
      <c r="M641" s="28">
        <f t="shared" si="138"/>
        <v>7.7665827010763841E-2</v>
      </c>
      <c r="N641" s="28">
        <f t="shared" si="138"/>
        <v>7.5952031229919295E-2</v>
      </c>
      <c r="O641" s="28">
        <f t="shared" si="138"/>
        <v>7.4331360286072609E-2</v>
      </c>
      <c r="P641" s="28">
        <f t="shared" si="138"/>
        <v>7.4069780544722574E-2</v>
      </c>
      <c r="Q641" s="28">
        <f t="shared" si="138"/>
        <v>7.343479182129313E-2</v>
      </c>
      <c r="R641" s="28">
        <f t="shared" si="138"/>
        <v>7.1479069968441278E-2</v>
      </c>
      <c r="S641" s="28">
        <f t="shared" si="138"/>
        <v>6.3756023202968359E-2</v>
      </c>
      <c r="T641" s="28">
        <f t="shared" si="138"/>
        <v>6.5127454308207822E-2</v>
      </c>
      <c r="U641" s="28">
        <f t="shared" ref="L641:AW647" si="139">U1406</f>
        <v>6.5758973531256606E-2</v>
      </c>
      <c r="V641" s="28">
        <f t="shared" si="139"/>
        <v>6.6218914311650043E-2</v>
      </c>
      <c r="W641" s="28">
        <f t="shared" si="139"/>
        <v>6.6925047342929228E-2</v>
      </c>
      <c r="X641" s="28">
        <f t="shared" si="139"/>
        <v>6.8493155616464185E-2</v>
      </c>
      <c r="Y641" s="28">
        <f t="shared" si="139"/>
        <v>7.0257974114907237E-2</v>
      </c>
      <c r="Z641" s="28">
        <f t="shared" si="139"/>
        <v>7.2200002258099263E-2</v>
      </c>
      <c r="AA641" s="28">
        <f t="shared" si="139"/>
        <v>7.3752926071568817E-2</v>
      </c>
      <c r="AB641" s="28">
        <f t="shared" si="139"/>
        <v>7.5654978462394759E-2</v>
      </c>
      <c r="AC641" s="28">
        <f t="shared" si="139"/>
        <v>7.7982653171161778E-2</v>
      </c>
      <c r="AD641" s="28">
        <f t="shared" si="139"/>
        <v>8.0185907988803429E-2</v>
      </c>
      <c r="AE641" s="28">
        <f t="shared" si="139"/>
        <v>8.247901004647068E-2</v>
      </c>
      <c r="AF641" s="28">
        <f t="shared" si="139"/>
        <v>8.4785557764009881E-2</v>
      </c>
      <c r="AG641" s="28">
        <f t="shared" si="139"/>
        <v>8.7416123070767446E-2</v>
      </c>
      <c r="AH641" s="28">
        <f t="shared" si="139"/>
        <v>8.9548802773294175E-2</v>
      </c>
      <c r="AI641" s="28">
        <f t="shared" si="139"/>
        <v>9.1834041147225251E-2</v>
      </c>
      <c r="AJ641" s="28">
        <f t="shared" si="139"/>
        <v>9.4119711277731624E-2</v>
      </c>
      <c r="AK641" s="28">
        <f t="shared" si="139"/>
        <v>9.6194173354304288E-2</v>
      </c>
      <c r="AL641" s="28">
        <f t="shared" si="139"/>
        <v>9.820429461311192E-2</v>
      </c>
      <c r="AM641" s="28">
        <f t="shared" si="139"/>
        <v>0.10027669793694233</v>
      </c>
      <c r="AN641" s="28">
        <f t="shared" si="139"/>
        <v>0.10246765233927585</v>
      </c>
      <c r="AO641" s="28">
        <f t="shared" si="139"/>
        <v>0.10439393943553288</v>
      </c>
      <c r="AP641" s="28">
        <f t="shared" si="139"/>
        <v>0.10630619125495884</v>
      </c>
      <c r="AQ641" s="28">
        <f t="shared" si="139"/>
        <v>0.10820949220647513</v>
      </c>
      <c r="AR641" s="28">
        <f t="shared" si="139"/>
        <v>0.1102718857365395</v>
      </c>
      <c r="AS641" s="28">
        <f t="shared" si="139"/>
        <v>0.11236419871638305</v>
      </c>
      <c r="AT641" s="28">
        <f t="shared" si="139"/>
        <v>0.11285341191302209</v>
      </c>
      <c r="AU641" s="28">
        <f t="shared" si="139"/>
        <v>0.11320803870706722</v>
      </c>
      <c r="AV641" s="28">
        <f t="shared" si="139"/>
        <v>0.11374041293999027</v>
      </c>
      <c r="AW641" s="28">
        <f t="shared" si="139"/>
        <v>0.11415609153278124</v>
      </c>
      <c r="AY641" s="85"/>
      <c r="AZ641" s="85"/>
    </row>
    <row r="642" spans="1:52" x14ac:dyDescent="0.25">
      <c r="A642" s="102" t="str">
        <f t="shared" si="133"/>
        <v>NI Poultry MMCH4</v>
      </c>
      <c r="B642" s="102" t="s">
        <v>970</v>
      </c>
      <c r="C642" s="102" t="s">
        <v>1232</v>
      </c>
      <c r="D642" t="s">
        <v>15</v>
      </c>
      <c r="E642" t="s">
        <v>22</v>
      </c>
      <c r="F642" t="s">
        <v>28</v>
      </c>
      <c r="G642" t="s">
        <v>131</v>
      </c>
      <c r="H642" t="s">
        <v>1228</v>
      </c>
      <c r="I642" t="s">
        <v>121</v>
      </c>
      <c r="J642" t="s">
        <v>286</v>
      </c>
      <c r="K642" s="28">
        <f t="shared" si="135"/>
        <v>0.55747442882718667</v>
      </c>
      <c r="L642" s="28">
        <f t="shared" si="139"/>
        <v>0.57000466235661118</v>
      </c>
      <c r="M642" s="28">
        <f t="shared" si="139"/>
        <v>0.58133812133078289</v>
      </c>
      <c r="N642" s="28">
        <f t="shared" si="139"/>
        <v>0.58718909348293968</v>
      </c>
      <c r="O642" s="28">
        <f t="shared" si="139"/>
        <v>0.59320136752099994</v>
      </c>
      <c r="P642" s="28">
        <f t="shared" si="139"/>
        <v>0.60517178839490071</v>
      </c>
      <c r="Q642" s="28">
        <f t="shared" si="139"/>
        <v>0.61540759790167998</v>
      </c>
      <c r="R642" s="28">
        <f t="shared" si="139"/>
        <v>0.61929285714109983</v>
      </c>
      <c r="S642" s="28">
        <f t="shared" si="139"/>
        <v>0.59469792033381752</v>
      </c>
      <c r="T642" s="28">
        <f t="shared" si="139"/>
        <v>0.6123961678050206</v>
      </c>
      <c r="U642" s="28">
        <f t="shared" si="139"/>
        <v>0.62670000214524924</v>
      </c>
      <c r="V642" s="28">
        <f t="shared" si="139"/>
        <v>0.64033072034628857</v>
      </c>
      <c r="W642" s="28">
        <f t="shared" si="139"/>
        <v>0.65546604439463374</v>
      </c>
      <c r="X642" s="28">
        <f t="shared" si="139"/>
        <v>0.67555681395741984</v>
      </c>
      <c r="Y642" s="28">
        <f t="shared" si="139"/>
        <v>0.69665833659280063</v>
      </c>
      <c r="Z642" s="28">
        <f t="shared" si="139"/>
        <v>0.7192776675745407</v>
      </c>
      <c r="AA642" s="28">
        <f t="shared" si="139"/>
        <v>0.74020059701318874</v>
      </c>
      <c r="AB642" s="28">
        <f t="shared" si="139"/>
        <v>0.7636741686553643</v>
      </c>
      <c r="AC642" s="28">
        <f t="shared" si="139"/>
        <v>0.79029892011866243</v>
      </c>
      <c r="AD642" s="28">
        <f t="shared" si="139"/>
        <v>0.81639549054517768</v>
      </c>
      <c r="AE642" s="28">
        <f t="shared" si="139"/>
        <v>0.84372718721281392</v>
      </c>
      <c r="AF642" s="28">
        <f t="shared" si="139"/>
        <v>0.87185215188264154</v>
      </c>
      <c r="AG642" s="28">
        <f t="shared" si="139"/>
        <v>0.90282405951998446</v>
      </c>
      <c r="AH642" s="28">
        <f t="shared" si="139"/>
        <v>0.93129930364506475</v>
      </c>
      <c r="AI642" s="28">
        <f t="shared" si="139"/>
        <v>0.96108950462978437</v>
      </c>
      <c r="AJ642" s="28">
        <f t="shared" si="139"/>
        <v>0.99164854163197635</v>
      </c>
      <c r="AK642" s="28">
        <f t="shared" si="139"/>
        <v>1.0214996622641284</v>
      </c>
      <c r="AL642" s="28">
        <f t="shared" si="139"/>
        <v>1.0516345292230644</v>
      </c>
      <c r="AM642" s="28">
        <f t="shared" si="139"/>
        <v>1.0829748845958596</v>
      </c>
      <c r="AN642" s="28">
        <f t="shared" si="139"/>
        <v>1.1155704742631816</v>
      </c>
      <c r="AO642" s="28">
        <f t="shared" si="139"/>
        <v>1.1469836186626363</v>
      </c>
      <c r="AP642" s="28">
        <f t="shared" si="139"/>
        <v>1.1790678557525369</v>
      </c>
      <c r="AQ642" s="28">
        <f t="shared" si="139"/>
        <v>1.2118785602379014</v>
      </c>
      <c r="AR642" s="28">
        <f t="shared" si="139"/>
        <v>1.246786730113024</v>
      </c>
      <c r="AS642" s="28">
        <f t="shared" si="139"/>
        <v>1.2823996493212451</v>
      </c>
      <c r="AT642" s="28">
        <f t="shared" si="139"/>
        <v>1.3055397260898673</v>
      </c>
      <c r="AU642" s="28">
        <f t="shared" si="139"/>
        <v>1.3279825002684047</v>
      </c>
      <c r="AV642" s="28">
        <f t="shared" si="139"/>
        <v>1.3523851767933999</v>
      </c>
      <c r="AW642" s="28">
        <f t="shared" si="139"/>
        <v>1.3762491253290834</v>
      </c>
      <c r="AY642" s="85"/>
      <c r="AZ642" s="85"/>
    </row>
    <row r="643" spans="1:52" x14ac:dyDescent="0.25">
      <c r="A643" s="102" t="str">
        <f t="shared" si="133"/>
        <v>NI Poultry MMCH4</v>
      </c>
      <c r="B643" s="102" t="s">
        <v>970</v>
      </c>
      <c r="C643" s="102" t="s">
        <v>1232</v>
      </c>
      <c r="D643" t="s">
        <v>15</v>
      </c>
      <c r="E643" t="s">
        <v>22</v>
      </c>
      <c r="F643" t="s">
        <v>28</v>
      </c>
      <c r="G643" t="s">
        <v>132</v>
      </c>
      <c r="H643" t="s">
        <v>1228</v>
      </c>
      <c r="I643" t="s">
        <v>121</v>
      </c>
      <c r="J643" t="s">
        <v>286</v>
      </c>
      <c r="K643" s="28">
        <f t="shared" si="135"/>
        <v>2.2247786627421906</v>
      </c>
      <c r="L643" s="28">
        <f t="shared" si="139"/>
        <v>2.2660704090846675</v>
      </c>
      <c r="M643" s="28">
        <f t="shared" si="139"/>
        <v>2.2931151480493956</v>
      </c>
      <c r="N643" s="28">
        <f t="shared" si="139"/>
        <v>2.263369089113628</v>
      </c>
      <c r="O643" s="28">
        <f t="shared" si="139"/>
        <v>2.2345214699411633</v>
      </c>
      <c r="P643" s="28">
        <f t="shared" si="139"/>
        <v>2.2631068961220624</v>
      </c>
      <c r="Q643" s="28">
        <f t="shared" si="139"/>
        <v>2.2741216722530595</v>
      </c>
      <c r="R643" s="28">
        <f t="shared" si="139"/>
        <v>2.2236230251769533</v>
      </c>
      <c r="S643" s="28">
        <f t="shared" si="139"/>
        <v>1.9032751826814061</v>
      </c>
      <c r="T643" s="28">
        <f t="shared" si="139"/>
        <v>2.0050045794652438</v>
      </c>
      <c r="U643" s="28">
        <f t="shared" si="139"/>
        <v>2.0731097774643854</v>
      </c>
      <c r="V643" s="28">
        <f t="shared" si="139"/>
        <v>2.1336466102427849</v>
      </c>
      <c r="W643" s="28">
        <f t="shared" si="139"/>
        <v>2.2067504039451395</v>
      </c>
      <c r="X643" s="28">
        <f t="shared" si="139"/>
        <v>2.3234221592291906</v>
      </c>
      <c r="Y643" s="28">
        <f t="shared" si="139"/>
        <v>2.453906612866656</v>
      </c>
      <c r="Z643" s="28">
        <f t="shared" si="139"/>
        <v>2.5958043881375255</v>
      </c>
      <c r="AA643" s="28">
        <f t="shared" si="139"/>
        <v>2.7204030410253512</v>
      </c>
      <c r="AB643" s="28">
        <f t="shared" si="139"/>
        <v>2.8654695762209732</v>
      </c>
      <c r="AC643" s="28">
        <f t="shared" si="139"/>
        <v>3.0358111573505431</v>
      </c>
      <c r="AD643" s="28">
        <f t="shared" si="139"/>
        <v>3.2044547295521539</v>
      </c>
      <c r="AE643" s="28">
        <f t="shared" si="139"/>
        <v>3.3813518114103016</v>
      </c>
      <c r="AF643" s="28">
        <f t="shared" si="139"/>
        <v>3.5625886999419771</v>
      </c>
      <c r="AG643" s="28">
        <f t="shared" si="139"/>
        <v>3.7655312365602969</v>
      </c>
      <c r="AH643" s="28">
        <f t="shared" si="139"/>
        <v>3.9447479907962553</v>
      </c>
      <c r="AI643" s="28">
        <f t="shared" si="139"/>
        <v>4.137705183266208</v>
      </c>
      <c r="AJ643" s="28">
        <f t="shared" si="139"/>
        <v>4.3346785117208917</v>
      </c>
      <c r="AK643" s="28">
        <f t="shared" si="139"/>
        <v>4.5234159579201654</v>
      </c>
      <c r="AL643" s="28">
        <f t="shared" si="139"/>
        <v>4.7122444809677875</v>
      </c>
      <c r="AM643" s="28">
        <f t="shared" si="139"/>
        <v>4.9087124214298683</v>
      </c>
      <c r="AN643" s="28">
        <f t="shared" si="139"/>
        <v>5.1177627309781579</v>
      </c>
      <c r="AO643" s="28">
        <f t="shared" si="139"/>
        <v>5.3149689082675069</v>
      </c>
      <c r="AP643" s="28">
        <f t="shared" si="139"/>
        <v>5.5154282999919104</v>
      </c>
      <c r="AQ643" s="28">
        <f t="shared" si="139"/>
        <v>5.7195487127572893</v>
      </c>
      <c r="AR643" s="28">
        <f t="shared" si="139"/>
        <v>5.93816190134776</v>
      </c>
      <c r="AS643" s="28">
        <f t="shared" si="139"/>
        <v>6.1647117891186287</v>
      </c>
      <c r="AT643" s="28">
        <f t="shared" si="139"/>
        <v>6.2911645282791966</v>
      </c>
      <c r="AU643" s="28">
        <f t="shared" si="139"/>
        <v>6.4110178863707459</v>
      </c>
      <c r="AV643" s="28">
        <f t="shared" si="139"/>
        <v>6.5450035893341036</v>
      </c>
      <c r="AW643" s="28">
        <f t="shared" si="139"/>
        <v>6.6736178617827129</v>
      </c>
      <c r="AY643" s="85"/>
      <c r="AZ643" s="85"/>
    </row>
    <row r="644" spans="1:52" x14ac:dyDescent="0.25">
      <c r="A644" s="102" t="str">
        <f t="shared" si="133"/>
        <v>NI Poultry MMCH4</v>
      </c>
      <c r="B644" s="102" t="s">
        <v>970</v>
      </c>
      <c r="C644" s="102" t="s">
        <v>1232</v>
      </c>
      <c r="D644" t="s">
        <v>15</v>
      </c>
      <c r="E644" t="s">
        <v>22</v>
      </c>
      <c r="F644" t="s">
        <v>28</v>
      </c>
      <c r="G644" t="s">
        <v>134</v>
      </c>
      <c r="H644" t="s">
        <v>1228</v>
      </c>
      <c r="I644" t="s">
        <v>121</v>
      </c>
      <c r="J644" t="s">
        <v>286</v>
      </c>
      <c r="K644" s="28">
        <f t="shared" si="135"/>
        <v>2.3228101201132799E-2</v>
      </c>
      <c r="L644" s="28">
        <f t="shared" si="139"/>
        <v>2.3750194264858821E-2</v>
      </c>
      <c r="M644" s="28">
        <f t="shared" si="139"/>
        <v>2.4222421722115972E-2</v>
      </c>
      <c r="N644" s="28">
        <f t="shared" si="139"/>
        <v>2.4466212228455842E-2</v>
      </c>
      <c r="O644" s="28">
        <f t="shared" si="139"/>
        <v>2.4716723646708353E-2</v>
      </c>
      <c r="P644" s="28">
        <f t="shared" si="139"/>
        <v>2.5215491183120883E-2</v>
      </c>
      <c r="Q644" s="28">
        <f t="shared" si="139"/>
        <v>2.564198324590336E-2</v>
      </c>
      <c r="R644" s="28">
        <f t="shared" si="139"/>
        <v>2.5803869047545849E-2</v>
      </c>
      <c r="S644" s="28">
        <f t="shared" si="139"/>
        <v>2.4779080013909088E-2</v>
      </c>
      <c r="T644" s="28">
        <f t="shared" si="139"/>
        <v>2.5516506991875881E-2</v>
      </c>
      <c r="U644" s="28">
        <f t="shared" si="139"/>
        <v>2.6112500089385413E-2</v>
      </c>
      <c r="V644" s="28">
        <f t="shared" si="139"/>
        <v>2.6680446681095382E-2</v>
      </c>
      <c r="W644" s="28">
        <f t="shared" si="139"/>
        <v>2.7311085183109759E-2</v>
      </c>
      <c r="X644" s="28">
        <f t="shared" si="139"/>
        <v>2.8148200581559191E-2</v>
      </c>
      <c r="Y644" s="28">
        <f t="shared" si="139"/>
        <v>2.9027430691366724E-2</v>
      </c>
      <c r="Z644" s="28">
        <f t="shared" si="139"/>
        <v>2.9969902815605892E-2</v>
      </c>
      <c r="AA644" s="28">
        <f t="shared" si="139"/>
        <v>3.0841691542216221E-2</v>
      </c>
      <c r="AB644" s="28">
        <f t="shared" si="139"/>
        <v>3.1819757027306869E-2</v>
      </c>
      <c r="AC644" s="28">
        <f t="shared" si="139"/>
        <v>3.292912167161096E-2</v>
      </c>
      <c r="AD644" s="28">
        <f t="shared" si="139"/>
        <v>3.4016478772715769E-2</v>
      </c>
      <c r="AE644" s="28">
        <f t="shared" si="139"/>
        <v>3.5155299467200612E-2</v>
      </c>
      <c r="AF644" s="28">
        <f t="shared" si="139"/>
        <v>3.6327172995110089E-2</v>
      </c>
      <c r="AG644" s="28">
        <f t="shared" si="139"/>
        <v>3.7617669146666054E-2</v>
      </c>
      <c r="AH644" s="28">
        <f t="shared" si="139"/>
        <v>3.8804137651877735E-2</v>
      </c>
      <c r="AI644" s="28">
        <f t="shared" si="139"/>
        <v>4.0045396026241048E-2</v>
      </c>
      <c r="AJ644" s="28">
        <f t="shared" si="139"/>
        <v>4.1318689234665709E-2</v>
      </c>
      <c r="AK644" s="28">
        <f t="shared" si="139"/>
        <v>4.2562485927672068E-2</v>
      </c>
      <c r="AL644" s="28">
        <f t="shared" si="139"/>
        <v>4.3818105384294391E-2</v>
      </c>
      <c r="AM644" s="28">
        <f t="shared" si="139"/>
        <v>4.5123953524827516E-2</v>
      </c>
      <c r="AN644" s="28">
        <f t="shared" si="139"/>
        <v>4.6482103094299274E-2</v>
      </c>
      <c r="AO644" s="28">
        <f t="shared" si="139"/>
        <v>4.7790984110943228E-2</v>
      </c>
      <c r="AP644" s="28">
        <f t="shared" si="139"/>
        <v>4.912782732302242E-2</v>
      </c>
      <c r="AQ644" s="28">
        <f t="shared" si="139"/>
        <v>5.0494940009912614E-2</v>
      </c>
      <c r="AR644" s="28">
        <f t="shared" si="139"/>
        <v>5.1949447088042722E-2</v>
      </c>
      <c r="AS644" s="28">
        <f t="shared" si="139"/>
        <v>5.3433318721718588E-2</v>
      </c>
      <c r="AT644" s="28">
        <f t="shared" si="139"/>
        <v>5.4397488587077859E-2</v>
      </c>
      <c r="AU644" s="28">
        <f t="shared" si="139"/>
        <v>5.5332604177850256E-2</v>
      </c>
      <c r="AV644" s="28">
        <f t="shared" si="139"/>
        <v>5.6349382366391719E-2</v>
      </c>
      <c r="AW644" s="28">
        <f t="shared" si="139"/>
        <v>5.7343713555378532E-2</v>
      </c>
      <c r="AY644" s="85"/>
      <c r="AZ644" s="85"/>
    </row>
    <row r="645" spans="1:52" x14ac:dyDescent="0.25">
      <c r="A645" s="102" t="str">
        <f t="shared" si="133"/>
        <v>NI Poultry MMCH4</v>
      </c>
      <c r="B645" s="102" t="s">
        <v>970</v>
      </c>
      <c r="C645" s="102" t="s">
        <v>1232</v>
      </c>
      <c r="D645" t="s">
        <v>15</v>
      </c>
      <c r="E645" t="s">
        <v>22</v>
      </c>
      <c r="F645" t="s">
        <v>28</v>
      </c>
      <c r="G645" t="s">
        <v>133</v>
      </c>
      <c r="H645" t="s">
        <v>1228</v>
      </c>
      <c r="I645" t="s">
        <v>121</v>
      </c>
      <c r="J645" t="s">
        <v>286</v>
      </c>
      <c r="K645" s="28">
        <f t="shared" si="135"/>
        <v>9.2699110947591354E-2</v>
      </c>
      <c r="L645" s="28">
        <f t="shared" si="139"/>
        <v>9.4419600378527896E-2</v>
      </c>
      <c r="M645" s="28">
        <f t="shared" si="139"/>
        <v>9.554646450205824E-2</v>
      </c>
      <c r="N645" s="28">
        <f t="shared" si="139"/>
        <v>9.4307045379734583E-2</v>
      </c>
      <c r="O645" s="28">
        <f t="shared" si="139"/>
        <v>9.3105061247548568E-2</v>
      </c>
      <c r="P645" s="28">
        <f t="shared" si="139"/>
        <v>9.4296120671752692E-2</v>
      </c>
      <c r="Q645" s="28">
        <f t="shared" si="139"/>
        <v>9.4755069677210882E-2</v>
      </c>
      <c r="R645" s="28">
        <f t="shared" si="139"/>
        <v>9.2650959382373138E-2</v>
      </c>
      <c r="S645" s="28">
        <f t="shared" si="139"/>
        <v>7.9303132611725335E-2</v>
      </c>
      <c r="T645" s="28">
        <f t="shared" si="139"/>
        <v>8.354185747771857E-2</v>
      </c>
      <c r="U645" s="28">
        <f t="shared" si="139"/>
        <v>8.6379574061016151E-2</v>
      </c>
      <c r="V645" s="28">
        <f t="shared" si="139"/>
        <v>8.8901942093449454E-2</v>
      </c>
      <c r="W645" s="28">
        <f t="shared" si="139"/>
        <v>9.1947933497714227E-2</v>
      </c>
      <c r="X645" s="28">
        <f t="shared" si="139"/>
        <v>9.6809256634549701E-2</v>
      </c>
      <c r="Y645" s="28">
        <f t="shared" si="139"/>
        <v>0.10224610886944407</v>
      </c>
      <c r="Z645" s="28">
        <f t="shared" si="139"/>
        <v>0.108158516172397</v>
      </c>
      <c r="AA645" s="28">
        <f t="shared" si="139"/>
        <v>0.11335012670938974</v>
      </c>
      <c r="AB645" s="28">
        <f t="shared" si="139"/>
        <v>0.11939456567587402</v>
      </c>
      <c r="AC645" s="28">
        <f t="shared" si="139"/>
        <v>0.12649213155627276</v>
      </c>
      <c r="AD645" s="28">
        <f t="shared" si="139"/>
        <v>0.13351894706467321</v>
      </c>
      <c r="AE645" s="28">
        <f t="shared" si="139"/>
        <v>0.14088965880876272</v>
      </c>
      <c r="AF645" s="28">
        <f t="shared" si="139"/>
        <v>0.14844119583091583</v>
      </c>
      <c r="AG645" s="28">
        <f t="shared" si="139"/>
        <v>0.15689713485667917</v>
      </c>
      <c r="AH645" s="28">
        <f t="shared" si="139"/>
        <v>0.16436449961651078</v>
      </c>
      <c r="AI645" s="28">
        <f t="shared" si="139"/>
        <v>0.1724043826360922</v>
      </c>
      <c r="AJ645" s="28">
        <f t="shared" si="139"/>
        <v>0.18061160465503734</v>
      </c>
      <c r="AK645" s="28">
        <f t="shared" si="139"/>
        <v>0.18847566491334045</v>
      </c>
      <c r="AL645" s="28">
        <f t="shared" si="139"/>
        <v>0.19634352004032468</v>
      </c>
      <c r="AM645" s="28">
        <f t="shared" si="139"/>
        <v>0.20452968422624468</v>
      </c>
      <c r="AN645" s="28">
        <f t="shared" si="139"/>
        <v>0.21324011379075677</v>
      </c>
      <c r="AO645" s="28">
        <f t="shared" si="139"/>
        <v>0.22145703784447965</v>
      </c>
      <c r="AP645" s="28">
        <f t="shared" si="139"/>
        <v>0.22980951249966317</v>
      </c>
      <c r="AQ645" s="28">
        <f t="shared" si="139"/>
        <v>0.23831452969822062</v>
      </c>
      <c r="AR645" s="28">
        <f t="shared" si="139"/>
        <v>0.24742341255615688</v>
      </c>
      <c r="AS645" s="28">
        <f t="shared" si="139"/>
        <v>0.25686299121327644</v>
      </c>
      <c r="AT645" s="28">
        <f t="shared" si="139"/>
        <v>0.26213185534496675</v>
      </c>
      <c r="AU645" s="28">
        <f t="shared" si="139"/>
        <v>0.26712574526544797</v>
      </c>
      <c r="AV645" s="28">
        <f t="shared" si="139"/>
        <v>0.27270848288892124</v>
      </c>
      <c r="AW645" s="28">
        <f t="shared" si="139"/>
        <v>0.27806741090761328</v>
      </c>
      <c r="AY645" s="85"/>
      <c r="AZ645" s="85"/>
    </row>
    <row r="646" spans="1:52" x14ac:dyDescent="0.25">
      <c r="A646" s="102" t="str">
        <f t="shared" si="133"/>
        <v>NI Cattle MMN2O</v>
      </c>
      <c r="B646" s="102" t="s">
        <v>970</v>
      </c>
      <c r="C646" s="102" t="s">
        <v>1233</v>
      </c>
      <c r="D646" t="s">
        <v>15</v>
      </c>
      <c r="E646" t="s">
        <v>657</v>
      </c>
      <c r="F646" t="s">
        <v>6</v>
      </c>
      <c r="G646" t="s">
        <v>136</v>
      </c>
      <c r="H646" t="s">
        <v>1228</v>
      </c>
      <c r="I646" t="s">
        <v>139</v>
      </c>
      <c r="J646" t="s">
        <v>287</v>
      </c>
      <c r="K646" s="28">
        <f t="shared" si="135"/>
        <v>5.9534544879771355E-2</v>
      </c>
      <c r="L646" s="28">
        <f t="shared" si="139"/>
        <v>5.9936525469365599E-2</v>
      </c>
      <c r="M646" s="28">
        <f t="shared" si="139"/>
        <v>6.0288156660896548E-2</v>
      </c>
      <c r="N646" s="28">
        <f t="shared" si="139"/>
        <v>6.0333640892584528E-2</v>
      </c>
      <c r="O646" s="28">
        <f t="shared" si="139"/>
        <v>6.0411983022035293E-2</v>
      </c>
      <c r="P646" s="28">
        <f t="shared" si="139"/>
        <v>6.086149571042291E-2</v>
      </c>
      <c r="Q646" s="28">
        <f t="shared" si="139"/>
        <v>6.1220941265471868E-2</v>
      </c>
      <c r="R646" s="28">
        <f t="shared" si="139"/>
        <v>6.1224092905712291E-2</v>
      </c>
      <c r="S646" s="28">
        <f t="shared" si="139"/>
        <v>5.9602036939561669E-2</v>
      </c>
      <c r="T646" s="28">
        <f t="shared" si="139"/>
        <v>6.0385643196681223E-2</v>
      </c>
      <c r="U646" s="28">
        <f t="shared" si="139"/>
        <v>6.0978819669853017E-2</v>
      </c>
      <c r="V646" s="28">
        <f t="shared" si="139"/>
        <v>6.1538467635372317E-2</v>
      </c>
      <c r="W646" s="28">
        <f t="shared" si="139"/>
        <v>6.2187395948101611E-2</v>
      </c>
      <c r="X646" s="28">
        <f t="shared" si="139"/>
        <v>6.3117211952635158E-2</v>
      </c>
      <c r="Y646" s="28">
        <f t="shared" si="139"/>
        <v>6.4085258604249157E-2</v>
      </c>
      <c r="Z646" s="28">
        <f t="shared" si="139"/>
        <v>6.5136775789421397E-2</v>
      </c>
      <c r="AA646" s="28">
        <f t="shared" si="139"/>
        <v>6.6093023202577678E-2</v>
      </c>
      <c r="AB646" s="28">
        <f t="shared" si="139"/>
        <v>6.7188649433805245E-2</v>
      </c>
      <c r="AC646" s="28">
        <f t="shared" si="139"/>
        <v>6.8454554232404832E-2</v>
      </c>
      <c r="AD646" s="28">
        <f t="shared" si="139"/>
        <v>6.9673307405983362E-2</v>
      </c>
      <c r="AE646" s="28">
        <f t="shared" si="139"/>
        <v>7.0955599019075E-2</v>
      </c>
      <c r="AF646" s="28">
        <f t="shared" si="139"/>
        <v>7.2276783381790194E-2</v>
      </c>
      <c r="AG646" s="28">
        <f t="shared" si="139"/>
        <v>7.3746887396473032E-2</v>
      </c>
      <c r="AH646" s="28">
        <f t="shared" si="139"/>
        <v>7.5077879884479282E-2</v>
      </c>
      <c r="AI646" s="28">
        <f t="shared" si="139"/>
        <v>7.6460929017735491E-2</v>
      </c>
      <c r="AJ646" s="28">
        <f t="shared" si="139"/>
        <v>7.7880128375373087E-2</v>
      </c>
      <c r="AK646" s="28">
        <f t="shared" si="139"/>
        <v>7.925690413110191E-2</v>
      </c>
      <c r="AL646" s="28">
        <f t="shared" si="139"/>
        <v>8.0644114608921846E-2</v>
      </c>
      <c r="AM646" s="28">
        <f t="shared" si="139"/>
        <v>8.2090170284588052E-2</v>
      </c>
      <c r="AN646" s="28">
        <f t="shared" si="139"/>
        <v>8.3584106491488411E-2</v>
      </c>
      <c r="AO646" s="28">
        <f t="shared" si="139"/>
        <v>8.5010968574935772E-2</v>
      </c>
      <c r="AP646" s="28">
        <f t="shared" si="139"/>
        <v>8.6467971698133472E-2</v>
      </c>
      <c r="AQ646" s="28">
        <f t="shared" si="139"/>
        <v>8.7957741718516017E-2</v>
      </c>
      <c r="AR646" s="28">
        <f t="shared" si="139"/>
        <v>8.9550905410436282E-2</v>
      </c>
      <c r="AS646" s="28">
        <f t="shared" si="139"/>
        <v>9.1161603152246209E-2</v>
      </c>
      <c r="AT646" s="28">
        <f t="shared" si="139"/>
        <v>9.2125625118884502E-2</v>
      </c>
      <c r="AU646" s="28">
        <f t="shared" si="139"/>
        <v>9.3052192745030571E-2</v>
      </c>
      <c r="AV646" s="28">
        <f t="shared" si="139"/>
        <v>9.4077328885209005E-2</v>
      </c>
      <c r="AW646" s="28">
        <f t="shared" si="139"/>
        <v>9.5072920340837683E-2</v>
      </c>
      <c r="AY646" s="85"/>
      <c r="AZ646" s="85"/>
    </row>
    <row r="647" spans="1:52" x14ac:dyDescent="0.25">
      <c r="A647" s="102" t="str">
        <f t="shared" si="133"/>
        <v>NI Cattle MMN2O</v>
      </c>
      <c r="B647" s="102" t="s">
        <v>970</v>
      </c>
      <c r="C647" s="102" t="s">
        <v>1233</v>
      </c>
      <c r="D647" t="s">
        <v>15</v>
      </c>
      <c r="E647" t="s">
        <v>657</v>
      </c>
      <c r="F647" t="s">
        <v>6</v>
      </c>
      <c r="G647" t="s">
        <v>137</v>
      </c>
      <c r="H647" t="s">
        <v>1228</v>
      </c>
      <c r="I647" t="s">
        <v>139</v>
      </c>
      <c r="J647" t="s">
        <v>287</v>
      </c>
      <c r="K647" s="28">
        <f t="shared" si="135"/>
        <v>0.26067987133037912</v>
      </c>
      <c r="L647" s="28">
        <f t="shared" si="139"/>
        <v>0.2624399964574689</v>
      </c>
      <c r="M647" s="28">
        <f t="shared" si="139"/>
        <v>0.26397966009224005</v>
      </c>
      <c r="N647" s="28">
        <f t="shared" si="139"/>
        <v>0.26417881881072747</v>
      </c>
      <c r="O647" s="28">
        <f t="shared" si="139"/>
        <v>0.26452185017623492</v>
      </c>
      <c r="P647" s="28">
        <f t="shared" si="139"/>
        <v>0.26649010087852709</v>
      </c>
      <c r="Q647" s="28">
        <f t="shared" si="139"/>
        <v>0.26806398073650983</v>
      </c>
      <c r="R647" s="28">
        <f t="shared" si="139"/>
        <v>0.26807778060974324</v>
      </c>
      <c r="S647" s="28">
        <f t="shared" si="139"/>
        <v>0.26097539423220861</v>
      </c>
      <c r="T647" s="28">
        <f t="shared" si="139"/>
        <v>0.26440651777051938</v>
      </c>
      <c r="U647" s="28">
        <f t="shared" si="139"/>
        <v>0.26700381933744832</v>
      </c>
      <c r="V647" s="28">
        <f t="shared" si="139"/>
        <v>0.26945431190334429</v>
      </c>
      <c r="W647" s="28">
        <f t="shared" si="139"/>
        <v>0.27229573026652365</v>
      </c>
      <c r="X647" s="28">
        <f t="shared" si="139"/>
        <v>0.27636705250325572</v>
      </c>
      <c r="Y647" s="28">
        <f t="shared" si="139"/>
        <v>0.28060577267982134</v>
      </c>
      <c r="Z647" s="28">
        <f t="shared" si="139"/>
        <v>0.28520997961691874</v>
      </c>
      <c r="AA647" s="28">
        <f t="shared" si="139"/>
        <v>0.2893970352688095</v>
      </c>
      <c r="AB647" s="28">
        <f t="shared" si="139"/>
        <v>0.29419437949239208</v>
      </c>
      <c r="AC647" s="28">
        <f t="shared" si="139"/>
        <v>0.2997373109229064</v>
      </c>
      <c r="AD647" s="28">
        <f t="shared" si="139"/>
        <v>0.3050737827329042</v>
      </c>
      <c r="AE647" s="28">
        <f t="shared" si="139"/>
        <v>0.31068846599593736</v>
      </c>
      <c r="AF647" s="28">
        <f t="shared" si="139"/>
        <v>0.31647344630227597</v>
      </c>
      <c r="AG647" s="28">
        <f t="shared" si="139"/>
        <v>0.32291049098219599</v>
      </c>
      <c r="AH647" s="28">
        <f t="shared" si="139"/>
        <v>0.32873841746111437</v>
      </c>
      <c r="AI647" s="28">
        <f t="shared" si="139"/>
        <v>0.33479428083974455</v>
      </c>
      <c r="AJ647" s="28">
        <f t="shared" si="139"/>
        <v>0.34100843275252468</v>
      </c>
      <c r="AK647" s="28">
        <f t="shared" si="139"/>
        <v>0.34703682731872076</v>
      </c>
      <c r="AL647" s="28">
        <f t="shared" si="139"/>
        <v>0.35311091169438086</v>
      </c>
      <c r="AM647" s="28">
        <f t="shared" si="139"/>
        <v>0.35944265754429855</v>
      </c>
      <c r="AN647" s="28">
        <f t="shared" si="139"/>
        <v>0.3659840546269007</v>
      </c>
      <c r="AO647" s="28">
        <f t="shared" si="139"/>
        <v>0.3722317587971502</v>
      </c>
      <c r="AP647" s="28">
        <f t="shared" si="139"/>
        <v>0.37861143949262133</v>
      </c>
      <c r="AQ647" s="28">
        <f t="shared" si="139"/>
        <v>0.38513459437705777</v>
      </c>
      <c r="AR647" s="28">
        <f t="shared" si="139"/>
        <v>0.39211047211420524</v>
      </c>
      <c r="AS647" s="28">
        <f t="shared" si="139"/>
        <v>0.3991631250056496</v>
      </c>
      <c r="AT647" s="28">
        <f t="shared" si="139"/>
        <v>0.40338422256724893</v>
      </c>
      <c r="AU647" s="28">
        <f t="shared" si="139"/>
        <v>0.40744132134998817</v>
      </c>
      <c r="AV647" s="28">
        <f t="shared" ref="L647:AW654" si="140">AV1412</f>
        <v>0.41193001539573099</v>
      </c>
      <c r="AW647" s="28">
        <f t="shared" si="140"/>
        <v>0.41628934413629709</v>
      </c>
      <c r="AY647" s="85"/>
      <c r="AZ647" s="85"/>
    </row>
    <row r="648" spans="1:52" x14ac:dyDescent="0.25">
      <c r="A648" s="102" t="str">
        <f t="shared" si="133"/>
        <v>NI Cattle MMN2O</v>
      </c>
      <c r="B648" s="102" t="s">
        <v>970</v>
      </c>
      <c r="C648" s="102" t="s">
        <v>1233</v>
      </c>
      <c r="D648" t="s">
        <v>15</v>
      </c>
      <c r="E648" t="s">
        <v>657</v>
      </c>
      <c r="F648" t="s">
        <v>67</v>
      </c>
      <c r="G648" t="s">
        <v>307</v>
      </c>
      <c r="H648" t="s">
        <v>1228</v>
      </c>
      <c r="I648" t="s">
        <v>139</v>
      </c>
      <c r="J648" t="s">
        <v>287</v>
      </c>
      <c r="K648" s="28">
        <f t="shared" si="135"/>
        <v>1.1598714945443948E-2</v>
      </c>
      <c r="L648" s="28">
        <f t="shared" si="140"/>
        <v>1.1677030119965246E-2</v>
      </c>
      <c r="M648" s="28">
        <f t="shared" si="140"/>
        <v>1.1745536059915416E-2</v>
      </c>
      <c r="N648" s="28">
        <f t="shared" si="140"/>
        <v>1.1754397446845087E-2</v>
      </c>
      <c r="O648" s="28">
        <f t="shared" si="140"/>
        <v>1.1769660316991377E-2</v>
      </c>
      <c r="P648" s="28">
        <f t="shared" si="140"/>
        <v>1.1857235850616387E-2</v>
      </c>
      <c r="Q648" s="28">
        <f t="shared" si="140"/>
        <v>1.1927264210450818E-2</v>
      </c>
      <c r="R648" s="28">
        <f t="shared" si="140"/>
        <v>1.1927878223320707E-2</v>
      </c>
      <c r="S648" s="28">
        <f t="shared" si="140"/>
        <v>1.1611863969496622E-2</v>
      </c>
      <c r="T648" s="28">
        <f t="shared" si="140"/>
        <v>1.1764528705981136E-2</v>
      </c>
      <c r="U648" s="28">
        <f t="shared" si="140"/>
        <v>1.1880093288503061E-2</v>
      </c>
      <c r="V648" s="28">
        <f t="shared" si="140"/>
        <v>1.1989125737394114E-2</v>
      </c>
      <c r="W648" s="28">
        <f t="shared" si="140"/>
        <v>1.2115552075826281E-2</v>
      </c>
      <c r="X648" s="28">
        <f t="shared" si="140"/>
        <v>1.2296701873982557E-2</v>
      </c>
      <c r="Y648" s="28">
        <f t="shared" si="140"/>
        <v>1.2485299891967528E-2</v>
      </c>
      <c r="Z648" s="28">
        <f t="shared" si="140"/>
        <v>1.2690159912577046E-2</v>
      </c>
      <c r="AA648" s="28">
        <f t="shared" si="140"/>
        <v>1.2876459164295801E-2</v>
      </c>
      <c r="AB648" s="28">
        <f t="shared" si="140"/>
        <v>1.3089912653667775E-2</v>
      </c>
      <c r="AC648" s="28">
        <f t="shared" si="140"/>
        <v>1.3336540371015372E-2</v>
      </c>
      <c r="AD648" s="28">
        <f t="shared" si="140"/>
        <v>1.3573981854405228E-2</v>
      </c>
      <c r="AE648" s="28">
        <f t="shared" si="140"/>
        <v>1.3823802104601461E-2</v>
      </c>
      <c r="AF648" s="28">
        <f t="shared" si="140"/>
        <v>1.4081199567611519E-2</v>
      </c>
      <c r="AG648" s="28">
        <f t="shared" si="140"/>
        <v>1.4367610044770513E-2</v>
      </c>
      <c r="AH648" s="28">
        <f t="shared" si="140"/>
        <v>1.4626918358860899E-2</v>
      </c>
      <c r="AI648" s="28">
        <f t="shared" si="140"/>
        <v>1.4896368519008723E-2</v>
      </c>
      <c r="AJ648" s="28">
        <f t="shared" si="140"/>
        <v>1.5172861584223856E-2</v>
      </c>
      <c r="AK648" s="28">
        <f t="shared" si="140"/>
        <v>1.5441089544423183E-2</v>
      </c>
      <c r="AL648" s="28">
        <f t="shared" si="140"/>
        <v>1.5711350431342863E-2</v>
      </c>
      <c r="AM648" s="28">
        <f t="shared" si="140"/>
        <v>1.5993075732362048E-2</v>
      </c>
      <c r="AN648" s="28">
        <f t="shared" si="140"/>
        <v>1.6284129275233806E-2</v>
      </c>
      <c r="AO648" s="28">
        <f t="shared" si="140"/>
        <v>1.6562115217778419E-2</v>
      </c>
      <c r="AP648" s="28">
        <f t="shared" si="140"/>
        <v>1.6845973336366879E-2</v>
      </c>
      <c r="AQ648" s="28">
        <f t="shared" si="140"/>
        <v>1.7136215209141423E-2</v>
      </c>
      <c r="AR648" s="28">
        <f t="shared" si="140"/>
        <v>1.7446600575508658E-2</v>
      </c>
      <c r="AS648" s="28">
        <f t="shared" si="140"/>
        <v>1.7760401982880657E-2</v>
      </c>
      <c r="AT648" s="28">
        <f t="shared" si="140"/>
        <v>1.7948215898562121E-2</v>
      </c>
      <c r="AU648" s="28">
        <f t="shared" si="140"/>
        <v>1.8128732837005983E-2</v>
      </c>
      <c r="AV648" s="28">
        <f t="shared" si="140"/>
        <v>1.8328453216060109E-2</v>
      </c>
      <c r="AW648" s="28">
        <f t="shared" si="140"/>
        <v>1.852241760294299E-2</v>
      </c>
      <c r="AY648" s="85"/>
      <c r="AZ648" s="85"/>
    </row>
    <row r="649" spans="1:52" x14ac:dyDescent="0.25">
      <c r="A649" s="102" t="str">
        <f t="shared" si="133"/>
        <v>NI Cattle MMN2O</v>
      </c>
      <c r="B649" s="102" t="s">
        <v>970</v>
      </c>
      <c r="C649" s="102" t="s">
        <v>1233</v>
      </c>
      <c r="D649" t="s">
        <v>15</v>
      </c>
      <c r="E649" t="s">
        <v>657</v>
      </c>
      <c r="F649" t="s">
        <v>67</v>
      </c>
      <c r="G649" t="s">
        <v>122</v>
      </c>
      <c r="H649" t="s">
        <v>1228</v>
      </c>
      <c r="I649" t="s">
        <v>139</v>
      </c>
      <c r="J649" t="s">
        <v>287</v>
      </c>
      <c r="K649" s="28">
        <f t="shared" si="135"/>
        <v>0.52784381686908488</v>
      </c>
      <c r="L649" s="28">
        <f t="shared" si="140"/>
        <v>0.52515644938547934</v>
      </c>
      <c r="M649" s="28">
        <f t="shared" si="140"/>
        <v>0.52025151153580673</v>
      </c>
      <c r="N649" s="28">
        <f t="shared" si="140"/>
        <v>0.50682531077398352</v>
      </c>
      <c r="O649" s="28">
        <f t="shared" si="140"/>
        <v>0.4939348964332157</v>
      </c>
      <c r="P649" s="28">
        <f t="shared" si="140"/>
        <v>0.48971543421207564</v>
      </c>
      <c r="Q649" s="28">
        <f t="shared" si="140"/>
        <v>0.48290055380478719</v>
      </c>
      <c r="R649" s="28">
        <f t="shared" si="140"/>
        <v>0.46758884489133185</v>
      </c>
      <c r="S649" s="28">
        <f t="shared" si="140"/>
        <v>0.41621648904191116</v>
      </c>
      <c r="T649" s="28">
        <f t="shared" si="140"/>
        <v>0.42638667208573666</v>
      </c>
      <c r="U649" s="28">
        <f t="shared" si="140"/>
        <v>0.43187985525495859</v>
      </c>
      <c r="V649" s="28">
        <f t="shared" si="140"/>
        <v>0.4362459859607159</v>
      </c>
      <c r="W649" s="28">
        <f t="shared" si="140"/>
        <v>0.44211378477911739</v>
      </c>
      <c r="X649" s="28">
        <f t="shared" si="140"/>
        <v>0.45337915493608988</v>
      </c>
      <c r="Y649" s="28">
        <f t="shared" si="140"/>
        <v>0.46570884205291363</v>
      </c>
      <c r="Z649" s="28">
        <f t="shared" si="140"/>
        <v>0.47914332985830105</v>
      </c>
      <c r="AA649" s="28">
        <f t="shared" si="140"/>
        <v>0.49009752442785343</v>
      </c>
      <c r="AB649" s="28">
        <f t="shared" si="140"/>
        <v>0.50324660614266314</v>
      </c>
      <c r="AC649" s="28">
        <f t="shared" si="140"/>
        <v>0.51908497467197146</v>
      </c>
      <c r="AD649" s="28">
        <f t="shared" si="140"/>
        <v>0.52951816182604061</v>
      </c>
      <c r="AE649" s="28">
        <f t="shared" si="140"/>
        <v>0.54017530186644991</v>
      </c>
      <c r="AF649" s="28">
        <f t="shared" si="140"/>
        <v>0.55055968982828007</v>
      </c>
      <c r="AG649" s="28">
        <f t="shared" si="140"/>
        <v>0.56257359948982233</v>
      </c>
      <c r="AH649" s="28">
        <f t="shared" si="140"/>
        <v>0.571134780275243</v>
      </c>
      <c r="AI649" s="28">
        <f t="shared" si="140"/>
        <v>0.58015385111091267</v>
      </c>
      <c r="AJ649" s="28">
        <f t="shared" si="140"/>
        <v>0.58878429113613517</v>
      </c>
      <c r="AK649" s="28">
        <f t="shared" si="140"/>
        <v>0.5957568629631379</v>
      </c>
      <c r="AL649" s="28">
        <f t="shared" si="140"/>
        <v>0.60196210030255271</v>
      </c>
      <c r="AM649" s="28">
        <f t="shared" si="140"/>
        <v>0.60813947691884929</v>
      </c>
      <c r="AN649" s="28">
        <f t="shared" si="140"/>
        <v>0.61764741655645328</v>
      </c>
      <c r="AO649" s="28">
        <f t="shared" si="140"/>
        <v>0.62539054666282456</v>
      </c>
      <c r="AP649" s="28">
        <f t="shared" si="140"/>
        <v>0.63282578397368294</v>
      </c>
      <c r="AQ649" s="28">
        <f t="shared" si="140"/>
        <v>0.6399775293303559</v>
      </c>
      <c r="AR649" s="28">
        <f t="shared" si="140"/>
        <v>0.64779293053044351</v>
      </c>
      <c r="AS649" s="28">
        <f t="shared" si="140"/>
        <v>0.6554480309562406</v>
      </c>
      <c r="AT649" s="28">
        <f t="shared" si="140"/>
        <v>0.65387085498126252</v>
      </c>
      <c r="AU649" s="28">
        <f t="shared" si="140"/>
        <v>0.65139607098171814</v>
      </c>
      <c r="AV649" s="28">
        <f t="shared" si="140"/>
        <v>0.64976027386415824</v>
      </c>
      <c r="AW649" s="28">
        <f t="shared" si="140"/>
        <v>0.64732609029644417</v>
      </c>
      <c r="AY649" s="85"/>
      <c r="AZ649" s="85"/>
    </row>
    <row r="650" spans="1:52" x14ac:dyDescent="0.25">
      <c r="A650" s="102" t="str">
        <f t="shared" si="133"/>
        <v>NI Cattle MMN2O</v>
      </c>
      <c r="B650" s="102" t="s">
        <v>970</v>
      </c>
      <c r="C650" s="102" t="s">
        <v>1233</v>
      </c>
      <c r="D650" t="s">
        <v>15</v>
      </c>
      <c r="E650" t="s">
        <v>657</v>
      </c>
      <c r="F650" t="s">
        <v>67</v>
      </c>
      <c r="G650" t="s">
        <v>123</v>
      </c>
      <c r="H650" t="s">
        <v>1228</v>
      </c>
      <c r="I650" t="s">
        <v>139</v>
      </c>
      <c r="J650" t="s">
        <v>287</v>
      </c>
      <c r="K650" s="28">
        <f t="shared" si="135"/>
        <v>0.80849535264982253</v>
      </c>
      <c r="L650" s="28">
        <f t="shared" si="140"/>
        <v>0.80437912725905281</v>
      </c>
      <c r="M650" s="28">
        <f t="shared" si="140"/>
        <v>0.79686626203308752</v>
      </c>
      <c r="N650" s="28">
        <f t="shared" si="140"/>
        <v>0.77630142718465789</v>
      </c>
      <c r="O650" s="28">
        <f t="shared" si="140"/>
        <v>0.75655725333024249</v>
      </c>
      <c r="P650" s="28">
        <f t="shared" si="140"/>
        <v>0.75009432720048652</v>
      </c>
      <c r="Q650" s="28">
        <f t="shared" si="140"/>
        <v>0.73965601389251134</v>
      </c>
      <c r="R650" s="28">
        <f t="shared" si="140"/>
        <v>0.71620315700184167</v>
      </c>
      <c r="S650" s="28">
        <f t="shared" si="140"/>
        <v>0.63751641362897982</v>
      </c>
      <c r="T650" s="28">
        <f t="shared" si="140"/>
        <v>0.65309402477786682</v>
      </c>
      <c r="U650" s="28">
        <f t="shared" si="140"/>
        <v>0.66150790199236797</v>
      </c>
      <c r="V650" s="28">
        <f t="shared" si="140"/>
        <v>0.66819547940040647</v>
      </c>
      <c r="W650" s="28">
        <f t="shared" si="140"/>
        <v>0.67718315326026413</v>
      </c>
      <c r="X650" s="28">
        <f t="shared" si="140"/>
        <v>0.69443825624094591</v>
      </c>
      <c r="Y650" s="28">
        <f t="shared" si="140"/>
        <v>0.7133235674163364</v>
      </c>
      <c r="Z650" s="28">
        <f t="shared" si="140"/>
        <v>0.73390109548195415</v>
      </c>
      <c r="AA650" s="28">
        <f t="shared" si="140"/>
        <v>0.75067957259671325</v>
      </c>
      <c r="AB650" s="28">
        <f t="shared" si="140"/>
        <v>0.7708199457872037</v>
      </c>
      <c r="AC650" s="28">
        <f t="shared" si="140"/>
        <v>0.79507948419660579</v>
      </c>
      <c r="AD650" s="28">
        <f t="shared" si="140"/>
        <v>0.81105993723558278</v>
      </c>
      <c r="AE650" s="28">
        <f t="shared" si="140"/>
        <v>0.82738341762854573</v>
      </c>
      <c r="AF650" s="28">
        <f t="shared" si="140"/>
        <v>0.84328912522412203</v>
      </c>
      <c r="AG650" s="28">
        <f t="shared" si="140"/>
        <v>0.86169076187892979</v>
      </c>
      <c r="AH650" s="28">
        <f t="shared" si="140"/>
        <v>0.8748038734793715</v>
      </c>
      <c r="AI650" s="28">
        <f t="shared" si="140"/>
        <v>0.88861833264858248</v>
      </c>
      <c r="AJ650" s="28">
        <f t="shared" si="140"/>
        <v>0.90183752823015395</v>
      </c>
      <c r="AK650" s="28">
        <f t="shared" si="140"/>
        <v>0.9125173765829987</v>
      </c>
      <c r="AL650" s="28">
        <f t="shared" si="140"/>
        <v>0.92202190309382137</v>
      </c>
      <c r="AM650" s="28">
        <f t="shared" si="140"/>
        <v>0.93148375549453255</v>
      </c>
      <c r="AN650" s="28">
        <f t="shared" si="140"/>
        <v>0.94604701220913134</v>
      </c>
      <c r="AO650" s="28">
        <f t="shared" si="140"/>
        <v>0.95790712026741442</v>
      </c>
      <c r="AP650" s="28">
        <f t="shared" si="140"/>
        <v>0.96929563069334712</v>
      </c>
      <c r="AQ650" s="28">
        <f t="shared" si="140"/>
        <v>0.98024991811590712</v>
      </c>
      <c r="AR650" s="28">
        <f t="shared" si="140"/>
        <v>0.99222072339471901</v>
      </c>
      <c r="AS650" s="28">
        <f t="shared" si="140"/>
        <v>1.0039459968951938</v>
      </c>
      <c r="AT650" s="28">
        <f t="shared" si="140"/>
        <v>1.0015302454828838</v>
      </c>
      <c r="AU650" s="28">
        <f t="shared" si="140"/>
        <v>0.99773963299771362</v>
      </c>
      <c r="AV650" s="28">
        <f t="shared" si="140"/>
        <v>0.99523409191688805</v>
      </c>
      <c r="AW650" s="28">
        <f t="shared" si="140"/>
        <v>0.99150566688073472</v>
      </c>
      <c r="AY650" s="85"/>
      <c r="AZ650" s="85"/>
    </row>
    <row r="651" spans="1:52" x14ac:dyDescent="0.25">
      <c r="A651" s="102" t="str">
        <f t="shared" si="133"/>
        <v>NI Cattle MMN2O</v>
      </c>
      <c r="B651" s="102" t="s">
        <v>970</v>
      </c>
      <c r="C651" s="102" t="s">
        <v>1233</v>
      </c>
      <c r="D651" t="s">
        <v>15</v>
      </c>
      <c r="E651" t="s">
        <v>657</v>
      </c>
      <c r="F651" t="s">
        <v>67</v>
      </c>
      <c r="G651" t="s">
        <v>135</v>
      </c>
      <c r="H651" t="s">
        <v>1228</v>
      </c>
      <c r="I651" t="s">
        <v>139</v>
      </c>
      <c r="J651" t="s">
        <v>287</v>
      </c>
      <c r="K651" s="28">
        <f t="shared" si="135"/>
        <v>0.98205986457809369</v>
      </c>
      <c r="L651" s="28">
        <f t="shared" si="140"/>
        <v>1.0186966250855221</v>
      </c>
      <c r="M651" s="28">
        <f t="shared" si="140"/>
        <v>1.0516100331905254</v>
      </c>
      <c r="N651" s="28">
        <f t="shared" si="140"/>
        <v>1.0670554052779846</v>
      </c>
      <c r="O651" s="28">
        <f t="shared" si="140"/>
        <v>1.0827371051777117</v>
      </c>
      <c r="P651" s="28">
        <f t="shared" si="140"/>
        <v>1.1173522594931429</v>
      </c>
      <c r="Q651" s="28">
        <f t="shared" si="140"/>
        <v>1.1465503025323129</v>
      </c>
      <c r="R651" s="28">
        <f t="shared" si="140"/>
        <v>1.1550738596088039</v>
      </c>
      <c r="S651" s="28">
        <f t="shared" si="140"/>
        <v>1.0695943528873249</v>
      </c>
      <c r="T651" s="28">
        <f t="shared" si="140"/>
        <v>1.1219950081899948</v>
      </c>
      <c r="U651" s="28">
        <f t="shared" si="140"/>
        <v>1.1633173415255618</v>
      </c>
      <c r="V651" s="28">
        <f t="shared" si="140"/>
        <v>1.2025059899255817</v>
      </c>
      <c r="W651" s="28">
        <f t="shared" si="140"/>
        <v>1.2467916832467774</v>
      </c>
      <c r="X651" s="28">
        <f t="shared" si="140"/>
        <v>1.3077319490194745</v>
      </c>
      <c r="Y651" s="28">
        <f t="shared" si="140"/>
        <v>1.3736346071286145</v>
      </c>
      <c r="Z651" s="28">
        <f t="shared" si="140"/>
        <v>1.444880911122689</v>
      </c>
      <c r="AA651" s="28">
        <f t="shared" si="140"/>
        <v>1.5106946759567434</v>
      </c>
      <c r="AB651" s="28">
        <f t="shared" si="140"/>
        <v>1.5853572340052999</v>
      </c>
      <c r="AC651" s="28">
        <f t="shared" si="140"/>
        <v>1.6709659686150751</v>
      </c>
      <c r="AD651" s="28">
        <f t="shared" si="140"/>
        <v>1.7608921819876218</v>
      </c>
      <c r="AE651" s="28">
        <f t="shared" si="140"/>
        <v>1.8558227828840355</v>
      </c>
      <c r="AF651" s="28">
        <f t="shared" si="140"/>
        <v>1.9543039033617708</v>
      </c>
      <c r="AG651" s="28">
        <f t="shared" si="140"/>
        <v>2.0634682331223644</v>
      </c>
      <c r="AH651" s="28">
        <f t="shared" si="140"/>
        <v>2.1649176431538755</v>
      </c>
      <c r="AI651" s="28">
        <f t="shared" si="140"/>
        <v>2.2729641706273069</v>
      </c>
      <c r="AJ651" s="28">
        <f t="shared" si="140"/>
        <v>2.3846427633469691</v>
      </c>
      <c r="AK651" s="28">
        <f t="shared" si="140"/>
        <v>2.4947887072389494</v>
      </c>
      <c r="AL651" s="28">
        <f t="shared" si="140"/>
        <v>2.6068756949224299</v>
      </c>
      <c r="AM651" s="28">
        <f t="shared" si="140"/>
        <v>2.7241988792314307</v>
      </c>
      <c r="AN651" s="28">
        <f t="shared" si="140"/>
        <v>2.844574694525166</v>
      </c>
      <c r="AO651" s="28">
        <f t="shared" si="140"/>
        <v>2.9614918045068643</v>
      </c>
      <c r="AP651" s="28">
        <f t="shared" si="140"/>
        <v>3.0815745118174522</v>
      </c>
      <c r="AQ651" s="28">
        <f t="shared" si="140"/>
        <v>3.2050489971777192</v>
      </c>
      <c r="AR651" s="28">
        <f t="shared" si="140"/>
        <v>3.3369151668424974</v>
      </c>
      <c r="AS651" s="28">
        <f t="shared" si="140"/>
        <v>3.4733559158161165</v>
      </c>
      <c r="AT651" s="28">
        <f t="shared" si="140"/>
        <v>3.5651160309626517</v>
      </c>
      <c r="AU651" s="28">
        <f t="shared" si="140"/>
        <v>3.6548683550042269</v>
      </c>
      <c r="AV651" s="28">
        <f t="shared" si="140"/>
        <v>3.7523616710832552</v>
      </c>
      <c r="AW651" s="28">
        <f t="shared" si="140"/>
        <v>3.8484469226935669</v>
      </c>
      <c r="AY651" s="85"/>
      <c r="AZ651" s="85"/>
    </row>
    <row r="652" spans="1:52" x14ac:dyDescent="0.25">
      <c r="A652" s="102" t="str">
        <f t="shared" si="133"/>
        <v>NI Sheep MMN2O</v>
      </c>
      <c r="B652" s="102" t="s">
        <v>970</v>
      </c>
      <c r="C652" s="102" t="s">
        <v>1329</v>
      </c>
      <c r="D652" t="s">
        <v>15</v>
      </c>
      <c r="E652" t="s">
        <v>657</v>
      </c>
      <c r="F652" t="s">
        <v>18</v>
      </c>
      <c r="G652" t="s">
        <v>122</v>
      </c>
      <c r="H652" t="s">
        <v>1228</v>
      </c>
      <c r="I652" t="s">
        <v>139</v>
      </c>
      <c r="J652" t="s">
        <v>287</v>
      </c>
      <c r="K652" s="28">
        <f t="shared" si="135"/>
        <v>0.11717139101759612</v>
      </c>
      <c r="L652" s="28">
        <f t="shared" si="140"/>
        <v>0.11723462618367245</v>
      </c>
      <c r="M652" s="28">
        <f t="shared" si="140"/>
        <v>0.11737999843906115</v>
      </c>
      <c r="N652" s="28">
        <f t="shared" si="140"/>
        <v>0.1175958170956644</v>
      </c>
      <c r="O652" s="28">
        <f t="shared" si="140"/>
        <v>0.1178871134646596</v>
      </c>
      <c r="P652" s="28">
        <f t="shared" si="140"/>
        <v>0.11825974180541671</v>
      </c>
      <c r="Q652" s="28">
        <f t="shared" si="140"/>
        <v>0.11867033947255794</v>
      </c>
      <c r="R652" s="28">
        <f t="shared" si="140"/>
        <v>0.11911252923744317</v>
      </c>
      <c r="S652" s="28">
        <f t="shared" si="140"/>
        <v>0.11955062486439895</v>
      </c>
      <c r="T652" s="28">
        <f t="shared" si="140"/>
        <v>0.11972991314052749</v>
      </c>
      <c r="U652" s="28">
        <f t="shared" si="140"/>
        <v>0.11993350054454542</v>
      </c>
      <c r="V652" s="28">
        <f t="shared" si="140"/>
        <v>0.12016374349275831</v>
      </c>
      <c r="W652" s="28">
        <f t="shared" si="140"/>
        <v>0.12042231214139444</v>
      </c>
      <c r="X652" s="28">
        <f t="shared" si="140"/>
        <v>0.12071286205990268</v>
      </c>
      <c r="Y652" s="28">
        <f t="shared" si="140"/>
        <v>0.12089554719264045</v>
      </c>
      <c r="Z652" s="28">
        <f t="shared" si="140"/>
        <v>0.12110125995232866</v>
      </c>
      <c r="AA652" s="28">
        <f t="shared" si="140"/>
        <v>0.12132427506998271</v>
      </c>
      <c r="AB652" s="28">
        <f t="shared" si="140"/>
        <v>0.12156982110770359</v>
      </c>
      <c r="AC652" s="28">
        <f t="shared" si="140"/>
        <v>0.12183786994920162</v>
      </c>
      <c r="AD652" s="28">
        <f t="shared" si="140"/>
        <v>0.12201528623614287</v>
      </c>
      <c r="AE652" s="28">
        <f t="shared" si="140"/>
        <v>0.12220996410772501</v>
      </c>
      <c r="AF652" s="28">
        <f t="shared" si="140"/>
        <v>0.1224205957767</v>
      </c>
      <c r="AG652" s="28">
        <f t="shared" si="140"/>
        <v>0.12264946134615734</v>
      </c>
      <c r="AH652" s="28">
        <f t="shared" si="140"/>
        <v>0.12288846185835746</v>
      </c>
      <c r="AI652" s="28">
        <f t="shared" si="140"/>
        <v>0.12304136792276418</v>
      </c>
      <c r="AJ652" s="28">
        <f t="shared" si="140"/>
        <v>0.12320724493915225</v>
      </c>
      <c r="AK652" s="28">
        <f t="shared" si="140"/>
        <v>0.12338358070705197</v>
      </c>
      <c r="AL652" s="28">
        <f t="shared" si="140"/>
        <v>0.12357134049580157</v>
      </c>
      <c r="AM652" s="28">
        <f t="shared" si="140"/>
        <v>0.12377140391233164</v>
      </c>
      <c r="AN652" s="28">
        <f t="shared" si="140"/>
        <v>0.1238893184922704</v>
      </c>
      <c r="AO652" s="28">
        <f t="shared" si="140"/>
        <v>0.12401495917055069</v>
      </c>
      <c r="AP652" s="28">
        <f t="shared" si="140"/>
        <v>0.12415054004629532</v>
      </c>
      <c r="AQ652" s="28">
        <f t="shared" si="140"/>
        <v>0.12429582194532131</v>
      </c>
      <c r="AR652" s="28">
        <f t="shared" si="140"/>
        <v>0.12445236467960287</v>
      </c>
      <c r="AS652" s="28">
        <f t="shared" si="140"/>
        <v>0.12452291839205781</v>
      </c>
      <c r="AT652" s="28">
        <f t="shared" si="140"/>
        <v>0.12458415812408247</v>
      </c>
      <c r="AU652" s="28">
        <f t="shared" si="140"/>
        <v>0.12465176490232828</v>
      </c>
      <c r="AV652" s="28">
        <f t="shared" si="140"/>
        <v>0.12472905780449089</v>
      </c>
      <c r="AW652" s="28">
        <f t="shared" si="140"/>
        <v>0.12481246580884831</v>
      </c>
      <c r="AY652" s="85"/>
      <c r="AZ652" s="85"/>
    </row>
    <row r="653" spans="1:52" x14ac:dyDescent="0.25">
      <c r="A653" s="102" t="str">
        <f t="shared" si="133"/>
        <v>NI Sheep MMN2O</v>
      </c>
      <c r="B653" s="102" t="s">
        <v>970</v>
      </c>
      <c r="C653" s="102" t="s">
        <v>1329</v>
      </c>
      <c r="D653" t="s">
        <v>15</v>
      </c>
      <c r="E653" t="s">
        <v>657</v>
      </c>
      <c r="F653" t="s">
        <v>18</v>
      </c>
      <c r="G653" t="s">
        <v>123</v>
      </c>
      <c r="H653" t="s">
        <v>1228</v>
      </c>
      <c r="I653" t="s">
        <v>139</v>
      </c>
      <c r="J653" t="s">
        <v>287</v>
      </c>
      <c r="K653" s="28">
        <f t="shared" si="135"/>
        <v>6.2656398763200921E-2</v>
      </c>
      <c r="L653" s="28">
        <f t="shared" si="140"/>
        <v>6.2690213227185057E-2</v>
      </c>
      <c r="M653" s="28">
        <f t="shared" si="140"/>
        <v>6.276794979686845E-2</v>
      </c>
      <c r="N653" s="28">
        <f t="shared" si="140"/>
        <v>6.2883356976822818E-2</v>
      </c>
      <c r="O653" s="28">
        <f t="shared" si="140"/>
        <v>6.303912521764958E-2</v>
      </c>
      <c r="P653" s="28">
        <f t="shared" si="140"/>
        <v>6.3238385034454531E-2</v>
      </c>
      <c r="Q653" s="28">
        <f t="shared" si="140"/>
        <v>6.3457948623656765E-2</v>
      </c>
      <c r="R653" s="28">
        <f t="shared" si="140"/>
        <v>6.3694405816808061E-2</v>
      </c>
      <c r="S653" s="28">
        <f t="shared" si="140"/>
        <v>6.3928673704733319E-2</v>
      </c>
      <c r="T653" s="28">
        <f t="shared" si="140"/>
        <v>6.4024546576303062E-2</v>
      </c>
      <c r="U653" s="28">
        <f t="shared" si="140"/>
        <v>6.4133413198594794E-2</v>
      </c>
      <c r="V653" s="28">
        <f t="shared" si="140"/>
        <v>6.4256533645065173E-2</v>
      </c>
      <c r="W653" s="28">
        <f t="shared" si="140"/>
        <v>6.4394801017466488E-2</v>
      </c>
      <c r="X653" s="28">
        <f t="shared" si="140"/>
        <v>6.4550170100282397E-2</v>
      </c>
      <c r="Y653" s="28">
        <f t="shared" si="140"/>
        <v>6.4647859411858508E-2</v>
      </c>
      <c r="Z653" s="28">
        <f t="shared" si="140"/>
        <v>6.4757862549909215E-2</v>
      </c>
      <c r="AA653" s="28">
        <f t="shared" si="140"/>
        <v>6.4877117975833593E-2</v>
      </c>
      <c r="AB653" s="28">
        <f t="shared" si="140"/>
        <v>6.5008421618476642E-2</v>
      </c>
      <c r="AC653" s="28">
        <f t="shared" si="140"/>
        <v>6.5151758442893073E-2</v>
      </c>
      <c r="AD653" s="28">
        <f t="shared" si="140"/>
        <v>6.5246630284262655E-2</v>
      </c>
      <c r="AE653" s="28">
        <f t="shared" si="140"/>
        <v>6.5350732610319262E-2</v>
      </c>
      <c r="AF653" s="28">
        <f t="shared" si="140"/>
        <v>6.5463366093022182E-2</v>
      </c>
      <c r="AG653" s="28">
        <f t="shared" si="140"/>
        <v>6.5585749997988649E-2</v>
      </c>
      <c r="AH653" s="28">
        <f t="shared" si="140"/>
        <v>6.571355347686661E-2</v>
      </c>
      <c r="AI653" s="28">
        <f t="shared" si="140"/>
        <v>6.5795318686458951E-2</v>
      </c>
      <c r="AJ653" s="28">
        <f t="shared" si="140"/>
        <v>6.5884020001636651E-2</v>
      </c>
      <c r="AK653" s="28">
        <f t="shared" si="140"/>
        <v>6.5978314044694314E-2</v>
      </c>
      <c r="AL653" s="28">
        <f t="shared" si="140"/>
        <v>6.6078716985151179E-2</v>
      </c>
      <c r="AM653" s="28">
        <f t="shared" si="140"/>
        <v>6.6185699185286995E-2</v>
      </c>
      <c r="AN653" s="28">
        <f t="shared" si="140"/>
        <v>6.6248752997966662E-2</v>
      </c>
      <c r="AO653" s="28">
        <f t="shared" si="140"/>
        <v>6.6315938275625666E-2</v>
      </c>
      <c r="AP653" s="28">
        <f t="shared" si="140"/>
        <v>6.6388438988824877E-2</v>
      </c>
      <c r="AQ653" s="28">
        <f t="shared" si="140"/>
        <v>6.6466127241216463E-2</v>
      </c>
      <c r="AR653" s="28">
        <f t="shared" si="140"/>
        <v>6.6549837128906997E-2</v>
      </c>
      <c r="AS653" s="28">
        <f t="shared" si="140"/>
        <v>6.658756512294553E-2</v>
      </c>
      <c r="AT653" s="28">
        <f t="shared" si="140"/>
        <v>6.66203125456446E-2</v>
      </c>
      <c r="AU653" s="28">
        <f t="shared" si="140"/>
        <v>6.6656464691830439E-2</v>
      </c>
      <c r="AV653" s="28">
        <f t="shared" si="140"/>
        <v>6.6697796409900922E-2</v>
      </c>
      <c r="AW653" s="28">
        <f t="shared" si="140"/>
        <v>6.6742398126545865E-2</v>
      </c>
      <c r="AY653" s="85"/>
      <c r="AZ653" s="85"/>
    </row>
    <row r="654" spans="1:52" x14ac:dyDescent="0.25">
      <c r="A654" s="102" t="str">
        <f t="shared" si="133"/>
        <v>NI Goats MMN2O</v>
      </c>
      <c r="B654" s="102" t="s">
        <v>970</v>
      </c>
      <c r="C654" s="102" t="s">
        <v>1330</v>
      </c>
      <c r="D654" t="s">
        <v>15</v>
      </c>
      <c r="E654" t="s">
        <v>657</v>
      </c>
      <c r="F654" t="s">
        <v>19</v>
      </c>
      <c r="G654" t="s">
        <v>122</v>
      </c>
      <c r="H654" t="s">
        <v>1228</v>
      </c>
      <c r="I654" t="s">
        <v>139</v>
      </c>
      <c r="J654" t="s">
        <v>287</v>
      </c>
      <c r="K654" s="28">
        <f t="shared" si="135"/>
        <v>1.4482807028187926E-2</v>
      </c>
      <c r="L654" s="28">
        <f t="shared" si="140"/>
        <v>1.4520450251739283E-2</v>
      </c>
      <c r="M654" s="28">
        <f t="shared" si="140"/>
        <v>1.4571212872745463E-2</v>
      </c>
      <c r="N654" s="28">
        <f t="shared" si="140"/>
        <v>1.4633040456364911E-2</v>
      </c>
      <c r="O654" s="28">
        <f t="shared" si="140"/>
        <v>1.4707094987006923E-2</v>
      </c>
      <c r="P654" s="28">
        <f t="shared" si="140"/>
        <v>1.4794644538423191E-2</v>
      </c>
      <c r="Q654" s="28">
        <f t="shared" si="140"/>
        <v>1.4887429784482062E-2</v>
      </c>
      <c r="R654" s="28">
        <f t="shared" si="140"/>
        <v>1.4984365063470912E-2</v>
      </c>
      <c r="S654" s="28">
        <f t="shared" si="140"/>
        <v>1.5078737379247895E-2</v>
      </c>
      <c r="T654" s="28">
        <f t="shared" si="140"/>
        <v>1.5122022085784054E-2</v>
      </c>
      <c r="U654" s="28">
        <f t="shared" si="140"/>
        <v>1.5168700186651049E-2</v>
      </c>
      <c r="V654" s="28">
        <f t="shared" si="140"/>
        <v>1.5219291662698977E-2</v>
      </c>
      <c r="W654" s="28">
        <f t="shared" si="140"/>
        <v>1.5274171031448219E-2</v>
      </c>
      <c r="X654" s="28">
        <f t="shared" si="140"/>
        <v>1.5334076575093777E-2</v>
      </c>
      <c r="Y654" s="28">
        <f t="shared" si="140"/>
        <v>1.5372633836154437E-2</v>
      </c>
      <c r="Z654" s="28">
        <f t="shared" si="140"/>
        <v>1.5414710813994566E-2</v>
      </c>
      <c r="AA654" s="28">
        <f t="shared" si="140"/>
        <v>1.5459260848218298E-2</v>
      </c>
      <c r="AB654" s="28">
        <f t="shared" si="140"/>
        <v>1.5507296791102529E-2</v>
      </c>
      <c r="AC654" s="28">
        <f t="shared" si="140"/>
        <v>1.5558834836357003E-2</v>
      </c>
      <c r="AD654" s="28">
        <f t="shared" si="140"/>
        <v>1.5592757830860556E-2</v>
      </c>
      <c r="AE654" s="28">
        <f t="shared" si="140"/>
        <v>1.562932478627909E-2</v>
      </c>
      <c r="AF654" s="28">
        <f t="shared" si="140"/>
        <v>1.5668308058264361E-2</v>
      </c>
      <c r="AG654" s="28">
        <f t="shared" si="140"/>
        <v>1.5710145809478677E-2</v>
      </c>
      <c r="AH654" s="28">
        <f t="shared" si="140"/>
        <v>1.5753347197297651E-2</v>
      </c>
      <c r="AI654" s="28">
        <f t="shared" si="140"/>
        <v>1.5780128357590142E-2</v>
      </c>
      <c r="AJ654" s="28">
        <f t="shared" si="140"/>
        <v>1.5808895494916663E-2</v>
      </c>
      <c r="AK654" s="28">
        <f t="shared" ref="L654:AW661" si="141">AK1419</f>
        <v>1.5839194459493416E-2</v>
      </c>
      <c r="AL654" s="28">
        <f t="shared" si="141"/>
        <v>1.5871212894447165E-2</v>
      </c>
      <c r="AM654" s="28">
        <f t="shared" si="141"/>
        <v>1.5905120208325661E-2</v>
      </c>
      <c r="AN654" s="28">
        <f t="shared" si="141"/>
        <v>1.5923608440521576E-2</v>
      </c>
      <c r="AO654" s="28">
        <f t="shared" si="141"/>
        <v>1.5943219194385971E-2</v>
      </c>
      <c r="AP654" s="28">
        <f t="shared" si="141"/>
        <v>1.5964364076511545E-2</v>
      </c>
      <c r="AQ654" s="28">
        <f t="shared" si="141"/>
        <v>1.5987003748719163E-2</v>
      </c>
      <c r="AR654" s="28">
        <f t="shared" si="141"/>
        <v>1.6011426014492076E-2</v>
      </c>
      <c r="AS654" s="28">
        <f t="shared" si="141"/>
        <v>1.6019956720470994E-2</v>
      </c>
      <c r="AT654" s="28">
        <f t="shared" si="141"/>
        <v>1.6026597354274651E-2</v>
      </c>
      <c r="AU654" s="28">
        <f t="shared" si="141"/>
        <v>1.6034206571030277E-2</v>
      </c>
      <c r="AV654" s="28">
        <f t="shared" si="141"/>
        <v>1.6043388029308273E-2</v>
      </c>
      <c r="AW654" s="28">
        <f t="shared" si="141"/>
        <v>1.6053496862987397E-2</v>
      </c>
      <c r="AY654" s="85"/>
      <c r="AZ654" s="85"/>
    </row>
    <row r="655" spans="1:52" x14ac:dyDescent="0.25">
      <c r="A655" s="102" t="str">
        <f t="shared" si="133"/>
        <v>NI Goats MMN2O</v>
      </c>
      <c r="B655" s="102" t="s">
        <v>970</v>
      </c>
      <c r="C655" s="102" t="s">
        <v>1330</v>
      </c>
      <c r="D655" t="s">
        <v>15</v>
      </c>
      <c r="E655" t="s">
        <v>657</v>
      </c>
      <c r="F655" t="s">
        <v>19</v>
      </c>
      <c r="G655" t="s">
        <v>123</v>
      </c>
      <c r="H655" t="s">
        <v>1228</v>
      </c>
      <c r="I655" t="s">
        <v>139</v>
      </c>
      <c r="J655" t="s">
        <v>287</v>
      </c>
      <c r="K655" s="28">
        <f t="shared" si="135"/>
        <v>0.11481805129047286</v>
      </c>
      <c r="L655" s="28">
        <f t="shared" si="141"/>
        <v>0.11511648249680231</v>
      </c>
      <c r="M655" s="28">
        <f t="shared" si="141"/>
        <v>0.11551892279798029</v>
      </c>
      <c r="N655" s="28">
        <f t="shared" si="141"/>
        <v>0.11600908486762376</v>
      </c>
      <c r="O655" s="28">
        <f t="shared" si="141"/>
        <v>0.11659618078632224</v>
      </c>
      <c r="P655" s="28">
        <f t="shared" si="141"/>
        <v>0.11729026369893758</v>
      </c>
      <c r="Q655" s="28">
        <f t="shared" si="141"/>
        <v>0.1180258546047787</v>
      </c>
      <c r="R655" s="28">
        <f t="shared" si="141"/>
        <v>0.11879434650093773</v>
      </c>
      <c r="S655" s="28">
        <f t="shared" si="141"/>
        <v>0.1195425195154779</v>
      </c>
      <c r="T655" s="28">
        <f t="shared" si="141"/>
        <v>0.1198856757589802</v>
      </c>
      <c r="U655" s="28">
        <f t="shared" si="141"/>
        <v>0.1202557344478143</v>
      </c>
      <c r="V655" s="28">
        <f t="shared" si="141"/>
        <v>0.1206568179311767</v>
      </c>
      <c r="W655" s="28">
        <f t="shared" si="141"/>
        <v>0.12109189534148641</v>
      </c>
      <c r="X655" s="28">
        <f t="shared" si="141"/>
        <v>0.12156681969623982</v>
      </c>
      <c r="Y655" s="28">
        <f t="shared" si="141"/>
        <v>0.12187249728826091</v>
      </c>
      <c r="Z655" s="28">
        <f t="shared" si="141"/>
        <v>0.12220607879565744</v>
      </c>
      <c r="AA655" s="28">
        <f t="shared" si="141"/>
        <v>0.12255926641353683</v>
      </c>
      <c r="AB655" s="28">
        <f t="shared" si="141"/>
        <v>0.12294008991985945</v>
      </c>
      <c r="AC655" s="28">
        <f t="shared" si="141"/>
        <v>0.12334867769651912</v>
      </c>
      <c r="AD655" s="28">
        <f t="shared" si="141"/>
        <v>0.12361761534895452</v>
      </c>
      <c r="AE655" s="28">
        <f t="shared" si="141"/>
        <v>0.12390751402361132</v>
      </c>
      <c r="AF655" s="28">
        <f t="shared" si="141"/>
        <v>0.124216568981919</v>
      </c>
      <c r="AG655" s="28">
        <f t="shared" si="141"/>
        <v>0.12454825392776228</v>
      </c>
      <c r="AH655" s="28">
        <f t="shared" si="141"/>
        <v>0.12489074962992587</v>
      </c>
      <c r="AI655" s="28">
        <f t="shared" si="141"/>
        <v>0.12510306763085599</v>
      </c>
      <c r="AJ655" s="28">
        <f t="shared" si="141"/>
        <v>0.12533113023243647</v>
      </c>
      <c r="AK655" s="28">
        <f t="shared" si="141"/>
        <v>0.12557133698669695</v>
      </c>
      <c r="AL655" s="28">
        <f t="shared" si="141"/>
        <v>0.12582517550706146</v>
      </c>
      <c r="AM655" s="28">
        <f t="shared" si="141"/>
        <v>0.12609398884528009</v>
      </c>
      <c r="AN655" s="28">
        <f t="shared" si="141"/>
        <v>0.1262405614529527</v>
      </c>
      <c r="AO655" s="28">
        <f t="shared" si="141"/>
        <v>0.12639603328508198</v>
      </c>
      <c r="AP655" s="28">
        <f t="shared" si="141"/>
        <v>0.12656366751204504</v>
      </c>
      <c r="AQ655" s="28">
        <f t="shared" si="141"/>
        <v>0.1267431522652199</v>
      </c>
      <c r="AR655" s="28">
        <f t="shared" si="141"/>
        <v>0.12693676921797539</v>
      </c>
      <c r="AS655" s="28">
        <f t="shared" si="141"/>
        <v>0.12700439968731225</v>
      </c>
      <c r="AT655" s="28">
        <f t="shared" si="141"/>
        <v>0.12705704587884023</v>
      </c>
      <c r="AU655" s="28">
        <f t="shared" si="141"/>
        <v>0.12711737088614225</v>
      </c>
      <c r="AV655" s="28">
        <f t="shared" si="141"/>
        <v>0.12719016044588929</v>
      </c>
      <c r="AW655" s="28">
        <f t="shared" si="141"/>
        <v>0.12727030213262158</v>
      </c>
      <c r="AY655" s="85"/>
      <c r="AZ655" s="85"/>
    </row>
    <row r="656" spans="1:52" x14ac:dyDescent="0.25">
      <c r="A656" s="102" t="str">
        <f t="shared" si="133"/>
        <v>NI Horses MMN2O</v>
      </c>
      <c r="B656" s="102" t="s">
        <v>970</v>
      </c>
      <c r="C656" s="102" t="s">
        <v>1331</v>
      </c>
      <c r="D656" t="s">
        <v>15</v>
      </c>
      <c r="E656" t="s">
        <v>657</v>
      </c>
      <c r="F656" t="s">
        <v>20</v>
      </c>
      <c r="G656" t="s">
        <v>3</v>
      </c>
      <c r="H656" t="s">
        <v>1228</v>
      </c>
      <c r="I656" t="s">
        <v>139</v>
      </c>
      <c r="J656" t="s">
        <v>287</v>
      </c>
      <c r="K656" s="28" t="str">
        <f t="shared" si="135"/>
        <v>NO</v>
      </c>
      <c r="L656" s="28" t="str">
        <f t="shared" si="141"/>
        <v>NO</v>
      </c>
      <c r="M656" s="28" t="str">
        <f t="shared" si="141"/>
        <v>NO</v>
      </c>
      <c r="N656" s="28" t="str">
        <f t="shared" si="141"/>
        <v>NO</v>
      </c>
      <c r="O656" s="28" t="str">
        <f t="shared" si="141"/>
        <v>NO</v>
      </c>
      <c r="P656" s="28" t="str">
        <f t="shared" si="141"/>
        <v>NO</v>
      </c>
      <c r="Q656" s="28" t="str">
        <f t="shared" si="141"/>
        <v>NO</v>
      </c>
      <c r="R656" s="28" t="str">
        <f t="shared" si="141"/>
        <v>NO</v>
      </c>
      <c r="S656" s="28" t="str">
        <f t="shared" si="141"/>
        <v>NO</v>
      </c>
      <c r="T656" s="28" t="str">
        <f t="shared" si="141"/>
        <v>NO</v>
      </c>
      <c r="U656" s="28" t="str">
        <f t="shared" si="141"/>
        <v>NO</v>
      </c>
      <c r="V656" s="28" t="str">
        <f t="shared" si="141"/>
        <v>NO</v>
      </c>
      <c r="W656" s="28" t="str">
        <f t="shared" si="141"/>
        <v>NO</v>
      </c>
      <c r="X656" s="28" t="str">
        <f t="shared" si="141"/>
        <v>NO</v>
      </c>
      <c r="Y656" s="28" t="str">
        <f t="shared" si="141"/>
        <v>NO</v>
      </c>
      <c r="Z656" s="28" t="str">
        <f t="shared" si="141"/>
        <v>NO</v>
      </c>
      <c r="AA656" s="28" t="str">
        <f t="shared" si="141"/>
        <v>NO</v>
      </c>
      <c r="AB656" s="28" t="str">
        <f t="shared" si="141"/>
        <v>NO</v>
      </c>
      <c r="AC656" s="28" t="str">
        <f t="shared" si="141"/>
        <v>NO</v>
      </c>
      <c r="AD656" s="28" t="str">
        <f t="shared" si="141"/>
        <v>NO</v>
      </c>
      <c r="AE656" s="28" t="str">
        <f t="shared" si="141"/>
        <v>NO</v>
      </c>
      <c r="AF656" s="28" t="str">
        <f t="shared" si="141"/>
        <v>NO</v>
      </c>
      <c r="AG656" s="28" t="str">
        <f t="shared" si="141"/>
        <v>NO</v>
      </c>
      <c r="AH656" s="28" t="str">
        <f t="shared" si="141"/>
        <v>NO</v>
      </c>
      <c r="AI656" s="28" t="str">
        <f t="shared" si="141"/>
        <v>NO</v>
      </c>
      <c r="AJ656" s="28" t="str">
        <f t="shared" si="141"/>
        <v>NO</v>
      </c>
      <c r="AK656" s="28" t="str">
        <f t="shared" si="141"/>
        <v>NO</v>
      </c>
      <c r="AL656" s="28" t="str">
        <f t="shared" si="141"/>
        <v>NO</v>
      </c>
      <c r="AM656" s="28" t="str">
        <f t="shared" si="141"/>
        <v>NO</v>
      </c>
      <c r="AN656" s="28" t="str">
        <f t="shared" si="141"/>
        <v>NO</v>
      </c>
      <c r="AO656" s="28" t="str">
        <f t="shared" si="141"/>
        <v>NO</v>
      </c>
      <c r="AP656" s="28" t="str">
        <f t="shared" si="141"/>
        <v>NO</v>
      </c>
      <c r="AQ656" s="28" t="str">
        <f t="shared" si="141"/>
        <v>NO</v>
      </c>
      <c r="AR656" s="28" t="str">
        <f t="shared" si="141"/>
        <v>NO</v>
      </c>
      <c r="AS656" s="28" t="str">
        <f t="shared" si="141"/>
        <v>NO</v>
      </c>
      <c r="AT656" s="28" t="str">
        <f t="shared" si="141"/>
        <v>NO</v>
      </c>
      <c r="AU656" s="28" t="str">
        <f t="shared" si="141"/>
        <v>NO</v>
      </c>
      <c r="AV656" s="28" t="str">
        <f t="shared" si="141"/>
        <v>NO</v>
      </c>
      <c r="AW656" s="28" t="str">
        <f t="shared" si="141"/>
        <v>NO</v>
      </c>
      <c r="AY656" s="85"/>
      <c r="AZ656" s="85"/>
    </row>
    <row r="657" spans="1:52" x14ac:dyDescent="0.25">
      <c r="A657" s="102" t="str">
        <f t="shared" si="133"/>
        <v>NI Mules MMN2O</v>
      </c>
      <c r="B657" s="102" t="s">
        <v>970</v>
      </c>
      <c r="C657" s="102" t="s">
        <v>1332</v>
      </c>
      <c r="D657" t="s">
        <v>15</v>
      </c>
      <c r="E657" t="s">
        <v>657</v>
      </c>
      <c r="F657" t="s">
        <v>140</v>
      </c>
      <c r="G657" t="s">
        <v>124</v>
      </c>
      <c r="H657" t="s">
        <v>1228</v>
      </c>
      <c r="I657" t="s">
        <v>139</v>
      </c>
      <c r="J657" t="s">
        <v>287</v>
      </c>
      <c r="K657" s="28" t="str">
        <f t="shared" si="135"/>
        <v>NO</v>
      </c>
      <c r="L657" s="28" t="str">
        <f t="shared" si="141"/>
        <v>NO</v>
      </c>
      <c r="M657" s="28" t="str">
        <f t="shared" si="141"/>
        <v>NO</v>
      </c>
      <c r="N657" s="28" t="str">
        <f t="shared" si="141"/>
        <v>NO</v>
      </c>
      <c r="O657" s="28" t="str">
        <f t="shared" si="141"/>
        <v>NO</v>
      </c>
      <c r="P657" s="28" t="str">
        <f t="shared" si="141"/>
        <v>NO</v>
      </c>
      <c r="Q657" s="28" t="str">
        <f t="shared" si="141"/>
        <v>NO</v>
      </c>
      <c r="R657" s="28" t="str">
        <f t="shared" si="141"/>
        <v>NO</v>
      </c>
      <c r="S657" s="28" t="str">
        <f t="shared" si="141"/>
        <v>NO</v>
      </c>
      <c r="T657" s="28" t="str">
        <f t="shared" si="141"/>
        <v>NO</v>
      </c>
      <c r="U657" s="28" t="str">
        <f t="shared" si="141"/>
        <v>NO</v>
      </c>
      <c r="V657" s="28" t="str">
        <f t="shared" si="141"/>
        <v>NO</v>
      </c>
      <c r="W657" s="28" t="str">
        <f t="shared" si="141"/>
        <v>NO</v>
      </c>
      <c r="X657" s="28" t="str">
        <f t="shared" si="141"/>
        <v>NO</v>
      </c>
      <c r="Y657" s="28" t="str">
        <f t="shared" si="141"/>
        <v>NO</v>
      </c>
      <c r="Z657" s="28" t="str">
        <f t="shared" si="141"/>
        <v>NO</v>
      </c>
      <c r="AA657" s="28" t="str">
        <f t="shared" si="141"/>
        <v>NO</v>
      </c>
      <c r="AB657" s="28" t="str">
        <f t="shared" si="141"/>
        <v>NO</v>
      </c>
      <c r="AC657" s="28" t="str">
        <f t="shared" si="141"/>
        <v>NO</v>
      </c>
      <c r="AD657" s="28" t="str">
        <f t="shared" si="141"/>
        <v>NO</v>
      </c>
      <c r="AE657" s="28" t="str">
        <f t="shared" si="141"/>
        <v>NO</v>
      </c>
      <c r="AF657" s="28" t="str">
        <f t="shared" si="141"/>
        <v>NO</v>
      </c>
      <c r="AG657" s="28" t="str">
        <f t="shared" si="141"/>
        <v>NO</v>
      </c>
      <c r="AH657" s="28" t="str">
        <f t="shared" si="141"/>
        <v>NO</v>
      </c>
      <c r="AI657" s="28" t="str">
        <f t="shared" si="141"/>
        <v>NO</v>
      </c>
      <c r="AJ657" s="28" t="str">
        <f t="shared" si="141"/>
        <v>NO</v>
      </c>
      <c r="AK657" s="28" t="str">
        <f t="shared" si="141"/>
        <v>NO</v>
      </c>
      <c r="AL657" s="28" t="str">
        <f t="shared" si="141"/>
        <v>NO</v>
      </c>
      <c r="AM657" s="28" t="str">
        <f t="shared" si="141"/>
        <v>NO</v>
      </c>
      <c r="AN657" s="28" t="str">
        <f t="shared" si="141"/>
        <v>NO</v>
      </c>
      <c r="AO657" s="28" t="str">
        <f t="shared" si="141"/>
        <v>NO</v>
      </c>
      <c r="AP657" s="28" t="str">
        <f t="shared" si="141"/>
        <v>NO</v>
      </c>
      <c r="AQ657" s="28" t="str">
        <f t="shared" si="141"/>
        <v>NO</v>
      </c>
      <c r="AR657" s="28" t="str">
        <f t="shared" si="141"/>
        <v>NO</v>
      </c>
      <c r="AS657" s="28" t="str">
        <f t="shared" si="141"/>
        <v>NO</v>
      </c>
      <c r="AT657" s="28" t="str">
        <f t="shared" si="141"/>
        <v>NO</v>
      </c>
      <c r="AU657" s="28" t="str">
        <f t="shared" si="141"/>
        <v>NO</v>
      </c>
      <c r="AV657" s="28" t="str">
        <f t="shared" si="141"/>
        <v>NO</v>
      </c>
      <c r="AW657" s="28" t="str">
        <f t="shared" si="141"/>
        <v>NO</v>
      </c>
      <c r="AY657" s="85"/>
      <c r="AZ657" s="85"/>
    </row>
    <row r="658" spans="1:52" x14ac:dyDescent="0.25">
      <c r="A658" s="102" t="str">
        <f t="shared" si="133"/>
        <v>NI Swine MMN2O</v>
      </c>
      <c r="B658" s="102" t="s">
        <v>970</v>
      </c>
      <c r="C658" s="102" t="s">
        <v>1234</v>
      </c>
      <c r="D658" t="s">
        <v>15</v>
      </c>
      <c r="E658" t="s">
        <v>657</v>
      </c>
      <c r="F658" t="s">
        <v>21</v>
      </c>
      <c r="G658" t="s">
        <v>122</v>
      </c>
      <c r="H658" t="s">
        <v>1228</v>
      </c>
      <c r="I658" t="s">
        <v>139</v>
      </c>
      <c r="J658" t="s">
        <v>287</v>
      </c>
      <c r="K658" s="28">
        <f t="shared" si="135"/>
        <v>9.7855003322124628E-2</v>
      </c>
      <c r="L658" s="28">
        <f t="shared" si="141"/>
        <v>9.768205595551481E-2</v>
      </c>
      <c r="M658" s="28">
        <f t="shared" si="141"/>
        <v>9.7134008511937764E-2</v>
      </c>
      <c r="N658" s="28">
        <f t="shared" si="141"/>
        <v>9.4990622413168677E-2</v>
      </c>
      <c r="O658" s="28">
        <f t="shared" si="141"/>
        <v>9.2963704380958218E-2</v>
      </c>
      <c r="P658" s="28">
        <f t="shared" si="141"/>
        <v>9.2636555494494649E-2</v>
      </c>
      <c r="Q658" s="28">
        <f t="shared" si="141"/>
        <v>9.1842396693378264E-2</v>
      </c>
      <c r="R658" s="28">
        <f t="shared" si="141"/>
        <v>8.9396441883992581E-2</v>
      </c>
      <c r="S658" s="28">
        <f t="shared" si="141"/>
        <v>7.973748994684815E-2</v>
      </c>
      <c r="T658" s="28">
        <f t="shared" si="141"/>
        <v>8.1452692189288772E-2</v>
      </c>
      <c r="U658" s="28">
        <f t="shared" si="141"/>
        <v>8.2242511804273E-2</v>
      </c>
      <c r="V658" s="28">
        <f t="shared" si="141"/>
        <v>8.2817744096224652E-2</v>
      </c>
      <c r="W658" s="28">
        <f t="shared" si="141"/>
        <v>8.3700880663628088E-2</v>
      </c>
      <c r="X658" s="28">
        <f t="shared" si="141"/>
        <v>8.5662060351678962E-2</v>
      </c>
      <c r="Y658" s="28">
        <f t="shared" si="141"/>
        <v>8.7869258828121299E-2</v>
      </c>
      <c r="Z658" s="28">
        <f t="shared" si="141"/>
        <v>9.0298087380543637E-2</v>
      </c>
      <c r="AA658" s="28">
        <f t="shared" si="141"/>
        <v>9.2240276380797723E-2</v>
      </c>
      <c r="AB658" s="28">
        <f t="shared" si="141"/>
        <v>9.4619108619267742E-2</v>
      </c>
      <c r="AC658" s="28">
        <f t="shared" si="141"/>
        <v>9.7530252215833863E-2</v>
      </c>
      <c r="AD658" s="28">
        <f t="shared" si="141"/>
        <v>0.10028578808595486</v>
      </c>
      <c r="AE658" s="28">
        <f t="shared" si="141"/>
        <v>0.10315369284356883</v>
      </c>
      <c r="AF658" s="28">
        <f t="shared" si="141"/>
        <v>0.10603841363071233</v>
      </c>
      <c r="AG658" s="28">
        <f t="shared" si="141"/>
        <v>0.10932837219720498</v>
      </c>
      <c r="AH658" s="28">
        <f t="shared" si="141"/>
        <v>0.11199564217103479</v>
      </c>
      <c r="AI658" s="28">
        <f t="shared" si="141"/>
        <v>0.11485371208683526</v>
      </c>
      <c r="AJ658" s="28">
        <f t="shared" si="141"/>
        <v>0.11771232198590084</v>
      </c>
      <c r="AK658" s="28">
        <f t="shared" si="141"/>
        <v>0.12030678115486812</v>
      </c>
      <c r="AL658" s="28">
        <f t="shared" si="141"/>
        <v>0.12282077145121797</v>
      </c>
      <c r="AM658" s="28">
        <f t="shared" si="141"/>
        <v>0.12541265580814645</v>
      </c>
      <c r="AN658" s="28">
        <f t="shared" si="141"/>
        <v>0.12815280796716533</v>
      </c>
      <c r="AO658" s="28">
        <f t="shared" si="141"/>
        <v>0.13056194972752197</v>
      </c>
      <c r="AP658" s="28">
        <f t="shared" si="141"/>
        <v>0.13295353804447049</v>
      </c>
      <c r="AQ658" s="28">
        <f t="shared" si="141"/>
        <v>0.13533393181533376</v>
      </c>
      <c r="AR658" s="28">
        <f t="shared" si="141"/>
        <v>0.1379132972636212</v>
      </c>
      <c r="AS658" s="28">
        <f t="shared" si="141"/>
        <v>0.14053008195021952</v>
      </c>
      <c r="AT658" s="28">
        <f t="shared" si="141"/>
        <v>0.14114192425764652</v>
      </c>
      <c r="AU658" s="28">
        <f t="shared" si="141"/>
        <v>0.14158544392848668</v>
      </c>
      <c r="AV658" s="28">
        <f t="shared" si="141"/>
        <v>0.14225126627613405</v>
      </c>
      <c r="AW658" s="28">
        <f t="shared" si="141"/>
        <v>0.14277114135536023</v>
      </c>
      <c r="AY658" s="85"/>
      <c r="AZ658" s="85"/>
    </row>
    <row r="659" spans="1:52" x14ac:dyDescent="0.25">
      <c r="A659" s="102" t="str">
        <f t="shared" si="133"/>
        <v>NI Swine MMN2O</v>
      </c>
      <c r="B659" s="102" t="s">
        <v>970</v>
      </c>
      <c r="C659" s="102" t="s">
        <v>1234</v>
      </c>
      <c r="D659" t="s">
        <v>15</v>
      </c>
      <c r="E659" t="s">
        <v>657</v>
      </c>
      <c r="F659" t="s">
        <v>21</v>
      </c>
      <c r="G659" t="s">
        <v>123</v>
      </c>
      <c r="H659" t="s">
        <v>1228</v>
      </c>
      <c r="I659" t="s">
        <v>139</v>
      </c>
      <c r="J659" t="s">
        <v>287</v>
      </c>
      <c r="K659" s="28">
        <f t="shared" si="135"/>
        <v>3.8282858549039588E-2</v>
      </c>
      <c r="L659" s="28">
        <f t="shared" si="141"/>
        <v>3.8215198037593316E-2</v>
      </c>
      <c r="M659" s="28">
        <f t="shared" si="141"/>
        <v>3.8000790781466037E-2</v>
      </c>
      <c r="N659" s="28">
        <f t="shared" si="141"/>
        <v>3.7162254742945426E-2</v>
      </c>
      <c r="O659" s="28">
        <f t="shared" si="141"/>
        <v>3.6369283370166726E-2</v>
      </c>
      <c r="P659" s="28">
        <f t="shared" si="141"/>
        <v>3.6241296102068297E-2</v>
      </c>
      <c r="Q659" s="28">
        <f t="shared" si="141"/>
        <v>3.5930605099907358E-2</v>
      </c>
      <c r="R659" s="28">
        <f t="shared" si="141"/>
        <v>3.497369805574925E-2</v>
      </c>
      <c r="S659" s="28">
        <f t="shared" si="141"/>
        <v>3.1194920495194334E-2</v>
      </c>
      <c r="T659" s="28">
        <f t="shared" si="141"/>
        <v>3.1865942339771837E-2</v>
      </c>
      <c r="U659" s="28">
        <f t="shared" si="141"/>
        <v>3.21749357644633E-2</v>
      </c>
      <c r="V659" s="28">
        <f t="shared" si="141"/>
        <v>3.2399978283680568E-2</v>
      </c>
      <c r="W659" s="28">
        <f t="shared" si="141"/>
        <v>3.2745479189526895E-2</v>
      </c>
      <c r="X659" s="28">
        <f t="shared" si="141"/>
        <v>3.3512732391080123E-2</v>
      </c>
      <c r="Y659" s="28">
        <f t="shared" si="141"/>
        <v>3.4376233123742127E-2</v>
      </c>
      <c r="Z659" s="28">
        <f t="shared" si="141"/>
        <v>3.5326440029424484E-2</v>
      </c>
      <c r="AA659" s="28">
        <f t="shared" si="141"/>
        <v>3.6086263689411195E-2</v>
      </c>
      <c r="AB659" s="28">
        <f t="shared" si="141"/>
        <v>3.7016911024810674E-2</v>
      </c>
      <c r="AC659" s="28">
        <f t="shared" si="141"/>
        <v>3.8155809341092126E-2</v>
      </c>
      <c r="AD659" s="28">
        <f t="shared" si="141"/>
        <v>3.9233830764231724E-2</v>
      </c>
      <c r="AE659" s="28">
        <f t="shared" si="141"/>
        <v>4.0355813171267518E-2</v>
      </c>
      <c r="AF659" s="28">
        <f t="shared" si="141"/>
        <v>4.1484374349525836E-2</v>
      </c>
      <c r="AG659" s="28">
        <f t="shared" si="141"/>
        <v>4.2771472751828604E-2</v>
      </c>
      <c r="AH659" s="28">
        <f t="shared" si="141"/>
        <v>4.3814962769238276E-2</v>
      </c>
      <c r="AI659" s="28">
        <f t="shared" si="141"/>
        <v>4.4933097587032685E-2</v>
      </c>
      <c r="AJ659" s="28">
        <f t="shared" si="141"/>
        <v>4.605144365721333E-2</v>
      </c>
      <c r="AK659" s="28">
        <f t="shared" si="141"/>
        <v>4.7066448613575902E-2</v>
      </c>
      <c r="AL659" s="28">
        <f t="shared" si="141"/>
        <v>4.8049972517734428E-2</v>
      </c>
      <c r="AM659" s="28">
        <f t="shared" si="141"/>
        <v>4.906397015549574E-2</v>
      </c>
      <c r="AN659" s="28">
        <f t="shared" si="141"/>
        <v>5.0135973159381467E-2</v>
      </c>
      <c r="AO659" s="28">
        <f t="shared" si="141"/>
        <v>5.1078478193413449E-2</v>
      </c>
      <c r="AP659" s="28">
        <f t="shared" si="141"/>
        <v>5.2014115964983336E-2</v>
      </c>
      <c r="AQ659" s="28">
        <f t="shared" si="141"/>
        <v>5.2945374203471063E-2</v>
      </c>
      <c r="AR659" s="28">
        <f t="shared" si="141"/>
        <v>5.395447419070433E-2</v>
      </c>
      <c r="AS659" s="28">
        <f t="shared" si="141"/>
        <v>5.4978213341584196E-2</v>
      </c>
      <c r="AT659" s="28">
        <f t="shared" si="141"/>
        <v>5.5217578440090585E-2</v>
      </c>
      <c r="AU659" s="28">
        <f t="shared" si="141"/>
        <v>5.5391092315171642E-2</v>
      </c>
      <c r="AV659" s="28">
        <f t="shared" si="141"/>
        <v>5.5651575498334646E-2</v>
      </c>
      <c r="AW659" s="28">
        <f t="shared" si="141"/>
        <v>5.5854961155128016E-2</v>
      </c>
      <c r="AY659" s="85"/>
      <c r="AZ659" s="85"/>
    </row>
    <row r="660" spans="1:52" x14ac:dyDescent="0.25">
      <c r="A660" s="102" t="str">
        <f t="shared" si="133"/>
        <v>NI Poultry MMN2O</v>
      </c>
      <c r="B660" s="102" t="s">
        <v>970</v>
      </c>
      <c r="C660" s="102" t="s">
        <v>1235</v>
      </c>
      <c r="D660" t="s">
        <v>15</v>
      </c>
      <c r="E660" t="s">
        <v>657</v>
      </c>
      <c r="F660" t="s">
        <v>28</v>
      </c>
      <c r="G660" t="s">
        <v>131</v>
      </c>
      <c r="H660" t="s">
        <v>1228</v>
      </c>
      <c r="I660" t="s">
        <v>139</v>
      </c>
      <c r="J660" t="s">
        <v>287</v>
      </c>
      <c r="K660" s="28">
        <f t="shared" si="135"/>
        <v>0.32879130142743862</v>
      </c>
      <c r="L660" s="28">
        <f t="shared" si="141"/>
        <v>0.33618147320266517</v>
      </c>
      <c r="M660" s="28">
        <f t="shared" si="141"/>
        <v>0.34286580262317662</v>
      </c>
      <c r="N660" s="28">
        <f t="shared" si="141"/>
        <v>0.34631663130525719</v>
      </c>
      <c r="O660" s="28">
        <f t="shared" si="141"/>
        <v>0.34986259378047058</v>
      </c>
      <c r="P660" s="28">
        <f t="shared" si="141"/>
        <v>0.35692259519801384</v>
      </c>
      <c r="Q660" s="28">
        <f t="shared" si="141"/>
        <v>0.36295954497520366</v>
      </c>
      <c r="R660" s="28">
        <f t="shared" si="141"/>
        <v>0.36525102127555931</v>
      </c>
      <c r="S660" s="28">
        <f t="shared" si="141"/>
        <v>0.35074524152454095</v>
      </c>
      <c r="T660" s="28">
        <f t="shared" si="141"/>
        <v>0.36118344194798235</v>
      </c>
      <c r="U660" s="28">
        <f t="shared" si="141"/>
        <v>0.36961966083970876</v>
      </c>
      <c r="V660" s="28">
        <f t="shared" si="141"/>
        <v>0.37765888442551321</v>
      </c>
      <c r="W660" s="28">
        <f t="shared" si="141"/>
        <v>0.38658550533232433</v>
      </c>
      <c r="X660" s="28">
        <f t="shared" si="141"/>
        <v>0.39843478474254634</v>
      </c>
      <c r="Y660" s="28">
        <f t="shared" si="141"/>
        <v>0.41088019341175391</v>
      </c>
      <c r="Z660" s="28">
        <f t="shared" si="141"/>
        <v>0.42422078606736746</v>
      </c>
      <c r="AA660" s="28">
        <f t="shared" si="141"/>
        <v>0.4365608627490552</v>
      </c>
      <c r="AB660" s="28">
        <f t="shared" si="141"/>
        <v>0.45040527564099359</v>
      </c>
      <c r="AC660" s="28">
        <f t="shared" si="141"/>
        <v>0.46610821416360254</v>
      </c>
      <c r="AD660" s="28">
        <f t="shared" si="141"/>
        <v>0.48149963825345377</v>
      </c>
      <c r="AE660" s="28">
        <f t="shared" si="141"/>
        <v>0.49761952403274901</v>
      </c>
      <c r="AF660" s="28">
        <f t="shared" si="141"/>
        <v>0.51420726915291115</v>
      </c>
      <c r="AG660" s="28">
        <f t="shared" si="141"/>
        <v>0.53247410489136104</v>
      </c>
      <c r="AH660" s="28">
        <f t="shared" si="141"/>
        <v>0.5492684403625786</v>
      </c>
      <c r="AI660" s="28">
        <f t="shared" si="141"/>
        <v>0.56683832060292816</v>
      </c>
      <c r="AJ660" s="28">
        <f t="shared" si="141"/>
        <v>0.584861650511455</v>
      </c>
      <c r="AK660" s="28">
        <f t="shared" si="141"/>
        <v>0.60246746038216259</v>
      </c>
      <c r="AL660" s="28">
        <f t="shared" si="141"/>
        <v>0.62024062021411375</v>
      </c>
      <c r="AM660" s="28">
        <f t="shared" si="141"/>
        <v>0.63872476172334525</v>
      </c>
      <c r="AN660" s="28">
        <f t="shared" si="141"/>
        <v>0.65794922439522119</v>
      </c>
      <c r="AO660" s="28">
        <f t="shared" si="141"/>
        <v>0.67647629594315495</v>
      </c>
      <c r="AP660" s="28">
        <f t="shared" si="141"/>
        <v>0.69539916939277291</v>
      </c>
      <c r="AQ660" s="28">
        <f t="shared" si="141"/>
        <v>0.71475050403818352</v>
      </c>
      <c r="AR660" s="28">
        <f t="shared" si="141"/>
        <v>0.73533889699431976</v>
      </c>
      <c r="AS660" s="28">
        <f t="shared" si="141"/>
        <v>0.75634294211031738</v>
      </c>
      <c r="AT660" s="28">
        <f t="shared" si="141"/>
        <v>0.76999066398321547</v>
      </c>
      <c r="AU660" s="28">
        <f t="shared" si="141"/>
        <v>0.78322712569021657</v>
      </c>
      <c r="AV660" s="28">
        <f t="shared" si="141"/>
        <v>0.79761951278112875</v>
      </c>
      <c r="AW660" s="28">
        <f t="shared" si="141"/>
        <v>0.8116941649813233</v>
      </c>
      <c r="AY660" s="85"/>
      <c r="AZ660" s="85"/>
    </row>
    <row r="661" spans="1:52" x14ac:dyDescent="0.25">
      <c r="A661" s="102" t="str">
        <f t="shared" si="133"/>
        <v>NI Poultry MMN2O</v>
      </c>
      <c r="B661" s="102" t="s">
        <v>970</v>
      </c>
      <c r="C661" s="102" t="s">
        <v>1235</v>
      </c>
      <c r="D661" t="s">
        <v>15</v>
      </c>
      <c r="E661" t="s">
        <v>657</v>
      </c>
      <c r="F661" t="s">
        <v>28</v>
      </c>
      <c r="G661" t="s">
        <v>132</v>
      </c>
      <c r="H661" t="s">
        <v>1228</v>
      </c>
      <c r="I661" t="s">
        <v>139</v>
      </c>
      <c r="J661" t="s">
        <v>287</v>
      </c>
      <c r="K661" s="28">
        <f t="shared" si="135"/>
        <v>1.7130795703114865</v>
      </c>
      <c r="L661" s="28">
        <f t="shared" si="141"/>
        <v>1.7448742149951937</v>
      </c>
      <c r="M661" s="28">
        <f t="shared" si="141"/>
        <v>1.7656986639980343</v>
      </c>
      <c r="N661" s="28">
        <f t="shared" si="141"/>
        <v>1.7427941986174933</v>
      </c>
      <c r="O661" s="28">
        <f t="shared" si="141"/>
        <v>1.7205815318546955</v>
      </c>
      <c r="P661" s="28">
        <f t="shared" si="141"/>
        <v>1.7425923100139877</v>
      </c>
      <c r="Q661" s="28">
        <f t="shared" si="141"/>
        <v>1.7510736876348556</v>
      </c>
      <c r="R661" s="28">
        <f t="shared" si="141"/>
        <v>1.7121897293862536</v>
      </c>
      <c r="S661" s="28">
        <f t="shared" si="141"/>
        <v>1.4655218906646825</v>
      </c>
      <c r="T661" s="28">
        <f t="shared" si="141"/>
        <v>1.5438535261882376</v>
      </c>
      <c r="U661" s="28">
        <f t="shared" si="141"/>
        <v>1.5962945286475767</v>
      </c>
      <c r="V661" s="28">
        <f t="shared" si="141"/>
        <v>1.642907889886944</v>
      </c>
      <c r="W661" s="28">
        <f t="shared" si="141"/>
        <v>1.6991978110377575</v>
      </c>
      <c r="X661" s="28">
        <f t="shared" si="141"/>
        <v>1.7890350626064766</v>
      </c>
      <c r="Y661" s="28">
        <f t="shared" si="141"/>
        <v>1.8895080919073246</v>
      </c>
      <c r="Z661" s="28">
        <f t="shared" ref="L661:AW663" si="142">Z1426</f>
        <v>1.9987693788658938</v>
      </c>
      <c r="AA661" s="28">
        <f t="shared" si="142"/>
        <v>2.0947103415895203</v>
      </c>
      <c r="AB661" s="28">
        <f t="shared" si="142"/>
        <v>2.2064115736901493</v>
      </c>
      <c r="AC661" s="28">
        <f t="shared" si="142"/>
        <v>2.3375745911599179</v>
      </c>
      <c r="AD661" s="28">
        <f t="shared" si="142"/>
        <v>2.4674301417551581</v>
      </c>
      <c r="AE661" s="28">
        <f t="shared" si="142"/>
        <v>2.6036408947859315</v>
      </c>
      <c r="AF661" s="28">
        <f t="shared" si="142"/>
        <v>2.7431932989553216</v>
      </c>
      <c r="AG661" s="28">
        <f t="shared" si="142"/>
        <v>2.8994590521514279</v>
      </c>
      <c r="AH661" s="28">
        <f t="shared" si="142"/>
        <v>3.037455952913116</v>
      </c>
      <c r="AI661" s="28">
        <f t="shared" si="142"/>
        <v>3.1860329911149803</v>
      </c>
      <c r="AJ661" s="28">
        <f t="shared" si="142"/>
        <v>3.3377024540250857</v>
      </c>
      <c r="AK661" s="28">
        <f t="shared" si="142"/>
        <v>3.4830302875985271</v>
      </c>
      <c r="AL661" s="28">
        <f t="shared" si="142"/>
        <v>3.6284282503451957</v>
      </c>
      <c r="AM661" s="28">
        <f t="shared" si="142"/>
        <v>3.7797085645009982</v>
      </c>
      <c r="AN661" s="28">
        <f t="shared" si="142"/>
        <v>3.9406773028531807</v>
      </c>
      <c r="AO661" s="28">
        <f t="shared" si="142"/>
        <v>4.09252605936598</v>
      </c>
      <c r="AP661" s="28">
        <f t="shared" si="142"/>
        <v>4.2468797909937708</v>
      </c>
      <c r="AQ661" s="28">
        <f t="shared" si="142"/>
        <v>4.4040525088231126</v>
      </c>
      <c r="AR661" s="28">
        <f t="shared" si="142"/>
        <v>4.5723846640377745</v>
      </c>
      <c r="AS661" s="28">
        <f t="shared" si="142"/>
        <v>4.746828077621343</v>
      </c>
      <c r="AT661" s="28">
        <f t="shared" si="142"/>
        <v>4.8441966867749811</v>
      </c>
      <c r="AU661" s="28">
        <f t="shared" si="142"/>
        <v>4.9364837725054729</v>
      </c>
      <c r="AV661" s="28">
        <f t="shared" si="142"/>
        <v>5.0396527637872595</v>
      </c>
      <c r="AW661" s="28">
        <f t="shared" si="142"/>
        <v>5.1386857535726884</v>
      </c>
      <c r="AY661" s="85"/>
      <c r="AZ661" s="85"/>
    </row>
    <row r="662" spans="1:52" x14ac:dyDescent="0.25">
      <c r="A662" s="102" t="str">
        <f t="shared" si="133"/>
        <v>NI Poultry MMN2O</v>
      </c>
      <c r="B662" s="102" t="s">
        <v>970</v>
      </c>
      <c r="C662" s="102" t="s">
        <v>1235</v>
      </c>
      <c r="D662" t="s">
        <v>15</v>
      </c>
      <c r="E662" t="s">
        <v>657</v>
      </c>
      <c r="F662" t="s">
        <v>28</v>
      </c>
      <c r="G662" t="s">
        <v>134</v>
      </c>
      <c r="H662" t="s">
        <v>1228</v>
      </c>
      <c r="I662" t="s">
        <v>139</v>
      </c>
      <c r="J662" t="s">
        <v>287</v>
      </c>
      <c r="K662" s="28">
        <f t="shared" si="135"/>
        <v>1.3699637559476618E-2</v>
      </c>
      <c r="L662" s="28">
        <f t="shared" si="142"/>
        <v>1.4007561383444394E-2</v>
      </c>
      <c r="M662" s="28">
        <f t="shared" si="142"/>
        <v>1.4286075109299039E-2</v>
      </c>
      <c r="N662" s="28">
        <f t="shared" si="142"/>
        <v>1.4429859637719061E-2</v>
      </c>
      <c r="O662" s="28">
        <f t="shared" si="142"/>
        <v>1.4577608074186288E-2</v>
      </c>
      <c r="P662" s="28">
        <f t="shared" si="142"/>
        <v>1.4871774799917255E-2</v>
      </c>
      <c r="Q662" s="28">
        <f t="shared" si="142"/>
        <v>1.5123314373966834E-2</v>
      </c>
      <c r="R662" s="28">
        <f t="shared" si="142"/>
        <v>1.5218792553148319E-2</v>
      </c>
      <c r="S662" s="28">
        <f t="shared" si="142"/>
        <v>1.4614385063522554E-2</v>
      </c>
      <c r="T662" s="28">
        <f t="shared" si="142"/>
        <v>1.5049310081165945E-2</v>
      </c>
      <c r="U662" s="28">
        <f t="shared" si="142"/>
        <v>1.5400819201654545E-2</v>
      </c>
      <c r="V662" s="28">
        <f t="shared" si="142"/>
        <v>1.5735786851063062E-2</v>
      </c>
      <c r="W662" s="28">
        <f t="shared" si="142"/>
        <v>1.6107729388846862E-2</v>
      </c>
      <c r="X662" s="28">
        <f t="shared" si="142"/>
        <v>1.6601449364272783E-2</v>
      </c>
      <c r="Y662" s="28">
        <f t="shared" si="142"/>
        <v>1.7120008058823098E-2</v>
      </c>
      <c r="Z662" s="28">
        <f t="shared" si="142"/>
        <v>1.7675866086140329E-2</v>
      </c>
      <c r="AA662" s="28">
        <f t="shared" si="142"/>
        <v>1.8190035947877312E-2</v>
      </c>
      <c r="AB662" s="28">
        <f t="shared" si="142"/>
        <v>1.8766886485041417E-2</v>
      </c>
      <c r="AC662" s="28">
        <f t="shared" si="142"/>
        <v>1.9421175590150126E-2</v>
      </c>
      <c r="AD662" s="28">
        <f t="shared" si="142"/>
        <v>2.0062484927227259E-2</v>
      </c>
      <c r="AE662" s="28">
        <f t="shared" si="142"/>
        <v>2.0734146834697896E-2</v>
      </c>
      <c r="AF662" s="28">
        <f t="shared" si="142"/>
        <v>2.1425302881371316E-2</v>
      </c>
      <c r="AG662" s="28">
        <f t="shared" si="142"/>
        <v>2.2186421037140063E-2</v>
      </c>
      <c r="AH662" s="28">
        <f t="shared" si="142"/>
        <v>2.2886185015107467E-2</v>
      </c>
      <c r="AI662" s="28">
        <f t="shared" si="142"/>
        <v>2.3618263358455356E-2</v>
      </c>
      <c r="AJ662" s="28">
        <f t="shared" si="142"/>
        <v>2.436923543797731E-2</v>
      </c>
      <c r="AK662" s="28">
        <f t="shared" si="142"/>
        <v>2.5102810849256797E-2</v>
      </c>
      <c r="AL662" s="28">
        <f t="shared" si="142"/>
        <v>2.5843359175588099E-2</v>
      </c>
      <c r="AM662" s="28">
        <f t="shared" si="142"/>
        <v>2.6613531738472741E-2</v>
      </c>
      <c r="AN662" s="28">
        <f t="shared" si="142"/>
        <v>2.7414551016467576E-2</v>
      </c>
      <c r="AO662" s="28">
        <f t="shared" si="142"/>
        <v>2.8186512330964811E-2</v>
      </c>
      <c r="AP662" s="28">
        <f t="shared" si="142"/>
        <v>2.8974965391365567E-2</v>
      </c>
      <c r="AQ662" s="28">
        <f t="shared" si="142"/>
        <v>2.978127100159101E-2</v>
      </c>
      <c r="AR662" s="28">
        <f t="shared" si="142"/>
        <v>3.0639120708096691E-2</v>
      </c>
      <c r="AS662" s="28">
        <f t="shared" si="142"/>
        <v>3.1514289254596581E-2</v>
      </c>
      <c r="AT662" s="28">
        <f t="shared" si="142"/>
        <v>3.2082944332634006E-2</v>
      </c>
      <c r="AU662" s="28">
        <f t="shared" si="142"/>
        <v>3.2634463570425723E-2</v>
      </c>
      <c r="AV662" s="28">
        <f t="shared" si="142"/>
        <v>3.3234146365880395E-2</v>
      </c>
      <c r="AW662" s="28">
        <f t="shared" si="142"/>
        <v>3.3820590207555172E-2</v>
      </c>
      <c r="AY662" s="85"/>
      <c r="AZ662" s="85"/>
    </row>
    <row r="663" spans="1:52" x14ac:dyDescent="0.25">
      <c r="A663" s="102" t="str">
        <f t="shared" si="133"/>
        <v>NI Poultry MMN2O</v>
      </c>
      <c r="B663" s="102" t="s">
        <v>970</v>
      </c>
      <c r="C663" s="102" t="s">
        <v>1235</v>
      </c>
      <c r="D663" t="s">
        <v>15</v>
      </c>
      <c r="E663" t="s">
        <v>657</v>
      </c>
      <c r="F663" t="s">
        <v>28</v>
      </c>
      <c r="G663" t="s">
        <v>133</v>
      </c>
      <c r="H663" t="s">
        <v>1228</v>
      </c>
      <c r="I663" t="s">
        <v>139</v>
      </c>
      <c r="J663" t="s">
        <v>287</v>
      </c>
      <c r="K663" s="28">
        <f t="shared" si="135"/>
        <v>7.1378315429645331E-2</v>
      </c>
      <c r="L663" s="28">
        <f t="shared" si="142"/>
        <v>7.2703092291466473E-2</v>
      </c>
      <c r="M663" s="28">
        <f t="shared" si="142"/>
        <v>7.3570777666584833E-2</v>
      </c>
      <c r="N663" s="28">
        <f t="shared" si="142"/>
        <v>7.2616424942395619E-2</v>
      </c>
      <c r="O663" s="28">
        <f t="shared" si="142"/>
        <v>7.1690897160612388E-2</v>
      </c>
      <c r="P663" s="28">
        <f t="shared" si="142"/>
        <v>7.2608012917249581E-2</v>
      </c>
      <c r="Q663" s="28">
        <f t="shared" si="142"/>
        <v>7.2961403651452372E-2</v>
      </c>
      <c r="R663" s="28">
        <f t="shared" si="142"/>
        <v>7.1341238724427325E-2</v>
      </c>
      <c r="S663" s="28">
        <f t="shared" si="142"/>
        <v>6.1063412111028503E-2</v>
      </c>
      <c r="T663" s="28">
        <f t="shared" si="142"/>
        <v>6.4327230257843288E-2</v>
      </c>
      <c r="U663" s="28">
        <f t="shared" si="142"/>
        <v>6.6512272026982414E-2</v>
      </c>
      <c r="V663" s="28">
        <f t="shared" si="142"/>
        <v>6.8454495411956071E-2</v>
      </c>
      <c r="W663" s="28">
        <f t="shared" si="142"/>
        <v>7.0799908793239955E-2</v>
      </c>
      <c r="X663" s="28">
        <f t="shared" si="142"/>
        <v>7.4543127608603252E-2</v>
      </c>
      <c r="Y663" s="28">
        <f t="shared" si="142"/>
        <v>7.8729503829471928E-2</v>
      </c>
      <c r="Z663" s="28">
        <f t="shared" si="142"/>
        <v>8.3282057452745667E-2</v>
      </c>
      <c r="AA663" s="28">
        <f t="shared" si="142"/>
        <v>8.7279597566230077E-2</v>
      </c>
      <c r="AB663" s="28">
        <f t="shared" si="142"/>
        <v>9.1933815570422989E-2</v>
      </c>
      <c r="AC663" s="28">
        <f t="shared" si="142"/>
        <v>9.7398941298330002E-2</v>
      </c>
      <c r="AD663" s="28">
        <f t="shared" si="142"/>
        <v>0.10280958923979837</v>
      </c>
      <c r="AE663" s="28">
        <f t="shared" si="142"/>
        <v>0.10848503728274725</v>
      </c>
      <c r="AF663" s="28">
        <f t="shared" si="142"/>
        <v>0.11429972078980519</v>
      </c>
      <c r="AG663" s="28">
        <f t="shared" si="142"/>
        <v>0.12081079383964298</v>
      </c>
      <c r="AH663" s="28">
        <f t="shared" si="142"/>
        <v>0.12656066470471328</v>
      </c>
      <c r="AI663" s="28">
        <f t="shared" si="142"/>
        <v>0.13275137462979095</v>
      </c>
      <c r="AJ663" s="28">
        <f t="shared" si="142"/>
        <v>0.13907093558437875</v>
      </c>
      <c r="AK663" s="28">
        <f t="shared" si="142"/>
        <v>0.14512626198327211</v>
      </c>
      <c r="AL663" s="28">
        <f t="shared" si="142"/>
        <v>0.15118451043105</v>
      </c>
      <c r="AM663" s="28">
        <f t="shared" si="142"/>
        <v>0.15748785685420838</v>
      </c>
      <c r="AN663" s="28">
        <f t="shared" si="142"/>
        <v>0.16419488761888268</v>
      </c>
      <c r="AO663" s="28">
        <f t="shared" si="142"/>
        <v>0.17052191914024933</v>
      </c>
      <c r="AP663" s="28">
        <f t="shared" si="142"/>
        <v>0.17695332462474059</v>
      </c>
      <c r="AQ663" s="28">
        <f t="shared" si="142"/>
        <v>0.18350218786762987</v>
      </c>
      <c r="AR663" s="28">
        <f t="shared" si="142"/>
        <v>0.1905160276682408</v>
      </c>
      <c r="AS663" s="28">
        <f t="shared" si="142"/>
        <v>0.19778450323422284</v>
      </c>
      <c r="AT663" s="28">
        <f t="shared" si="142"/>
        <v>0.20184152861562438</v>
      </c>
      <c r="AU663" s="28">
        <f t="shared" si="142"/>
        <v>0.20568682385439491</v>
      </c>
      <c r="AV663" s="28">
        <f t="shared" si="142"/>
        <v>0.20998553182446936</v>
      </c>
      <c r="AW663" s="28">
        <f t="shared" si="142"/>
        <v>0.21411190639886218</v>
      </c>
      <c r="AY663" s="85"/>
      <c r="AZ663" s="85"/>
    </row>
    <row r="664" spans="1:52" x14ac:dyDescent="0.25">
      <c r="A664" s="102" t="str">
        <f t="shared" si="133"/>
        <v>NI Synthetic</v>
      </c>
      <c r="B664" s="102" t="s">
        <v>970</v>
      </c>
      <c r="C664" s="102" t="s">
        <v>1127</v>
      </c>
      <c r="D664" t="s">
        <v>369</v>
      </c>
      <c r="E664" t="s">
        <v>55</v>
      </c>
      <c r="H664" t="s">
        <v>419</v>
      </c>
      <c r="I664" t="s">
        <v>139</v>
      </c>
      <c r="J664" t="s">
        <v>287</v>
      </c>
      <c r="K664" s="101">
        <f>IF('Net zero activities &amp; levers'!$C$9="Off",'Activity data'!AD47*ttokg*SNEF*NtoN2O*kgtoGg,IF('Net zero activities &amp; levers'!$C$9="On",(('Net zero supporting data'!B157*ttokg*'Net zero supporting data'!B181)+('Net zero supporting data'!B169*ttokg*SNEF))*NtoN2O*kgtoGg,"ERROR"))</f>
        <v>6.6064812063358538</v>
      </c>
      <c r="L664" s="101">
        <f>IF('Net zero activities &amp; levers'!$C$9="Off",'Activity data'!AE47*ttokg*SNEF*NtoN2O*kgtoGg,IF('Net zero activities &amp; levers'!$C$9="On",(('Net zero supporting data'!C157*ttokg*'Net zero supporting data'!C181)+('Net zero supporting data'!C169*ttokg*SNEF))*NtoN2O*kgtoGg,"ERROR"))</f>
        <v>6.6056660352543144</v>
      </c>
      <c r="M664" s="101">
        <f>IF('Net zero activities &amp; levers'!$C$9="Off",'Activity data'!AF47*ttokg*SNEF*NtoN2O*kgtoGg,IF('Net zero activities &amp; levers'!$C$9="On",(('Net zero supporting data'!D157*ttokg*'Net zero supporting data'!D181)+('Net zero supporting data'!D169*ttokg*SNEF))*NtoN2O*kgtoGg,"ERROR"))</f>
        <v>6.6042995522505379</v>
      </c>
      <c r="N664" s="101">
        <f>IF('Net zero activities &amp; levers'!$C$9="Off",'Activity data'!AG47*ttokg*SNEF*NtoN2O*kgtoGg,IF('Net zero activities &amp; levers'!$C$9="On",(('Net zero supporting data'!E157*ttokg*'Net zero supporting data'!E181)+('Net zero supporting data'!E169*ttokg*SNEF))*NtoN2O*kgtoGg,"ERROR"))</f>
        <v>6.6031365898338095</v>
      </c>
      <c r="O664" s="101">
        <f>IF('Net zero activities &amp; levers'!$C$9="Off",'Activity data'!AH47*ttokg*SNEF*NtoN2O*kgtoGg,IF('Net zero activities &amp; levers'!$C$9="On",(('Net zero supporting data'!F157*ttokg*'Net zero supporting data'!F181)+('Net zero supporting data'!F169*ttokg*SNEF))*NtoN2O*kgtoGg,"ERROR"))</f>
        <v>6.6027560568732087</v>
      </c>
      <c r="P664" s="101">
        <f>IF('Net zero activities &amp; levers'!$C$9="Off",'Activity data'!AI47*ttokg*SNEF*NtoN2O*kgtoGg,IF('Net zero activities &amp; levers'!$C$9="On",(('Net zero supporting data'!G157*ttokg*'Net zero supporting data'!G181)+('Net zero supporting data'!G169*ttokg*SNEF))*NtoN2O*kgtoGg,"ERROR"))</f>
        <v>6.6023708971175274</v>
      </c>
      <c r="Q664" s="101">
        <f>IF('Net zero activities &amp; levers'!$C$9="Off",'Activity data'!AJ47*ttokg*SNEF*NtoN2O*kgtoGg,IF('Net zero activities &amp; levers'!$C$9="On",(('Net zero supporting data'!H157*ttokg*'Net zero supporting data'!H181)+('Net zero supporting data'!H169*ttokg*SNEF))*NtoN2O*kgtoGg,"ERROR"))</f>
        <v>6.6011966991986881</v>
      </c>
      <c r="R664" s="101">
        <f>IF('Net zero activities &amp; levers'!$C$9="Off",'Activity data'!AK47*ttokg*SNEF*NtoN2O*kgtoGg,IF('Net zero activities &amp; levers'!$C$9="On",(('Net zero supporting data'!I157*ttokg*'Net zero supporting data'!I181)+('Net zero supporting data'!I169*ttokg*SNEF))*NtoN2O*kgtoGg,"ERROR"))</f>
        <v>6.6002765167075461</v>
      </c>
      <c r="S664" s="101">
        <f>IF('Net zero activities &amp; levers'!$C$9="Off",'Activity data'!AL47*ttokg*SNEF*NtoN2O*kgtoGg,IF('Net zero activities &amp; levers'!$C$9="On",(('Net zero supporting data'!J157*ttokg*'Net zero supporting data'!J181)+('Net zero supporting data'!J169*ttokg*SNEF))*NtoN2O*kgtoGg,"ERROR"))</f>
        <v>6.6002145648060502</v>
      </c>
      <c r="T664" s="101">
        <f>IF('Net zero activities &amp; levers'!$C$9="Off",'Activity data'!AM47*ttokg*SNEF*NtoN2O*kgtoGg,IF('Net zero activities &amp; levers'!$C$9="On",(('Net zero supporting data'!K157*ttokg*'Net zero supporting data'!K181)+('Net zero supporting data'!K169*ttokg*SNEF))*NtoN2O*kgtoGg,"ERROR"))</f>
        <v>6.4884713357569712</v>
      </c>
      <c r="U664" s="101">
        <f>IF('Net zero activities &amp; levers'!$C$9="Off",'Activity data'!AN47*ttokg*SNEF*NtoN2O*kgtoGg,IF('Net zero activities &amp; levers'!$C$9="On",(('Net zero supporting data'!L157*ttokg*'Net zero supporting data'!L181)+('Net zero supporting data'!L169*ttokg*SNEF))*NtoN2O*kgtoGg,"ERROR"))</f>
        <v>6.3708803698567307</v>
      </c>
      <c r="V664" s="101">
        <f>IF('Net zero activities &amp; levers'!$C$9="Off",'Activity data'!AO47*ttokg*SNEF*NtoN2O*kgtoGg,IF('Net zero activities &amp; levers'!$C$9="On",(('Net zero supporting data'!M157*ttokg*'Net zero supporting data'!M181)+('Net zero supporting data'!M169*ttokg*SNEF))*NtoN2O*kgtoGg,"ERROR"))</f>
        <v>6.2538460566482117</v>
      </c>
      <c r="W664" s="101">
        <f>IF('Net zero activities &amp; levers'!$C$9="Off",'Activity data'!AP47*ttokg*SNEF*NtoN2O*kgtoGg,IF('Net zero activities &amp; levers'!$C$9="On",(('Net zero supporting data'!N157*ttokg*'Net zero supporting data'!N181)+('Net zero supporting data'!N169*ttokg*SNEF))*NtoN2O*kgtoGg,"ERROR"))</f>
        <v>6.1369820845996612</v>
      </c>
      <c r="X664" s="101">
        <f>IF('Net zero activities &amp; levers'!$C$9="Off",'Activity data'!AQ47*ttokg*SNEF*NtoN2O*kgtoGg,IF('Net zero activities &amp; levers'!$C$9="On",(('Net zero supporting data'!O157*ttokg*'Net zero supporting data'!O181)+('Net zero supporting data'!O169*ttokg*SNEF))*NtoN2O*kgtoGg,"ERROR"))</f>
        <v>6.0200212739880508</v>
      </c>
      <c r="Y664" s="101">
        <f>IF('Net zero activities &amp; levers'!$C$9="Off",'Activity data'!AR47*ttokg*SNEF*NtoN2O*kgtoGg,IF('Net zero activities &amp; levers'!$C$9="On",(('Net zero supporting data'!P157*ttokg*'Net zero supporting data'!P181)+('Net zero supporting data'!P169*ttokg*SNEF))*NtoN2O*kgtoGg,"ERROR"))</f>
        <v>5.9025961220093164</v>
      </c>
      <c r="Z664" s="101">
        <f>IF('Net zero activities &amp; levers'!$C$9="Off",'Activity data'!AS47*ttokg*SNEF*NtoN2O*kgtoGg,IF('Net zero activities &amp; levers'!$C$9="On",(('Net zero supporting data'!Q157*ttokg*'Net zero supporting data'!Q181)+('Net zero supporting data'!Q169*ttokg*SNEF))*NtoN2O*kgtoGg,"ERROR"))</f>
        <v>5.7851569814433388</v>
      </c>
      <c r="AA664" s="101">
        <f>IF('Net zero activities &amp; levers'!$C$9="Off",'Activity data'!AT47*ttokg*SNEF*NtoN2O*kgtoGg,IF('Net zero activities &amp; levers'!$C$9="On",(('Net zero supporting data'!R157*ttokg*'Net zero supporting data'!R181)+('Net zero supporting data'!R169*ttokg*SNEF))*NtoN2O*kgtoGg,"ERROR"))</f>
        <v>5.6677054111242109</v>
      </c>
      <c r="AB664" s="101">
        <f>IF('Net zero activities &amp; levers'!$C$9="Off",'Activity data'!AU47*ttokg*SNEF*NtoN2O*kgtoGg,IF('Net zero activities &amp; levers'!$C$9="On",(('Net zero supporting data'!S157*ttokg*'Net zero supporting data'!S181)+('Net zero supporting data'!S169*ttokg*SNEF))*NtoN2O*kgtoGg,"ERROR"))</f>
        <v>5.5505648633992308</v>
      </c>
      <c r="AC664" s="101">
        <f>IF('Net zero activities &amp; levers'!$C$9="Off",'Activity data'!AV47*ttokg*SNEF*NtoN2O*kgtoGg,IF('Net zero activities &amp; levers'!$C$9="On",(('Net zero supporting data'!T157*ttokg*'Net zero supporting data'!T181)+('Net zero supporting data'!T169*ttokg*SNEF))*NtoN2O*kgtoGg,"ERROR"))</f>
        <v>5.4333166304000633</v>
      </c>
      <c r="AD664" s="101">
        <f>IF('Net zero activities &amp; levers'!$C$9="Off",'Activity data'!AW47*ttokg*SNEF*NtoN2O*kgtoGg,IF('Net zero activities &amp; levers'!$C$9="On",(('Net zero supporting data'!U157*ttokg*'Net zero supporting data'!U181)+('Net zero supporting data'!U169*ttokg*SNEF))*NtoN2O*kgtoGg,"ERROR"))</f>
        <v>5.3159379976462064</v>
      </c>
      <c r="AE664" s="101">
        <f>IF('Net zero activities &amp; levers'!$C$9="Off",'Activity data'!AX47*ttokg*SNEF*NtoN2O*kgtoGg,IF('Net zero activities &amp; levers'!$C$9="On",(('Net zero supporting data'!V157*ttokg*'Net zero supporting data'!V181)+('Net zero supporting data'!V169*ttokg*SNEF))*NtoN2O*kgtoGg,"ERROR"))</f>
        <v>5.198739225982175</v>
      </c>
      <c r="AF664" s="101">
        <f>IF('Net zero activities &amp; levers'!$C$9="Off",'Activity data'!AY47*ttokg*SNEF*NtoN2O*kgtoGg,IF('Net zero activities &amp; levers'!$C$9="On",(('Net zero supporting data'!W157*ttokg*'Net zero supporting data'!W181)+('Net zero supporting data'!W169*ttokg*SNEF))*NtoN2O*kgtoGg,"ERROR"))</f>
        <v>5.0815962497557008</v>
      </c>
      <c r="AG664" s="101">
        <f>IF('Net zero activities &amp; levers'!$C$9="Off",'Activity data'!AZ47*ttokg*SNEF*NtoN2O*kgtoGg,IF('Net zero activities &amp; levers'!$C$9="On",(('Net zero supporting data'!X157*ttokg*'Net zero supporting data'!X181)+('Net zero supporting data'!X169*ttokg*SNEF))*NtoN2O*kgtoGg,"ERROR"))</f>
        <v>4.9645485717820748</v>
      </c>
      <c r="AH664" s="101">
        <f>IF('Net zero activities &amp; levers'!$C$9="Off",'Activity data'!BA47*ttokg*SNEF*NtoN2O*kgtoGg,IF('Net zero activities &amp; levers'!$C$9="On",(('Net zero supporting data'!Y157*ttokg*'Net zero supporting data'!Y181)+('Net zero supporting data'!Y169*ttokg*SNEF))*NtoN2O*kgtoGg,"ERROR"))</f>
        <v>4.8474557390037623</v>
      </c>
      <c r="AI664" s="101">
        <f>IF('Net zero activities &amp; levers'!$C$9="Off",'Activity data'!BB47*ttokg*SNEF*NtoN2O*kgtoGg,IF('Net zero activities &amp; levers'!$C$9="On",(('Net zero supporting data'!Z157*ttokg*'Net zero supporting data'!Z181)+('Net zero supporting data'!Z169*ttokg*SNEF))*NtoN2O*kgtoGg,"ERROR"))</f>
        <v>4.7306898681441432</v>
      </c>
      <c r="AJ664" s="101">
        <f>IF('Net zero activities &amp; levers'!$C$9="Off",'Activity data'!BC47*ttokg*SNEF*NtoN2O*kgtoGg,IF('Net zero activities &amp; levers'!$C$9="On",(('Net zero supporting data'!AA157*ttokg*'Net zero supporting data'!AA181)+('Net zero supporting data'!AA169*ttokg*SNEF))*NtoN2O*kgtoGg,"ERROR"))</f>
        <v>4.6139615258641831</v>
      </c>
      <c r="AK664" s="101">
        <f>IF('Net zero activities &amp; levers'!$C$9="Off",'Activity data'!BD47*ttokg*SNEF*NtoN2O*kgtoGg,IF('Net zero activities &amp; levers'!$C$9="On",(('Net zero supporting data'!AB157*ttokg*'Net zero supporting data'!AB181)+('Net zero supporting data'!AB169*ttokg*SNEF))*NtoN2O*kgtoGg,"ERROR"))</f>
        <v>4.497329343191331</v>
      </c>
      <c r="AL664" s="101">
        <f>IF('Net zero activities &amp; levers'!$C$9="Off",'Activity data'!BE47*ttokg*SNEF*NtoN2O*kgtoGg,IF('Net zero activities &amp; levers'!$C$9="On",(('Net zero supporting data'!AC157*ttokg*'Net zero supporting data'!AC181)+('Net zero supporting data'!AC169*ttokg*SNEF))*NtoN2O*kgtoGg,"ERROR"))</f>
        <v>4.3808744873696472</v>
      </c>
      <c r="AM664" s="101">
        <f>IF('Net zero activities &amp; levers'!$C$9="Off",'Activity data'!BF47*ttokg*SNEF*NtoN2O*kgtoGg,IF('Net zero activities &amp; levers'!$C$9="On",(('Net zero supporting data'!AD157*ttokg*'Net zero supporting data'!AD181)+('Net zero supporting data'!AD169*ttokg*SNEF))*NtoN2O*kgtoGg,"ERROR"))</f>
        <v>4.2645319482134649</v>
      </c>
      <c r="AN664" s="101">
        <f>IF('Net zero activities &amp; levers'!$C$9="Off",'Activity data'!BG47*ttokg*SNEF*NtoN2O*kgtoGg,IF('Net zero activities &amp; levers'!$C$9="On",(('Net zero supporting data'!AE157*ttokg*'Net zero supporting data'!AE181)+('Net zero supporting data'!AE169*ttokg*SNEF))*NtoN2O*kgtoGg,"ERROR"))</f>
        <v>4.2630265119364426</v>
      </c>
      <c r="AO664" s="101">
        <f>IF('Net zero activities &amp; levers'!$C$9="Off",'Activity data'!BH47*ttokg*SNEF*NtoN2O*kgtoGg,IF('Net zero activities &amp; levers'!$C$9="On",(('Net zero supporting data'!AF157*ttokg*'Net zero supporting data'!AF181)+('Net zero supporting data'!AF169*ttokg*SNEF))*NtoN2O*kgtoGg,"ERROR"))</f>
        <v>4.2614899499211401</v>
      </c>
      <c r="AP664" s="101">
        <f>IF('Net zero activities &amp; levers'!$C$9="Off",'Activity data'!BI47*ttokg*SNEF*NtoN2O*kgtoGg,IF('Net zero activities &amp; levers'!$C$9="On",(('Net zero supporting data'!AG157*ttokg*'Net zero supporting data'!AG181)+('Net zero supporting data'!AG169*ttokg*SNEF))*NtoN2O*kgtoGg,"ERROR"))</f>
        <v>4.2600556212534961</v>
      </c>
      <c r="AQ664" s="101">
        <f>IF('Net zero activities &amp; levers'!$C$9="Off",'Activity data'!BJ47*ttokg*SNEF*NtoN2O*kgtoGg,IF('Net zero activities &amp; levers'!$C$9="On",(('Net zero supporting data'!AH157*ttokg*'Net zero supporting data'!AH181)+('Net zero supporting data'!AH169*ttokg*SNEF))*NtoN2O*kgtoGg,"ERROR"))</f>
        <v>4.2586305769995354</v>
      </c>
      <c r="AR664" s="101">
        <f>IF('Net zero activities &amp; levers'!$C$9="Off",'Activity data'!BK47*ttokg*SNEF*NtoN2O*kgtoGg,IF('Net zero activities &amp; levers'!$C$9="On",(('Net zero supporting data'!AI157*ttokg*'Net zero supporting data'!AI181)+('Net zero supporting data'!AI169*ttokg*SNEF))*NtoN2O*kgtoGg,"ERROR"))</f>
        <v>4.2572126751954817</v>
      </c>
      <c r="AS664" s="101">
        <f>IF('Net zero activities &amp; levers'!$C$9="Off",'Activity data'!BL47*ttokg*SNEF*NtoN2O*kgtoGg,IF('Net zero activities &amp; levers'!$C$9="On",(('Net zero supporting data'!AJ157*ttokg*'Net zero supporting data'!AJ181)+('Net zero supporting data'!AJ169*ttokg*SNEF))*NtoN2O*kgtoGg,"ERROR"))</f>
        <v>4.2557426056629861</v>
      </c>
      <c r="AT664" s="101">
        <f>IF('Net zero activities &amp; levers'!$C$9="Off",'Activity data'!BM47*ttokg*SNEF*NtoN2O*kgtoGg,IF('Net zero activities &amp; levers'!$C$9="On",(('Net zero supporting data'!AK157*ttokg*'Net zero supporting data'!AK181)+('Net zero supporting data'!AK169*ttokg*SNEF))*NtoN2O*kgtoGg,"ERROR"))</f>
        <v>4.254272279998963</v>
      </c>
      <c r="AU664" s="101">
        <f>IF('Net zero activities &amp; levers'!$C$9="Off",'Activity data'!BN47*ttokg*SNEF*NtoN2O*kgtoGg,IF('Net zero activities &amp; levers'!$C$9="On",(('Net zero supporting data'!AL157*ttokg*'Net zero supporting data'!AL181)+('Net zero supporting data'!AL169*ttokg*SNEF))*NtoN2O*kgtoGg,"ERROR"))</f>
        <v>4.2533600661556656</v>
      </c>
      <c r="AV664" s="101">
        <f>IF('Net zero activities &amp; levers'!$C$9="Off",'Activity data'!BO47*ttokg*SNEF*NtoN2O*kgtoGg,IF('Net zero activities &amp; levers'!$C$9="On",(('Net zero supporting data'!AM157*ttokg*'Net zero supporting data'!AM181)+('Net zero supporting data'!AM169*ttokg*SNEF))*NtoN2O*kgtoGg,"ERROR"))</f>
        <v>4.2524929028242848</v>
      </c>
      <c r="AW664" s="101">
        <f>IF('Net zero activities &amp; levers'!$C$9="Off",'Activity data'!BP47*ttokg*SNEF*NtoN2O*kgtoGg,IF('Net zero activities &amp; levers'!$C$9="On",(('Net zero supporting data'!AN157*ttokg*'Net zero supporting data'!AN181)+('Net zero supporting data'!AN169*ttokg*SNEF))*NtoN2O*kgtoGg,"ERROR"))</f>
        <v>4.2515620439195612</v>
      </c>
      <c r="AY664" s="85"/>
      <c r="AZ664" s="85"/>
    </row>
    <row r="665" spans="1:52" x14ac:dyDescent="0.25">
      <c r="A665" s="102" t="str">
        <f t="shared" si="133"/>
        <v>NI Organic</v>
      </c>
      <c r="B665" s="102" t="s">
        <v>970</v>
      </c>
      <c r="C665" s="102" t="s">
        <v>1128</v>
      </c>
      <c r="D665" t="s">
        <v>369</v>
      </c>
      <c r="E665" t="s">
        <v>55</v>
      </c>
      <c r="H665" t="s">
        <v>420</v>
      </c>
      <c r="I665" t="s">
        <v>139</v>
      </c>
      <c r="J665" t="s">
        <v>287</v>
      </c>
      <c r="K665" s="101">
        <f>IF('Net zero activities &amp; levers'!$C$9="Off",'Activity data'!AD48*ttokg*SNEF*NtoN2O*kgtoGg,IF('Net zero activities &amp; levers'!$C$9="On",(('Net zero supporting data'!B158*ttokg*'Net zero supporting data'!B182)+('Net zero supporting data'!B170*ttokg*ONEF))*NtoN2O*kgtoGg,"ERROR"))</f>
        <v>4.3602775961816637E-2</v>
      </c>
      <c r="L665" s="101">
        <f>IF('Net zero activities &amp; levers'!$C$9="Off",'Activity data'!AE48*ttokg*SNEF*NtoN2O*kgtoGg,IF('Net zero activities &amp; levers'!$C$9="On",(('Net zero supporting data'!C158*ttokg*'Net zero supporting data'!C182)+('Net zero supporting data'!C170*ttokg*ONEF))*NtoN2O*kgtoGg,"ERROR"))</f>
        <v>4.3597395832678479E-2</v>
      </c>
      <c r="M665" s="101">
        <f>IF('Net zero activities &amp; levers'!$C$9="Off",'Activity data'!AF48*ttokg*SNEF*NtoN2O*kgtoGg,IF('Net zero activities &amp; levers'!$C$9="On",(('Net zero supporting data'!D158*ttokg*'Net zero supporting data'!D182)+('Net zero supporting data'!D170*ttokg*ONEF))*NtoN2O*kgtoGg,"ERROR"))</f>
        <v>4.3588377044853563E-2</v>
      </c>
      <c r="N665" s="101">
        <f>IF('Net zero activities &amp; levers'!$C$9="Off",'Activity data'!AG48*ttokg*SNEF*NtoN2O*kgtoGg,IF('Net zero activities &amp; levers'!$C$9="On",(('Net zero supporting data'!E158*ttokg*'Net zero supporting data'!E182)+('Net zero supporting data'!E170*ttokg*ONEF))*NtoN2O*kgtoGg,"ERROR"))</f>
        <v>4.3580701492903162E-2</v>
      </c>
      <c r="O665" s="101">
        <f>IF('Net zero activities &amp; levers'!$C$9="Off",'Activity data'!AH48*ttokg*SNEF*NtoN2O*kgtoGg,IF('Net zero activities &amp; levers'!$C$9="On",(('Net zero supporting data'!F158*ttokg*'Net zero supporting data'!F182)+('Net zero supporting data'!F170*ttokg*ONEF))*NtoN2O*kgtoGg,"ERROR"))</f>
        <v>4.3578189975363169E-2</v>
      </c>
      <c r="P665" s="101">
        <f>IF('Net zero activities &amp; levers'!$C$9="Off",'Activity data'!AI48*ttokg*SNEF*NtoN2O*kgtoGg,IF('Net zero activities &amp; levers'!$C$9="On",(('Net zero supporting data'!G158*ttokg*'Net zero supporting data'!G182)+('Net zero supporting data'!G170*ttokg*ONEF))*NtoN2O*kgtoGg,"ERROR"))</f>
        <v>4.3575647920975694E-2</v>
      </c>
      <c r="Q665" s="101">
        <f>IF('Net zero activities &amp; levers'!$C$9="Off",'Activity data'!AJ48*ttokg*SNEF*NtoN2O*kgtoGg,IF('Net zero activities &amp; levers'!$C$9="On",(('Net zero supporting data'!H158*ttokg*'Net zero supporting data'!H182)+('Net zero supporting data'!H170*ttokg*ONEF))*NtoN2O*kgtoGg,"ERROR"))</f>
        <v>4.3567898214711354E-2</v>
      </c>
      <c r="R665" s="101">
        <f>IF('Net zero activities &amp; levers'!$C$9="Off",'Activity data'!AK48*ttokg*SNEF*NtoN2O*kgtoGg,IF('Net zero activities &amp; levers'!$C$9="On",(('Net zero supporting data'!I158*ttokg*'Net zero supporting data'!I182)+('Net zero supporting data'!I170*ttokg*ONEF))*NtoN2O*kgtoGg,"ERROR"))</f>
        <v>4.3561825010269811E-2</v>
      </c>
      <c r="S665" s="101">
        <f>IF('Net zero activities &amp; levers'!$C$9="Off",'Activity data'!AL48*ttokg*SNEF*NtoN2O*kgtoGg,IF('Net zero activities &amp; levers'!$C$9="On",(('Net zero supporting data'!J158*ttokg*'Net zero supporting data'!J182)+('Net zero supporting data'!J170*ttokg*ONEF))*NtoN2O*kgtoGg,"ERROR"))</f>
        <v>4.3561416127719944E-2</v>
      </c>
      <c r="T665" s="101">
        <f>IF('Net zero activities &amp; levers'!$C$9="Off",'Activity data'!AM48*ttokg*SNEF*NtoN2O*kgtoGg,IF('Net zero activities &amp; levers'!$C$9="On",(('Net zero supporting data'!K158*ttokg*'Net zero supporting data'!K182)+('Net zero supporting data'!K170*ttokg*ONEF))*NtoN2O*kgtoGg,"ERROR"))</f>
        <v>4.2823910815996014E-2</v>
      </c>
      <c r="U665" s="101">
        <f>IF('Net zero activities &amp; levers'!$C$9="Off",'Activity data'!AN48*ttokg*SNEF*NtoN2O*kgtoGg,IF('Net zero activities &amp; levers'!$C$9="On",(('Net zero supporting data'!L158*ttokg*'Net zero supporting data'!L182)+('Net zero supporting data'!L170*ttokg*ONEF))*NtoN2O*kgtoGg,"ERROR"))</f>
        <v>4.2047810441054427E-2</v>
      </c>
      <c r="V665" s="101">
        <f>IF('Net zero activities &amp; levers'!$C$9="Off",'Activity data'!AO48*ttokg*SNEF*NtoN2O*kgtoGg,IF('Net zero activities &amp; levers'!$C$9="On",(('Net zero supporting data'!M158*ttokg*'Net zero supporting data'!M182)+('Net zero supporting data'!M170*ttokg*ONEF))*NtoN2O*kgtoGg,"ERROR"))</f>
        <v>4.1275383973878199E-2</v>
      </c>
      <c r="W665" s="101">
        <f>IF('Net zero activities &amp; levers'!$C$9="Off",'Activity data'!AP48*ttokg*SNEF*NtoN2O*kgtoGg,IF('Net zero activities &amp; levers'!$C$9="On",(('Net zero supporting data'!N158*ttokg*'Net zero supporting data'!N182)+('Net zero supporting data'!N170*ttokg*ONEF))*NtoN2O*kgtoGg,"ERROR"))</f>
        <v>4.0504081758357777E-2</v>
      </c>
      <c r="X665" s="101">
        <f>IF('Net zero activities &amp; levers'!$C$9="Off",'Activity data'!AQ48*ttokg*SNEF*NtoN2O*kgtoGg,IF('Net zero activities &amp; levers'!$C$9="On",(('Net zero supporting data'!O158*ttokg*'Net zero supporting data'!O182)+('Net zero supporting data'!O170*ttokg*ONEF))*NtoN2O*kgtoGg,"ERROR"))</f>
        <v>3.9732140408321154E-2</v>
      </c>
      <c r="Y665" s="101">
        <f>IF('Net zero activities &amp; levers'!$C$9="Off",'Activity data'!AR48*ttokg*SNEF*NtoN2O*kgtoGg,IF('Net zero activities &amp; levers'!$C$9="On",(('Net zero supporting data'!P158*ttokg*'Net zero supporting data'!P182)+('Net zero supporting data'!P170*ttokg*ONEF))*NtoN2O*kgtoGg,"ERROR"))</f>
        <v>3.8957134405261495E-2</v>
      </c>
      <c r="Z665" s="101">
        <f>IF('Net zero activities &amp; levers'!$C$9="Off",'Activity data'!AS48*ttokg*SNEF*NtoN2O*kgtoGg,IF('Net zero activities &amp; levers'!$C$9="On",(('Net zero supporting data'!Q158*ttokg*'Net zero supporting data'!Q182)+('Net zero supporting data'!Q170*ttokg*ONEF))*NtoN2O*kgtoGg,"ERROR"))</f>
        <v>3.8182036077526058E-2</v>
      </c>
      <c r="AA665" s="101">
        <f>IF('Net zero activities &amp; levers'!$C$9="Off",'Activity data'!AT48*ttokg*SNEF*NtoN2O*kgtoGg,IF('Net zero activities &amp; levers'!$C$9="On",(('Net zero supporting data'!R158*ttokg*'Net zero supporting data'!R182)+('Net zero supporting data'!R170*ttokg*ONEF))*NtoN2O*kgtoGg,"ERROR"))</f>
        <v>3.7406855713419791E-2</v>
      </c>
      <c r="AB665" s="101">
        <f>IF('Net zero activities &amp; levers'!$C$9="Off",'Activity data'!AU48*ttokg*SNEF*NtoN2O*kgtoGg,IF('Net zero activities &amp; levers'!$C$9="On",(('Net zero supporting data'!S158*ttokg*'Net zero supporting data'!S182)+('Net zero supporting data'!S170*ttokg*ONEF))*NtoN2O*kgtoGg,"ERROR"))</f>
        <v>3.6633728098434931E-2</v>
      </c>
      <c r="AC665" s="101">
        <f>IF('Net zero activities &amp; levers'!$C$9="Off",'Activity data'!AV48*ttokg*SNEF*NtoN2O*kgtoGg,IF('Net zero activities &amp; levers'!$C$9="On",(('Net zero supporting data'!T158*ttokg*'Net zero supporting data'!T182)+('Net zero supporting data'!T170*ttokg*ONEF))*NtoN2O*kgtoGg,"ERROR"))</f>
        <v>3.5859889760640425E-2</v>
      </c>
      <c r="AD665" s="101">
        <f>IF('Net zero activities &amp; levers'!$C$9="Off",'Activity data'!AW48*ttokg*SNEF*NtoN2O*kgtoGg,IF('Net zero activities &amp; levers'!$C$9="On",(('Net zero supporting data'!U158*ttokg*'Net zero supporting data'!U182)+('Net zero supporting data'!U170*ttokg*ONEF))*NtoN2O*kgtoGg,"ERROR"))</f>
        <v>3.5085190784464967E-2</v>
      </c>
      <c r="AE665" s="101">
        <f>IF('Net zero activities &amp; levers'!$C$9="Off",'Activity data'!AX48*ttokg*SNEF*NtoN2O*kgtoGg,IF('Net zero activities &amp; levers'!$C$9="On",(('Net zero supporting data'!V158*ttokg*'Net zero supporting data'!V182)+('Net zero supporting data'!V170*ttokg*ONEF))*NtoN2O*kgtoGg,"ERROR"))</f>
        <v>3.4311678891482358E-2</v>
      </c>
      <c r="AF665" s="101">
        <f>IF('Net zero activities &amp; levers'!$C$9="Off",'Activity data'!AY48*ttokg*SNEF*NtoN2O*kgtoGg,IF('Net zero activities &amp; levers'!$C$9="On",(('Net zero supporting data'!W158*ttokg*'Net zero supporting data'!W182)+('Net zero supporting data'!W170*ttokg*ONEF))*NtoN2O*kgtoGg,"ERROR"))</f>
        <v>3.3538535248387624E-2</v>
      </c>
      <c r="AG665" s="101">
        <f>IF('Net zero activities &amp; levers'!$C$9="Off",'Activity data'!AZ48*ttokg*SNEF*NtoN2O*kgtoGg,IF('Net zero activities &amp; levers'!$C$9="On",(('Net zero supporting data'!X158*ttokg*'Net zero supporting data'!X182)+('Net zero supporting data'!X170*ttokg*ONEF))*NtoN2O*kgtoGg,"ERROR"))</f>
        <v>3.2766020573761698E-2</v>
      </c>
      <c r="AH665" s="101">
        <f>IF('Net zero activities &amp; levers'!$C$9="Off",'Activity data'!BA48*ttokg*SNEF*NtoN2O*kgtoGg,IF('Net zero activities &amp; levers'!$C$9="On",(('Net zero supporting data'!Y158*ttokg*'Net zero supporting data'!Y182)+('Net zero supporting data'!Y170*ttokg*ONEF))*NtoN2O*kgtoGg,"ERROR"))</f>
        <v>3.1993207877424837E-2</v>
      </c>
      <c r="AI665" s="101">
        <f>IF('Net zero activities &amp; levers'!$C$9="Off",'Activity data'!BB48*ttokg*SNEF*NtoN2O*kgtoGg,IF('Net zero activities &amp; levers'!$C$9="On",(('Net zero supporting data'!Z158*ttokg*'Net zero supporting data'!Z182)+('Net zero supporting data'!Z170*ttokg*ONEF))*NtoN2O*kgtoGg,"ERROR"))</f>
        <v>3.1222553129751345E-2</v>
      </c>
      <c r="AJ665" s="101">
        <f>IF('Net zero activities &amp; levers'!$C$9="Off",'Activity data'!BC48*ttokg*SNEF*NtoN2O*kgtoGg,IF('Net zero activities &amp; levers'!$C$9="On",(('Net zero supporting data'!AA158*ttokg*'Net zero supporting data'!AA182)+('Net zero supporting data'!AA170*ttokg*ONEF))*NtoN2O*kgtoGg,"ERROR"))</f>
        <v>3.0452146070703619E-2</v>
      </c>
      <c r="AK665" s="101">
        <f>IF('Net zero activities &amp; levers'!$C$9="Off",'Activity data'!BD48*ttokg*SNEF*NtoN2O*kgtoGg,IF('Net zero activities &amp; levers'!$C$9="On",(('Net zero supporting data'!AB158*ttokg*'Net zero supporting data'!AB182)+('Net zero supporting data'!AB170*ttokg*ONEF))*NtoN2O*kgtoGg,"ERROR"))</f>
        <v>2.9682373665062801E-2</v>
      </c>
      <c r="AL665" s="101">
        <f>IF('Net zero activities &amp; levers'!$C$9="Off",'Activity data'!BE48*ttokg*SNEF*NtoN2O*kgtoGg,IF('Net zero activities &amp; levers'!$C$9="On",(('Net zero supporting data'!AC158*ttokg*'Net zero supporting data'!AC182)+('Net zero supporting data'!AC170*ttokg*ONEF))*NtoN2O*kgtoGg,"ERROR"))</f>
        <v>2.8913771616639671E-2</v>
      </c>
      <c r="AM665" s="101">
        <f>IF('Net zero activities &amp; levers'!$C$9="Off",'Activity data'!BF48*ttokg*SNEF*NtoN2O*kgtoGg,IF('Net zero activities &amp; levers'!$C$9="On",(('Net zero supporting data'!AD158*ttokg*'Net zero supporting data'!AD182)+('Net zero supporting data'!AD170*ttokg*ONEF))*NtoN2O*kgtoGg,"ERROR"))</f>
        <v>2.8145910858208875E-2</v>
      </c>
      <c r="AN665" s="101">
        <f>IF('Net zero activities &amp; levers'!$C$9="Off",'Activity data'!BG48*ttokg*SNEF*NtoN2O*kgtoGg,IF('Net zero activities &amp; levers'!$C$9="On",(('Net zero supporting data'!AE158*ttokg*'Net zero supporting data'!AE182)+('Net zero supporting data'!AE170*ttokg*ONEF))*NtoN2O*kgtoGg,"ERROR"))</f>
        <v>2.8135974978780533E-2</v>
      </c>
      <c r="AO665" s="101">
        <f>IF('Net zero activities &amp; levers'!$C$9="Off",'Activity data'!BH48*ttokg*SNEF*NtoN2O*kgtoGg,IF('Net zero activities &amp; levers'!$C$9="On",(('Net zero supporting data'!AF158*ttokg*'Net zero supporting data'!AF182)+('Net zero supporting data'!AF170*ttokg*ONEF))*NtoN2O*kgtoGg,"ERROR"))</f>
        <v>2.8125833669479527E-2</v>
      </c>
      <c r="AP665" s="101">
        <f>IF('Net zero activities &amp; levers'!$C$9="Off",'Activity data'!BI48*ttokg*SNEF*NtoN2O*kgtoGg,IF('Net zero activities &amp; levers'!$C$9="On",(('Net zero supporting data'!AG158*ttokg*'Net zero supporting data'!AG182)+('Net zero supporting data'!AG170*ttokg*ONEF))*NtoN2O*kgtoGg,"ERROR"))</f>
        <v>2.8116367100273078E-2</v>
      </c>
      <c r="AQ665" s="101">
        <f>IF('Net zero activities &amp; levers'!$C$9="Off",'Activity data'!BJ48*ttokg*SNEF*NtoN2O*kgtoGg,IF('Net zero activities &amp; levers'!$C$9="On",(('Net zero supporting data'!AH158*ttokg*'Net zero supporting data'!AH182)+('Net zero supporting data'!AH170*ttokg*ONEF))*NtoN2O*kgtoGg,"ERROR"))</f>
        <v>2.8106961808196943E-2</v>
      </c>
      <c r="AR665" s="101">
        <f>IF('Net zero activities &amp; levers'!$C$9="Off",'Activity data'!BK48*ttokg*SNEF*NtoN2O*kgtoGg,IF('Net zero activities &amp; levers'!$C$9="On",(('Net zero supporting data'!AI158*ttokg*'Net zero supporting data'!AI182)+('Net zero supporting data'!AI170*ttokg*ONEF))*NtoN2O*kgtoGg,"ERROR"))</f>
        <v>2.8097603656290184E-2</v>
      </c>
      <c r="AS665" s="101">
        <f>IF('Net zero activities &amp; levers'!$C$9="Off",'Activity data'!BL48*ttokg*SNEF*NtoN2O*kgtoGg,IF('Net zero activities &amp; levers'!$C$9="On",(('Net zero supporting data'!AJ158*ttokg*'Net zero supporting data'!AJ182)+('Net zero supporting data'!AJ170*ttokg*ONEF))*NtoN2O*kgtoGg,"ERROR"))</f>
        <v>2.8087901197375715E-2</v>
      </c>
      <c r="AT665" s="101">
        <f>IF('Net zero activities &amp; levers'!$C$9="Off",'Activity data'!BM48*ttokg*SNEF*NtoN2O*kgtoGg,IF('Net zero activities &amp; levers'!$C$9="On",(('Net zero supporting data'!AK158*ttokg*'Net zero supporting data'!AK182)+('Net zero supporting data'!AK170*ttokg*ONEF))*NtoN2O*kgtoGg,"ERROR"))</f>
        <v>2.807819704799315E-2</v>
      </c>
      <c r="AU665" s="101">
        <f>IF('Net zero activities &amp; levers'!$C$9="Off",'Activity data'!BN48*ttokg*SNEF*NtoN2O*kgtoGg,IF('Net zero activities &amp; levers'!$C$9="On",(('Net zero supporting data'!AL158*ttokg*'Net zero supporting data'!AL182)+('Net zero supporting data'!AL170*ttokg*ONEF))*NtoN2O*kgtoGg,"ERROR"))</f>
        <v>2.8072176436627395E-2</v>
      </c>
      <c r="AV665" s="101">
        <f>IF('Net zero activities &amp; levers'!$C$9="Off",'Activity data'!BO48*ttokg*SNEF*NtoN2O*kgtoGg,IF('Net zero activities &amp; levers'!$C$9="On",(('Net zero supporting data'!AM158*ttokg*'Net zero supporting data'!AM182)+('Net zero supporting data'!AM170*ttokg*ONEF))*NtoN2O*kgtoGg,"ERROR"))</f>
        <v>2.806645315864029E-2</v>
      </c>
      <c r="AW665" s="101">
        <f>IF('Net zero activities &amp; levers'!$C$9="Off",'Activity data'!BP48*ttokg*SNEF*NtoN2O*kgtoGg,IF('Net zero activities &amp; levers'!$C$9="On",(('Net zero supporting data'!AN158*ttokg*'Net zero supporting data'!AN182)+('Net zero supporting data'!AN170*ttokg*ONEF))*NtoN2O*kgtoGg,"ERROR"))</f>
        <v>2.8060309489869109E-2</v>
      </c>
      <c r="AY665" s="85"/>
      <c r="AZ665" s="85"/>
    </row>
    <row r="666" spans="1:52" x14ac:dyDescent="0.25">
      <c r="A666" s="102" t="str">
        <f t="shared" si="133"/>
        <v>NI Crop residues</v>
      </c>
      <c r="B666" s="102" t="s">
        <v>970</v>
      </c>
      <c r="C666" s="102" t="s">
        <v>58</v>
      </c>
      <c r="D666" t="str">
        <f t="shared" ref="D666" si="143">D665</f>
        <v>3C Aggregated and non-CO2 emissions on land</v>
      </c>
      <c r="E666" t="str">
        <f>E665</f>
        <v>3C4 Direct N2O from managed soils (N2O)</v>
      </c>
      <c r="H666" t="s">
        <v>58</v>
      </c>
      <c r="I666" t="str">
        <f>I665</f>
        <v>N2O</v>
      </c>
      <c r="J666" t="str">
        <f>J665</f>
        <v>Gg N2O</v>
      </c>
      <c r="K666" s="28">
        <f>K1465</f>
        <v>2.94930909510781</v>
      </c>
      <c r="L666" s="28">
        <f t="shared" ref="L666:AW666" si="144">L1465</f>
        <v>2.9553948259346963</v>
      </c>
      <c r="M666" s="28">
        <f t="shared" si="144"/>
        <v>2.9655964240149095</v>
      </c>
      <c r="N666" s="28">
        <f t="shared" si="144"/>
        <v>2.9742786213968655</v>
      </c>
      <c r="O666" s="28">
        <f t="shared" si="144"/>
        <v>2.9771195234129291</v>
      </c>
      <c r="P666" s="28">
        <f t="shared" si="144"/>
        <v>2.9799949671713049</v>
      </c>
      <c r="Q666" s="28">
        <f t="shared" si="144"/>
        <v>2.9887610441744785</v>
      </c>
      <c r="R666" s="28">
        <f t="shared" si="144"/>
        <v>2.9956307468412153</v>
      </c>
      <c r="S666" s="28">
        <f t="shared" si="144"/>
        <v>2.9960932541666816</v>
      </c>
      <c r="T666" s="28">
        <f t="shared" si="144"/>
        <v>2.9675186651595986</v>
      </c>
      <c r="U666" s="28">
        <f t="shared" si="144"/>
        <v>2.9831478886073279</v>
      </c>
      <c r="V666" s="28">
        <f t="shared" si="144"/>
        <v>2.9949684403788361</v>
      </c>
      <c r="W666" s="28">
        <f t="shared" si="144"/>
        <v>3.0058664357215821</v>
      </c>
      <c r="X666" s="28">
        <f t="shared" si="144"/>
        <v>3.0179747177251275</v>
      </c>
      <c r="Y666" s="28">
        <f t="shared" si="144"/>
        <v>3.0344297828088291</v>
      </c>
      <c r="Z666" s="28">
        <f t="shared" si="144"/>
        <v>3.051660187261632</v>
      </c>
      <c r="AA666" s="28">
        <f t="shared" si="144"/>
        <v>3.0696997307404872</v>
      </c>
      <c r="AB666" s="28">
        <f t="shared" si="144"/>
        <v>3.0857326483566894</v>
      </c>
      <c r="AC666" s="28">
        <f t="shared" si="144"/>
        <v>3.1034202155798769</v>
      </c>
      <c r="AD666" s="28">
        <f t="shared" si="144"/>
        <v>3.1230800126456195</v>
      </c>
      <c r="AE666" s="28">
        <f t="shared" si="144"/>
        <v>3.1419111062172522</v>
      </c>
      <c r="AF666" s="28">
        <f t="shared" si="144"/>
        <v>3.1610561707509404</v>
      </c>
      <c r="AG666" s="28">
        <f t="shared" si="144"/>
        <v>3.1801464271230016</v>
      </c>
      <c r="AH666" s="28">
        <f t="shared" si="144"/>
        <v>3.2005997561822985</v>
      </c>
      <c r="AI666" s="28">
        <f t="shared" si="144"/>
        <v>3.2186571182805661</v>
      </c>
      <c r="AJ666" s="28">
        <f t="shared" si="144"/>
        <v>3.2372153128171188</v>
      </c>
      <c r="AK666" s="28">
        <f t="shared" si="144"/>
        <v>3.2556737246860838</v>
      </c>
      <c r="AL666" s="28">
        <f t="shared" si="144"/>
        <v>3.2731166988585363</v>
      </c>
      <c r="AM666" s="28">
        <f t="shared" si="144"/>
        <v>3.2902088949247208</v>
      </c>
      <c r="AN666" s="28">
        <f t="shared" si="144"/>
        <v>3.3074996116389994</v>
      </c>
      <c r="AO666" s="28">
        <f t="shared" si="144"/>
        <v>3.3251478236065783</v>
      </c>
      <c r="AP666" s="28">
        <f t="shared" si="144"/>
        <v>3.3416218325340545</v>
      </c>
      <c r="AQ666" s="28">
        <f t="shared" si="144"/>
        <v>3.3579892051532951</v>
      </c>
      <c r="AR666" s="28">
        <f t="shared" si="144"/>
        <v>3.3742745430296259</v>
      </c>
      <c r="AS666" s="28">
        <f t="shared" si="144"/>
        <v>3.391159054333535</v>
      </c>
      <c r="AT666" s="28">
        <f t="shared" si="144"/>
        <v>3.4080465074409378</v>
      </c>
      <c r="AU666" s="28">
        <f t="shared" si="144"/>
        <v>3.4185237567194666</v>
      </c>
      <c r="AV666" s="28">
        <f t="shared" si="144"/>
        <v>3.4284835774948501</v>
      </c>
      <c r="AW666" s="28">
        <f t="shared" si="144"/>
        <v>3.439174974977584</v>
      </c>
      <c r="AY666" s="85"/>
      <c r="AZ666" s="85"/>
    </row>
    <row r="667" spans="1:52" x14ac:dyDescent="0.25">
      <c r="A667" s="102" t="str">
        <f t="shared" si="133"/>
        <v>NI Organic</v>
      </c>
      <c r="B667" s="102" t="s">
        <v>970</v>
      </c>
      <c r="C667" s="102" t="s">
        <v>1128</v>
      </c>
      <c r="D667" t="s">
        <v>369</v>
      </c>
      <c r="E667" t="s">
        <v>55</v>
      </c>
      <c r="F667" t="s">
        <v>421</v>
      </c>
      <c r="G667" t="s">
        <v>1153</v>
      </c>
      <c r="H667" t="s">
        <v>1154</v>
      </c>
      <c r="I667" t="s">
        <v>139</v>
      </c>
      <c r="J667" t="s">
        <v>287</v>
      </c>
      <c r="K667" s="101">
        <f>IF('Net zero activities &amp; levers'!$C$9="Off",'Activity data'!AD50*ManureNEF*NtoN2O*kgtoGg,IF('Net zero activities &amp; levers'!$C$9="On",(('Net zero supporting data'!B159*'Net zero supporting data'!B183)+('Net zero supporting data'!B171*ManureNEF))*NtoN2O*kgtoGg,"ERROR"))</f>
        <v>0.31910516055557447</v>
      </c>
      <c r="L667" s="101">
        <f>IF('Net zero activities &amp; levers'!$C$9="Off",'Activity data'!AE50*ManureNEF*NtoN2O*kgtoGg,IF('Net zero activities &amp; levers'!$C$9="On",(('Net zero supporting data'!C159*'Net zero supporting data'!C183)+('Net zero supporting data'!C171*ManureNEF))*NtoN2O*kgtoGg,"ERROR"))</f>
        <v>0.32125977651579962</v>
      </c>
      <c r="M667" s="101">
        <f>IF('Net zero activities &amp; levers'!$C$9="Off",'Activity data'!AF50*ManureNEF*NtoN2O*kgtoGg,IF('Net zero activities &amp; levers'!$C$9="On",(('Net zero supporting data'!D159*'Net zero supporting data'!D183)+('Net zero supporting data'!D171*ManureNEF))*NtoN2O*kgtoGg,"ERROR"))</f>
        <v>0.32314451970240549</v>
      </c>
      <c r="N667" s="101">
        <f>IF('Net zero activities &amp; levers'!$C$9="Off",'Activity data'!AG50*ManureNEF*NtoN2O*kgtoGg,IF('Net zero activities &amp; levers'!$C$9="On",(('Net zero supporting data'!E159*'Net zero supporting data'!E183)+('Net zero supporting data'!E171*ManureNEF))*NtoN2O*kgtoGg,"ERROR"))</f>
        <v>0.32338831518425315</v>
      </c>
      <c r="O667" s="101">
        <f>IF('Net zero activities &amp; levers'!$C$9="Off",'Activity data'!AH50*ManureNEF*NtoN2O*kgtoGg,IF('Net zero activities &amp; levers'!$C$9="On",(('Net zero supporting data'!F159*'Net zero supporting data'!F183)+('Net zero supporting data'!F171*ManureNEF))*NtoN2O*kgtoGg,"ERROR"))</f>
        <v>0.32380822899810918</v>
      </c>
      <c r="P667" s="101">
        <f>IF('Net zero activities &amp; levers'!$C$9="Off",'Activity data'!AI50*ManureNEF*NtoN2O*kgtoGg,IF('Net zero activities &amp; levers'!$C$9="On",(('Net zero supporting data'!G159*'Net zero supporting data'!G183)+('Net zero supporting data'!G171*ManureNEF))*NtoN2O*kgtoGg,"ERROR"))</f>
        <v>0.32621761700786678</v>
      </c>
      <c r="Q667" s="101">
        <f>IF('Net zero activities &amp; levers'!$C$9="Off",'Activity data'!AJ50*ManureNEF*NtoN2O*kgtoGg,IF('Net zero activities &amp; levers'!$C$9="On",(('Net zero supporting data'!H159*'Net zero supporting data'!H183)+('Net zero supporting data'!H171*ManureNEF))*NtoN2O*kgtoGg,"ERROR"))</f>
        <v>0.32814424518292917</v>
      </c>
      <c r="R667" s="101">
        <f>IF('Net zero activities &amp; levers'!$C$9="Off",'Activity data'!AK50*ManureNEF*NtoN2O*kgtoGg,IF('Net zero activities &amp; levers'!$C$9="On",(('Net zero supporting data'!I159*'Net zero supporting data'!I183)+('Net zero supporting data'!I171*ManureNEF))*NtoN2O*kgtoGg,"ERROR"))</f>
        <v>0.32816113797461788</v>
      </c>
      <c r="S667" s="101">
        <f>IF('Net zero activities &amp; levers'!$C$9="Off",'Activity data'!AL50*ManureNEF*NtoN2O*kgtoGg,IF('Net zero activities &amp; levers'!$C$9="On",(('Net zero supporting data'!J159*'Net zero supporting data'!J183)+('Net zero supporting data'!J171*ManureNEF))*NtoN2O*kgtoGg,"ERROR"))</f>
        <v>0.31946691799605059</v>
      </c>
      <c r="T667" s="101">
        <f>IF('Net zero activities &amp; levers'!$C$9="Off",'Activity data'!AM50*ManureNEF*NtoN2O*kgtoGg,IF('Net zero activities &amp; levers'!$C$9="On",(('Net zero supporting data'!K159*'Net zero supporting data'!K183)+('Net zero supporting data'!K171*ManureNEF))*NtoN2O*kgtoGg,"ERROR"))</f>
        <v>0.31545885120874373</v>
      </c>
      <c r="U667" s="101">
        <f>IF('Net zero activities &amp; levers'!$C$9="Off",'Activity data'!AN50*ManureNEF*NtoN2O*kgtoGg,IF('Net zero activities &amp; levers'!$C$9="On",(('Net zero supporting data'!L159*'Net zero supporting data'!L183)+('Net zero supporting data'!L171*ManureNEF))*NtoN2O*kgtoGg,"ERROR"))</f>
        <v>0.31036033731058216</v>
      </c>
      <c r="V667" s="101">
        <f>IF('Net zero activities &amp; levers'!$C$9="Off",'Activity data'!AO50*ManureNEF*NtoN2O*kgtoGg,IF('Net zero activities &amp; levers'!$C$9="On",(('Net zero supporting data'!M159*'Net zero supporting data'!M183)+('Net zero supporting data'!M171*ManureNEF))*NtoN2O*kgtoGg,"ERROR"))</f>
        <v>0.30502855945140989</v>
      </c>
      <c r="W667" s="101">
        <f>IF('Net zero activities &amp; levers'!$C$9="Off",'Activity data'!AP50*ManureNEF*NtoN2O*kgtoGg,IF('Net zero activities &amp; levers'!$C$9="On",(('Net zero supporting data'!N159*'Net zero supporting data'!N183)+('Net zero supporting data'!N171*ManureNEF))*NtoN2O*kgtoGg,"ERROR"))</f>
        <v>0.30007199591978978</v>
      </c>
      <c r="X667" s="101">
        <f>IF('Net zero activities &amp; levers'!$C$9="Off",'Activity data'!AQ50*ManureNEF*NtoN2O*kgtoGg,IF('Net zero activities &amp; levers'!$C$9="On",(('Net zero supporting data'!O159*'Net zero supporting data'!O183)+('Net zero supporting data'!O171*ManureNEF))*NtoN2O*kgtoGg,"ERROR"))</f>
        <v>0.2963580323139251</v>
      </c>
      <c r="Y667" s="101">
        <f>IF('Net zero activities &amp; levers'!$C$9="Off",'Activity data'!AR50*ManureNEF*NtoN2O*kgtoGg,IF('Net zero activities &amp; levers'!$C$9="On",(('Net zero supporting data'!P159*'Net zero supporting data'!P183)+('Net zero supporting data'!P171*ManureNEF))*NtoN2O*kgtoGg,"ERROR"))</f>
        <v>0.29267317205264148</v>
      </c>
      <c r="Z667" s="101">
        <f>IF('Net zero activities &amp; levers'!$C$9="Off",'Activity data'!AS50*ManureNEF*NtoN2O*kgtoGg,IF('Net zero activities &amp; levers'!$C$9="On",(('Net zero supporting data'!Q159*'Net zero supporting data'!Q183)+('Net zero supporting data'!Q171*ManureNEF))*NtoN2O*kgtoGg,"ERROR"))</f>
        <v>0.28920790981807853</v>
      </c>
      <c r="AA667" s="101">
        <f>IF('Net zero activities &amp; levers'!$C$9="Off",'Activity data'!AT50*ManureNEF*NtoN2O*kgtoGg,IF('Net zero activities &amp; levers'!$C$9="On",(('Net zero supporting data'!R159*'Net zero supporting data'!R183)+('Net zero supporting data'!R171*ManureNEF))*NtoN2O*kgtoGg,"ERROR"))</f>
        <v>0.28516400617030757</v>
      </c>
      <c r="AB667" s="101">
        <f>IF('Net zero activities &amp; levers'!$C$9="Off",'Activity data'!AU50*ManureNEF*NtoN2O*kgtoGg,IF('Net zero activities &amp; levers'!$C$9="On",(('Net zero supporting data'!S159*'Net zero supporting data'!S183)+('Net zero supporting data'!S171*ManureNEF))*NtoN2O*kgtoGg,"ERROR"))</f>
        <v>0.28156494688902894</v>
      </c>
      <c r="AC667" s="101">
        <f>IF('Net zero activities &amp; levers'!$C$9="Off",'Activity data'!AV50*ManureNEF*NtoN2O*kgtoGg,IF('Net zero activities &amp; levers'!$C$9="On",(('Net zero supporting data'!T159*'Net zero supporting data'!T183)+('Net zero supporting data'!T171*ManureNEF))*NtoN2O*kgtoGg,"ERROR"))</f>
        <v>0.27848955571043854</v>
      </c>
      <c r="AD667" s="101">
        <f>IF('Net zero activities &amp; levers'!$C$9="Off",'Activity data'!AW50*ManureNEF*NtoN2O*kgtoGg,IF('Net zero activities &amp; levers'!$C$9="On",(('Net zero supporting data'!U159*'Net zero supporting data'!U183)+('Net zero supporting data'!U171*ManureNEF))*NtoN2O*kgtoGg,"ERROR"))</f>
        <v>0.27698286837173913</v>
      </c>
      <c r="AE667" s="101">
        <f>IF('Net zero activities &amp; levers'!$C$9="Off",'Activity data'!AX50*ManureNEF*NtoN2O*kgtoGg,IF('Net zero activities &amp; levers'!$C$9="On",(('Net zero supporting data'!V159*'Net zero supporting data'!V183)+('Net zero supporting data'!V171*ManureNEF))*NtoN2O*kgtoGg,"ERROR"))</f>
        <v>0.27551667424200238</v>
      </c>
      <c r="AF667" s="101">
        <f>IF('Net zero activities &amp; levers'!$C$9="Off",'Activity data'!AY50*ManureNEF*NtoN2O*kgtoGg,IF('Net zero activities &amp; levers'!$C$9="On",(('Net zero supporting data'!W159*'Net zero supporting data'!W183)+('Net zero supporting data'!W171*ManureNEF))*NtoN2O*kgtoGg,"ERROR"))</f>
        <v>0.27398099770727136</v>
      </c>
      <c r="AG667" s="101">
        <f>IF('Net zero activities &amp; levers'!$C$9="Off",'Activity data'!AZ50*ManureNEF*NtoN2O*kgtoGg,IF('Net zero activities &amp; levers'!$C$9="On",(('Net zero supporting data'!X159*'Net zero supporting data'!X183)+('Net zero supporting data'!X171*ManureNEF))*NtoN2O*kgtoGg,"ERROR"))</f>
        <v>0.27277315817926695</v>
      </c>
      <c r="AH667" s="101">
        <f>IF('Net zero activities &amp; levers'!$C$9="Off",'Activity data'!BA50*ManureNEF*NtoN2O*kgtoGg,IF('Net zero activities &amp; levers'!$C$9="On",(('Net zero supporting data'!Y159*'Net zero supporting data'!Y183)+('Net zero supporting data'!Y171*ManureNEF))*NtoN2O*kgtoGg,"ERROR"))</f>
        <v>0.27081435900480383</v>
      </c>
      <c r="AI667" s="101">
        <f>IF('Net zero activities &amp; levers'!$C$9="Off",'Activity data'!BB50*ManureNEF*NtoN2O*kgtoGg,IF('Net zero activities &amp; levers'!$C$9="On",(('Net zero supporting data'!Z159*'Net zero supporting data'!Z183)+('Net zero supporting data'!Z171*ManureNEF))*NtoN2O*kgtoGg,"ERROR"))</f>
        <v>0.26881607372863803</v>
      </c>
      <c r="AJ667" s="101">
        <f>IF('Net zero activities &amp; levers'!$C$9="Off",'Activity data'!BC50*ManureNEF*NtoN2O*kgtoGg,IF('Net zero activities &amp; levers'!$C$9="On",(('Net zero supporting data'!AA159*'Net zero supporting data'!AA183)+('Net zero supporting data'!AA171*ManureNEF))*NtoN2O*kgtoGg,"ERROR"))</f>
        <v>0.26671072528232087</v>
      </c>
      <c r="AK667" s="101">
        <f>IF('Net zero activities &amp; levers'!$C$9="Off",'Activity data'!BD50*ManureNEF*NtoN2O*kgtoGg,IF('Net zero activities &amp; levers'!$C$9="On",(('Net zero supporting data'!AB159*'Net zero supporting data'!AB183)+('Net zero supporting data'!AB171*ManureNEF))*NtoN2O*kgtoGg,"ERROR"))</f>
        <v>0.26422768148064041</v>
      </c>
      <c r="AL667" s="101">
        <f>IF('Net zero activities &amp; levers'!$C$9="Off",'Activity data'!BE50*ManureNEF*NtoN2O*kgtoGg,IF('Net zero activities &amp; levers'!$C$9="On",(('Net zero supporting data'!AC159*'Net zero supporting data'!AC183)+('Net zero supporting data'!AC171*ManureNEF))*NtoN2O*kgtoGg,"ERROR"))</f>
        <v>0.26155109725913117</v>
      </c>
      <c r="AM667" s="101">
        <f>IF('Net zero activities &amp; levers'!$C$9="Off",'Activity data'!BF50*ManureNEF*NtoN2O*kgtoGg,IF('Net zero activities &amp; levers'!$C$9="On",(('Net zero supporting data'!AD159*'Net zero supporting data'!AD183)+('Net zero supporting data'!AD171*ManureNEF))*NtoN2O*kgtoGg,"ERROR"))</f>
        <v>0.2588319487107118</v>
      </c>
      <c r="AN667" s="101">
        <f>IF('Net zero activities &amp; levers'!$C$9="Off",'Activity data'!BG50*ManureNEF*NtoN2O*kgtoGg,IF('Net zero activities &amp; levers'!$C$9="On",(('Net zero supporting data'!AE159*'Net zero supporting data'!AE183)+('Net zero supporting data'!AE171*ManureNEF))*NtoN2O*kgtoGg,"ERROR"))</f>
        <v>0.26310554890926835</v>
      </c>
      <c r="AO667" s="101">
        <f>IF('Net zero activities &amp; levers'!$C$9="Off",'Activity data'!BH50*ManureNEF*NtoN2O*kgtoGg,IF('Net zero activities &amp; levers'!$C$9="On",(('Net zero supporting data'!AF159*'Net zero supporting data'!AF183)+('Net zero supporting data'!AF171*ManureNEF))*NtoN2O*kgtoGg,"ERROR"))</f>
        <v>0.26715274949259882</v>
      </c>
      <c r="AP667" s="101">
        <f>IF('Net zero activities &amp; levers'!$C$9="Off",'Activity data'!BI50*ManureNEF*NtoN2O*kgtoGg,IF('Net zero activities &amp; levers'!$C$9="On",(('Net zero supporting data'!AG159*'Net zero supporting data'!AG183)+('Net zero supporting data'!AG171*ManureNEF))*NtoN2O*kgtoGg,"ERROR"))</f>
        <v>0.27127959926336548</v>
      </c>
      <c r="AQ667" s="101">
        <f>IF('Net zero activities &amp; levers'!$C$9="Off",'Activity data'!BJ50*ManureNEF*NtoN2O*kgtoGg,IF('Net zero activities &amp; levers'!$C$9="On",(('Net zero supporting data'!AH159*'Net zero supporting data'!AH183)+('Net zero supporting data'!AH171*ManureNEF))*NtoN2O*kgtoGg,"ERROR"))</f>
        <v>0.27549385016043149</v>
      </c>
      <c r="AR667" s="101">
        <f>IF('Net zero activities &amp; levers'!$C$9="Off",'Activity data'!BK50*ManureNEF*NtoN2O*kgtoGg,IF('Net zero activities &amp; levers'!$C$9="On",(('Net zero supporting data'!AI159*'Net zero supporting data'!AI183)+('Net zero supporting data'!AI171*ManureNEF))*NtoN2O*kgtoGg,"ERROR"))</f>
        <v>0.28001583061883917</v>
      </c>
      <c r="AS667" s="101">
        <f>IF('Net zero activities &amp; levers'!$C$9="Off",'Activity data'!BL50*ManureNEF*NtoN2O*kgtoGg,IF('Net zero activities &amp; levers'!$C$9="On",(('Net zero supporting data'!AJ159*'Net zero supporting data'!AJ183)+('Net zero supporting data'!AJ171*ManureNEF))*NtoN2O*kgtoGg,"ERROR"))</f>
        <v>0.2845758947426536</v>
      </c>
      <c r="AT667" s="101">
        <f>IF('Net zero activities &amp; levers'!$C$9="Off",'Activity data'!BM50*ManureNEF*NtoN2O*kgtoGg,IF('Net zero activities &amp; levers'!$C$9="On",(('Net zero supporting data'!AK159*'Net zero supporting data'!AK183)+('Net zero supporting data'!AK171*ManureNEF))*NtoN2O*kgtoGg,"ERROR"))</f>
        <v>0.2871037988942462</v>
      </c>
      <c r="AU667" s="101">
        <f>IF('Net zero activities &amp; levers'!$C$9="Off",'Activity data'!BN50*ManureNEF*NtoN2O*kgtoGg,IF('Net zero activities &amp; levers'!$C$9="On",(('Net zero supporting data'!AL159*'Net zero supporting data'!AL183)+('Net zero supporting data'!AL171*ManureNEF))*NtoN2O*kgtoGg,"ERROR"))</f>
        <v>0.28950509869465207</v>
      </c>
      <c r="AV667" s="101">
        <f>IF('Net zero activities &amp; levers'!$C$9="Off",'Activity data'!BO50*ManureNEF*NtoN2O*kgtoGg,IF('Net zero activities &amp; levers'!$C$9="On",(('Net zero supporting data'!AM159*'Net zero supporting data'!AM183)+('Net zero supporting data'!AM171*ManureNEF))*NtoN2O*kgtoGg,"ERROR"))</f>
        <v>0.29220286643485482</v>
      </c>
      <c r="AW667" s="101">
        <f>IF('Net zero activities &amp; levers'!$C$9="Off",'Activity data'!BP50*ManureNEF*NtoN2O*kgtoGg,IF('Net zero activities &amp; levers'!$C$9="On",(('Net zero supporting data'!AN159*'Net zero supporting data'!AN183)+('Net zero supporting data'!AN171*ManureNEF))*NtoN2O*kgtoGg,"ERROR"))</f>
        <v>0.29479830847605598</v>
      </c>
      <c r="AY667" s="85"/>
      <c r="AZ667" s="85"/>
    </row>
    <row r="668" spans="1:52" x14ac:dyDescent="0.25">
      <c r="A668" s="102" t="str">
        <f t="shared" si="133"/>
        <v>NI Organic</v>
      </c>
      <c r="B668" s="102" t="s">
        <v>970</v>
      </c>
      <c r="C668" s="102" t="s">
        <v>1128</v>
      </c>
      <c r="D668" t="s">
        <v>369</v>
      </c>
      <c r="E668" t="s">
        <v>55</v>
      </c>
      <c r="F668" t="s">
        <v>421</v>
      </c>
      <c r="G668" t="s">
        <v>1155</v>
      </c>
      <c r="H668" t="s">
        <v>1156</v>
      </c>
      <c r="I668" t="s">
        <v>139</v>
      </c>
      <c r="J668" t="s">
        <v>287</v>
      </c>
      <c r="K668" s="101">
        <f>IF('Net zero activities &amp; levers'!$C$9="Off",'Activity data'!AD51*ManureNEF*NtoN2O*kgtoGg,IF('Net zero activities &amp; levers'!$C$9="On",(('Net zero supporting data'!B160*'Net zero supporting data'!B183)+('Net zero supporting data'!B172*ManureNEF))*NtoN2O*kgtoGg,"ERROR"))</f>
        <v>0.93305416014115006</v>
      </c>
      <c r="L668" s="101">
        <f>IF('Net zero activities &amp; levers'!$C$9="Off",'Activity data'!AE51*ManureNEF*NtoN2O*kgtoGg,IF('Net zero activities &amp; levers'!$C$9="On",(('Net zero supporting data'!C160*'Net zero supporting data'!C183)+('Net zero supporting data'!C172*ManureNEF))*NtoN2O*kgtoGg,"ERROR"))</f>
        <v>0.93935419421673338</v>
      </c>
      <c r="M668" s="101">
        <f>IF('Net zero activities &amp; levers'!$C$9="Off",'Activity data'!AF51*ManureNEF*NtoN2O*kgtoGg,IF('Net zero activities &amp; levers'!$C$9="On",(('Net zero supporting data'!D160*'Net zero supporting data'!D183)+('Net zero supporting data'!D172*ManureNEF))*NtoN2O*kgtoGg,"ERROR"))</f>
        <v>0.94486512819222468</v>
      </c>
      <c r="N668" s="101">
        <f>IF('Net zero activities &amp; levers'!$C$9="Off",'Activity data'!AG51*ManureNEF*NtoN2O*kgtoGg,IF('Net zero activities &amp; levers'!$C$9="On",(('Net zero supporting data'!E160*'Net zero supporting data'!E183)+('Net zero supporting data'!E172*ManureNEF))*NtoN2O*kgtoGg,"ERROR"))</f>
        <v>0.94557797905356933</v>
      </c>
      <c r="O668" s="101">
        <f>IF('Net zero activities &amp; levers'!$C$9="Off",'Activity data'!AH51*ManureNEF*NtoN2O*kgtoGg,IF('Net zero activities &amp; levers'!$C$9="On",(('Net zero supporting data'!F160*'Net zero supporting data'!F183)+('Net zero supporting data'!F172*ManureNEF))*NtoN2O*kgtoGg,"ERROR"))</f>
        <v>0.94680579476873028</v>
      </c>
      <c r="P668" s="101">
        <f>IF('Net zero activities &amp; levers'!$C$9="Off",'Activity data'!AI51*ManureNEF*NtoN2O*kgtoGg,IF('Net zero activities &amp; levers'!$C$9="On",(('Net zero supporting data'!G160*'Net zero supporting data'!G183)+('Net zero supporting data'!G172*ManureNEF))*NtoN2O*kgtoGg,"ERROR"))</f>
        <v>0.9538507748686591</v>
      </c>
      <c r="Q668" s="101">
        <f>IF('Net zero activities &amp; levers'!$C$9="Off",'Activity data'!AJ51*ManureNEF*NtoN2O*kgtoGg,IF('Net zero activities &amp; levers'!$C$9="On",(('Net zero supporting data'!H160*'Net zero supporting data'!H183)+('Net zero supporting data'!H172*ManureNEF))*NtoN2O*kgtoGg,"ERROR"))</f>
        <v>0.95948417932585228</v>
      </c>
      <c r="R668" s="101">
        <f>IF('Net zero activities &amp; levers'!$C$9="Off",'Activity data'!AK51*ManureNEF*NtoN2O*kgtoGg,IF('Net zero activities &amp; levers'!$C$9="On",(('Net zero supporting data'!I160*'Net zero supporting data'!I183)+('Net zero supporting data'!I172*ManureNEF))*NtoN2O*kgtoGg,"ERROR"))</f>
        <v>0.95953357335487388</v>
      </c>
      <c r="S668" s="101">
        <f>IF('Net zero activities &amp; levers'!$C$9="Off",'Activity data'!AL51*ManureNEF*NtoN2O*kgtoGg,IF('Net zero activities &amp; levers'!$C$9="On",(('Net zero supporting data'!J160*'Net zero supporting data'!J183)+('Net zero supporting data'!J172*ManureNEF))*NtoN2O*kgtoGg,"ERROR"))</f>
        <v>0.9341119283208017</v>
      </c>
      <c r="T668" s="101">
        <f>IF('Net zero activities &amp; levers'!$C$9="Off",'Activity data'!AM51*ManureNEF*NtoN2O*kgtoGg,IF('Net zero activities &amp; levers'!$C$9="On",(('Net zero supporting data'!K160*'Net zero supporting data'!K183)+('Net zero supporting data'!K172*ManureNEF))*NtoN2O*kgtoGg,"ERROR"))</f>
        <v>0.92239245821411575</v>
      </c>
      <c r="U668" s="101">
        <f>IF('Net zero activities &amp; levers'!$C$9="Off",'Activity data'!AN51*ManureNEF*NtoN2O*kgtoGg,IF('Net zero activities &amp; levers'!$C$9="On",(('Net zero supporting data'!L160*'Net zero supporting data'!L183)+('Net zero supporting data'!L172*ManureNEF))*NtoN2O*kgtoGg,"ERROR"))</f>
        <v>0.90748455263548267</v>
      </c>
      <c r="V668" s="101">
        <f>IF('Net zero activities &amp; levers'!$C$9="Off",'Activity data'!AO51*ManureNEF*NtoN2O*kgtoGg,IF('Net zero activities &amp; levers'!$C$9="On",(('Net zero supporting data'!M160*'Net zero supporting data'!M183)+('Net zero supporting data'!M172*ManureNEF))*NtoN2O*kgtoGg,"ERROR"))</f>
        <v>0.89189459005453331</v>
      </c>
      <c r="W668" s="101">
        <f>IF('Net zero activities &amp; levers'!$C$9="Off",'Activity data'!AP51*ManureNEF*NtoN2O*kgtoGg,IF('Net zero activities &amp; levers'!$C$9="On",(('Net zero supporting data'!N160*'Net zero supporting data'!N183)+('Net zero supporting data'!N172*ManureNEF))*NtoN2O*kgtoGg,"ERROR"))</f>
        <v>0.8774017431976221</v>
      </c>
      <c r="X668" s="101">
        <f>IF('Net zero activities &amp; levers'!$C$9="Off",'Activity data'!AQ51*ManureNEF*NtoN2O*kgtoGg,IF('Net zero activities &amp; levers'!$C$9="On",(('Net zero supporting data'!O160*'Net zero supporting data'!O183)+('Net zero supporting data'!O172*ManureNEF))*NtoN2O*kgtoGg,"ERROR"))</f>
        <v>0.86654222219510491</v>
      </c>
      <c r="Y668" s="101">
        <f>IF('Net zero activities &amp; levers'!$C$9="Off",'Activity data'!AR51*ManureNEF*NtoN2O*kgtoGg,IF('Net zero activities &amp; levers'!$C$9="On",(('Net zero supporting data'!P160*'Net zero supporting data'!P183)+('Net zero supporting data'!P172*ManureNEF))*NtoN2O*kgtoGg,"ERROR"))</f>
        <v>0.85576779852128071</v>
      </c>
      <c r="Z668" s="101">
        <f>IF('Net zero activities &amp; levers'!$C$9="Off",'Activity data'!AS51*ManureNEF*NtoN2O*kgtoGg,IF('Net zero activities &amp; levers'!$C$9="On",(('Net zero supporting data'!Q160*'Net zero supporting data'!Q183)+('Net zero supporting data'!Q172*ManureNEF))*NtoN2O*kgtoGg,"ERROR"))</f>
        <v>0.84563547305744402</v>
      </c>
      <c r="AA668" s="101">
        <f>IF('Net zero activities &amp; levers'!$C$9="Off",'Activity data'!AT51*ManureNEF*NtoN2O*kgtoGg,IF('Net zero activities &amp; levers'!$C$9="On",(('Net zero supporting data'!R160*'Net zero supporting data'!R183)+('Net zero supporting data'!R172*ManureNEF))*NtoN2O*kgtoGg,"ERROR"))</f>
        <v>0.83381121701848349</v>
      </c>
      <c r="AB668" s="101">
        <f>IF('Net zero activities &amp; levers'!$C$9="Off",'Activity data'!AU51*ManureNEF*NtoN2O*kgtoGg,IF('Net zero activities &amp; levers'!$C$9="On",(('Net zero supporting data'!S160*'Net zero supporting data'!S183)+('Net zero supporting data'!S172*ManureNEF))*NtoN2O*kgtoGg,"ERROR"))</f>
        <v>0.82328767290172578</v>
      </c>
      <c r="AC668" s="101">
        <f>IF('Net zero activities &amp; levers'!$C$9="Off",'Activity data'!AV51*ManureNEF*NtoN2O*kgtoGg,IF('Net zero activities &amp; levers'!$C$9="On",(('Net zero supporting data'!T160*'Net zero supporting data'!T183)+('Net zero supporting data'!T172*ManureNEF))*NtoN2O*kgtoGg,"ERROR"))</f>
        <v>0.81429531900732555</v>
      </c>
      <c r="AD668" s="101">
        <f>IF('Net zero activities &amp; levers'!$C$9="Off",'Activity data'!AW51*ManureNEF*NtoN2O*kgtoGg,IF('Net zero activities &amp; levers'!$C$9="On",(('Net zero supporting data'!U160*'Net zero supporting data'!U183)+('Net zero supporting data'!U172*ManureNEF))*NtoN2O*kgtoGg,"ERROR"))</f>
        <v>0.80988980927831367</v>
      </c>
      <c r="AE668" s="101">
        <f>IF('Net zero activities &amp; levers'!$C$9="Off",'Activity data'!AX51*ManureNEF*NtoN2O*kgtoGg,IF('Net zero activities &amp; levers'!$C$9="On",(('Net zero supporting data'!V160*'Net zero supporting data'!V183)+('Net zero supporting data'!V172*ManureNEF))*NtoN2O*kgtoGg,"ERROR"))</f>
        <v>0.8056027005084534</v>
      </c>
      <c r="AF668" s="101">
        <f>IF('Net zero activities &amp; levers'!$C$9="Off",'Activity data'!AY51*ManureNEF*NtoN2O*kgtoGg,IF('Net zero activities &amp; levers'!$C$9="On",(('Net zero supporting data'!W160*'Net zero supporting data'!W183)+('Net zero supporting data'!W172*ManureNEF))*NtoN2O*kgtoGg,"ERROR"))</f>
        <v>0.8011124272177701</v>
      </c>
      <c r="AG668" s="101">
        <f>IF('Net zero activities &amp; levers'!$C$9="Off",'Activity data'!AZ51*ManureNEF*NtoN2O*kgtoGg,IF('Net zero activities &amp; levers'!$C$9="On",(('Net zero supporting data'!X160*'Net zero supporting data'!X183)+('Net zero supporting data'!X172*ManureNEF))*NtoN2O*kgtoGg,"ERROR"))</f>
        <v>0.79758073975014854</v>
      </c>
      <c r="AH668" s="101">
        <f>IF('Net zero activities &amp; levers'!$C$9="Off",'Activity data'!BA51*ManureNEF*NtoN2O*kgtoGg,IF('Net zero activities &amp; levers'!$C$9="On",(('Net zero supporting data'!Y160*'Net zero supporting data'!Y183)+('Net zero supporting data'!Y172*ManureNEF))*NtoN2O*kgtoGg,"ERROR"))</f>
        <v>0.79185326823125546</v>
      </c>
      <c r="AI668" s="101">
        <f>IF('Net zero activities &amp; levers'!$C$9="Off",'Activity data'!BB51*ManureNEF*NtoN2O*kgtoGg,IF('Net zero activities &amp; levers'!$C$9="On",(('Net zero supporting data'!Z160*'Net zero supporting data'!Z183)+('Net zero supporting data'!Z172*ManureNEF))*NtoN2O*kgtoGg,"ERROR"))</f>
        <v>0.78601034050539509</v>
      </c>
      <c r="AJ668" s="101">
        <f>IF('Net zero activities &amp; levers'!$C$9="Off",'Activity data'!BC51*ManureNEF*NtoN2O*kgtoGg,IF('Net zero activities &amp; levers'!$C$9="On",(('Net zero supporting data'!AA160*'Net zero supporting data'!AA183)+('Net zero supporting data'!AA172*ManureNEF))*NtoN2O*kgtoGg,"ERROR"))</f>
        <v>0.77985436320009927</v>
      </c>
      <c r="AK668" s="101">
        <f>IF('Net zero activities &amp; levers'!$C$9="Off",'Activity data'!BD51*ManureNEF*NtoN2O*kgtoGg,IF('Net zero activities &amp; levers'!$C$9="On",(('Net zero supporting data'!AB160*'Net zero supporting data'!AB183)+('Net zero supporting data'!AB172*ManureNEF))*NtoN2O*kgtoGg,"ERROR"))</f>
        <v>0.7725940157179807</v>
      </c>
      <c r="AL668" s="101">
        <f>IF('Net zero activities &amp; levers'!$C$9="Off",'Activity data'!BE51*ManureNEF*NtoN2O*kgtoGg,IF('Net zero activities &amp; levers'!$C$9="On",(('Net zero supporting data'!AC160*'Net zero supporting data'!AC183)+('Net zero supporting data'!AC172*ManureNEF))*NtoN2O*kgtoGg,"ERROR"))</f>
        <v>0.76476776170660976</v>
      </c>
      <c r="AM668" s="101">
        <f>IF('Net zero activities &amp; levers'!$C$9="Off",'Activity data'!BF51*ManureNEF*NtoN2O*kgtoGg,IF('Net zero activities &amp; levers'!$C$9="On",(('Net zero supporting data'!AD160*'Net zero supporting data'!AD183)+('Net zero supporting data'!AD172*ManureNEF))*NtoN2O*kgtoGg,"ERROR"))</f>
        <v>0.75681705084775908</v>
      </c>
      <c r="AN668" s="101">
        <f>IF('Net zero activities &amp; levers'!$C$9="Off",'Activity data'!BG51*ManureNEF*NtoN2O*kgtoGg,IF('Net zero activities &amp; levers'!$C$9="On",(('Net zero supporting data'!AE160*'Net zero supporting data'!AE183)+('Net zero supporting data'!AE172*ManureNEF))*NtoN2O*kgtoGg,"ERROR"))</f>
        <v>0.76931293288583313</v>
      </c>
      <c r="AO668" s="101">
        <f>IF('Net zero activities &amp; levers'!$C$9="Off",'Activity data'!BH51*ManureNEF*NtoN2O*kgtoGg,IF('Net zero activities &amp; levers'!$C$9="On",(('Net zero supporting data'!AF160*'Net zero supporting data'!AF183)+('Net zero supporting data'!AF172*ManureNEF))*NtoN2O*kgtoGg,"ERROR"))</f>
        <v>0.78114682906798061</v>
      </c>
      <c r="AP668" s="101">
        <f>IF('Net zero activities &amp; levers'!$C$9="Off",'Activity data'!BI51*ManureNEF*NtoN2O*kgtoGg,IF('Net zero activities &amp; levers'!$C$9="On",(('Net zero supporting data'!AG160*'Net zero supporting data'!AG183)+('Net zero supporting data'!AG172*ManureNEF))*NtoN2O*kgtoGg,"ERROR"))</f>
        <v>0.7932136171455767</v>
      </c>
      <c r="AQ668" s="101">
        <f>IF('Net zero activities &amp; levers'!$C$9="Off",'Activity data'!BJ51*ManureNEF*NtoN2O*kgtoGg,IF('Net zero activities &amp; levers'!$C$9="On",(('Net zero supporting data'!AH160*'Net zero supporting data'!AH183)+('Net zero supporting data'!AH172*ManureNEF))*NtoN2O*kgtoGg,"ERROR"))</f>
        <v>0.80553596356122259</v>
      </c>
      <c r="AR668" s="101">
        <f>IF('Net zero activities &amp; levers'!$C$9="Off",'Activity data'!BK51*ManureNEF*NtoN2O*kgtoGg,IF('Net zero activities &amp; levers'!$C$9="On",(('Net zero supporting data'!AI160*'Net zero supporting data'!AI183)+('Net zero supporting data'!AI172*ManureNEF))*NtoN2O*kgtoGg,"ERROR"))</f>
        <v>0.81875810221748346</v>
      </c>
      <c r="AS668" s="101">
        <f>IF('Net zero activities &amp; levers'!$C$9="Off",'Activity data'!BL51*ManureNEF*NtoN2O*kgtoGg,IF('Net zero activities &amp; levers'!$C$9="On",(('Net zero supporting data'!AJ160*'Net zero supporting data'!AJ183)+('Net zero supporting data'!AJ172*ManureNEF))*NtoN2O*kgtoGg,"ERROR"))</f>
        <v>0.83209159639798391</v>
      </c>
      <c r="AT668" s="101">
        <f>IF('Net zero activities &amp; levers'!$C$9="Off",'Activity data'!BM51*ManureNEF*NtoN2O*kgtoGg,IF('Net zero activities &amp; levers'!$C$9="On",(('Net zero supporting data'!AK160*'Net zero supporting data'!AK183)+('Net zero supporting data'!AK172*ManureNEF))*NtoN2O*kgtoGg,"ERROR"))</f>
        <v>0.83948311423171351</v>
      </c>
      <c r="AU668" s="101">
        <f>IF('Net zero activities &amp; levers'!$C$9="Off",'Activity data'!BN51*ManureNEF*NtoN2O*kgtoGg,IF('Net zero activities &amp; levers'!$C$9="On",(('Net zero supporting data'!AL160*'Net zero supporting data'!AL183)+('Net zero supporting data'!AL172*ManureNEF))*NtoN2O*kgtoGg,"ERROR"))</f>
        <v>0.84650444464396368</v>
      </c>
      <c r="AV668" s="101">
        <f>IF('Net zero activities &amp; levers'!$C$9="Off",'Activity data'!BO51*ManureNEF*NtoN2O*kgtoGg,IF('Net zero activities &amp; levers'!$C$9="On",(('Net zero supporting data'!AM160*'Net zero supporting data'!AM183)+('Net zero supporting data'!AM172*ManureNEF))*NtoN2O*kgtoGg,"ERROR"))</f>
        <v>0.85439263864467552</v>
      </c>
      <c r="AW668" s="101">
        <f>IF('Net zero activities &amp; levers'!$C$9="Off",'Activity data'!BP51*ManureNEF*NtoN2O*kgtoGg,IF('Net zero activities &amp; levers'!$C$9="On",(('Net zero supporting data'!AN160*'Net zero supporting data'!AN183)+('Net zero supporting data'!AN172*ManureNEF))*NtoN2O*kgtoGg,"ERROR"))</f>
        <v>0.86198163529308958</v>
      </c>
      <c r="AY668" s="85"/>
      <c r="AZ668" s="85"/>
    </row>
    <row r="669" spans="1:52" x14ac:dyDescent="0.25">
      <c r="A669" s="102" t="str">
        <f t="shared" si="133"/>
        <v>NI Organic</v>
      </c>
      <c r="B669" s="102" t="s">
        <v>970</v>
      </c>
      <c r="C669" s="102" t="s">
        <v>1128</v>
      </c>
      <c r="D669" t="s">
        <v>369</v>
      </c>
      <c r="E669" t="s">
        <v>55</v>
      </c>
      <c r="F669" t="s">
        <v>421</v>
      </c>
      <c r="G669" t="s">
        <v>1157</v>
      </c>
      <c r="H669" t="s">
        <v>1158</v>
      </c>
      <c r="I669" t="s">
        <v>139</v>
      </c>
      <c r="J669" t="s">
        <v>287</v>
      </c>
      <c r="K669" s="101">
        <f>IF('Net zero activities &amp; levers'!$C$9="Off",'Activity data'!AD52*ManureNEF*NtoN2O*kgtoGg,IF('Net zero activities &amp; levers'!$C$9="On",(('Net zero supporting data'!B161*'Net zero supporting data'!B183)+('Net zero supporting data'!B173*ManureNEF))*NtoN2O*kgtoGg,"ERROR"))</f>
        <v>4.9913136648560473E-2</v>
      </c>
      <c r="L669" s="101">
        <f>IF('Net zero activities &amp; levers'!$C$9="Off",'Activity data'!AE52*ManureNEF*NtoN2O*kgtoGg,IF('Net zero activities &amp; levers'!$C$9="On",(('Net zero supporting data'!C161*'Net zero supporting data'!C183)+('Net zero supporting data'!C173*ManureNEF))*NtoN2O*kgtoGg,"ERROR"))</f>
        <v>5.0250152949583772E-2</v>
      </c>
      <c r="M669" s="101">
        <f>IF('Net zero activities &amp; levers'!$C$9="Off",'Activity data'!AF52*ManureNEF*NtoN2O*kgtoGg,IF('Net zero activities &amp; levers'!$C$9="On",(('Net zero supporting data'!D161*'Net zero supporting data'!D183)+('Net zero supporting data'!D173*ManureNEF))*NtoN2O*kgtoGg,"ERROR"))</f>
        <v>5.0544956844502678E-2</v>
      </c>
      <c r="N669" s="101">
        <f>IF('Net zero activities &amp; levers'!$C$9="Off",'Activity data'!AG52*ManureNEF*NtoN2O*kgtoGg,IF('Net zero activities &amp; levers'!$C$9="On",(('Net zero supporting data'!E161*'Net zero supporting data'!E183)+('Net zero supporting data'!E173*ManureNEF))*NtoN2O*kgtoGg,"ERROR"))</f>
        <v>5.0583090346256708E-2</v>
      </c>
      <c r="O669" s="101">
        <f>IF('Net zero activities &amp; levers'!$C$9="Off",'Activity data'!AH52*ManureNEF*NtoN2O*kgtoGg,IF('Net zero activities &amp; levers'!$C$9="On",(('Net zero supporting data'!F161*'Net zero supporting data'!F183)+('Net zero supporting data'!F173*ManureNEF))*NtoN2O*kgtoGg,"ERROR"))</f>
        <v>5.0648771564119566E-2</v>
      </c>
      <c r="P669" s="101">
        <f>IF('Net zero activities &amp; levers'!$C$9="Off",'Activity data'!AI52*ManureNEF*NtoN2O*kgtoGg,IF('Net zero activities &amp; levers'!$C$9="On",(('Net zero supporting data'!G161*'Net zero supporting data'!G183)+('Net zero supporting data'!G173*ManureNEF))*NtoN2O*kgtoGg,"ERROR"))</f>
        <v>5.1025638277152528E-2</v>
      </c>
      <c r="Q669" s="101">
        <f>IF('Net zero activities &amp; levers'!$C$9="Off",'Activity data'!AJ52*ManureNEF*NtoN2O*kgtoGg,IF('Net zero activities &amp; levers'!$C$9="On",(('Net zero supporting data'!H161*'Net zero supporting data'!H183)+('Net zero supporting data'!H173*ManureNEF))*NtoN2O*kgtoGg,"ERROR"))</f>
        <v>5.1326993652306703E-2</v>
      </c>
      <c r="R669" s="101">
        <f>IF('Net zero activities &amp; levers'!$C$9="Off",'Activity data'!AK52*ManureNEF*NtoN2O*kgtoGg,IF('Net zero activities &amp; levers'!$C$9="On",(('Net zero supporting data'!I161*'Net zero supporting data'!I183)+('Net zero supporting data'!I173*ManureNEF))*NtoN2O*kgtoGg,"ERROR"))</f>
        <v>5.1329635954356786E-2</v>
      </c>
      <c r="S669" s="101">
        <f>IF('Net zero activities &amp; levers'!$C$9="Off",'Activity data'!AL52*ManureNEF*NtoN2O*kgtoGg,IF('Net zero activities &amp; levers'!$C$9="On",(('Net zero supporting data'!J161*'Net zero supporting data'!J183)+('Net zero supporting data'!J173*ManureNEF))*NtoN2O*kgtoGg,"ERROR"))</f>
        <v>4.9969721282067128E-2</v>
      </c>
      <c r="T669" s="101">
        <f>IF('Net zero activities &amp; levers'!$C$9="Off",'Activity data'!AM52*ManureNEF*NtoN2O*kgtoGg,IF('Net zero activities &amp; levers'!$C$9="On",(('Net zero supporting data'!K161*'Net zero supporting data'!K183)+('Net zero supporting data'!K173*ManureNEF))*NtoN2O*kgtoGg,"ERROR"))</f>
        <v>4.9342795710249049E-2</v>
      </c>
      <c r="U669" s="101">
        <f>IF('Net zero activities &amp; levers'!$C$9="Off",'Activity data'!AN52*ManureNEF*NtoN2O*kgtoGg,IF('Net zero activities &amp; levers'!$C$9="On",(('Net zero supporting data'!L161*'Net zero supporting data'!L183)+('Net zero supporting data'!L173*ManureNEF))*NtoN2O*kgtoGg,"ERROR"))</f>
        <v>4.8545306818309937E-2</v>
      </c>
      <c r="V669" s="101">
        <f>IF('Net zero activities &amp; levers'!$C$9="Off",'Activity data'!AO52*ManureNEF*NtoN2O*kgtoGg,IF('Net zero activities &amp; levers'!$C$9="On",(('Net zero supporting data'!M161*'Net zero supporting data'!M183)+('Net zero supporting data'!M173*ManureNEF))*NtoN2O*kgtoGg,"ERROR"))</f>
        <v>4.771133172244716E-2</v>
      </c>
      <c r="W669" s="101">
        <f>IF('Net zero activities &amp; levers'!$C$9="Off",'Activity data'!AP52*ManureNEF*NtoN2O*kgtoGg,IF('Net zero activities &amp; levers'!$C$9="On",(('Net zero supporting data'!N161*'Net zero supporting data'!N183)+('Net zero supporting data'!N173*ManureNEF))*NtoN2O*kgtoGg,"ERROR"))</f>
        <v>4.6936046131859095E-2</v>
      </c>
      <c r="X669" s="101">
        <f>IF('Net zero activities &amp; levers'!$C$9="Off",'Activity data'!AQ52*ManureNEF*NtoN2O*kgtoGg,IF('Net zero activities &amp; levers'!$C$9="On",(('Net zero supporting data'!O161*'Net zero supporting data'!O183)+('Net zero supporting data'!O173*ManureNEF))*NtoN2O*kgtoGg,"ERROR"))</f>
        <v>4.6355122988389535E-2</v>
      </c>
      <c r="Y669" s="101">
        <f>IF('Net zero activities &amp; levers'!$C$9="Off",'Activity data'!AR52*ManureNEF*NtoN2O*kgtoGg,IF('Net zero activities &amp; levers'!$C$9="On",(('Net zero supporting data'!P161*'Net zero supporting data'!P183)+('Net zero supporting data'!P173*ManureNEF))*NtoN2O*kgtoGg,"ERROR"))</f>
        <v>4.5778752072193514E-2</v>
      </c>
      <c r="Z669" s="101">
        <f>IF('Net zero activities &amp; levers'!$C$9="Off",'Activity data'!AS52*ManureNEF*NtoN2O*kgtoGg,IF('Net zero activities &amp; levers'!$C$9="On",(('Net zero supporting data'!Q161*'Net zero supporting data'!Q183)+('Net zero supporting data'!Q173*ManureNEF))*NtoN2O*kgtoGg,"ERROR"))</f>
        <v>4.5236729789834604E-2</v>
      </c>
      <c r="AA669" s="101">
        <f>IF('Net zero activities &amp; levers'!$C$9="Off",'Activity data'!AT52*ManureNEF*NtoN2O*kgtoGg,IF('Net zero activities &amp; levers'!$C$9="On",(('Net zero supporting data'!R161*'Net zero supporting data'!R183)+('Net zero supporting data'!R173*ManureNEF))*NtoN2O*kgtoGg,"ERROR"))</f>
        <v>4.4604198761463314E-2</v>
      </c>
      <c r="AB669" s="101">
        <f>IF('Net zero activities &amp; levers'!$C$9="Off",'Activity data'!AU52*ManureNEF*NtoN2O*kgtoGg,IF('Net zero activities &amp; levers'!$C$9="On",(('Net zero supporting data'!S161*'Net zero supporting data'!S183)+('Net zero supporting data'!S173*ManureNEF))*NtoN2O*kgtoGg,"ERROR"))</f>
        <v>4.4041248487014684E-2</v>
      </c>
      <c r="AC669" s="101">
        <f>IF('Net zero activities &amp; levers'!$C$9="Off",'Activity data'!AV52*ManureNEF*NtoN2O*kgtoGg,IF('Net zero activities &amp; levers'!$C$9="On",(('Net zero supporting data'!T161*'Net zero supporting data'!T183)+('Net zero supporting data'!T173*ManureNEF))*NtoN2O*kgtoGg,"ERROR"))</f>
        <v>4.3560208256021554E-2</v>
      </c>
      <c r="AD669" s="101">
        <f>IF('Net zero activities &amp; levers'!$C$9="Off",'Activity data'!AW52*ManureNEF*NtoN2O*kgtoGg,IF('Net zero activities &amp; levers'!$C$9="On",(('Net zero supporting data'!U161*'Net zero supporting data'!U183)+('Net zero supporting data'!U173*ManureNEF))*NtoN2O*kgtoGg,"ERROR"))</f>
        <v>4.3324538325481325E-2</v>
      </c>
      <c r="AE669" s="101">
        <f>IF('Net zero activities &amp; levers'!$C$9="Off",'Activity data'!AX52*ManureNEF*NtoN2O*kgtoGg,IF('Net zero activities &amp; levers'!$C$9="On",(('Net zero supporting data'!V161*'Net zero supporting data'!V183)+('Net zero supporting data'!V173*ManureNEF))*NtoN2O*kgtoGg,"ERROR"))</f>
        <v>4.309520217866547E-2</v>
      </c>
      <c r="AF669" s="101">
        <f>IF('Net zero activities &amp; levers'!$C$9="Off",'Activity data'!AY52*ManureNEF*NtoN2O*kgtoGg,IF('Net zero activities &amp; levers'!$C$9="On",(('Net zero supporting data'!W161*'Net zero supporting data'!W183)+('Net zero supporting data'!W173*ManureNEF))*NtoN2O*kgtoGg,"ERROR"))</f>
        <v>4.2854997875505452E-2</v>
      </c>
      <c r="AG669" s="101">
        <f>IF('Net zero activities &amp; levers'!$C$9="Off",'Activity data'!AZ52*ManureNEF*NtoN2O*kgtoGg,IF('Net zero activities &amp; levers'!$C$9="On",(('Net zero supporting data'!X161*'Net zero supporting data'!X183)+('Net zero supporting data'!X173*ManureNEF))*NtoN2O*kgtoGg,"ERROR"))</f>
        <v>4.2666072509002902E-2</v>
      </c>
      <c r="AH669" s="101">
        <f>IF('Net zero activities &amp; levers'!$C$9="Off",'Activity data'!BA52*ManureNEF*NtoN2O*kgtoGg,IF('Net zero activities &amp; levers'!$C$9="On",(('Net zero supporting data'!Y161*'Net zero supporting data'!Y183)+('Net zero supporting data'!Y173*ManureNEF))*NtoN2O*kgtoGg,"ERROR"))</f>
        <v>4.2359685076434145E-2</v>
      </c>
      <c r="AI669" s="101">
        <f>IF('Net zero activities &amp; levers'!$C$9="Off",'Activity data'!BB52*ManureNEF*NtoN2O*kgtoGg,IF('Net zero activities &amp; levers'!$C$9="On",(('Net zero supporting data'!Z161*'Net zero supporting data'!Z183)+('Net zero supporting data'!Z173*ManureNEF))*NtoN2O*kgtoGg,"ERROR"))</f>
        <v>4.2047121387779232E-2</v>
      </c>
      <c r="AJ669" s="101">
        <f>IF('Net zero activities &amp; levers'!$C$9="Off",'Activity data'!BC52*ManureNEF*NtoN2O*kgtoGg,IF('Net zero activities &amp; levers'!$C$9="On",(('Net zero supporting data'!AA161*'Net zero supporting data'!AA183)+('Net zero supporting data'!AA173*ManureNEF))*NtoN2O*kgtoGg,"ERROR"))</f>
        <v>4.1717811311718707E-2</v>
      </c>
      <c r="AK669" s="101">
        <f>IF('Net zero activities &amp; levers'!$C$9="Off",'Activity data'!BD52*ManureNEF*NtoN2O*kgtoGg,IF('Net zero activities &amp; levers'!$C$9="On",(('Net zero supporting data'!AB161*'Net zero supporting data'!AB183)+('Net zero supporting data'!AB173*ManureNEF))*NtoN2O*kgtoGg,"ERROR"))</f>
        <v>4.1329423658062893E-2</v>
      </c>
      <c r="AL669" s="101">
        <f>IF('Net zero activities &amp; levers'!$C$9="Off",'Activity data'!BE52*ManureNEF*NtoN2O*kgtoGg,IF('Net zero activities &amp; levers'!$C$9="On",(('Net zero supporting data'!AC161*'Net zero supporting data'!AC183)+('Net zero supporting data'!AC173*ManureNEF))*NtoN2O*kgtoGg,"ERROR"))</f>
        <v>4.0910763195891209E-2</v>
      </c>
      <c r="AM669" s="101">
        <f>IF('Net zero activities &amp; levers'!$C$9="Off",'Activity data'!BF52*ManureNEF*NtoN2O*kgtoGg,IF('Net zero activities &amp; levers'!$C$9="On",(('Net zero supporting data'!AD161*'Net zero supporting data'!AD183)+('Net zero supporting data'!AD173*ManureNEF))*NtoN2O*kgtoGg,"ERROR"))</f>
        <v>4.0485444994115036E-2</v>
      </c>
      <c r="AN669" s="101">
        <f>IF('Net zero activities &amp; levers'!$C$9="Off",'Activity data'!BG52*ManureNEF*NtoN2O*kgtoGg,IF('Net zero activities &amp; levers'!$C$9="On",(('Net zero supporting data'!AE161*'Net zero supporting data'!AE183)+('Net zero supporting data'!AE173*ManureNEF))*NtoN2O*kgtoGg,"ERROR"))</f>
        <v>4.1153904226552671E-2</v>
      </c>
      <c r="AO669" s="101">
        <f>IF('Net zero activities &amp; levers'!$C$9="Off",'Activity data'!BH52*ManureNEF*NtoN2O*kgtoGg,IF('Net zero activities &amp; levers'!$C$9="On",(('Net zero supporting data'!AF161*'Net zero supporting data'!AF183)+('Net zero supporting data'!AF173*ManureNEF))*NtoN2O*kgtoGg,"ERROR"))</f>
        <v>4.1786950948229616E-2</v>
      </c>
      <c r="AP669" s="101">
        <f>IF('Net zero activities &amp; levers'!$C$9="Off",'Activity data'!BI52*ManureNEF*NtoN2O*kgtoGg,IF('Net zero activities &amp; levers'!$C$9="On",(('Net zero supporting data'!AG161*'Net zero supporting data'!AG183)+('Net zero supporting data'!AG173*ManureNEF))*NtoN2O*kgtoGg,"ERROR"))</f>
        <v>4.2432456073178811E-2</v>
      </c>
      <c r="AQ669" s="101">
        <f>IF('Net zero activities &amp; levers'!$C$9="Off",'Activity data'!BJ52*ManureNEF*NtoN2O*kgtoGg,IF('Net zero activities &amp; levers'!$C$9="On",(('Net zero supporting data'!AH161*'Net zero supporting data'!AH183)+('Net zero supporting data'!AH173*ManureNEF))*NtoN2O*kgtoGg,"ERROR"))</f>
        <v>4.3091632128277262E-2</v>
      </c>
      <c r="AR669" s="101">
        <f>IF('Net zero activities &amp; levers'!$C$9="Off",'Activity data'!BK52*ManureNEF*NtoN2O*kgtoGg,IF('Net zero activities &amp; levers'!$C$9="On",(('Net zero supporting data'!AI161*'Net zero supporting data'!AI183)+('Net zero supporting data'!AI173*ManureNEF))*NtoN2O*kgtoGg,"ERROR"))</f>
        <v>4.3798941994873122E-2</v>
      </c>
      <c r="AS669" s="101">
        <f>IF('Net zero activities &amp; levers'!$C$9="Off",'Activity data'!BL52*ManureNEF*NtoN2O*kgtoGg,IF('Net zero activities &amp; levers'!$C$9="On",(('Net zero supporting data'!AJ161*'Net zero supporting data'!AJ183)+('Net zero supporting data'!AJ173*ManureNEF))*NtoN2O*kgtoGg,"ERROR"))</f>
        <v>4.4512208754150455E-2</v>
      </c>
      <c r="AT669" s="101">
        <f>IF('Net zero activities &amp; levers'!$C$9="Off",'Activity data'!BM52*ManureNEF*NtoN2O*kgtoGg,IF('Net zero activities &amp; levers'!$C$9="On",(('Net zero supporting data'!AK161*'Net zero supporting data'!AK183)+('Net zero supporting data'!AK173*ManureNEF))*NtoN2O*kgtoGg,"ERROR"))</f>
        <v>4.4907613282028455E-2</v>
      </c>
      <c r="AU669" s="101">
        <f>IF('Net zero activities &amp; levers'!$C$9="Off",'Activity data'!BN52*ManureNEF*NtoN2O*kgtoGg,IF('Net zero activities &amp; levers'!$C$9="On",(('Net zero supporting data'!AL161*'Net zero supporting data'!AL183)+('Net zero supporting data'!AL173*ManureNEF))*NtoN2O*kgtoGg,"ERROR"))</f>
        <v>4.5283214870116661E-2</v>
      </c>
      <c r="AV669" s="101">
        <f>IF('Net zero activities &amp; levers'!$C$9="Off",'Activity data'!BO52*ManureNEF*NtoN2O*kgtoGg,IF('Net zero activities &amp; levers'!$C$9="On",(('Net zero supporting data'!AM161*'Net zero supporting data'!AM183)+('Net zero supporting data'!AM173*ManureNEF))*NtoN2O*kgtoGg,"ERROR"))</f>
        <v>4.570518877247657E-2</v>
      </c>
      <c r="AW669" s="101">
        <f>IF('Net zero activities &amp; levers'!$C$9="Off",'Activity data'!BP52*ManureNEF*NtoN2O*kgtoGg,IF('Net zero activities &amp; levers'!$C$9="On",(('Net zero supporting data'!AN161*'Net zero supporting data'!AN183)+('Net zero supporting data'!AN173*ManureNEF))*NtoN2O*kgtoGg,"ERROR"))</f>
        <v>4.6111157303478506E-2</v>
      </c>
      <c r="AY669" s="85"/>
      <c r="AZ669" s="85"/>
    </row>
    <row r="670" spans="1:52" x14ac:dyDescent="0.25">
      <c r="A670" s="102" t="str">
        <f t="shared" si="133"/>
        <v>NI Organic</v>
      </c>
      <c r="B670" s="102" t="s">
        <v>970</v>
      </c>
      <c r="C670" s="102" t="s">
        <v>1128</v>
      </c>
      <c r="D670" t="s">
        <v>369</v>
      </c>
      <c r="E670" t="s">
        <v>55</v>
      </c>
      <c r="F670" t="s">
        <v>421</v>
      </c>
      <c r="G670" t="s">
        <v>1159</v>
      </c>
      <c r="H670" t="s">
        <v>1160</v>
      </c>
      <c r="I670" t="s">
        <v>139</v>
      </c>
      <c r="J670" t="s">
        <v>287</v>
      </c>
      <c r="K670" s="101">
        <f>IF('Net zero activities &amp; levers'!$C$9="Off",'Activity data'!AD53*ManureNEF*NtoN2O*kgtoGg,IF('Net zero activities &amp; levers'!$C$9="On",(('Net zero supporting data'!B162*'Net zero supporting data'!B183)+('Net zero supporting data'!B174*ManureNEF))*NtoN2O*kgtoGg,"ERROR"))</f>
        <v>0.40197336823107255</v>
      </c>
      <c r="L670" s="101">
        <f>IF('Net zero activities &amp; levers'!$C$9="Off",'Activity data'!AE53*ManureNEF*NtoN2O*kgtoGg,IF('Net zero activities &amp; levers'!$C$9="On",(('Net zero supporting data'!C162*'Net zero supporting data'!C183)+('Net zero supporting data'!C174*ManureNEF))*NtoN2O*kgtoGg,"ERROR"))</f>
        <v>0.39992683453201888</v>
      </c>
      <c r="M670" s="101">
        <f>IF('Net zero activities &amp; levers'!$C$9="Off",'Activity data'!AF53*ManureNEF*NtoN2O*kgtoGg,IF('Net zero activities &amp; levers'!$C$9="On",(('Net zero supporting data'!D162*'Net zero supporting data'!D183)+('Net zero supporting data'!D174*ManureNEF))*NtoN2O*kgtoGg,"ERROR"))</f>
        <v>0.39619153570803745</v>
      </c>
      <c r="N670" s="101">
        <f>IF('Net zero activities &amp; levers'!$C$9="Off",'Activity data'!AG53*ManureNEF*NtoN2O*kgtoGg,IF('Net zero activities &amp; levers'!$C$9="On",(('Net zero supporting data'!E162*'Net zero supporting data'!E183)+('Net zero supporting data'!E174*ManureNEF))*NtoN2O*kgtoGg,"ERROR"))</f>
        <v>0.38596696743557218</v>
      </c>
      <c r="O670" s="101">
        <f>IF('Net zero activities &amp; levers'!$C$9="Off",'Activity data'!AH53*ManureNEF*NtoN2O*kgtoGg,IF('Net zero activities &amp; levers'!$C$9="On",(('Net zero supporting data'!F162*'Net zero supporting data'!F183)+('Net zero supporting data'!F174*ManureNEF))*NtoN2O*kgtoGg,"ERROR"))</f>
        <v>0.37615042112991043</v>
      </c>
      <c r="P670" s="101">
        <f>IF('Net zero activities &amp; levers'!$C$9="Off",'Activity data'!AI53*ManureNEF*NtoN2O*kgtoGg,IF('Net zero activities &amp; levers'!$C$9="On",(('Net zero supporting data'!G162*'Net zero supporting data'!G183)+('Net zero supporting data'!G174*ManureNEF))*NtoN2O*kgtoGg,"ERROR"))</f>
        <v>0.37293713836150383</v>
      </c>
      <c r="Q670" s="101">
        <f>IF('Net zero activities &amp; levers'!$C$9="Off",'Activity data'!AJ53*ManureNEF*NtoN2O*kgtoGg,IF('Net zero activities &amp; levers'!$C$9="On",(('Net zero supporting data'!H162*'Net zero supporting data'!H183)+('Net zero supporting data'!H174*ManureNEF))*NtoN2O*kgtoGg,"ERROR"))</f>
        <v>0.36774734482056881</v>
      </c>
      <c r="R670" s="101">
        <f>IF('Net zero activities &amp; levers'!$C$9="Off",'Activity data'!AK53*ManureNEF*NtoN2O*kgtoGg,IF('Net zero activities &amp; levers'!$C$9="On",(('Net zero supporting data'!I162*'Net zero supporting data'!I183)+('Net zero supporting data'!I174*ManureNEF))*NtoN2O*kgtoGg,"ERROR"))</f>
        <v>0.35608688957109119</v>
      </c>
      <c r="S670" s="101">
        <f>IF('Net zero activities &amp; levers'!$C$9="Off",'Activity data'!AL53*ManureNEF*NtoN2O*kgtoGg,IF('Net zero activities &amp; levers'!$C$9="On",(('Net zero supporting data'!J162*'Net zero supporting data'!J183)+('Net zero supporting data'!J174*ManureNEF))*NtoN2O*kgtoGg,"ERROR"))</f>
        <v>0.31696486473191704</v>
      </c>
      <c r="T670" s="101">
        <f>IF('Net zero activities &amp; levers'!$C$9="Off",'Activity data'!AM53*ManureNEF*NtoN2O*kgtoGg,IF('Net zero activities &amp; levers'!$C$9="On",(('Net zero supporting data'!K162*'Net zero supporting data'!K183)+('Net zero supporting data'!K174*ManureNEF))*NtoN2O*kgtoGg,"ERROR"))</f>
        <v>0.31094360984426578</v>
      </c>
      <c r="U670" s="101">
        <f>IF('Net zero activities &amp; levers'!$C$9="Off",'Activity data'!AN53*ManureNEF*NtoN2O*kgtoGg,IF('Net zero activities &amp; levers'!$C$9="On",(('Net zero supporting data'!L162*'Net zero supporting data'!L183)+('Net zero supporting data'!L174*ManureNEF))*NtoN2O*kgtoGg,"ERROR"))</f>
        <v>0.30143250664979127</v>
      </c>
      <c r="V670" s="101">
        <f>IF('Net zero activities &amp; levers'!$C$9="Off",'Activity data'!AO53*ManureNEF*NtoN2O*kgtoGg,IF('Net zero activities &amp; levers'!$C$9="On",(('Net zero supporting data'!M162*'Net zero supporting data'!M183)+('Net zero supporting data'!M174*ManureNEF))*NtoN2O*kgtoGg,"ERROR"))</f>
        <v>0.29124131931937347</v>
      </c>
      <c r="W670" s="101">
        <f>IF('Net zero activities &amp; levers'!$C$9="Off",'Activity data'!AP53*ManureNEF*NtoN2O*kgtoGg,IF('Net zero activities &amp; levers'!$C$9="On",(('Net zero supporting data'!N162*'Net zero supporting data'!N183)+('Net zero supporting data'!N174*ManureNEF))*NtoN2O*kgtoGg,"ERROR"))</f>
        <v>0.28216168565681687</v>
      </c>
      <c r="X670" s="101">
        <f>IF('Net zero activities &amp; levers'!$C$9="Off",'Activity data'!AQ53*ManureNEF*NtoN2O*kgtoGg,IF('Net zero activities &amp; levers'!$C$9="On",(('Net zero supporting data'!O162*'Net zero supporting data'!O183)+('Net zero supporting data'!O174*ManureNEF))*NtoN2O*kgtoGg,"ERROR"))</f>
        <v>0.27646962735176622</v>
      </c>
      <c r="Y670" s="101">
        <f>IF('Net zero activities &amp; levers'!$C$9="Off",'Activity data'!AR53*ManureNEF*NtoN2O*kgtoGg,IF('Net zero activities &amp; levers'!$C$9="On",(('Net zero supporting data'!P162*'Net zero supporting data'!P183)+('Net zero supporting data'!P174*ManureNEF))*NtoN2O*kgtoGg,"ERROR"))</f>
        <v>0.27118548477009663</v>
      </c>
      <c r="Z670" s="101">
        <f>IF('Net zero activities &amp; levers'!$C$9="Off",'Activity data'!AS53*ManureNEF*NtoN2O*kgtoGg,IF('Net zero activities &amp; levers'!$C$9="On",(('Net zero supporting data'!Q162*'Net zero supporting data'!Q183)+('Net zero supporting data'!Q174*ManureNEF))*NtoN2O*kgtoGg,"ERROR"))</f>
        <v>0.26626698006277433</v>
      </c>
      <c r="AA670" s="101">
        <f>IF('Net zero activities &amp; levers'!$C$9="Off",'Activity data'!AT53*ManureNEF*NtoN2O*kgtoGg,IF('Net zero activities &amp; levers'!$C$9="On",(('Net zero supporting data'!R162*'Net zero supporting data'!R183)+('Net zero supporting data'!R174*ManureNEF))*NtoN2O*kgtoGg,"ERROR"))</f>
        <v>0.25972426532839399</v>
      </c>
      <c r="AB670" s="101">
        <f>IF('Net zero activities &amp; levers'!$C$9="Off",'Activity data'!AU53*ManureNEF*NtoN2O*kgtoGg,IF('Net zero activities &amp; levers'!$C$9="On",(('Net zero supporting data'!S162*'Net zero supporting data'!S183)+('Net zero supporting data'!S174*ManureNEF))*NtoN2O*kgtoGg,"ERROR"))</f>
        <v>0.25415969194057203</v>
      </c>
      <c r="AC670" s="101">
        <f>IF('Net zero activities &amp; levers'!$C$9="Off",'Activity data'!AV53*ManureNEF*NtoN2O*kgtoGg,IF('Net zero activities &amp; levers'!$C$9="On",(('Net zero supporting data'!T162*'Net zero supporting data'!T183)+('Net zero supporting data'!T174*ManureNEF))*NtoN2O*kgtoGg,"ERROR"))</f>
        <v>0.2496744640856835</v>
      </c>
      <c r="AD670" s="101">
        <f>IF('Net zero activities &amp; levers'!$C$9="Off",'Activity data'!AW53*ManureNEF*NtoN2O*kgtoGg,IF('Net zero activities &amp; levers'!$C$9="On",(('Net zero supporting data'!U162*'Net zero supporting data'!U183)+('Net zero supporting data'!U174*ManureNEF))*NtoN2O*kgtoGg,"ERROR"))</f>
        <v>0.24576241579354469</v>
      </c>
      <c r="AE670" s="101">
        <f>IF('Net zero activities &amp; levers'!$C$9="Off",'Activity data'!AX53*ManureNEF*NtoN2O*kgtoGg,IF('Net zero activities &amp; levers'!$C$9="On",(('Net zero supporting data'!V162*'Net zero supporting data'!V183)+('Net zero supporting data'!V174*ManureNEF))*NtoN2O*kgtoGg,"ERROR"))</f>
        <v>0.24178223184374004</v>
      </c>
      <c r="AF670" s="101">
        <f>IF('Net zero activities &amp; levers'!$C$9="Off",'Activity data'!AY53*ManureNEF*NtoN2O*kgtoGg,IF('Net zero activities &amp; levers'!$C$9="On",(('Net zero supporting data'!W162*'Net zero supporting data'!W183)+('Net zero supporting data'!W174*ManureNEF))*NtoN2O*kgtoGg,"ERROR"))</f>
        <v>0.23751245898695572</v>
      </c>
      <c r="AG670" s="101">
        <f>IF('Net zero activities &amp; levers'!$C$9="Off",'Activity data'!AZ53*ManureNEF*NtoN2O*kgtoGg,IF('Net zero activities &amp; levers'!$C$9="On",(('Net zero supporting data'!X162*'Net zero supporting data'!X183)+('Net zero supporting data'!X174*ManureNEF))*NtoN2O*kgtoGg,"ERROR"))</f>
        <v>0.2337786741308748</v>
      </c>
      <c r="AH670" s="101">
        <f>IF('Net zero activities &amp; levers'!$C$9="Off",'Activity data'!BA53*ManureNEF*NtoN2O*kgtoGg,IF('Net zero activities &amp; levers'!$C$9="On",(('Net zero supporting data'!Y162*'Net zero supporting data'!Y183)+('Net zero supporting data'!Y174*ManureNEF))*NtoN2O*kgtoGg,"ERROR"))</f>
        <v>0.22844150074586769</v>
      </c>
      <c r="AI670" s="101">
        <f>IF('Net zero activities &amp; levers'!$C$9="Off",'Activity data'!BB53*ManureNEF*NtoN2O*kgtoGg,IF('Net zero activities &amp; levers'!$C$9="On",(('Net zero supporting data'!Z162*'Net zero supporting data'!Z183)+('Net zero supporting data'!Z174*ManureNEF))*NtoN2O*kgtoGg,"ERROR"))</f>
        <v>0.22320210909416374</v>
      </c>
      <c r="AJ670" s="101">
        <f>IF('Net zero activities &amp; levers'!$C$9="Off",'Activity data'!BC53*ManureNEF*NtoN2O*kgtoGg,IF('Net zero activities &amp; levers'!$C$9="On",(('Net zero supporting data'!AA162*'Net zero supporting data'!AA183)+('Net zero supporting data'!AA174*ManureNEF))*NtoN2O*kgtoGg,"ERROR"))</f>
        <v>0.21772662489350406</v>
      </c>
      <c r="AK670" s="101">
        <f>IF('Net zero activities &amp; levers'!$C$9="Off",'Activity data'!BD53*ManureNEF*NtoN2O*kgtoGg,IF('Net zero activities &amp; levers'!$C$9="On",(('Net zero supporting data'!AB162*'Net zero supporting data'!AB183)+('Net zero supporting data'!AB174*ManureNEF))*NtoN2O*kgtoGg,"ERROR"))</f>
        <v>0.21157908411554141</v>
      </c>
      <c r="AL670" s="101">
        <f>IF('Net zero activities &amp; levers'!$C$9="Off",'Activity data'!BE53*ManureNEF*NtoN2O*kgtoGg,IF('Net zero activities &amp; levers'!$C$9="On",(('Net zero supporting data'!AC162*'Net zero supporting data'!AC183)+('Net zero supporting data'!AC174*ManureNEF))*NtoN2O*kgtoGg,"ERROR"))</f>
        <v>0.20514703500946657</v>
      </c>
      <c r="AM670" s="101">
        <f>IF('Net zero activities &amp; levers'!$C$9="Off",'Activity data'!BF53*ManureNEF*NtoN2O*kgtoGg,IF('Net zero activities &amp; levers'!$C$9="On",(('Net zero supporting data'!AD162*'Net zero supporting data'!AD183)+('Net zero supporting data'!AD174*ManureNEF))*NtoN2O*kgtoGg,"ERROR"))</f>
        <v>0.1987141044835351</v>
      </c>
      <c r="AN670" s="101">
        <f>IF('Net zero activities &amp; levers'!$C$9="Off",'Activity data'!BG53*ManureNEF*NtoN2O*kgtoGg,IF('Net zero activities &amp; levers'!$C$9="On",(('Net zero supporting data'!AE162*'Net zero supporting data'!AE183)+('Net zero supporting data'!AE174*ManureNEF))*NtoN2O*kgtoGg,"ERROR"))</f>
        <v>0.20015450520903361</v>
      </c>
      <c r="AO670" s="101">
        <f>IF('Net zero activities &amp; levers'!$C$9="Off",'Activity data'!BH53*ManureNEF*NtoN2O*kgtoGg,IF('Net zero activities &amp; levers'!$C$9="On",(('Net zero supporting data'!AF162*'Net zero supporting data'!AF183)+('Net zero supporting data'!AF174*ManureNEF))*NtoN2O*kgtoGg,"ERROR"))</f>
        <v>0.20096987584980797</v>
      </c>
      <c r="AP670" s="101">
        <f>IF('Net zero activities &amp; levers'!$C$9="Off",'Activity data'!BI53*ManureNEF*NtoN2O*kgtoGg,IF('Net zero activities &amp; levers'!$C$9="On",(('Net zero supporting data'!AG162*'Net zero supporting data'!AG183)+('Net zero supporting data'!AG174*ManureNEF))*NtoN2O*kgtoGg,"ERROR"))</f>
        <v>0.20164855767186285</v>
      </c>
      <c r="AQ670" s="101">
        <f>IF('Net zero activities &amp; levers'!$C$9="Off",'Activity data'!BJ53*ManureNEF*NtoN2O*kgtoGg,IF('Net zero activities &amp; levers'!$C$9="On",(('Net zero supporting data'!AH162*'Net zero supporting data'!AH183)+('Net zero supporting data'!AH174*ManureNEF))*NtoN2O*kgtoGg,"ERROR"))</f>
        <v>0.20220115360452523</v>
      </c>
      <c r="AR670" s="101">
        <f>IF('Net zero activities &amp; levers'!$C$9="Off",'Activity data'!BK53*ManureNEF*NtoN2O*kgtoGg,IF('Net zero activities &amp; levers'!$C$9="On",(('Net zero supporting data'!AI162*'Net zero supporting data'!AI183)+('Net zero supporting data'!AI174*ManureNEF))*NtoN2O*kgtoGg,"ERROR"))</f>
        <v>0.2029325113480564</v>
      </c>
      <c r="AS670" s="101">
        <f>IF('Net zero activities &amp; levers'!$C$9="Off",'Activity data'!BL53*ManureNEF*NtoN2O*kgtoGg,IF('Net zero activities &amp; levers'!$C$9="On",(('Net zero supporting data'!AJ162*'Net zero supporting data'!AJ183)+('Net zero supporting data'!AJ174*ManureNEF))*NtoN2O*kgtoGg,"ERROR"))</f>
        <v>0.20357650491638829</v>
      </c>
      <c r="AT670" s="101">
        <f>IF('Net zero activities &amp; levers'!$C$9="Off",'Activity data'!BM53*ManureNEF*NtoN2O*kgtoGg,IF('Net zero activities &amp; levers'!$C$9="On",(('Net zero supporting data'!AK162*'Net zero supporting data'!AK183)+('Net zero supporting data'!AK174*ManureNEF))*NtoN2O*kgtoGg,"ERROR"))</f>
        <v>0.20128956556923502</v>
      </c>
      <c r="AU670" s="101">
        <f>IF('Net zero activities &amp; levers'!$C$9="Off",'Activity data'!BN53*ManureNEF*NtoN2O*kgtoGg,IF('Net zero activities &amp; levers'!$C$9="On",(('Net zero supporting data'!AL162*'Net zero supporting data'!AL183)+('Net zero supporting data'!AL174*ManureNEF))*NtoN2O*kgtoGg,"ERROR"))</f>
        <v>0.19873946843338794</v>
      </c>
      <c r="AV670" s="101">
        <f>IF('Net zero activities &amp; levers'!$C$9="Off",'Activity data'!BO53*ManureNEF*NtoN2O*kgtoGg,IF('Net zero activities &amp; levers'!$C$9="On",(('Net zero supporting data'!AM162*'Net zero supporting data'!AM183)+('Net zero supporting data'!AM174*ManureNEF))*NtoN2O*kgtoGg,"ERROR"))</f>
        <v>0.19646856831997203</v>
      </c>
      <c r="AW670" s="101">
        <f>IF('Net zero activities &amp; levers'!$C$9="Off",'Activity data'!BP53*ManureNEF*NtoN2O*kgtoGg,IF('Net zero activities &amp; levers'!$C$9="On",(('Net zero supporting data'!AN162*'Net zero supporting data'!AN183)+('Net zero supporting data'!AN174*ManureNEF))*NtoN2O*kgtoGg,"ERROR"))</f>
        <v>0.19396991902713279</v>
      </c>
      <c r="AY670" s="85"/>
      <c r="AZ670" s="85"/>
    </row>
    <row r="671" spans="1:52" x14ac:dyDescent="0.25">
      <c r="A671" s="102" t="str">
        <f t="shared" si="133"/>
        <v>NI Organic</v>
      </c>
      <c r="B671" s="102" t="s">
        <v>970</v>
      </c>
      <c r="C671" s="102" t="s">
        <v>1128</v>
      </c>
      <c r="D671" t="s">
        <v>369</v>
      </c>
      <c r="E671" t="s">
        <v>55</v>
      </c>
      <c r="F671" t="s">
        <v>421</v>
      </c>
      <c r="G671" t="s">
        <v>1161</v>
      </c>
      <c r="H671" t="s">
        <v>1162</v>
      </c>
      <c r="I671" t="s">
        <v>139</v>
      </c>
      <c r="J671" t="s">
        <v>287</v>
      </c>
      <c r="K671" s="22">
        <f>K1470</f>
        <v>2.6734246327620794</v>
      </c>
      <c r="L671" s="22">
        <f t="shared" ref="L671:AW671" si="145">L1470</f>
        <v>2.6598136474699339</v>
      </c>
      <c r="M671" s="22">
        <f t="shared" si="145"/>
        <v>2.6349711064560761</v>
      </c>
      <c r="N671" s="22">
        <f t="shared" si="145"/>
        <v>2.5669700525572687</v>
      </c>
      <c r="O671" s="22">
        <f t="shared" si="145"/>
        <v>2.5016826510120014</v>
      </c>
      <c r="P671" s="22">
        <f t="shared" si="145"/>
        <v>2.4803119086096084</v>
      </c>
      <c r="Q671" s="22">
        <f t="shared" si="145"/>
        <v>2.4457958859379039</v>
      </c>
      <c r="R671" s="22">
        <f t="shared" si="145"/>
        <v>2.3682451058194229</v>
      </c>
      <c r="S671" s="22">
        <f t="shared" si="145"/>
        <v>2.1080542743998265</v>
      </c>
      <c r="T671" s="22">
        <f t="shared" si="145"/>
        <v>2.1595642419321464</v>
      </c>
      <c r="U671" s="22">
        <f t="shared" si="145"/>
        <v>2.1873861292547638</v>
      </c>
      <c r="V671" s="22">
        <f t="shared" si="145"/>
        <v>2.2094997185506768</v>
      </c>
      <c r="W671" s="22">
        <f t="shared" si="145"/>
        <v>2.2392189601139396</v>
      </c>
      <c r="X671" s="22">
        <f t="shared" si="145"/>
        <v>2.2962758339700611</v>
      </c>
      <c r="Y671" s="22">
        <f t="shared" si="145"/>
        <v>2.3587232629233519</v>
      </c>
      <c r="Z671" s="22">
        <f t="shared" si="145"/>
        <v>2.4267662890603274</v>
      </c>
      <c r="AA671" s="22">
        <f t="shared" si="145"/>
        <v>2.482247120053132</v>
      </c>
      <c r="AB671" s="22">
        <f t="shared" si="145"/>
        <v>2.5488446207363533</v>
      </c>
      <c r="AC671" s="22">
        <f t="shared" si="145"/>
        <v>2.6290628277434434</v>
      </c>
      <c r="AD671" s="22">
        <f t="shared" si="145"/>
        <v>2.6819048591256602</v>
      </c>
      <c r="AE671" s="22">
        <f t="shared" si="145"/>
        <v>2.7358811676250578</v>
      </c>
      <c r="AF671" s="22">
        <f t="shared" si="145"/>
        <v>2.7884760407410969</v>
      </c>
      <c r="AG671" s="22">
        <f t="shared" si="145"/>
        <v>2.8493241192796606</v>
      </c>
      <c r="AH671" s="22">
        <f t="shared" si="145"/>
        <v>2.8926848083051211</v>
      </c>
      <c r="AI671" s="22">
        <f t="shared" si="145"/>
        <v>2.9383646199579787</v>
      </c>
      <c r="AJ671" s="22">
        <f t="shared" si="145"/>
        <v>2.9820760933477084</v>
      </c>
      <c r="AK671" s="22">
        <f t="shared" si="145"/>
        <v>3.0173907919011151</v>
      </c>
      <c r="AL671" s="22">
        <f t="shared" si="145"/>
        <v>3.0488190928969017</v>
      </c>
      <c r="AM671" s="22">
        <f t="shared" si="145"/>
        <v>3.0801062848352543</v>
      </c>
      <c r="AN671" s="22">
        <f t="shared" si="145"/>
        <v>3.1282621203715273</v>
      </c>
      <c r="AO671" s="22">
        <f t="shared" si="145"/>
        <v>3.1674795443509169</v>
      </c>
      <c r="AP671" s="22">
        <f t="shared" si="145"/>
        <v>3.2051375521593344</v>
      </c>
      <c r="AQ671" s="22">
        <f t="shared" si="145"/>
        <v>3.2413597292365988</v>
      </c>
      <c r="AR671" s="22">
        <f t="shared" si="145"/>
        <v>3.2809431920252043</v>
      </c>
      <c r="AS671" s="22">
        <f t="shared" si="145"/>
        <v>3.319714763066774</v>
      </c>
      <c r="AT671" s="22">
        <f t="shared" si="145"/>
        <v>3.3117266783967354</v>
      </c>
      <c r="AU671" s="22">
        <f t="shared" si="145"/>
        <v>3.2991923864457724</v>
      </c>
      <c r="AV671" s="22">
        <f t="shared" si="145"/>
        <v>3.2909073972718437</v>
      </c>
      <c r="AW671" s="22">
        <f t="shared" si="145"/>
        <v>3.2785787384856291</v>
      </c>
      <c r="AY671" s="85"/>
      <c r="AZ671" s="85"/>
    </row>
    <row r="672" spans="1:52" x14ac:dyDescent="0.25">
      <c r="A672" s="102" t="str">
        <f t="shared" si="133"/>
        <v>NI Organic</v>
      </c>
      <c r="B672" s="102" t="s">
        <v>970</v>
      </c>
      <c r="C672" s="102" t="s">
        <v>1128</v>
      </c>
      <c r="D672" t="s">
        <v>369</v>
      </c>
      <c r="E672" t="s">
        <v>55</v>
      </c>
      <c r="F672" t="s">
        <v>421</v>
      </c>
      <c r="G672" t="s">
        <v>1163</v>
      </c>
      <c r="H672" t="s">
        <v>1164</v>
      </c>
      <c r="I672" t="s">
        <v>139</v>
      </c>
      <c r="J672" t="s">
        <v>287</v>
      </c>
      <c r="K672" s="101">
        <f>IF('Net zero activities &amp; levers'!$C$9="Off",'Activity data'!AD55*ManureNEF*NtoN2O*kgtoGg,IF('Net zero activities &amp; levers'!$C$9="On",(('Net zero supporting data'!B163*'Net zero supporting data'!B183)+('Net zero supporting data'!B175*ManureNEF))*NtoN2O*kgtoGg,"ERROR"))</f>
        <v>0.34456271820054257</v>
      </c>
      <c r="L672" s="101">
        <f>IF('Net zero activities &amp; levers'!$C$9="Off",'Activity data'!AE55*ManureNEF*NtoN2O*kgtoGg,IF('Net zero activities &amp; levers'!$C$9="On",(('Net zero supporting data'!C163*'Net zero supporting data'!C183)+('Net zero supporting data'!C175*ManureNEF))*NtoN2O*kgtoGg,"ERROR"))</f>
        <v>0.35741698731572036</v>
      </c>
      <c r="M672" s="101">
        <f>IF('Net zero activities &amp; levers'!$C$9="Off",'Activity data'!AF55*ManureNEF*NtoN2O*kgtoGg,IF('Net zero activities &amp; levers'!$C$9="On",(('Net zero supporting data'!D163*'Net zero supporting data'!D183)+('Net zero supporting data'!D175*ManureNEF))*NtoN2O*kgtoGg,"ERROR"))</f>
        <v>0.36896489164513291</v>
      </c>
      <c r="N672" s="101">
        <f>IF('Net zero activities &amp; levers'!$C$9="Off",'Activity data'!AG55*ManureNEF*NtoN2O*kgtoGg,IF('Net zero activities &amp; levers'!$C$9="On",(('Net zero supporting data'!E163*'Net zero supporting data'!E183)+('Net zero supporting data'!E175*ManureNEF))*NtoN2O*kgtoGg,"ERROR"))</f>
        <v>0.37438401076610434</v>
      </c>
      <c r="O672" s="101">
        <f>IF('Net zero activities &amp; levers'!$C$9="Off",'Activity data'!AH55*ManureNEF*NtoN2O*kgtoGg,IF('Net zero activities &amp; levers'!$C$9="On",(('Net zero supporting data'!F163*'Net zero supporting data'!F183)+('Net zero supporting data'!F175*ManureNEF))*NtoN2O*kgtoGg,"ERROR"))</f>
        <v>0.37988604718806568</v>
      </c>
      <c r="P672" s="101">
        <f>IF('Net zero activities &amp; levers'!$C$9="Off",'Activity data'!AI55*ManureNEF*NtoN2O*kgtoGg,IF('Net zero activities &amp; levers'!$C$9="On",(('Net zero supporting data'!G163*'Net zero supporting data'!G183)+('Net zero supporting data'!G175*ManureNEF))*NtoN2O*kgtoGg,"ERROR"))</f>
        <v>0.39203102133073692</v>
      </c>
      <c r="Q672" s="101">
        <f>IF('Net zero activities &amp; levers'!$C$9="Off",'Activity data'!AJ55*ManureNEF*NtoN2O*kgtoGg,IF('Net zero activities &amp; levers'!$C$9="On",(('Net zero supporting data'!H163*'Net zero supporting data'!H183)+('Net zero supporting data'!H175*ManureNEF))*NtoN2O*kgtoGg,"ERROR"))</f>
        <v>0.40227536328848007</v>
      </c>
      <c r="R672" s="101">
        <f>IF('Net zero activities &amp; levers'!$C$9="Off",'Activity data'!AK55*ManureNEF*NtoN2O*kgtoGg,IF('Net zero activities &amp; levers'!$C$9="On",(('Net zero supporting data'!I163*'Net zero supporting data'!I183)+('Net zero supporting data'!I175*ManureNEF))*NtoN2O*kgtoGg,"ERROR"))</f>
        <v>0.40526591417131741</v>
      </c>
      <c r="S672" s="101">
        <f>IF('Net zero activities &amp; levers'!$C$9="Off",'Activity data'!AL55*ManureNEF*NtoN2O*kgtoGg,IF('Net zero activities &amp; levers'!$C$9="On",(('Net zero supporting data'!J163*'Net zero supporting data'!J183)+('Net zero supporting data'!J175*ManureNEF))*NtoN2O*kgtoGg,"ERROR"))</f>
        <v>0.37527481867018142</v>
      </c>
      <c r="T672" s="101">
        <f>IF('Net zero activities &amp; levers'!$C$9="Off",'Activity data'!AM55*ManureNEF*NtoN2O*kgtoGg,IF('Net zero activities &amp; levers'!$C$9="On",(('Net zero supporting data'!K163*'Net zero supporting data'!K183)+('Net zero supporting data'!K175*ManureNEF))*NtoN2O*kgtoGg,"ERROR"))</f>
        <v>0.38105067634998346</v>
      </c>
      <c r="U672" s="101">
        <f>IF('Net zero activities &amp; levers'!$C$9="Off",'Activity data'!AN55*ManureNEF*NtoN2O*kgtoGg,IF('Net zero activities &amp; levers'!$C$9="On",(('Net zero supporting data'!L163*'Net zero supporting data'!L183)+('Net zero supporting data'!L175*ManureNEF))*NtoN2O*kgtoGg,"ERROR"))</f>
        <v>0.38224864368581446</v>
      </c>
      <c r="V672" s="101">
        <f>IF('Net zero activities &amp; levers'!$C$9="Off",'Activity data'!AO55*ManureNEF*NtoN2O*kgtoGg,IF('Net zero activities &amp; levers'!$C$9="On",(('Net zero supporting data'!M163*'Net zero supporting data'!M183)+('Net zero supporting data'!M175*ManureNEF))*NtoN2O*kgtoGg,"ERROR"))</f>
        <v>0.38209222555548195</v>
      </c>
      <c r="W672" s="101">
        <f>IF('Net zero activities &amp; levers'!$C$9="Off",'Activity data'!AP55*ManureNEF*NtoN2O*kgtoGg,IF('Net zero activities &amp; levers'!$C$9="On",(('Net zero supporting data'!N163*'Net zero supporting data'!N183)+('Net zero supporting data'!N175*ManureNEF))*NtoN2O*kgtoGg,"ERROR"))</f>
        <v>0.38290280802423143</v>
      </c>
      <c r="X672" s="101">
        <f>IF('Net zero activities &amp; levers'!$C$9="Off",'Activity data'!AQ55*ManureNEF*NtoN2O*kgtoGg,IF('Net zero activities &amp; levers'!$C$9="On",(('Net zero supporting data'!O163*'Net zero supporting data'!O183)+('Net zero supporting data'!O175*ManureNEF))*NtoN2O*kgtoGg,"ERROR"))</f>
        <v>0.38800695981992744</v>
      </c>
      <c r="Y672" s="101">
        <f>IF('Net zero activities &amp; levers'!$C$9="Off",'Activity data'!AR55*ManureNEF*NtoN2O*kgtoGg,IF('Net zero activities &amp; levers'!$C$9="On",(('Net zero supporting data'!P163*'Net zero supporting data'!P183)+('Net zero supporting data'!P175*ManureNEF))*NtoN2O*kgtoGg,"ERROR"))</f>
        <v>0.39354627234994766</v>
      </c>
      <c r="Z672" s="101">
        <f>IF('Net zero activities &amp; levers'!$C$9="Off",'Activity data'!AS55*ManureNEF*NtoN2O*kgtoGg,IF('Net zero activities &amp; levers'!$C$9="On",(('Net zero supporting data'!Q163*'Net zero supporting data'!Q183)+('Net zero supporting data'!Q175*ManureNEF))*NtoN2O*kgtoGg,"ERROR"))</f>
        <v>0.39951057097675308</v>
      </c>
      <c r="AA672" s="101">
        <f>IF('Net zero activities &amp; levers'!$C$9="Off",'Activity data'!AT55*ManureNEF*NtoN2O*kgtoGg,IF('Net zero activities &amp; levers'!$C$9="On",(('Net zero supporting data'!R163*'Net zero supporting data'!R183)+('Net zero supporting data'!R175*ManureNEF))*NtoN2O*kgtoGg,"ERROR"))</f>
        <v>0.40286297838922497</v>
      </c>
      <c r="AB672" s="101">
        <f>IF('Net zero activities &amp; levers'!$C$9="Off",'Activity data'!AU55*ManureNEF*NtoN2O*kgtoGg,IF('Net zero activities &amp; levers'!$C$9="On",(('Net zero supporting data'!S163*'Net zero supporting data'!S183)+('Net zero supporting data'!S175*ManureNEF))*NtoN2O*kgtoGg,"ERROR"))</f>
        <v>0.40751631238717989</v>
      </c>
      <c r="AC672" s="101">
        <f>IF('Net zero activities &amp; levers'!$C$9="Off",'Activity data'!AV55*ManureNEF*NtoN2O*kgtoGg,IF('Net zero activities &amp; levers'!$C$9="On",(('Net zero supporting data'!T163*'Net zero supporting data'!T183)+('Net zero supporting data'!T175*ManureNEF))*NtoN2O*kgtoGg,"ERROR"))</f>
        <v>0.41378275217692084</v>
      </c>
      <c r="AD672" s="101">
        <f>IF('Net zero activities &amp; levers'!$C$9="Off",'Activity data'!AW55*ManureNEF*NtoN2O*kgtoGg,IF('Net zero activities &amp; levers'!$C$9="On",(('Net zero supporting data'!U163*'Net zero supporting data'!U183)+('Net zero supporting data'!U175*ManureNEF))*NtoN2O*kgtoGg,"ERROR"))</f>
        <v>0.42100611466026894</v>
      </c>
      <c r="AE672" s="101">
        <f>IF('Net zero activities &amp; levers'!$C$9="Off",'Activity data'!AX55*ManureNEF*NtoN2O*kgtoGg,IF('Net zero activities &amp; levers'!$C$9="On",(('Net zero supporting data'!V163*'Net zero supporting data'!V183)+('Net zero supporting data'!V175*ManureNEF))*NtoN2O*kgtoGg,"ERROR"))</f>
        <v>0.42815473478540012</v>
      </c>
      <c r="AF672" s="101">
        <f>IF('Net zero activities &amp; levers'!$C$9="Off",'Activity data'!AY55*ManureNEF*NtoN2O*kgtoGg,IF('Net zero activities &amp; levers'!$C$9="On",(('Net zero supporting data'!W163*'Net zero supporting data'!W183)+('Net zero supporting data'!W175*ManureNEF))*NtoN2O*kgtoGg,"ERROR"))</f>
        <v>0.43481435632344184</v>
      </c>
      <c r="AG672" s="101">
        <f>IF('Net zero activities &amp; levers'!$C$9="Off",'Activity data'!AZ55*ManureNEF*NtoN2O*kgtoGg,IF('Net zero activities &amp; levers'!$C$9="On",(('Net zero supporting data'!X163*'Net zero supporting data'!X183)+('Net zero supporting data'!X175*ManureNEF))*NtoN2O*kgtoGg,"ERROR"))</f>
        <v>0.44249662679076263</v>
      </c>
      <c r="AH672" s="101">
        <f>IF('Net zero activities &amp; levers'!$C$9="Off",'Activity data'!BA55*ManureNEF*NtoN2O*kgtoGg,IF('Net zero activities &amp; levers'!$C$9="On",(('Net zero supporting data'!Y163*'Net zero supporting data'!Y183)+('Net zero supporting data'!Y175*ManureNEF))*NtoN2O*kgtoGg,"ERROR"))</f>
        <v>0.44711876783586885</v>
      </c>
      <c r="AI672" s="101">
        <f>IF('Net zero activities &amp; levers'!$C$9="Off",'Activity data'!BB55*ManureNEF*NtoN2O*kgtoGg,IF('Net zero activities &amp; levers'!$C$9="On",(('Net zero supporting data'!Z163*'Net zero supporting data'!Z183)+('Net zero supporting data'!Z175*ManureNEF))*NtoN2O*kgtoGg,"ERROR"))</f>
        <v>0.45180701259277373</v>
      </c>
      <c r="AJ672" s="101">
        <f>IF('Net zero activities &amp; levers'!$C$9="Off",'Activity data'!BC55*ManureNEF*NtoN2O*kgtoGg,IF('Net zero activities &amp; levers'!$C$9="On",(('Net zero supporting data'!AA163*'Net zero supporting data'!AA183)+('Net zero supporting data'!AA175*ManureNEF))*NtoN2O*kgtoGg,"ERROR"))</f>
        <v>0.45587492872408447</v>
      </c>
      <c r="AK672" s="101">
        <f>IF('Net zero activities &amp; levers'!$C$9="Off",'Activity data'!BD55*ManureNEF*NtoN2O*kgtoGg,IF('Net zero activities &amp; levers'!$C$9="On",(('Net zero supporting data'!AB163*'Net zero supporting data'!AB183)+('Net zero supporting data'!AB175*ManureNEF))*NtoN2O*kgtoGg,"ERROR"))</f>
        <v>0.4583190931033449</v>
      </c>
      <c r="AL672" s="101">
        <f>IF('Net zero activities &amp; levers'!$C$9="Off",'Activity data'!BE55*ManureNEF*NtoN2O*kgtoGg,IF('Net zero activities &amp; levers'!$C$9="On",(('Net zero supporting data'!AC163*'Net zero supporting data'!AC183)+('Net zero supporting data'!AC175*ManureNEF))*NtoN2O*kgtoGg,"ERROR"))</f>
        <v>0.45984558918350438</v>
      </c>
      <c r="AM672" s="101">
        <f>IF('Net zero activities &amp; levers'!$C$9="Off",'Activity data'!BF55*ManureNEF*NtoN2O*kgtoGg,IF('Net zero activities &amp; levers'!$C$9="On",(('Net zero supporting data'!AD163*'Net zero supporting data'!AD183)+('Net zero supporting data'!AD175*ManureNEF))*NtoN2O*kgtoGg,"ERROR"))</f>
        <v>0.46102733914916355</v>
      </c>
      <c r="AN672" s="101">
        <f>IF('Net zero activities &amp; levers'!$C$9="Off",'Activity data'!BG55*ManureNEF*NtoN2O*kgtoGg,IF('Net zero activities &amp; levers'!$C$9="On",(('Net zero supporting data'!AE163*'Net zero supporting data'!AE183)+('Net zero supporting data'!AE175*ManureNEF))*NtoN2O*kgtoGg,"ERROR"))</f>
        <v>0.47771940785631783</v>
      </c>
      <c r="AO672" s="101">
        <f>IF('Net zero activities &amp; levers'!$C$9="Off",'Activity data'!BH55*ManureNEF*NtoN2O*kgtoGg,IF('Net zero activities &amp; levers'!$C$9="On",(('Net zero supporting data'!AF163*'Net zero supporting data'!AF183)+('Net zero supporting data'!AF175*ManureNEF))*NtoN2O*kgtoGg,"ERROR"))</f>
        <v>0.49350446515828378</v>
      </c>
      <c r="AP672" s="101">
        <f>IF('Net zero activities &amp; levers'!$C$9="Off",'Activity data'!BI55*ManureNEF*NtoN2O*kgtoGg,IF('Net zero activities &amp; levers'!$C$9="On",(('Net zero supporting data'!AG163*'Net zero supporting data'!AG183)+('Net zero supporting data'!AG175*ManureNEF))*NtoN2O*kgtoGg,"ERROR"))</f>
        <v>0.50951420181028295</v>
      </c>
      <c r="AQ672" s="101">
        <f>IF('Net zero activities &amp; levers'!$C$9="Off",'Activity data'!BJ55*ManureNEF*NtoN2O*kgtoGg,IF('Net zero activities &amp; levers'!$C$9="On",(('Net zero supporting data'!AH163*'Net zero supporting data'!AH183)+('Net zero supporting data'!AH175*ManureNEF))*NtoN2O*kgtoGg,"ERROR"))</f>
        <v>0.52577469830122592</v>
      </c>
      <c r="AR672" s="101">
        <f>IF('Net zero activities &amp; levers'!$C$9="Off",'Activity data'!BK55*ManureNEF*NtoN2O*kgtoGg,IF('Net zero activities &amp; levers'!$C$9="On",(('Net zero supporting data'!AI163*'Net zero supporting data'!AI183)+('Net zero supporting data'!AI175*ManureNEF))*NtoN2O*kgtoGg,"ERROR"))</f>
        <v>0.54310251472944215</v>
      </c>
      <c r="AS672" s="101">
        <f>IF('Net zero activities &amp; levers'!$C$9="Off",'Activity data'!BL55*ManureNEF*NtoN2O*kgtoGg,IF('Net zero activities &amp; levers'!$C$9="On",(('Net zero supporting data'!AJ163*'Net zero supporting data'!AJ183)+('Net zero supporting data'!AJ175*ManureNEF))*NtoN2O*kgtoGg,"ERROR"))</f>
        <v>0.56083704951987157</v>
      </c>
      <c r="AT672" s="101">
        <f>IF('Net zero activities &amp; levers'!$C$9="Off",'Activity data'!BM55*ManureNEF*NtoN2O*kgtoGg,IF('Net zero activities &amp; levers'!$C$9="On",(('Net zero supporting data'!AK163*'Net zero supporting data'!AK183)+('Net zero supporting data'!AK175*ManureNEF))*NtoN2O*kgtoGg,"ERROR"))</f>
        <v>0.57092550692903044</v>
      </c>
      <c r="AU672" s="101">
        <f>IF('Net zero activities &amp; levers'!$C$9="Off",'Activity data'!BN55*ManureNEF*NtoN2O*kgtoGg,IF('Net zero activities &amp; levers'!$C$9="On",(('Net zero supporting data'!AL163*'Net zero supporting data'!AL183)+('Net zero supporting data'!AL175*ManureNEF))*NtoN2O*kgtoGg,"ERROR"))</f>
        <v>0.58045343435799968</v>
      </c>
      <c r="AV672" s="101">
        <f>IF('Net zero activities &amp; levers'!$C$9="Off",'Activity data'!BO55*ManureNEF*NtoN2O*kgtoGg,IF('Net zero activities &amp; levers'!$C$9="On",(('Net zero supporting data'!AM163*'Net zero supporting data'!AM183)+('Net zero supporting data'!AM175*ManureNEF))*NtoN2O*kgtoGg,"ERROR"))</f>
        <v>0.59099407227390299</v>
      </c>
      <c r="AW672" s="101">
        <f>IF('Net zero activities &amp; levers'!$C$9="Off",'Activity data'!BP55*ManureNEF*NtoN2O*kgtoGg,IF('Net zero activities &amp; levers'!$C$9="On",(('Net zero supporting data'!AN163*'Net zero supporting data'!AN183)+('Net zero supporting data'!AN175*ManureNEF))*NtoN2O*kgtoGg,"ERROR"))</f>
        <v>0.60106138206013993</v>
      </c>
      <c r="AY672" s="85"/>
      <c r="AZ672" s="85"/>
    </row>
    <row r="673" spans="1:52" x14ac:dyDescent="0.25">
      <c r="A673" s="102" t="str">
        <f t="shared" si="133"/>
        <v>NI Organic</v>
      </c>
      <c r="B673" s="102" t="s">
        <v>970</v>
      </c>
      <c r="C673" s="102" t="s">
        <v>1128</v>
      </c>
      <c r="D673" t="s">
        <v>369</v>
      </c>
      <c r="E673" t="s">
        <v>55</v>
      </c>
      <c r="F673" t="s">
        <v>421</v>
      </c>
      <c r="G673" t="s">
        <v>1165</v>
      </c>
      <c r="H673" t="s">
        <v>1166</v>
      </c>
      <c r="I673" t="s">
        <v>139</v>
      </c>
      <c r="J673" t="s">
        <v>287</v>
      </c>
      <c r="K673" s="101">
        <f>IF('Net zero activities &amp; levers'!$C$9="Off",'Activity data'!AD56*ManureNEF*NtoN2O*kgtoGg,IF('Net zero activities &amp; levers'!$C$9="On",(('Net zero supporting data'!B164*'Net zero supporting data'!B183)+('Net zero supporting data'!B176*ManureNEF))*NtoN2O*kgtoGg,"ERROR"))</f>
        <v>5.8351352726762881E-2</v>
      </c>
      <c r="L673" s="101">
        <f>IF('Net zero activities &amp; levers'!$C$9="Off",'Activity data'!AE56*ManureNEF*NtoN2O*kgtoGg,IF('Net zero activities &amp; levers'!$C$9="On",(('Net zero supporting data'!C164*'Net zero supporting data'!C183)+('Net zero supporting data'!C176*ManureNEF))*NtoN2O*kgtoGg,"ERROR"))</f>
        <v>5.838284383946888E-2</v>
      </c>
      <c r="M673" s="101">
        <f>IF('Net zero activities &amp; levers'!$C$9="Off",'Activity data'!AF56*ManureNEF*NtoN2O*kgtoGg,IF('Net zero activities &amp; levers'!$C$9="On",(('Net zero supporting data'!D164*'Net zero supporting data'!D183)+('Net zero supporting data'!D176*ManureNEF))*NtoN2O*kgtoGg,"ERROR"))</f>
        <v>5.8455239222652444E-2</v>
      </c>
      <c r="N673" s="101">
        <f>IF('Net zero activities &amp; levers'!$C$9="Off",'Activity data'!AG56*ManureNEF*NtoN2O*kgtoGg,IF('Net zero activities &amp; levers'!$C$9="On",(('Net zero supporting data'!E164*'Net zero supporting data'!E183)+('Net zero supporting data'!E176*ManureNEF))*NtoN2O*kgtoGg,"ERROR"))</f>
        <v>5.8562716913640872E-2</v>
      </c>
      <c r="O673" s="101">
        <f>IF('Net zero activities &amp; levers'!$C$9="Off",'Activity data'!AH56*ManureNEF*NtoN2O*kgtoGg,IF('Net zero activities &amp; levers'!$C$9="On",(('Net zero supporting data'!F164*'Net zero supporting data'!F183)+('Net zero supporting data'!F176*ManureNEF))*NtoN2O*kgtoGg,"ERROR"))</f>
        <v>5.8707782505400478E-2</v>
      </c>
      <c r="P673" s="101">
        <f>IF('Net zero activities &amp; levers'!$C$9="Off",'Activity data'!AI56*ManureNEF*NtoN2O*kgtoGg,IF('Net zero activities &amp; levers'!$C$9="On",(('Net zero supporting data'!G164*'Net zero supporting data'!G183)+('Net zero supporting data'!G176*ManureNEF))*NtoN2O*kgtoGg,"ERROR"))</f>
        <v>5.8893351419097517E-2</v>
      </c>
      <c r="Q673" s="101">
        <f>IF('Net zero activities &amp; levers'!$C$9="Off",'Activity data'!AJ56*ManureNEF*NtoN2O*kgtoGg,IF('Net zero activities &amp; levers'!$C$9="On",(('Net zero supporting data'!H164*'Net zero supporting data'!H183)+('Net zero supporting data'!H176*ManureNEF))*NtoN2O*kgtoGg,"ERROR"))</f>
        <v>5.909782905733385E-2</v>
      </c>
      <c r="R673" s="101">
        <f>IF('Net zero activities &amp; levers'!$C$9="Off",'Activity data'!AK56*ManureNEF*NtoN2O*kgtoGg,IF('Net zero activities &amp; levers'!$C$9="On",(('Net zero supporting data'!I164*'Net zero supporting data'!I183)+('Net zero supporting data'!I176*ManureNEF))*NtoN2O*kgtoGg,"ERROR"))</f>
        <v>5.9318039560246685E-2</v>
      </c>
      <c r="S673" s="101">
        <f>IF('Net zero activities &amp; levers'!$C$9="Off",'Activity data'!AL56*ManureNEF*NtoN2O*kgtoGg,IF('Net zero activities &amp; levers'!$C$9="On",(('Net zero supporting data'!J164*'Net zero supporting data'!J183)+('Net zero supporting data'!J176*ManureNEF))*NtoN2O*kgtoGg,"ERROR"))</f>
        <v>5.9536211182470676E-2</v>
      </c>
      <c r="T673" s="101">
        <f>IF('Net zero activities &amp; levers'!$C$9="Off",'Activity data'!AM56*ManureNEF*NtoN2O*kgtoGg,IF('Net zero activities &amp; levers'!$C$9="On",(('Net zero supporting data'!K164*'Net zero supporting data'!K183)+('Net zero supporting data'!K176*ManureNEF))*NtoN2O*kgtoGg,"ERROR"))</f>
        <v>5.8570334140852831E-2</v>
      </c>
      <c r="U673" s="101">
        <f>IF('Net zero activities &amp; levers'!$C$9="Off",'Activity data'!AN56*ManureNEF*NtoN2O*kgtoGg,IF('Net zero activities &amp; levers'!$C$9="On",(('Net zero supporting data'!L164*'Net zero supporting data'!L183)+('Net zero supporting data'!L176*ManureNEF))*NtoN2O*kgtoGg,"ERROR"))</f>
        <v>5.761338777974951E-2</v>
      </c>
      <c r="V673" s="101">
        <f>IF('Net zero activities &amp; levers'!$C$9="Off",'Activity data'!AO56*ManureNEF*NtoN2O*kgtoGg,IF('Net zero activities &amp; levers'!$C$9="On",(('Net zero supporting data'!M164*'Net zero supporting data'!M183)+('Net zero supporting data'!M176*ManureNEF))*NtoN2O*kgtoGg,"ERROR"))</f>
        <v>5.6665843267864002E-2</v>
      </c>
      <c r="W673" s="101">
        <f>IF('Net zero activities &amp; levers'!$C$9="Off",'Activity data'!AP56*ManureNEF*NtoN2O*kgtoGg,IF('Net zero activities &amp; levers'!$C$9="On",(('Net zero supporting data'!N164*'Net zero supporting data'!N183)+('Net zero supporting data'!N176*ManureNEF))*NtoN2O*kgtoGg,"ERROR"))</f>
        <v>5.572777173344929E-2</v>
      </c>
      <c r="X673" s="101">
        <f>IF('Net zero activities &amp; levers'!$C$9="Off",'Activity data'!AQ56*ManureNEF*NtoN2O*kgtoGg,IF('Net zero activities &amp; levers'!$C$9="On",(('Net zero supporting data'!O164*'Net zero supporting data'!O183)+('Net zero supporting data'!O176*ManureNEF))*NtoN2O*kgtoGg,"ERROR"))</f>
        <v>5.4800087399229716E-2</v>
      </c>
      <c r="Y673" s="101">
        <f>IF('Net zero activities &amp; levers'!$C$9="Off",'Activity data'!AR56*ManureNEF*NtoN2O*kgtoGg,IF('Net zero activities &amp; levers'!$C$9="On",(('Net zero supporting data'!P164*'Net zero supporting data'!P183)+('Net zero supporting data'!P176*ManureNEF))*NtoN2O*kgtoGg,"ERROR"))</f>
        <v>5.3819693114024708E-2</v>
      </c>
      <c r="Z673" s="101">
        <f>IF('Net zero activities &amp; levers'!$C$9="Off",'Activity data'!AS56*ManureNEF*NtoN2O*kgtoGg,IF('Net zero activities &amp; levers'!$C$9="On",(('Net zero supporting data'!Q164*'Net zero supporting data'!Q183)+('Net zero supporting data'!Q176*ManureNEF))*NtoN2O*kgtoGg,"ERROR"))</f>
        <v>5.2846556189737839E-2</v>
      </c>
      <c r="AA673" s="101">
        <f>IF('Net zero activities &amp; levers'!$C$9="Off",'Activity data'!AT56*ManureNEF*NtoN2O*kgtoGg,IF('Net zero activities &amp; levers'!$C$9="On",(('Net zero supporting data'!R164*'Net zero supporting data'!R183)+('Net zero supporting data'!R176*ManureNEF))*NtoN2O*kgtoGg,"ERROR"))</f>
        <v>5.1877623310129045E-2</v>
      </c>
      <c r="AB673" s="101">
        <f>IF('Net zero activities &amp; levers'!$C$9="Off",'Activity data'!AU56*ManureNEF*NtoN2O*kgtoGg,IF('Net zero activities &amp; levers'!$C$9="On",(('Net zero supporting data'!S164*'Net zero supporting data'!S183)+('Net zero supporting data'!S176*ManureNEF))*NtoN2O*kgtoGg,"ERROR"))</f>
        <v>5.0914630397466146E-2</v>
      </c>
      <c r="AC673" s="101">
        <f>IF('Net zero activities &amp; levers'!$C$9="Off",'Activity data'!AV56*ManureNEF*NtoN2O*kgtoGg,IF('Net zero activities &amp; levers'!$C$9="On",(('Net zero supporting data'!T164*'Net zero supporting data'!T183)+('Net zero supporting data'!T176*ManureNEF))*NtoN2O*kgtoGg,"ERROR"))</f>
        <v>4.995697469089224E-2</v>
      </c>
      <c r="AD673" s="101">
        <f>IF('Net zero activities &amp; levers'!$C$9="Off",'Activity data'!AW56*ManureNEF*NtoN2O*kgtoGg,IF('Net zero activities &amp; levers'!$C$9="On",(('Net zero supporting data'!U164*'Net zero supporting data'!U183)+('Net zero supporting data'!U176*ManureNEF))*NtoN2O*kgtoGg,"ERROR"))</f>
        <v>4.8963577234597114E-2</v>
      </c>
      <c r="AE673" s="101">
        <f>IF('Net zero activities &amp; levers'!$C$9="Off",'Activity data'!AX56*ManureNEF*NtoN2O*kgtoGg,IF('Net zero activities &amp; levers'!$C$9="On",(('Net zero supporting data'!V164*'Net zero supporting data'!V183)+('Net zero supporting data'!V176*ManureNEF))*NtoN2O*kgtoGg,"ERROR"))</f>
        <v>4.7974068422286791E-2</v>
      </c>
      <c r="AF673" s="101">
        <f>IF('Net zero activities &amp; levers'!$C$9="Off",'Activity data'!AY56*ManureNEF*NtoN2O*kgtoGg,IF('Net zero activities &amp; levers'!$C$9="On",(('Net zero supporting data'!W164*'Net zero supporting data'!W183)+('Net zero supporting data'!W176*ManureNEF))*NtoN2O*kgtoGg,"ERROR"))</f>
        <v>4.6987494923089346E-2</v>
      </c>
      <c r="AG673" s="101">
        <f>IF('Net zero activities &amp; levers'!$C$9="Off",'Activity data'!AZ56*ManureNEF*NtoN2O*kgtoGg,IF('Net zero activities &amp; levers'!$C$9="On",(('Net zero supporting data'!X164*'Net zero supporting data'!X183)+('Net zero supporting data'!X176*ManureNEF))*NtoN2O*kgtoGg,"ERROR"))</f>
        <v>4.6004295041209994E-2</v>
      </c>
      <c r="AH673" s="101">
        <f>IF('Net zero activities &amp; levers'!$C$9="Off",'Activity data'!BA56*ManureNEF*NtoN2O*kgtoGg,IF('Net zero activities &amp; levers'!$C$9="On",(('Net zero supporting data'!Y164*'Net zero supporting data'!Y183)+('Net zero supporting data'!Y176*ManureNEF))*NtoN2O*kgtoGg,"ERROR"))</f>
        <v>4.5021025179455658E-2</v>
      </c>
      <c r="AI673" s="101">
        <f>IF('Net zero activities &amp; levers'!$C$9="Off",'Activity data'!BB56*ManureNEF*NtoN2O*kgtoGg,IF('Net zero activities &amp; levers'!$C$9="On",(('Net zero supporting data'!Z164*'Net zero supporting data'!Z183)+('Net zero supporting data'!Z176*ManureNEF))*NtoN2O*kgtoGg,"ERROR"))</f>
        <v>4.4003006828892105E-2</v>
      </c>
      <c r="AJ673" s="101">
        <f>IF('Net zero activities &amp; levers'!$C$9="Off",'Activity data'!BC56*ManureNEF*NtoN2O*kgtoGg,IF('Net zero activities &amp; levers'!$C$9="On",(('Net zero supporting data'!AA164*'Net zero supporting data'!AA183)+('Net zero supporting data'!AA176*ManureNEF))*NtoN2O*kgtoGg,"ERROR"))</f>
        <v>4.2987059321502229E-2</v>
      </c>
      <c r="AK673" s="101">
        <f>IF('Net zero activities &amp; levers'!$C$9="Off",'Activity data'!BD56*ManureNEF*NtoN2O*kgtoGg,IF('Net zero activities &amp; levers'!$C$9="On",(('Net zero supporting data'!AB164*'Net zero supporting data'!AB183)+('Net zero supporting data'!AB176*ManureNEF))*NtoN2O*kgtoGg,"ERROR"))</f>
        <v>4.1971989332114157E-2</v>
      </c>
      <c r="AL673" s="101">
        <f>IF('Net zero activities &amp; levers'!$C$9="Off",'Activity data'!BE56*ManureNEF*NtoN2O*kgtoGg,IF('Net zero activities &amp; levers'!$C$9="On",(('Net zero supporting data'!AC164*'Net zero supporting data'!AC183)+('Net zero supporting data'!AC176*ManureNEF))*NtoN2O*kgtoGg,"ERROR"))</f>
        <v>4.0957843946174223E-2</v>
      </c>
      <c r="AM673" s="101">
        <f>IF('Net zero activities &amp; levers'!$C$9="Off",'Activity data'!BF56*ManureNEF*NtoN2O*kgtoGg,IF('Net zero activities &amp; levers'!$C$9="On",(('Net zero supporting data'!AD164*'Net zero supporting data'!AD183)+('Net zero supporting data'!AD176*ManureNEF))*NtoN2O*kgtoGg,"ERROR"))</f>
        <v>3.9944609036082483E-2</v>
      </c>
      <c r="AN673" s="101">
        <f>IF('Net zero activities &amp; levers'!$C$9="Off",'Activity data'!BG56*ManureNEF*NtoN2O*kgtoGg,IF('Net zero activities &amp; levers'!$C$9="On",(('Net zero supporting data'!AE164*'Net zero supporting data'!AE183)+('Net zero supporting data'!AE176*ManureNEF))*NtoN2O*kgtoGg,"ERROR"))</f>
        <v>3.9978653181520496E-2</v>
      </c>
      <c r="AO673" s="101">
        <f>IF('Net zero activities &amp; levers'!$C$9="Off",'Activity data'!BH56*ManureNEF*NtoN2O*kgtoGg,IF('Net zero activities &amp; levers'!$C$9="On",(('Net zero supporting data'!AF164*'Net zero supporting data'!AF183)+('Net zero supporting data'!AF176*ManureNEF))*NtoN2O*kgtoGg,"ERROR"))</f>
        <v>4.0015182628200037E-2</v>
      </c>
      <c r="AP673" s="101">
        <f>IF('Net zero activities &amp; levers'!$C$9="Off",'Activity data'!BI56*ManureNEF*NtoN2O*kgtoGg,IF('Net zero activities &amp; levers'!$C$9="On",(('Net zero supporting data'!AG164*'Net zero supporting data'!AG183)+('Net zero supporting data'!AG176*ManureNEF))*NtoN2O*kgtoGg,"ERROR"))</f>
        <v>4.0054910964602945E-2</v>
      </c>
      <c r="AQ673" s="101">
        <f>IF('Net zero activities &amp; levers'!$C$9="Off",'Activity data'!BJ56*ManureNEF*NtoN2O*kgtoGg,IF('Net zero activities &amp; levers'!$C$9="On",(('Net zero supporting data'!AH164*'Net zero supporting data'!AH183)+('Net zero supporting data'!AH176*ManureNEF))*NtoN2O*kgtoGg,"ERROR"))</f>
        <v>4.0097760067983934E-2</v>
      </c>
      <c r="AR673" s="101">
        <f>IF('Net zero activities &amp; levers'!$C$9="Off",'Activity data'!BK56*ManureNEF*NtoN2O*kgtoGg,IF('Net zero activities &amp; levers'!$C$9="On",(('Net zero supporting data'!AI164*'Net zero supporting data'!AI183)+('Net zero supporting data'!AI176*ManureNEF))*NtoN2O*kgtoGg,"ERROR"))</f>
        <v>4.0144232140223696E-2</v>
      </c>
      <c r="AS673" s="101">
        <f>IF('Net zero activities &amp; levers'!$C$9="Off",'Activity data'!BL56*ManureNEF*NtoN2O*kgtoGg,IF('Net zero activities &amp; levers'!$C$9="On",(('Net zero supporting data'!AJ164*'Net zero supporting data'!AJ183)+('Net zero supporting data'!AJ176*ManureNEF))*NtoN2O*kgtoGg,"ERROR"))</f>
        <v>4.0162959636248489E-2</v>
      </c>
      <c r="AT673" s="101">
        <f>IF('Net zero activities &amp; levers'!$C$9="Off",'Activity data'!BM56*ManureNEF*NtoN2O*kgtoGg,IF('Net zero activities &amp; levers'!$C$9="On",(('Net zero supporting data'!AK164*'Net zero supporting data'!AK183)+('Net zero supporting data'!AK176*ManureNEF))*NtoN2O*kgtoGg,"ERROR"))</f>
        <v>4.0178678784421863E-2</v>
      </c>
      <c r="AU673" s="101">
        <f>IF('Net zero activities &amp; levers'!$C$9="Off",'Activity data'!BN56*ManureNEF*NtoN2O*kgtoGg,IF('Net zero activities &amp; levers'!$C$9="On",(('Net zero supporting data'!AL164*'Net zero supporting data'!AL183)+('Net zero supporting data'!AL176*ManureNEF))*NtoN2O*kgtoGg,"ERROR"))</f>
        <v>4.0196447148947899E-2</v>
      </c>
      <c r="AV673" s="101">
        <f>IF('Net zero activities &amp; levers'!$C$9="Off",'Activity data'!BO56*ManureNEF*NtoN2O*kgtoGg,IF('Net zero activities &amp; levers'!$C$9="On",(('Net zero supporting data'!AM164*'Net zero supporting data'!AM183)+('Net zero supporting data'!AM176*ManureNEF))*NtoN2O*kgtoGg,"ERROR"))</f>
        <v>4.0217334306869586E-2</v>
      </c>
      <c r="AW673" s="101">
        <f>IF('Net zero activities &amp; levers'!$C$9="Off",'Activity data'!BP56*ManureNEF*NtoN2O*kgtoGg,IF('Net zero activities &amp; levers'!$C$9="On",(('Net zero supporting data'!AN164*'Net zero supporting data'!AN183)+('Net zero supporting data'!AN176*ManureNEF))*NtoN2O*kgtoGg,"ERROR"))</f>
        <v>4.0240188001594908E-2</v>
      </c>
      <c r="AY673" s="85"/>
      <c r="AZ673" s="85"/>
    </row>
    <row r="674" spans="1:52" x14ac:dyDescent="0.25">
      <c r="A674" s="102" t="str">
        <f t="shared" si="133"/>
        <v>NI Organic</v>
      </c>
      <c r="B674" s="102" t="s">
        <v>970</v>
      </c>
      <c r="C674" s="102" t="s">
        <v>1128</v>
      </c>
      <c r="D674" t="s">
        <v>369</v>
      </c>
      <c r="E674" t="s">
        <v>55</v>
      </c>
      <c r="F674" t="s">
        <v>421</v>
      </c>
      <c r="G674" t="s">
        <v>1167</v>
      </c>
      <c r="H674" t="s">
        <v>1168</v>
      </c>
      <c r="I674" t="s">
        <v>139</v>
      </c>
      <c r="J674" t="s">
        <v>287</v>
      </c>
      <c r="K674" s="22">
        <f>K1473</f>
        <v>4.7490069351463909E-2</v>
      </c>
      <c r="L674" s="22">
        <f t="shared" ref="L674:AW674" si="146">L1473</f>
        <v>4.7515698836582541E-2</v>
      </c>
      <c r="M674" s="22">
        <f t="shared" si="146"/>
        <v>4.7574618837704238E-2</v>
      </c>
      <c r="N674" s="22">
        <f t="shared" si="146"/>
        <v>4.7662091068599664E-2</v>
      </c>
      <c r="O674" s="22">
        <f t="shared" si="146"/>
        <v>4.7780154741355184E-2</v>
      </c>
      <c r="P674" s="22">
        <f t="shared" si="146"/>
        <v>4.7931182612503523E-2</v>
      </c>
      <c r="Q674" s="22">
        <f t="shared" si="146"/>
        <v>4.809759961514163E-2</v>
      </c>
      <c r="R674" s="22">
        <f t="shared" si="146"/>
        <v>4.8276821031039585E-2</v>
      </c>
      <c r="S674" s="22">
        <f t="shared" si="146"/>
        <v>4.845438307520427E-2</v>
      </c>
      <c r="T674" s="22">
        <f t="shared" si="146"/>
        <v>4.8527049385583491E-2</v>
      </c>
      <c r="U674" s="22">
        <f t="shared" si="146"/>
        <v>4.8609564237134945E-2</v>
      </c>
      <c r="V674" s="22">
        <f t="shared" si="146"/>
        <v>4.8702882695534688E-2</v>
      </c>
      <c r="W674" s="22">
        <f t="shared" si="146"/>
        <v>4.8807681682294192E-2</v>
      </c>
      <c r="X674" s="22">
        <f t="shared" si="146"/>
        <v>4.8925442815452934E-2</v>
      </c>
      <c r="Y674" s="22">
        <f t="shared" si="146"/>
        <v>4.899948588644365E-2</v>
      </c>
      <c r="Z674" s="22">
        <f t="shared" si="146"/>
        <v>4.9082862153800644E-2</v>
      </c>
      <c r="AA674" s="22">
        <f t="shared" si="146"/>
        <v>4.9173251141349877E-2</v>
      </c>
      <c r="AB674" s="22">
        <f t="shared" si="146"/>
        <v>4.9272772007826496E-2</v>
      </c>
      <c r="AC674" s="22">
        <f t="shared" si="146"/>
        <v>4.9381413357577224E-2</v>
      </c>
      <c r="AD674" s="22">
        <f t="shared" si="146"/>
        <v>4.9453320942677535E-2</v>
      </c>
      <c r="AE674" s="22">
        <f t="shared" si="146"/>
        <v>4.9532224722365882E-2</v>
      </c>
      <c r="AF674" s="22">
        <f t="shared" si="146"/>
        <v>4.9617594644838996E-2</v>
      </c>
      <c r="AG674" s="22">
        <f t="shared" si="146"/>
        <v>4.9710354845697732E-2</v>
      </c>
      <c r="AH674" s="22">
        <f t="shared" si="146"/>
        <v>4.9807222782493964E-2</v>
      </c>
      <c r="AI674" s="22">
        <f t="shared" si="146"/>
        <v>4.9869196268853305E-2</v>
      </c>
      <c r="AJ674" s="22">
        <f t="shared" si="146"/>
        <v>4.9936426937907168E-2</v>
      </c>
      <c r="AK674" s="22">
        <f t="shared" si="146"/>
        <v>5.0007896583986924E-2</v>
      </c>
      <c r="AL674" s="22">
        <f t="shared" si="146"/>
        <v>5.0083996434912091E-2</v>
      </c>
      <c r="AM674" s="22">
        <f t="shared" si="146"/>
        <v>5.0165082999159477E-2</v>
      </c>
      <c r="AN674" s="22">
        <f t="shared" si="146"/>
        <v>5.0212874286181063E-2</v>
      </c>
      <c r="AO674" s="22">
        <f t="shared" si="146"/>
        <v>5.0263796994131166E-2</v>
      </c>
      <c r="AP674" s="22">
        <f t="shared" si="146"/>
        <v>5.0318748506918774E-2</v>
      </c>
      <c r="AQ674" s="22">
        <f t="shared" si="146"/>
        <v>5.0377631886217578E-2</v>
      </c>
      <c r="AR674" s="22">
        <f t="shared" si="146"/>
        <v>5.0441079330537687E-2</v>
      </c>
      <c r="AS674" s="22">
        <f t="shared" si="146"/>
        <v>5.0469675054019239E-2</v>
      </c>
      <c r="AT674" s="22">
        <f t="shared" si="146"/>
        <v>5.049449578112386E-2</v>
      </c>
      <c r="AU674" s="22">
        <f t="shared" si="146"/>
        <v>5.0521897099480149E-2</v>
      </c>
      <c r="AV674" s="22">
        <f t="shared" si="146"/>
        <v>5.055322424557103E-2</v>
      </c>
      <c r="AW674" s="22">
        <f t="shared" si="146"/>
        <v>5.0587029868914744E-2</v>
      </c>
      <c r="AY674" s="85"/>
      <c r="AZ674" s="85"/>
    </row>
    <row r="675" spans="1:52" x14ac:dyDescent="0.25">
      <c r="A675" s="102" t="str">
        <f t="shared" si="133"/>
        <v>NI Organic</v>
      </c>
      <c r="B675" s="102" t="s">
        <v>970</v>
      </c>
      <c r="C675" s="102" t="s">
        <v>1128</v>
      </c>
      <c r="D675" t="s">
        <v>369</v>
      </c>
      <c r="E675" t="s">
        <v>55</v>
      </c>
      <c r="F675" t="s">
        <v>421</v>
      </c>
      <c r="G675" t="s">
        <v>1169</v>
      </c>
      <c r="H675" t="s">
        <v>1170</v>
      </c>
      <c r="I675" t="s">
        <v>139</v>
      </c>
      <c r="J675" t="s">
        <v>287</v>
      </c>
      <c r="K675" s="101">
        <f>IF('Net zero activities &amp; levers'!$C$9="Off",'Activity data'!AD58*ManureNEF*NtoN2O*kgtoGg,IF('Net zero activities &amp; levers'!$C$9="On",(('Net zero supporting data'!B165*'Net zero supporting data'!B183)+('Net zero supporting data'!B177*ManureNEF))*NtoN2O*kgtoGg,"ERROR"))</f>
        <v>7.2124379000375856E-3</v>
      </c>
      <c r="L675" s="101">
        <f>IF('Net zero activities &amp; levers'!$C$9="Off",'Activity data'!AE58*ManureNEF*NtoN2O*kgtoGg,IF('Net zero activities &amp; levers'!$C$9="On",(('Net zero supporting data'!C165*'Net zero supporting data'!C183)+('Net zero supporting data'!C177*ManureNEF))*NtoN2O*kgtoGg,"ERROR"))</f>
        <v>7.2311842253661622E-3</v>
      </c>
      <c r="M675" s="101">
        <f>IF('Net zero activities &amp; levers'!$C$9="Off",'Activity data'!AF58*ManureNEF*NtoN2O*kgtoGg,IF('Net zero activities &amp; levers'!$C$9="On",(('Net zero supporting data'!D165*'Net zero supporting data'!D183)+('Net zero supporting data'!D177*ManureNEF))*NtoN2O*kgtoGg,"ERROR"))</f>
        <v>7.2564640106272402E-3</v>
      </c>
      <c r="N675" s="101">
        <f>IF('Net zero activities &amp; levers'!$C$9="Off",'Activity data'!AG58*ManureNEF*NtoN2O*kgtoGg,IF('Net zero activities &amp; levers'!$C$9="On",(('Net zero supporting data'!E165*'Net zero supporting data'!E183)+('Net zero supporting data'!E177*ManureNEF))*NtoN2O*kgtoGg,"ERROR"))</f>
        <v>7.287254147269725E-3</v>
      </c>
      <c r="O675" s="101">
        <f>IF('Net zero activities &amp; levers'!$C$9="Off",'Activity data'!AH58*ManureNEF*NtoN2O*kgtoGg,IF('Net zero activities &amp; levers'!$C$9="On",(('Net zero supporting data'!F165*'Net zero supporting data'!F183)+('Net zero supporting data'!F177*ManureNEF))*NtoN2O*kgtoGg,"ERROR"))</f>
        <v>7.3241333035294473E-3</v>
      </c>
      <c r="P675" s="101">
        <f>IF('Net zero activities &amp; levers'!$C$9="Off",'Activity data'!AI58*ManureNEF*NtoN2O*kgtoGg,IF('Net zero activities &amp; levers'!$C$9="On",(('Net zero supporting data'!G165*'Net zero supporting data'!G183)+('Net zero supporting data'!G177*ManureNEF))*NtoN2O*kgtoGg,"ERROR"))</f>
        <v>7.3677329801347495E-3</v>
      </c>
      <c r="Q675" s="101">
        <f>IF('Net zero activities &amp; levers'!$C$9="Off",'Activity data'!AJ58*ManureNEF*NtoN2O*kgtoGg,IF('Net zero activities &amp; levers'!$C$9="On",(('Net zero supporting data'!H165*'Net zero supporting data'!H183)+('Net zero supporting data'!H177*ManureNEF))*NtoN2O*kgtoGg,"ERROR"))</f>
        <v>7.4139400326720672E-3</v>
      </c>
      <c r="R675" s="101">
        <f>IF('Net zero activities &amp; levers'!$C$9="Off",'Activity data'!AK58*ManureNEF*NtoN2O*kgtoGg,IF('Net zero activities &amp; levers'!$C$9="On",(('Net zero supporting data'!I165*'Net zero supporting data'!I183)+('Net zero supporting data'!I177*ManureNEF))*NtoN2O*kgtoGg,"ERROR"))</f>
        <v>7.4622138016085145E-3</v>
      </c>
      <c r="S675" s="101">
        <f>IF('Net zero activities &amp; levers'!$C$9="Off",'Activity data'!AL58*ManureNEF*NtoN2O*kgtoGg,IF('Net zero activities &amp; levers'!$C$9="On",(('Net zero supporting data'!J165*'Net zero supporting data'!J183)+('Net zero supporting data'!J177*ManureNEF))*NtoN2O*kgtoGg,"ERROR"))</f>
        <v>7.509211214865451E-3</v>
      </c>
      <c r="T675" s="101">
        <f>IF('Net zero activities &amp; levers'!$C$9="Off",'Activity data'!AM58*ManureNEF*NtoN2O*kgtoGg,IF('Net zero activities &amp; levers'!$C$9="On",(('Net zero supporting data'!K165*'Net zero supporting data'!K183)+('Net zero supporting data'!K177*ManureNEF))*NtoN2O*kgtoGg,"ERROR"))</f>
        <v>7.3989785762428508E-3</v>
      </c>
      <c r="U675" s="101">
        <f>IF('Net zero activities &amp; levers'!$C$9="Off",'Activity data'!AN58*ManureNEF*NtoN2O*kgtoGg,IF('Net zero activities &amp; levers'!$C$9="On",(('Net zero supporting data'!L165*'Net zero supporting data'!L183)+('Net zero supporting data'!L177*ManureNEF))*NtoN2O*kgtoGg,"ERROR"))</f>
        <v>7.2896222486988956E-3</v>
      </c>
      <c r="V675" s="101">
        <f>IF('Net zero activities &amp; levers'!$C$9="Off",'Activity data'!AO58*ManureNEF*NtoN2O*kgtoGg,IF('Net zero activities &amp; levers'!$C$9="On",(('Net zero supporting data'!M165*'Net zero supporting data'!M183)+('Net zero supporting data'!M177*ManureNEF))*NtoN2O*kgtoGg,"ERROR"))</f>
        <v>7.1812988675028239E-3</v>
      </c>
      <c r="W675" s="101">
        <f>IF('Net zero activities &amp; levers'!$C$9="Off",'Activity data'!AP58*ManureNEF*NtoN2O*kgtoGg,IF('Net zero activities &amp; levers'!$C$9="On",(('Net zero supporting data'!N165*'Net zero supporting data'!N183)+('Net zero supporting data'!N177*ManureNEF))*NtoN2O*kgtoGg,"ERROR"))</f>
        <v>7.0740795715049281E-3</v>
      </c>
      <c r="X675" s="101">
        <f>IF('Net zero activities &amp; levers'!$C$9="Off",'Activity data'!AQ58*ManureNEF*NtoN2O*kgtoGg,IF('Net zero activities &amp; levers'!$C$9="On",(('Net zero supporting data'!O165*'Net zero supporting data'!O183)+('Net zero supporting data'!O177*ManureNEF))*NtoN2O*kgtoGg,"ERROR"))</f>
        <v>6.9681877476369895E-3</v>
      </c>
      <c r="Y675" s="101">
        <f>IF('Net zero activities &amp; levers'!$C$9="Off",'Activity data'!AR58*ManureNEF*NtoN2O*kgtoGg,IF('Net zero activities &amp; levers'!$C$9="On",(('Net zero supporting data'!P165*'Net zero supporting data'!P183)+('Net zero supporting data'!P177*ManureNEF))*NtoN2O*kgtoGg,"ERROR"))</f>
        <v>6.8517366271123948E-3</v>
      </c>
      <c r="Z675" s="101">
        <f>IF('Net zero activities &amp; levers'!$C$9="Off",'Activity data'!AS58*ManureNEF*NtoN2O*kgtoGg,IF('Net zero activities &amp; levers'!$C$9="On",(('Net zero supporting data'!Q165*'Net zero supporting data'!Q183)+('Net zero supporting data'!Q177*ManureNEF))*NtoN2O*kgtoGg,"ERROR"))</f>
        <v>6.7361515521615544E-3</v>
      </c>
      <c r="AA675" s="101">
        <f>IF('Net zero activities &amp; levers'!$C$9="Off",'Activity data'!AT58*ManureNEF*NtoN2O*kgtoGg,IF('Net zero activities &amp; levers'!$C$9="On",(('Net zero supporting data'!R165*'Net zero supporting data'!R183)+('Net zero supporting data'!R177*ManureNEF))*NtoN2O*kgtoGg,"ERROR"))</f>
        <v>6.6208922360749337E-3</v>
      </c>
      <c r="AB675" s="101">
        <f>IF('Net zero activities &amp; levers'!$C$9="Off",'Activity data'!AU58*ManureNEF*NtoN2O*kgtoGg,IF('Net zero activities &amp; levers'!$C$9="On",(('Net zero supporting data'!S165*'Net zero supporting data'!S183)+('Net zero supporting data'!S177*ManureNEF))*NtoN2O*kgtoGg,"ERROR"))</f>
        <v>6.5063189781589328E-3</v>
      </c>
      <c r="AC675" s="101">
        <f>IF('Net zero activities &amp; levers'!$C$9="Off",'Activity data'!AV58*ManureNEF*NtoN2O*kgtoGg,IF('Net zero activities &amp; levers'!$C$9="On",(('Net zero supporting data'!T165*'Net zero supporting data'!T183)+('Net zero supporting data'!T177*ManureNEF))*NtoN2O*kgtoGg,"ERROR"))</f>
        <v>6.3923472925172739E-3</v>
      </c>
      <c r="AD675" s="101">
        <f>IF('Net zero activities &amp; levers'!$C$9="Off",'Activity data'!AW58*ManureNEF*NtoN2O*kgtoGg,IF('Net zero activities &amp; levers'!$C$9="On",(('Net zero supporting data'!U165*'Net zero supporting data'!U183)+('Net zero supporting data'!U177*ManureNEF))*NtoN2O*kgtoGg,"ERROR"))</f>
        <v>6.2703936703131088E-3</v>
      </c>
      <c r="AE675" s="101">
        <f>IF('Net zero activities &amp; levers'!$C$9="Off",'Activity data'!AX58*ManureNEF*NtoN2O*kgtoGg,IF('Net zero activities &amp; levers'!$C$9="On",(('Net zero supporting data'!V165*'Net zero supporting data'!V183)+('Net zero supporting data'!V177*ManureNEF))*NtoN2O*kgtoGg,"ERROR"))</f>
        <v>6.14888895741792E-3</v>
      </c>
      <c r="AF675" s="101">
        <f>IF('Net zero activities &amp; levers'!$C$9="Off",'Activity data'!AY58*ManureNEF*NtoN2O*kgtoGg,IF('Net zero activities &amp; levers'!$C$9="On",(('Net zero supporting data'!W165*'Net zero supporting data'!W183)+('Net zero supporting data'!W177*ManureNEF))*NtoN2O*kgtoGg,"ERROR"))</f>
        <v>6.0276764515545906E-3</v>
      </c>
      <c r="AG675" s="101">
        <f>IF('Net zero activities &amp; levers'!$C$9="Off",'Activity data'!AZ58*ManureNEF*NtoN2O*kgtoGg,IF('Net zero activities &amp; levers'!$C$9="On",(('Net zero supporting data'!X165*'Net zero supporting data'!X183)+('Net zero supporting data'!X177*ManureNEF))*NtoN2O*kgtoGg,"ERROR"))</f>
        <v>5.9068577229058868E-3</v>
      </c>
      <c r="AH675" s="101">
        <f>IF('Net zero activities &amp; levers'!$C$9="Off",'Activity data'!BA58*ManureNEF*NtoN2O*kgtoGg,IF('Net zero activities &amp; levers'!$C$9="On",(('Net zero supporting data'!Y165*'Net zero supporting data'!Y183)+('Net zero supporting data'!Y177*ManureNEF))*NtoN2O*kgtoGg,"ERROR"))</f>
        <v>5.7858105918874936E-3</v>
      </c>
      <c r="AI675" s="101">
        <f>IF('Net zero activities &amp; levers'!$C$9="Off",'Activity data'!BB58*ManureNEF*NtoN2O*kgtoGg,IF('Net zero activities &amp; levers'!$C$9="On",(('Net zero supporting data'!Z165*'Net zero supporting data'!Z183)+('Net zero supporting data'!Z177*ManureNEF))*NtoN2O*kgtoGg,"ERROR"))</f>
        <v>5.6581228238975203E-3</v>
      </c>
      <c r="AJ675" s="101">
        <f>IF('Net zero activities &amp; levers'!$C$9="Off",'Activity data'!BC58*ManureNEF*NtoN2O*kgtoGg,IF('Net zero activities &amp; levers'!$C$9="On",(('Net zero supporting data'!AA165*'Net zero supporting data'!AA183)+('Net zero supporting data'!AA177*ManureNEF))*NtoN2O*kgtoGg,"ERROR"))</f>
        <v>5.5306630444191202E-3</v>
      </c>
      <c r="AK675" s="101">
        <f>IF('Net zero activities &amp; levers'!$C$9="Off",'Activity data'!BD58*ManureNEF*NtoN2O*kgtoGg,IF('Net zero activities &amp; levers'!$C$9="On",(('Net zero supporting data'!AB165*'Net zero supporting data'!AB183)+('Net zero supporting data'!AB177*ManureNEF))*NtoN2O*kgtoGg,"ERROR"))</f>
        <v>5.4032244059669882E-3</v>
      </c>
      <c r="AL675" s="101">
        <f>IF('Net zero activities &amp; levers'!$C$9="Off",'Activity data'!BE58*ManureNEF*NtoN2O*kgtoGg,IF('Net zero activities &amp; levers'!$C$9="On",(('Net zero supporting data'!AC165*'Net zero supporting data'!AC183)+('Net zero supporting data'!AC177*ManureNEF))*NtoN2O*kgtoGg,"ERROR"))</f>
        <v>5.2758292343076524E-3</v>
      </c>
      <c r="AM675" s="101">
        <f>IF('Net zero activities &amp; levers'!$C$9="Off",'Activity data'!BF58*ManureNEF*NtoN2O*kgtoGg,IF('Net zero activities &amp; levers'!$C$9="On",(('Net zero supporting data'!AD165*'Net zero supporting data'!AD183)+('Net zero supporting data'!AD177*ManureNEF))*NtoN2O*kgtoGg,"ERROR"))</f>
        <v>5.1484874114350165E-3</v>
      </c>
      <c r="AN675" s="101">
        <f>IF('Net zero activities &amp; levers'!$C$9="Off",'Activity data'!BG58*ManureNEF*NtoN2O*kgtoGg,IF('Net zero activities &amp; levers'!$C$9="On",(('Net zero supporting data'!AE165*'Net zero supporting data'!AE183)+('Net zero supporting data'!AE177*ManureNEF))*NtoN2O*kgtoGg,"ERROR"))</f>
        <v>5.1544720521968347E-3</v>
      </c>
      <c r="AO675" s="101">
        <f>IF('Net zero activities &amp; levers'!$C$9="Off",'Activity data'!BH58*ManureNEF*NtoN2O*kgtoGg,IF('Net zero activities &amp; levers'!$C$9="On",(('Net zero supporting data'!AF165*'Net zero supporting data'!AF183)+('Net zero supporting data'!AF177*ManureNEF))*NtoN2O*kgtoGg,"ERROR"))</f>
        <v>5.1608200532227387E-3</v>
      </c>
      <c r="AP675" s="101">
        <f>IF('Net zero activities &amp; levers'!$C$9="Off",'Activity data'!BI58*ManureNEF*NtoN2O*kgtoGg,IF('Net zero activities &amp; levers'!$C$9="On",(('Net zero supporting data'!AG165*'Net zero supporting data'!AG183)+('Net zero supporting data'!AG177*ManureNEF))*NtoN2O*kgtoGg,"ERROR"))</f>
        <v>5.167664651566789E-3</v>
      </c>
      <c r="AQ675" s="101">
        <f>IF('Net zero activities &amp; levers'!$C$9="Off",'Activity data'!BJ58*ManureNEF*NtoN2O*kgtoGg,IF('Net zero activities &amp; levers'!$C$9="On",(('Net zero supporting data'!AH165*'Net zero supporting data'!AH183)+('Net zero supporting data'!AH177*ManureNEF))*NtoN2O*kgtoGg,"ERROR"))</f>
        <v>5.174993113460394E-3</v>
      </c>
      <c r="AR675" s="101">
        <f>IF('Net zero activities &amp; levers'!$C$9="Off",'Activity data'!BK58*ManureNEF*NtoN2O*kgtoGg,IF('Net zero activities &amp; levers'!$C$9="On",(('Net zero supporting data'!AI165*'Net zero supporting data'!AI183)+('Net zero supporting data'!AI177*ManureNEF))*NtoN2O*kgtoGg,"ERROR"))</f>
        <v>5.182898600891086E-3</v>
      </c>
      <c r="AS675" s="101">
        <f>IF('Net zero activities &amp; levers'!$C$9="Off",'Activity data'!BL58*ManureNEF*NtoN2O*kgtoGg,IF('Net zero activities &amp; levers'!$C$9="On",(('Net zero supporting data'!AJ165*'Net zero supporting data'!AJ183)+('Net zero supporting data'!AJ177*ManureNEF))*NtoN2O*kgtoGg,"ERROR"))</f>
        <v>5.1856599904164611E-3</v>
      </c>
      <c r="AT675" s="101">
        <f>IF('Net zero activities &amp; levers'!$C$9="Off",'Activity data'!BM58*ManureNEF*NtoN2O*kgtoGg,IF('Net zero activities &amp; levers'!$C$9="On",(('Net zero supporting data'!AK165*'Net zero supporting data'!AK183)+('Net zero supporting data'!AK177*ManureNEF))*NtoN2O*kgtoGg,"ERROR"))</f>
        <v>5.1878095635787044E-3</v>
      </c>
      <c r="AU675" s="101">
        <f>IF('Net zero activities &amp; levers'!$C$9="Off",'Activity data'!BN58*ManureNEF*NtoN2O*kgtoGg,IF('Net zero activities &amp; levers'!$C$9="On",(('Net zero supporting data'!AL165*'Net zero supporting data'!AL183)+('Net zero supporting data'!AL177*ManureNEF))*NtoN2O*kgtoGg,"ERROR"))</f>
        <v>5.1902726670425012E-3</v>
      </c>
      <c r="AV675" s="101">
        <f>IF('Net zero activities &amp; levers'!$C$9="Off",'Activity data'!BO58*ManureNEF*NtoN2O*kgtoGg,IF('Net zero activities &amp; levers'!$C$9="On",(('Net zero supporting data'!AM165*'Net zero supporting data'!AM183)+('Net zero supporting data'!AM177*ManureNEF))*NtoN2O*kgtoGg,"ERROR"))</f>
        <v>5.1932447050870873E-3</v>
      </c>
      <c r="AW675" s="101">
        <f>IF('Net zero activities &amp; levers'!$C$9="Off",'Activity data'!BP58*ManureNEF*NtoN2O*kgtoGg,IF('Net zero activities &amp; levers'!$C$9="On",(('Net zero supporting data'!AN165*'Net zero supporting data'!AN183)+('Net zero supporting data'!AN177*ManureNEF))*NtoN2O*kgtoGg,"ERROR"))</f>
        <v>5.1965169345490206E-3</v>
      </c>
      <c r="AY675" s="85"/>
      <c r="AZ675" s="85"/>
    </row>
    <row r="676" spans="1:52" x14ac:dyDescent="0.25">
      <c r="A676" s="102" t="str">
        <f t="shared" si="133"/>
        <v>NI Organic</v>
      </c>
      <c r="B676" s="102" t="s">
        <v>970</v>
      </c>
      <c r="C676" s="102" t="s">
        <v>1128</v>
      </c>
      <c r="D676" t="s">
        <v>369</v>
      </c>
      <c r="E676" t="s">
        <v>55</v>
      </c>
      <c r="F676" t="s">
        <v>421</v>
      </c>
      <c r="G676" t="s">
        <v>1171</v>
      </c>
      <c r="H676" t="s">
        <v>1172</v>
      </c>
      <c r="I676" t="s">
        <v>139</v>
      </c>
      <c r="J676" t="s">
        <v>287</v>
      </c>
      <c r="K676" s="22">
        <f>K1475</f>
        <v>8.7025704097551199E-2</v>
      </c>
      <c r="L676" s="22">
        <f t="shared" ref="L676:AW678" si="147">L1475</f>
        <v>8.7251898372437478E-2</v>
      </c>
      <c r="M676" s="22">
        <f t="shared" si="147"/>
        <v>8.7556925762935861E-2</v>
      </c>
      <c r="N676" s="22">
        <f t="shared" si="147"/>
        <v>8.7928441380499503E-2</v>
      </c>
      <c r="O676" s="22">
        <f t="shared" si="147"/>
        <v>8.8373427470433044E-2</v>
      </c>
      <c r="P676" s="22">
        <f t="shared" si="147"/>
        <v>8.8899503758033641E-2</v>
      </c>
      <c r="Q676" s="22">
        <f t="shared" si="147"/>
        <v>8.9457040798499768E-2</v>
      </c>
      <c r="R676" s="22">
        <f t="shared" si="147"/>
        <v>9.0039514961794118E-2</v>
      </c>
      <c r="S676" s="22">
        <f t="shared" si="147"/>
        <v>9.0606588541648075E-2</v>
      </c>
      <c r="T676" s="22">
        <f t="shared" si="147"/>
        <v>9.0866681909987077E-2</v>
      </c>
      <c r="U676" s="22">
        <f t="shared" si="147"/>
        <v>9.1147165837307267E-2</v>
      </c>
      <c r="V676" s="22">
        <f t="shared" si="147"/>
        <v>9.1451164835280221E-2</v>
      </c>
      <c r="W676" s="22">
        <f t="shared" si="147"/>
        <v>9.1780929341327769E-2</v>
      </c>
      <c r="X676" s="22">
        <f t="shared" si="147"/>
        <v>9.2140895617544447E-2</v>
      </c>
      <c r="Y676" s="22">
        <f t="shared" si="147"/>
        <v>9.2372582250207988E-2</v>
      </c>
      <c r="Z676" s="22">
        <f t="shared" si="147"/>
        <v>9.2625418500508608E-2</v>
      </c>
      <c r="AA676" s="22">
        <f t="shared" si="147"/>
        <v>9.2893115093326858E-2</v>
      </c>
      <c r="AB676" s="22">
        <f t="shared" si="147"/>
        <v>9.3181758154257929E-2</v>
      </c>
      <c r="AC676" s="22">
        <f t="shared" si="147"/>
        <v>9.3491444989645012E-2</v>
      </c>
      <c r="AD676" s="22">
        <f t="shared" si="147"/>
        <v>9.3695284789210367E-2</v>
      </c>
      <c r="AE676" s="22">
        <f t="shared" si="147"/>
        <v>9.3915011879118299E-2</v>
      </c>
      <c r="AF676" s="22">
        <f t="shared" si="147"/>
        <v>9.4149258367795627E-2</v>
      </c>
      <c r="AG676" s="22">
        <f t="shared" si="147"/>
        <v>9.4400657129803389E-2</v>
      </c>
      <c r="AH676" s="22">
        <f t="shared" si="147"/>
        <v>9.4660249844504385E-2</v>
      </c>
      <c r="AI676" s="22">
        <f t="shared" si="147"/>
        <v>9.4821175093764906E-2</v>
      </c>
      <c r="AJ676" s="22">
        <f t="shared" si="147"/>
        <v>9.4994033875618389E-2</v>
      </c>
      <c r="AK676" s="22">
        <f t="shared" si="147"/>
        <v>9.5176097250528169E-2</v>
      </c>
      <c r="AL676" s="22">
        <f t="shared" si="147"/>
        <v>9.5368492746824421E-2</v>
      </c>
      <c r="AM676" s="22">
        <f t="shared" si="147"/>
        <v>9.5572238323119812E-2</v>
      </c>
      <c r="AN676" s="22">
        <f t="shared" si="147"/>
        <v>9.5683332216812994E-2</v>
      </c>
      <c r="AO676" s="22">
        <f t="shared" si="147"/>
        <v>9.5801171228242971E-2</v>
      </c>
      <c r="AP676" s="22">
        <f t="shared" si="147"/>
        <v>9.5928228659268394E-2</v>
      </c>
      <c r="AQ676" s="22">
        <f t="shared" si="147"/>
        <v>9.6064268130799754E-2</v>
      </c>
      <c r="AR676" s="22">
        <f t="shared" si="147"/>
        <v>9.6211019024491043E-2</v>
      </c>
      <c r="AS676" s="22">
        <f t="shared" si="147"/>
        <v>9.6262279163000078E-2</v>
      </c>
      <c r="AT676" s="22">
        <f t="shared" si="147"/>
        <v>9.6302182051389879E-2</v>
      </c>
      <c r="AU676" s="22">
        <f t="shared" si="147"/>
        <v>9.634790505553549E-2</v>
      </c>
      <c r="AV676" s="22">
        <f t="shared" si="147"/>
        <v>9.6403075497959345E-2</v>
      </c>
      <c r="AW676" s="22">
        <f t="shared" si="147"/>
        <v>9.6463818444186472E-2</v>
      </c>
      <c r="AY676" s="85"/>
      <c r="AZ676" s="85"/>
    </row>
    <row r="677" spans="1:52" x14ac:dyDescent="0.25">
      <c r="A677" s="102" t="str">
        <f t="shared" si="133"/>
        <v>NI Organic</v>
      </c>
      <c r="B677" s="102" t="s">
        <v>970</v>
      </c>
      <c r="C677" s="102" t="s">
        <v>1128</v>
      </c>
      <c r="D677" t="s">
        <v>369</v>
      </c>
      <c r="E677" t="s">
        <v>55</v>
      </c>
      <c r="F677" t="s">
        <v>421</v>
      </c>
      <c r="G677" t="s">
        <v>1173</v>
      </c>
      <c r="H677" t="s">
        <v>1174</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85"/>
      <c r="AZ677" s="85"/>
    </row>
    <row r="678" spans="1:52" x14ac:dyDescent="0.25">
      <c r="A678" s="102" t="str">
        <f t="shared" ref="A678:A730" si="149">B678&amp;" "&amp;C678</f>
        <v>NI Organic</v>
      </c>
      <c r="B678" s="102" t="s">
        <v>970</v>
      </c>
      <c r="C678" s="102" t="s">
        <v>1128</v>
      </c>
      <c r="D678" t="s">
        <v>369</v>
      </c>
      <c r="E678" t="s">
        <v>55</v>
      </c>
      <c r="F678" t="s">
        <v>421</v>
      </c>
      <c r="G678" t="s">
        <v>1175</v>
      </c>
      <c r="H678" t="s">
        <v>1176</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85"/>
      <c r="AZ678" s="85"/>
    </row>
    <row r="679" spans="1:52" x14ac:dyDescent="0.25">
      <c r="A679" s="102" t="str">
        <f t="shared" si="149"/>
        <v>NI Organic</v>
      </c>
      <c r="B679" s="102" t="s">
        <v>970</v>
      </c>
      <c r="C679" s="102" t="s">
        <v>1128</v>
      </c>
      <c r="D679" t="s">
        <v>369</v>
      </c>
      <c r="E679" t="s">
        <v>55</v>
      </c>
      <c r="F679" t="s">
        <v>421</v>
      </c>
      <c r="G679" t="s">
        <v>1177</v>
      </c>
      <c r="H679" t="s">
        <v>1178</v>
      </c>
      <c r="I679" t="s">
        <v>139</v>
      </c>
      <c r="J679" t="s">
        <v>287</v>
      </c>
      <c r="K679" s="101">
        <f>IF('Net zero activities &amp; levers'!$C$9="Off",'Activity data'!AD62*ManureNEF*NtoN2O*kgtoGg,IF('Net zero activities &amp; levers'!$C$9="On",(('Net zero supporting data'!B166*'Net zero supporting data'!B183)+('Net zero supporting data'!B178*ManureNEF))*NtoN2O*kgtoGg,"ERROR"))</f>
        <v>0.12512489027733434</v>
      </c>
      <c r="L679" s="101">
        <f>IF('Net zero activities &amp; levers'!$C$9="Off",'Activity data'!AE62*ManureNEF*NtoN2O*kgtoGg,IF('Net zero activities &amp; levers'!$C$9="On",(('Net zero supporting data'!C166*'Net zero supporting data'!C183)+('Net zero supporting data'!C178*ManureNEF))*NtoN2O*kgtoGg,"ERROR"))</f>
        <v>0.1249037465490002</v>
      </c>
      <c r="M679" s="101">
        <f>IF('Net zero activities &amp; levers'!$C$9="Off",'Activity data'!AF62*ManureNEF*NtoN2O*kgtoGg,IF('Net zero activities &amp; levers'!$C$9="On",(('Net zero supporting data'!D166*'Net zero supporting data'!D183)+('Net zero supporting data'!D178*ManureNEF))*NtoN2O*kgtoGg,"ERROR"))</f>
        <v>0.12420297117813216</v>
      </c>
      <c r="N679" s="101">
        <f>IF('Net zero activities &amp; levers'!$C$9="Off",'Activity data'!AG62*ManureNEF*NtoN2O*kgtoGg,IF('Net zero activities &amp; levers'!$C$9="On",(('Net zero supporting data'!E166*'Net zero supporting data'!E183)+('Net zero supporting data'!E178*ManureNEF))*NtoN2O*kgtoGg,"ERROR"))</f>
        <v>0.12146227380625023</v>
      </c>
      <c r="O679" s="101">
        <f>IF('Net zero activities &amp; levers'!$C$9="Off",'Activity data'!AH62*ManureNEF*NtoN2O*kgtoGg,IF('Net zero activities &amp; levers'!$C$9="On",(('Net zero supporting data'!F166*'Net zero supporting data'!F183)+('Net zero supporting data'!F178*ManureNEF))*NtoN2O*kgtoGg,"ERROR"))</f>
        <v>0.11887050141065171</v>
      </c>
      <c r="P679" s="101">
        <f>IF('Net zero activities &amp; levers'!$C$9="Off",'Activity data'!AI62*ManureNEF*NtoN2O*kgtoGg,IF('Net zero activities &amp; levers'!$C$9="On",(('Net zero supporting data'!G166*'Net zero supporting data'!G183)+('Net zero supporting data'!G178*ManureNEF))*NtoN2O*kgtoGg,"ERROR"))</f>
        <v>0.11845218382715161</v>
      </c>
      <c r="Q679" s="101">
        <f>IF('Net zero activities &amp; levers'!$C$9="Off",'Activity data'!AJ62*ManureNEF*NtoN2O*kgtoGg,IF('Net zero activities &amp; levers'!$C$9="On",(('Net zero supporting data'!H166*'Net zero supporting data'!H183)+('Net zero supporting data'!H178*ManureNEF))*NtoN2O*kgtoGg,"ERROR"))</f>
        <v>0.11743671165425351</v>
      </c>
      <c r="R679" s="101">
        <f>IF('Net zero activities &amp; levers'!$C$9="Off",'Activity data'!AK62*ManureNEF*NtoN2O*kgtoGg,IF('Net zero activities &amp; levers'!$C$9="On",(('Net zero supporting data'!I166*'Net zero supporting data'!I183)+('Net zero supporting data'!I178*ManureNEF))*NtoN2O*kgtoGg,"ERROR"))</f>
        <v>0.11430912679136991</v>
      </c>
      <c r="S679" s="101">
        <f>IF('Net zero activities &amp; levers'!$C$9="Off",'Activity data'!AL62*ManureNEF*NtoN2O*kgtoGg,IF('Net zero activities &amp; levers'!$C$9="On",(('Net zero supporting data'!J166*'Net zero supporting data'!J183)+('Net zero supporting data'!J178*ManureNEF))*NtoN2O*kgtoGg,"ERROR"))</f>
        <v>0.1019584522188007</v>
      </c>
      <c r="T679" s="101">
        <f>IF('Net zero activities &amp; levers'!$C$9="Off",'Activity data'!AM62*ManureNEF*NtoN2O*kgtoGg,IF('Net zero activities &amp; levers'!$C$9="On",(('Net zero supporting data'!K166*'Net zero supporting data'!K183)+('Net zero supporting data'!K178*ManureNEF))*NtoN2O*kgtoGg,"ERROR"))</f>
        <v>0.10230852145411048</v>
      </c>
      <c r="U679" s="101">
        <f>IF('Net zero activities &amp; levers'!$C$9="Off",'Activity data'!AN62*ManureNEF*NtoN2O*kgtoGg,IF('Net zero activities &amp; levers'!$C$9="On",(('Net zero supporting data'!L166*'Net zero supporting data'!L183)+('Net zero supporting data'!L178*ManureNEF))*NtoN2O*kgtoGg,"ERROR"))</f>
        <v>0.10144031759679779</v>
      </c>
      <c r="V679" s="101">
        <f>IF('Net zero activities &amp; levers'!$C$9="Off",'Activity data'!AO62*ManureNEF*NtoN2O*kgtoGg,IF('Net zero activities &amp; levers'!$C$9="On",(('Net zero supporting data'!M166*'Net zero supporting data'!M183)+('Net zero supporting data'!M178*ManureNEF))*NtoN2O*kgtoGg,"ERROR"))</f>
        <v>0.10027730043331955</v>
      </c>
      <c r="W679" s="101">
        <f>IF('Net zero activities &amp; levers'!$C$9="Off",'Activity data'!AP62*ManureNEF*NtoN2O*kgtoGg,IF('Net zero activities &amp; levers'!$C$9="On",(('Net zero supporting data'!N166*'Net zero supporting data'!N183)+('Net zero supporting data'!N178*ManureNEF))*NtoN2O*kgtoGg,"ERROR"))</f>
        <v>9.9454874803124316E-2</v>
      </c>
      <c r="X679" s="101">
        <f>IF('Net zero activities &amp; levers'!$C$9="Off",'Activity data'!AQ62*ManureNEF*NtoN2O*kgtoGg,IF('Net zero activities &amp; levers'!$C$9="On",(('Net zero supporting data'!O166*'Net zero supporting data'!O183)+('Net zero supporting data'!O178*ManureNEF))*NtoN2O*kgtoGg,"ERROR"))</f>
        <v>9.9849880826186788E-2</v>
      </c>
      <c r="Y679" s="101">
        <f>IF('Net zero activities &amp; levers'!$C$9="Off",'Activity data'!AR62*ManureNEF*NtoN2O*kgtoGg,IF('Net zero activities &amp; levers'!$C$9="On",(('Net zero supporting data'!P166*'Net zero supporting data'!P183)+('Net zero supporting data'!P178*ManureNEF))*NtoN2O*kgtoGg,"ERROR"))</f>
        <v>0.10043826588370476</v>
      </c>
      <c r="Z679" s="101">
        <f>IF('Net zero activities &amp; levers'!$C$9="Off",'Activity data'!AS62*ManureNEF*NtoN2O*kgtoGg,IF('Net zero activities &amp; levers'!$C$9="On",(('Net zero supporting data'!Q166*'Net zero supporting data'!Q183)+('Net zero supporting data'!Q178*ManureNEF))*NtoN2O*kgtoGg,"ERROR"))</f>
        <v>0.10117609469698761</v>
      </c>
      <c r="AA679" s="101">
        <f>IF('Net zero activities &amp; levers'!$C$9="Off",'Activity data'!AT62*ManureNEF*NtoN2O*kgtoGg,IF('Net zero activities &amp; levers'!$C$9="On",(('Net zero supporting data'!R166*'Net zero supporting data'!R183)+('Net zero supporting data'!R178*ManureNEF))*NtoN2O*kgtoGg,"ERROR"))</f>
        <v>0.10127081213370333</v>
      </c>
      <c r="AB679" s="101">
        <f>IF('Net zero activities &amp; levers'!$C$9="Off",'Activity data'!AU62*ManureNEF*NtoN2O*kgtoGg,IF('Net zero activities &amp; levers'!$C$9="On",(('Net zero supporting data'!S166*'Net zero supporting data'!S183)+('Net zero supporting data'!S178*ManureNEF))*NtoN2O*kgtoGg,"ERROR"))</f>
        <v>0.10174826234057152</v>
      </c>
      <c r="AC679" s="101">
        <f>IF('Net zero activities &amp; levers'!$C$9="Off",'Activity data'!AV62*ManureNEF*NtoN2O*kgtoGg,IF('Net zero activities &amp; levers'!$C$9="On",(('Net zero supporting data'!T166*'Net zero supporting data'!T183)+('Net zero supporting data'!T178*ManureNEF))*NtoN2O*kgtoGg,"ERROR"))</f>
        <v>0.10267968100629113</v>
      </c>
      <c r="AD679" s="101">
        <f>IF('Net zero activities &amp; levers'!$C$9="Off",'Activity data'!AW62*ManureNEF*NtoN2O*kgtoGg,IF('Net zero activities &amp; levers'!$C$9="On",(('Net zero supporting data'!U166*'Net zero supporting data'!U183)+('Net zero supporting data'!U178*ManureNEF))*NtoN2O*kgtoGg,"ERROR"))</f>
        <v>0.10333075888835387</v>
      </c>
      <c r="AE679" s="101">
        <f>IF('Net zero activities &amp; levers'!$C$9="Off",'Activity data'!AX62*ManureNEF*NtoN2O*kgtoGg,IF('Net zero activities &amp; levers'!$C$9="On",(('Net zero supporting data'!V166*'Net zero supporting data'!V183)+('Net zero supporting data'!V178*ManureNEF))*NtoN2O*kgtoGg,"ERROR"))</f>
        <v>0.10397191536833776</v>
      </c>
      <c r="AF679" s="101">
        <f>IF('Net zero activities &amp; levers'!$C$9="Off",'Activity data'!AY62*ManureNEF*NtoN2O*kgtoGg,IF('Net zero activities &amp; levers'!$C$9="On",(('Net zero supporting data'!W166*'Net zero supporting data'!W183)+('Net zero supporting data'!W178*ManureNEF))*NtoN2O*kgtoGg,"ERROR"))</f>
        <v>0.1045014594731439</v>
      </c>
      <c r="AG679" s="101">
        <f>IF('Net zero activities &amp; levers'!$C$9="Off",'Activity data'!AZ62*ManureNEF*NtoN2O*kgtoGg,IF('Net zero activities &amp; levers'!$C$9="On",(('Net zero supporting data'!X166*'Net zero supporting data'!X183)+('Net zero supporting data'!X178*ManureNEF))*NtoN2O*kgtoGg,"ERROR"))</f>
        <v>0.10529238124951219</v>
      </c>
      <c r="AH679" s="101">
        <f>IF('Net zero activities &amp; levers'!$C$9="Off",'Activity data'!BA62*ManureNEF*NtoN2O*kgtoGg,IF('Net zero activities &amp; levers'!$C$9="On",(('Net zero supporting data'!Y166*'Net zero supporting data'!Y183)+('Net zero supporting data'!Y178*ManureNEF))*NtoN2O*kgtoGg,"ERROR"))</f>
        <v>0.10535053051640038</v>
      </c>
      <c r="AI679" s="101">
        <f>IF('Net zero activities &amp; levers'!$C$9="Off",'Activity data'!BB62*ManureNEF*NtoN2O*kgtoGg,IF('Net zero activities &amp; levers'!$C$9="On",(('Net zero supporting data'!Z166*'Net zero supporting data'!Z183)+('Net zero supporting data'!Z178*ManureNEF))*NtoN2O*kgtoGg,"ERROR"))</f>
        <v>0.10546480892391727</v>
      </c>
      <c r="AJ679" s="101">
        <f>IF('Net zero activities &amp; levers'!$C$9="Off",'Activity data'!BC62*ManureNEF*NtoN2O*kgtoGg,IF('Net zero activities &amp; levers'!$C$9="On",(('Net zero supporting data'!AA166*'Net zero supporting data'!AA183)+('Net zero supporting data'!AA178*ManureNEF))*NtoN2O*kgtoGg,"ERROR"))</f>
        <v>0.10545198225795072</v>
      </c>
      <c r="AK679" s="101">
        <f>IF('Net zero activities &amp; levers'!$C$9="Off",'Activity data'!BD62*ManureNEF*NtoN2O*kgtoGg,IF('Net zero activities &amp; levers'!$C$9="On",(('Net zero supporting data'!AB166*'Net zero supporting data'!AB183)+('Net zero supporting data'!AB178*ManureNEF))*NtoN2O*kgtoGg,"ERROR"))</f>
        <v>0.10508086090802846</v>
      </c>
      <c r="AL679" s="101">
        <f>IF('Net zero activities &amp; levers'!$C$9="Off",'Activity data'!BE62*ManureNEF*NtoN2O*kgtoGg,IF('Net zero activities &amp; levers'!$C$9="On",(('Net zero supporting data'!AC166*'Net zero supporting data'!AC183)+('Net zero supporting data'!AC178*ManureNEF))*NtoN2O*kgtoGg,"ERROR"))</f>
        <v>0.10452555466976171</v>
      </c>
      <c r="AM679" s="101">
        <f>IF('Net zero activities &amp; levers'!$C$9="Off",'Activity data'!BF62*ManureNEF*NtoN2O*kgtoGg,IF('Net zero activities &amp; levers'!$C$9="On",(('Net zero supporting data'!AD166*'Net zero supporting data'!AD183)+('Net zero supporting data'!AD178*ManureNEF))*NtoN2O*kgtoGg,"ERROR"))</f>
        <v>0.10392273154872067</v>
      </c>
      <c r="AN679" s="101">
        <f>IF('Net zero activities &amp; levers'!$C$9="Off",'Activity data'!BG62*ManureNEF*NtoN2O*kgtoGg,IF('Net zero activities &amp; levers'!$C$9="On",(('Net zero supporting data'!AE166*'Net zero supporting data'!AE183)+('Net zero supporting data'!AE178*ManureNEF))*NtoN2O*kgtoGg,"ERROR"))</f>
        <v>0.10618269717174979</v>
      </c>
      <c r="AO679" s="101">
        <f>IF('Net zero activities &amp; levers'!$C$9="Off",'Activity data'!BH62*ManureNEF*NtoN2O*kgtoGg,IF('Net zero activities &amp; levers'!$C$9="On",(('Net zero supporting data'!AF166*'Net zero supporting data'!AF183)+('Net zero supporting data'!AF178*ManureNEF))*NtoN2O*kgtoGg,"ERROR"))</f>
        <v>0.1081679717903721</v>
      </c>
      <c r="AP679" s="101">
        <f>IF('Net zero activities &amp; levers'!$C$9="Off",'Activity data'!BI62*ManureNEF*NtoN2O*kgtoGg,IF('Net zero activities &amp; levers'!$C$9="On",(('Net zero supporting data'!AG166*'Net zero supporting data'!AG183)+('Net zero supporting data'!AG178*ManureNEF))*NtoN2O*kgtoGg,"ERROR"))</f>
        <v>0.11013830472342864</v>
      </c>
      <c r="AQ679" s="101">
        <f>IF('Net zero activities &amp; levers'!$C$9="Off",'Activity data'!BJ62*ManureNEF*NtoN2O*kgtoGg,IF('Net zero activities &amp; levers'!$C$9="On",(('Net zero supporting data'!AH166*'Net zero supporting data'!AH183)+('Net zero supporting data'!AH178*ManureNEF))*NtoN2O*kgtoGg,"ERROR"))</f>
        <v>0.11209896751033027</v>
      </c>
      <c r="AR679" s="101">
        <f>IF('Net zero activities &amp; levers'!$C$9="Off",'Activity data'!BK62*ManureNEF*NtoN2O*kgtoGg,IF('Net zero activities &amp; levers'!$C$9="On",(('Net zero supporting data'!AI166*'Net zero supporting data'!AI183)+('Net zero supporting data'!AI178*ManureNEF))*NtoN2O*kgtoGg,"ERROR"))</f>
        <v>0.11422402906431429</v>
      </c>
      <c r="AS679" s="101">
        <f>IF('Net zero activities &amp; levers'!$C$9="Off",'Activity data'!BL62*ManureNEF*NtoN2O*kgtoGg,IF('Net zero activities &amp; levers'!$C$9="On",(('Net zero supporting data'!AJ166*'Net zero supporting data'!AJ183)+('Net zero supporting data'!AJ178*ManureNEF))*NtoN2O*kgtoGg,"ERROR"))</f>
        <v>0.11637965050820141</v>
      </c>
      <c r="AT679" s="101">
        <f>IF('Net zero activities &amp; levers'!$C$9="Off",'Activity data'!BM62*ManureNEF*NtoN2O*kgtoGg,IF('Net zero activities &amp; levers'!$C$9="On",(('Net zero supporting data'!AK166*'Net zero supporting data'!AK183)+('Net zero supporting data'!AK178*ManureNEF))*NtoN2O*kgtoGg,"ERROR"))</f>
        <v>0.11687461538273351</v>
      </c>
      <c r="AU679" s="101">
        <f>IF('Net zero activities &amp; levers'!$C$9="Off",'Activity data'!BN62*ManureNEF*NtoN2O*kgtoGg,IF('Net zero activities &amp; levers'!$C$9="On",(('Net zero supporting data'!AL166*'Net zero supporting data'!AL183)+('Net zero supporting data'!AL178*ManureNEF))*NtoN2O*kgtoGg,"ERROR"))</f>
        <v>0.11723011054389379</v>
      </c>
      <c r="AV679" s="101">
        <f>IF('Net zero activities &amp; levers'!$C$9="Off",'Activity data'!BO62*ManureNEF*NtoN2O*kgtoGg,IF('Net zero activities &amp; levers'!$C$9="On",(('Net zero supporting data'!AM166*'Net zero supporting data'!AM183)+('Net zero supporting data'!AM178*ManureNEF))*NtoN2O*kgtoGg,"ERROR"))</f>
        <v>0.1177695759792432</v>
      </c>
      <c r="AW679" s="101">
        <f>IF('Net zero activities &amp; levers'!$C$9="Off",'Activity data'!BP62*ManureNEF*NtoN2O*kgtoGg,IF('Net zero activities &amp; levers'!$C$9="On",(('Net zero supporting data'!AN166*'Net zero supporting data'!AN183)+('Net zero supporting data'!AN178*ManureNEF))*NtoN2O*kgtoGg,"ERROR"))</f>
        <v>0.11818811337684365</v>
      </c>
      <c r="AY679" s="85"/>
      <c r="AZ679" s="85"/>
    </row>
    <row r="680" spans="1:52" x14ac:dyDescent="0.25">
      <c r="A680" s="102" t="str">
        <f t="shared" si="149"/>
        <v>NI Organic</v>
      </c>
      <c r="B680" s="102" t="s">
        <v>970</v>
      </c>
      <c r="C680" s="102" t="s">
        <v>1128</v>
      </c>
      <c r="D680" t="s">
        <v>369</v>
      </c>
      <c r="E680" t="s">
        <v>55</v>
      </c>
      <c r="F680" t="s">
        <v>421</v>
      </c>
      <c r="G680" t="s">
        <v>1179</v>
      </c>
      <c r="H680" t="s">
        <v>1180</v>
      </c>
      <c r="I680" t="s">
        <v>139</v>
      </c>
      <c r="J680" t="s">
        <v>287</v>
      </c>
      <c r="K680" s="22">
        <f>K1479</f>
        <v>3.1744662482237319E-2</v>
      </c>
      <c r="L680" s="22">
        <f t="shared" ref="L680:AW680" si="150">L1479</f>
        <v>3.1688557473869519E-2</v>
      </c>
      <c r="M680" s="22">
        <f t="shared" si="150"/>
        <v>3.151076808620442E-2</v>
      </c>
      <c r="N680" s="22">
        <f t="shared" si="150"/>
        <v>3.0815442696959246E-2</v>
      </c>
      <c r="O680" s="22">
        <f t="shared" si="150"/>
        <v>3.0157900142902292E-2</v>
      </c>
      <c r="P680" s="22">
        <f t="shared" si="150"/>
        <v>3.0051771374524052E-2</v>
      </c>
      <c r="Q680" s="22">
        <f t="shared" si="150"/>
        <v>2.9794142206440031E-2</v>
      </c>
      <c r="R680" s="22">
        <f t="shared" si="150"/>
        <v>2.9000661983306687E-2</v>
      </c>
      <c r="S680" s="22">
        <f t="shared" si="150"/>
        <v>2.5867248680284741E-2</v>
      </c>
      <c r="T680" s="22">
        <f t="shared" si="150"/>
        <v>2.6423669041293948E-2</v>
      </c>
      <c r="U680" s="22">
        <f t="shared" si="150"/>
        <v>2.6679890555251589E-2</v>
      </c>
      <c r="V680" s="22">
        <f t="shared" si="150"/>
        <v>2.6866498846467711E-2</v>
      </c>
      <c r="W680" s="22">
        <f t="shared" si="150"/>
        <v>2.7152992856034661E-2</v>
      </c>
      <c r="X680" s="22">
        <f t="shared" si="150"/>
        <v>2.7789209555749587E-2</v>
      </c>
      <c r="Y680" s="22">
        <f t="shared" si="150"/>
        <v>2.8505236005979432E-2</v>
      </c>
      <c r="Z680" s="22">
        <f t="shared" si="150"/>
        <v>2.9293160383949742E-2</v>
      </c>
      <c r="AA680" s="22">
        <f t="shared" si="150"/>
        <v>2.9923216407624114E-2</v>
      </c>
      <c r="AB680" s="22">
        <f t="shared" si="150"/>
        <v>3.0694921726191319E-2</v>
      </c>
      <c r="AC680" s="22">
        <f t="shared" si="150"/>
        <v>3.1639311565984256E-2</v>
      </c>
      <c r="AD680" s="22">
        <f t="shared" si="150"/>
        <v>3.2533221465171916E-2</v>
      </c>
      <c r="AE680" s="22">
        <f t="shared" si="150"/>
        <v>3.3463584404938677E-2</v>
      </c>
      <c r="AF680" s="22">
        <f t="shared" si="150"/>
        <v>3.4399402550505692E-2</v>
      </c>
      <c r="AG680" s="22">
        <f t="shared" si="150"/>
        <v>3.5466681899830918E-2</v>
      </c>
      <c r="AH680" s="22">
        <f t="shared" si="150"/>
        <v>3.633195789179533E-2</v>
      </c>
      <c r="AI680" s="22">
        <f t="shared" si="150"/>
        <v>3.7259130358685527E-2</v>
      </c>
      <c r="AJ680" s="22">
        <f t="shared" si="150"/>
        <v>3.8186477998902742E-2</v>
      </c>
      <c r="AK680" s="22">
        <f t="shared" si="150"/>
        <v>3.9028133794178674E-2</v>
      </c>
      <c r="AL680" s="22">
        <f t="shared" si="150"/>
        <v>3.984368507650337E-2</v>
      </c>
      <c r="AM680" s="22">
        <f t="shared" si="150"/>
        <v>4.0684505589613319E-2</v>
      </c>
      <c r="AN680" s="22">
        <f t="shared" si="150"/>
        <v>4.1573424934408458E-2</v>
      </c>
      <c r="AO680" s="22">
        <f t="shared" si="150"/>
        <v>4.2354962816560815E-2</v>
      </c>
      <c r="AP680" s="22">
        <f t="shared" si="150"/>
        <v>4.3130806272087305E-2</v>
      </c>
      <c r="AQ680" s="22">
        <f t="shared" si="150"/>
        <v>4.3903018159732181E-2</v>
      </c>
      <c r="AR680" s="22">
        <f t="shared" si="150"/>
        <v>4.4739777474988543E-2</v>
      </c>
      <c r="AS680" s="22">
        <f t="shared" si="150"/>
        <v>4.5588675782122633E-2</v>
      </c>
      <c r="AT680" s="22">
        <f t="shared" si="150"/>
        <v>4.5787160549198715E-2</v>
      </c>
      <c r="AU680" s="22">
        <f t="shared" si="150"/>
        <v>4.5931040593928836E-2</v>
      </c>
      <c r="AV680" s="22">
        <f t="shared" si="150"/>
        <v>4.6147036761540416E-2</v>
      </c>
      <c r="AW680" s="22">
        <f t="shared" si="150"/>
        <v>4.6315686890432001E-2</v>
      </c>
      <c r="AY680" s="85"/>
      <c r="AZ680" s="85"/>
    </row>
    <row r="681" spans="1:52" x14ac:dyDescent="0.25">
      <c r="A681" s="102" t="str">
        <f t="shared" si="149"/>
        <v>NI Organic</v>
      </c>
      <c r="B681" s="102" t="s">
        <v>970</v>
      </c>
      <c r="C681" s="102" t="s">
        <v>1128</v>
      </c>
      <c r="D681" t="s">
        <v>369</v>
      </c>
      <c r="E681" t="s">
        <v>55</v>
      </c>
      <c r="F681" t="s">
        <v>421</v>
      </c>
      <c r="G681" t="s">
        <v>1181</v>
      </c>
      <c r="H681" t="s">
        <v>1182</v>
      </c>
      <c r="I681" t="s">
        <v>139</v>
      </c>
      <c r="J681" t="s">
        <v>287</v>
      </c>
      <c r="K681" s="101">
        <f>IF('Net zero activities &amp; levers'!$C$9="Off",'Activity data'!AD64*ManureNEF*NtoN2O*kgtoGg,IF('Net zero activities &amp; levers'!$C$9="On",(('Net zero supporting data'!B167*'Net zero supporting data'!B183)+('Net zero supporting data'!B179*ManureNEF))*NtoN2O*kgtoGg,"ERROR"))</f>
        <v>0.1574619566019842</v>
      </c>
      <c r="L681" s="101">
        <f>IF('Net zero activities &amp; levers'!$C$9="Off",'Activity data'!AE64*ManureNEF*NtoN2O*kgtoGg,IF('Net zero activities &amp; levers'!$C$9="On",(('Net zero supporting data'!C167*'Net zero supporting data'!C183)+('Net zero supporting data'!C179*ManureNEF))*NtoN2O*kgtoGg,"ERROR"))</f>
        <v>0.16100119532971174</v>
      </c>
      <c r="M681" s="101">
        <f>IF('Net zero activities &amp; levers'!$C$9="Off",'Activity data'!AF64*ManureNEF*NtoN2O*kgtoGg,IF('Net zero activities &amp; levers'!$C$9="On",(('Net zero supporting data'!D167*'Net zero supporting data'!D183)+('Net zero supporting data'!D179*ManureNEF))*NtoN2O*kgtoGg,"ERROR"))</f>
        <v>0.16420239799096348</v>
      </c>
      <c r="N681" s="101">
        <f>IF('Net zero activities &amp; levers'!$C$9="Off",'Activity data'!AG64*ManureNEF*NtoN2O*kgtoGg,IF('Net zero activities &amp; levers'!$C$9="On",(('Net zero supporting data'!E167*'Net zero supporting data'!E183)+('Net zero supporting data'!E179*ManureNEF))*NtoN2O*kgtoGg,"ERROR"))</f>
        <v>0.16585503975435448</v>
      </c>
      <c r="O681" s="101">
        <f>IF('Net zero activities &amp; levers'!$C$9="Off",'Activity data'!AH64*ManureNEF*NtoN2O*kgtoGg,IF('Net zero activities &amp; levers'!$C$9="On",(('Net zero supporting data'!F167*'Net zero supporting data'!F183)+('Net zero supporting data'!F179*ManureNEF))*NtoN2O*kgtoGg,"ERROR"))</f>
        <v>0.16755324219146345</v>
      </c>
      <c r="P681" s="101">
        <f>IF('Net zero activities &amp; levers'!$C$9="Off",'Activity data'!AI64*ManureNEF*NtoN2O*kgtoGg,IF('Net zero activities &amp; levers'!$C$9="On",(('Net zero supporting data'!G167*'Net zero supporting data'!G183)+('Net zero supporting data'!G179*ManureNEF))*NtoN2O*kgtoGg,"ERROR"))</f>
        <v>0.1709343585165998</v>
      </c>
      <c r="Q681" s="101">
        <f>IF('Net zero activities &amp; levers'!$C$9="Off",'Activity data'!AJ64*ManureNEF*NtoN2O*kgtoGg,IF('Net zero activities &amp; levers'!$C$9="On",(('Net zero supporting data'!H167*'Net zero supporting data'!H183)+('Net zero supporting data'!H179*ManureNEF))*NtoN2O*kgtoGg,"ERROR"))</f>
        <v>0.17382552357996145</v>
      </c>
      <c r="R681" s="101">
        <f>IF('Net zero activities &amp; levers'!$C$9="Off",'Activity data'!AK64*ManureNEF*NtoN2O*kgtoGg,IF('Net zero activities &amp; levers'!$C$9="On",(('Net zero supporting data'!I167*'Net zero supporting data'!I183)+('Net zero supporting data'!I179*ManureNEF))*NtoN2O*kgtoGg,"ERROR"))</f>
        <v>0.17492293808026785</v>
      </c>
      <c r="S681" s="101">
        <f>IF('Net zero activities &amp; levers'!$C$9="Off",'Activity data'!AL64*ManureNEF*NtoN2O*kgtoGg,IF('Net zero activities &amp; levers'!$C$9="On",(('Net zero supporting data'!J167*'Net zero supporting data'!J183)+('Net zero supporting data'!J179*ManureNEF))*NtoN2O*kgtoGg,"ERROR"))</f>
        <v>0.16797595240358967</v>
      </c>
      <c r="T681" s="101">
        <f>IF('Net zero activities &amp; levers'!$C$9="Off",'Activity data'!AM64*ManureNEF*NtoN2O*kgtoGg,IF('Net zero activities &amp; levers'!$C$9="On",(('Net zero supporting data'!K167*'Net zero supporting data'!K183)+('Net zero supporting data'!K179*ManureNEF))*NtoN2O*kgtoGg,"ERROR"))</f>
        <v>0.16994786607250364</v>
      </c>
      <c r="U681" s="101">
        <f>IF('Net zero activities &amp; levers'!$C$9="Off",'Activity data'!AN64*ManureNEF*NtoN2O*kgtoGg,IF('Net zero activities &amp; levers'!$C$9="On",(('Net zero supporting data'!L167*'Net zero supporting data'!L183)+('Net zero supporting data'!L179*ManureNEF))*NtoN2O*kgtoGg,"ERROR"))</f>
        <v>0.17081960053609832</v>
      </c>
      <c r="V681" s="101">
        <f>IF('Net zero activities &amp; levers'!$C$9="Off",'Activity data'!AO64*ManureNEF*NtoN2O*kgtoGg,IF('Net zero activities &amp; levers'!$C$9="On",(('Net zero supporting data'!M167*'Net zero supporting data'!M183)+('Net zero supporting data'!M179*ManureNEF))*NtoN2O*kgtoGg,"ERROR"))</f>
        <v>0.17136978385523424</v>
      </c>
      <c r="W681" s="101">
        <f>IF('Net zero activities &amp; levers'!$C$9="Off",'Activity data'!AP64*ManureNEF*NtoN2O*kgtoGg,IF('Net zero activities &amp; levers'!$C$9="On",(('Net zero supporting data'!N167*'Net zero supporting data'!N183)+('Net zero supporting data'!N179*ManureNEF))*NtoN2O*kgtoGg,"ERROR"))</f>
        <v>0.17218045037495194</v>
      </c>
      <c r="X681" s="101">
        <f>IF('Net zero activities &amp; levers'!$C$9="Off",'Activity data'!AQ64*ManureNEF*NtoN2O*kgtoGg,IF('Net zero activities &amp; levers'!$C$9="On",(('Net zero supporting data'!O167*'Net zero supporting data'!O183)+('Net zero supporting data'!O179*ManureNEF))*NtoN2O*kgtoGg,"ERROR"))</f>
        <v>0.17411871137320528</v>
      </c>
      <c r="Y681" s="101">
        <f>IF('Net zero activities &amp; levers'!$C$9="Off",'Activity data'!AR64*ManureNEF*NtoN2O*kgtoGg,IF('Net zero activities &amp; levers'!$C$9="On",(('Net zero supporting data'!P167*'Net zero supporting data'!P183)+('Net zero supporting data'!P179*ManureNEF))*NtoN2O*kgtoGg,"ERROR"))</f>
        <v>0.17611387228903255</v>
      </c>
      <c r="Z681" s="101">
        <f>IF('Net zero activities &amp; levers'!$C$9="Off",'Activity data'!AS64*ManureNEF*NtoN2O*kgtoGg,IF('Net zero activities &amp; levers'!$C$9="On",(('Net zero supporting data'!Q167*'Net zero supporting data'!Q183)+('Net zero supporting data'!Q179*ManureNEF))*NtoN2O*kgtoGg,"ERROR"))</f>
        <v>0.17827662095304544</v>
      </c>
      <c r="AA681" s="101">
        <f>IF('Net zero activities &amp; levers'!$C$9="Off",'Activity data'!AT64*ManureNEF*NtoN2O*kgtoGg,IF('Net zero activities &amp; levers'!$C$9="On",(('Net zero supporting data'!R167*'Net zero supporting data'!R183)+('Net zero supporting data'!R179*ManureNEF))*NtoN2O*kgtoGg,"ERROR"))</f>
        <v>0.17980367941686254</v>
      </c>
      <c r="AB681" s="101">
        <f>IF('Net zero activities &amp; levers'!$C$9="Off",'Activity data'!AU64*ManureNEF*NtoN2O*kgtoGg,IF('Net zero activities &amp; levers'!$C$9="On",(('Net zero supporting data'!S167*'Net zero supporting data'!S183)+('Net zero supporting data'!S179*ManureNEF))*NtoN2O*kgtoGg,"ERROR"))</f>
        <v>0.18173086876747352</v>
      </c>
      <c r="AC681" s="101">
        <f>IF('Net zero activities &amp; levers'!$C$9="Off",'Activity data'!AV64*ManureNEF*NtoN2O*kgtoGg,IF('Net zero activities &amp; levers'!$C$9="On",(('Net zero supporting data'!T167*'Net zero supporting data'!T183)+('Net zero supporting data'!T179*ManureNEF))*NtoN2O*kgtoGg,"ERROR"))</f>
        <v>0.18416030665729274</v>
      </c>
      <c r="AD681" s="101">
        <f>IF('Net zero activities &amp; levers'!$C$9="Off",'Activity data'!AW64*ManureNEF*NtoN2O*kgtoGg,IF('Net zero activities &amp; levers'!$C$9="On",(('Net zero supporting data'!U167*'Net zero supporting data'!U183)+('Net zero supporting data'!U179*ManureNEF))*NtoN2O*kgtoGg,"ERROR"))</f>
        <v>0.18620606418661453</v>
      </c>
      <c r="AE681" s="101">
        <f>IF('Net zero activities &amp; levers'!$C$9="Off",'Activity data'!AX64*ManureNEF*NtoN2O*kgtoGg,IF('Net zero activities &amp; levers'!$C$9="On",(('Net zero supporting data'!V167*'Net zero supporting data'!V183)+('Net zero supporting data'!V179*ManureNEF))*NtoN2O*kgtoGg,"ERROR"))</f>
        <v>0.18826943842588684</v>
      </c>
      <c r="AF681" s="101">
        <f>IF('Net zero activities &amp; levers'!$C$9="Off",'Activity data'!AY64*ManureNEF*NtoN2O*kgtoGg,IF('Net zero activities &amp; levers'!$C$9="On",(('Net zero supporting data'!W167*'Net zero supporting data'!W183)+('Net zero supporting data'!W179*ManureNEF))*NtoN2O*kgtoGg,"ERROR"))</f>
        <v>0.19023570153477493</v>
      </c>
      <c r="AG681" s="101">
        <f>IF('Net zero activities &amp; levers'!$C$9="Off",'Activity data'!AZ64*ManureNEF*NtoN2O*kgtoGg,IF('Net zero activities &amp; levers'!$C$9="On",(('Net zero supporting data'!X167*'Net zero supporting data'!X183)+('Net zero supporting data'!X179*ManureNEF))*NtoN2O*kgtoGg,"ERROR"))</f>
        <v>0.1925310450556845</v>
      </c>
      <c r="AH681" s="101">
        <f>IF('Net zero activities &amp; levers'!$C$9="Off",'Activity data'!BA64*ManureNEF*NtoN2O*kgtoGg,IF('Net zero activities &amp; levers'!$C$9="On",(('Net zero supporting data'!Y167*'Net zero supporting data'!Y183)+('Net zero supporting data'!Y179*ManureNEF))*NtoN2O*kgtoGg,"ERROR"))</f>
        <v>0.19400011852806173</v>
      </c>
      <c r="AI681" s="101">
        <f>IF('Net zero activities &amp; levers'!$C$9="Off",'Activity data'!BB64*ManureNEF*NtoN2O*kgtoGg,IF('Net zero activities &amp; levers'!$C$9="On",(('Net zero supporting data'!Z167*'Net zero supporting data'!Z183)+('Net zero supporting data'!Z179*ManureNEF))*NtoN2O*kgtoGg,"ERROR"))</f>
        <v>0.19545510744708311</v>
      </c>
      <c r="AJ681" s="101">
        <f>IF('Net zero activities &amp; levers'!$C$9="Off",'Activity data'!BC64*ManureNEF*NtoN2O*kgtoGg,IF('Net zero activities &amp; levers'!$C$9="On",(('Net zero supporting data'!AA167*'Net zero supporting data'!AA183)+('Net zero supporting data'!AA179*ManureNEF))*NtoN2O*kgtoGg,"ERROR"))</f>
        <v>0.19676814821560892</v>
      </c>
      <c r="AK681" s="101">
        <f>IF('Net zero activities &amp; levers'!$C$9="Off",'Activity data'!BD64*ManureNEF*NtoN2O*kgtoGg,IF('Net zero activities &amp; levers'!$C$9="On",(('Net zero supporting data'!AB167*'Net zero supporting data'!AB183)+('Net zero supporting data'!AB179*ManureNEF))*NtoN2O*kgtoGg,"ERROR"))</f>
        <v>0.19764211435013199</v>
      </c>
      <c r="AL681" s="101">
        <f>IF('Net zero activities &amp; levers'!$C$9="Off",'Activity data'!BE64*ManureNEF*NtoN2O*kgtoGg,IF('Net zero activities &amp; levers'!$C$9="On",(('Net zero supporting data'!AC167*'Net zero supporting data'!AC183)+('Net zero supporting data'!AC179*ManureNEF))*NtoN2O*kgtoGg,"ERROR"))</f>
        <v>0.19827447091905867</v>
      </c>
      <c r="AM681" s="101">
        <f>IF('Net zero activities &amp; levers'!$C$9="Off",'Activity data'!BF64*ManureNEF*NtoN2O*kgtoGg,IF('Net zero activities &amp; levers'!$C$9="On",(('Net zero supporting data'!AD167*'Net zero supporting data'!AD183)+('Net zero supporting data'!AD179*ManureNEF))*NtoN2O*kgtoGg,"ERROR"))</f>
        <v>0.19883023875143047</v>
      </c>
      <c r="AN681" s="101">
        <f>IF('Net zero activities &amp; levers'!$C$9="Off",'Activity data'!BG64*ManureNEF*NtoN2O*kgtoGg,IF('Net zero activities &amp; levers'!$C$9="On",(('Net zero supporting data'!AE167*'Net zero supporting data'!AE183)+('Net zero supporting data'!AE179*ManureNEF))*NtoN2O*kgtoGg,"ERROR"))</f>
        <v>0.20481467012466203</v>
      </c>
      <c r="AO681" s="101">
        <f>IF('Net zero activities &amp; levers'!$C$9="Off",'Activity data'!BH64*ManureNEF*NtoN2O*kgtoGg,IF('Net zero activities &amp; levers'!$C$9="On",(('Net zero supporting data'!AF167*'Net zero supporting data'!AF183)+('Net zero supporting data'!AF179*ManureNEF))*NtoN2O*kgtoGg,"ERROR"))</f>
        <v>0.21058200885958345</v>
      </c>
      <c r="AP681" s="101">
        <f>IF('Net zero activities &amp; levers'!$C$9="Off",'Activity data'!BI64*ManureNEF*NtoN2O*kgtoGg,IF('Net zero activities &amp; levers'!$C$9="On",(('Net zero supporting data'!AG167*'Net zero supporting data'!AG183)+('Net zero supporting data'!AG179*ManureNEF))*NtoN2O*kgtoGg,"ERROR"))</f>
        <v>0.21647255776471624</v>
      </c>
      <c r="AQ681" s="101">
        <f>IF('Net zero activities &amp; levers'!$C$9="Off",'Activity data'!BJ64*ManureNEF*NtoN2O*kgtoGg,IF('Net zero activities &amp; levers'!$C$9="On",(('Net zero supporting data'!AH167*'Net zero supporting data'!AH183)+('Net zero supporting data'!AH179*ManureNEF))*NtoN2O*kgtoGg,"ERROR"))</f>
        <v>0.22249648343392708</v>
      </c>
      <c r="AR681" s="101">
        <f>IF('Net zero activities &amp; levers'!$C$9="Off",'Activity data'!BK64*ManureNEF*NtoN2O*kgtoGg,IF('Net zero activities &amp; levers'!$C$9="On",(('Net zero supporting data'!AI167*'Net zero supporting data'!AI183)+('Net zero supporting data'!AI179*ManureNEF))*NtoN2O*kgtoGg,"ERROR"))</f>
        <v>0.2289054960983678</v>
      </c>
      <c r="AS681" s="101">
        <f>IF('Net zero activities &amp; levers'!$C$9="Off",'Activity data'!BL64*ManureNEF*NtoN2O*kgtoGg,IF('Net zero activities &amp; levers'!$C$9="On",(('Net zero supporting data'!AJ167*'Net zero supporting data'!AJ183)+('Net zero supporting data'!AJ179*ManureNEF))*NtoN2O*kgtoGg,"ERROR"))</f>
        <v>0.23544389816985117</v>
      </c>
      <c r="AT681" s="101">
        <f>IF('Net zero activities &amp; levers'!$C$9="Off",'Activity data'!BM64*ManureNEF*NtoN2O*kgtoGg,IF('Net zero activities &amp; levers'!$C$9="On",(('Net zero supporting data'!AK167*'Net zero supporting data'!AK183)+('Net zero supporting data'!AK179*ManureNEF))*NtoN2O*kgtoGg,"ERROR"))</f>
        <v>0.23969233186307437</v>
      </c>
      <c r="AU681" s="101">
        <f>IF('Net zero activities &amp; levers'!$C$9="Off",'Activity data'!BN64*ManureNEF*NtoN2O*kgtoGg,IF('Net zero activities &amp; levers'!$C$9="On",(('Net zero supporting data'!AL167*'Net zero supporting data'!AL183)+('Net zero supporting data'!AL179*ManureNEF))*NtoN2O*kgtoGg,"ERROR"))</f>
        <v>0.24381274334411099</v>
      </c>
      <c r="AV681" s="101">
        <f>IF('Net zero activities &amp; levers'!$C$9="Off",'Activity data'!BO64*ManureNEF*NtoN2O*kgtoGg,IF('Net zero activities &amp; levers'!$C$9="On",(('Net zero supporting data'!AM167*'Net zero supporting data'!AM183)+('Net zero supporting data'!AM179*ManureNEF))*NtoN2O*kgtoGg,"ERROR"))</f>
        <v>0.24829298574737718</v>
      </c>
      <c r="AW681" s="101">
        <f>IF('Net zero activities &amp; levers'!$C$9="Off",'Activity data'!BP64*ManureNEF*NtoN2O*kgtoGg,IF('Net zero activities &amp; levers'!$C$9="On",(('Net zero supporting data'!AN167*'Net zero supporting data'!AN183)+('Net zero supporting data'!AN179*ManureNEF))*NtoN2O*kgtoGg,"ERROR"))</f>
        <v>0.25267431965677106</v>
      </c>
      <c r="AY681" s="85"/>
      <c r="AZ681" s="85"/>
    </row>
    <row r="682" spans="1:52" x14ac:dyDescent="0.25">
      <c r="A682" s="102" t="str">
        <f t="shared" si="149"/>
        <v>NI Organic</v>
      </c>
      <c r="B682" s="102" t="s">
        <v>970</v>
      </c>
      <c r="C682" s="102" t="s">
        <v>1128</v>
      </c>
      <c r="D682" t="s">
        <v>369</v>
      </c>
      <c r="E682" t="s">
        <v>55</v>
      </c>
      <c r="F682" t="s">
        <v>421</v>
      </c>
      <c r="G682" t="s">
        <v>1183</v>
      </c>
      <c r="H682" t="s">
        <v>1184</v>
      </c>
      <c r="I682" t="s">
        <v>139</v>
      </c>
      <c r="J682" t="s">
        <v>287</v>
      </c>
      <c r="K682" s="101">
        <f>IF('Net zero activities &amp; levers'!$C$9="Off",'Activity data'!AD65*ManureNEF*NtoN2O*kgtoGg,IF('Net zero activities &amp; levers'!$C$9="On",(('Net zero supporting data'!B168*'Net zero supporting data'!B183)+('Net zero supporting data'!B180*ManureNEF))*NtoN2O*kgtoGg,"ERROR"))</f>
        <v>0.79145317534147697</v>
      </c>
      <c r="L682" s="101">
        <f>IF('Net zero activities &amp; levers'!$C$9="Off",'Activity data'!AE65*ManureNEF*NtoN2O*kgtoGg,IF('Net zero activities &amp; levers'!$C$9="On",(('Net zero supporting data'!C168*'Net zero supporting data'!C183)+('Net zero supporting data'!C180*ManureNEF))*NtoN2O*kgtoGg,"ERROR"))</f>
        <v>0.80614249446586472</v>
      </c>
      <c r="M682" s="101">
        <f>IF('Net zero activities &amp; levers'!$C$9="Off",'Activity data'!AF65*ManureNEF*NtoN2O*kgtoGg,IF('Net zero activities &amp; levers'!$C$9="On",(('Net zero supporting data'!D168*'Net zero supporting data'!D183)+('Net zero supporting data'!D180*ManureNEF))*NtoN2O*kgtoGg,"ERROR"))</f>
        <v>0.81576351649757217</v>
      </c>
      <c r="N682" s="101">
        <f>IF('Net zero activities &amp; levers'!$C$9="Off",'Activity data'!AG65*ManureNEF*NtoN2O*kgtoGg,IF('Net zero activities &amp; levers'!$C$9="On",(('Net zero supporting data'!E168*'Net zero supporting data'!E183)+('Net zero supporting data'!E180*ManureNEF))*NtoN2O*kgtoGg,"ERROR"))</f>
        <v>0.8051815142548906</v>
      </c>
      <c r="O682" s="101">
        <f>IF('Net zero activities &amp; levers'!$C$9="Off",'Activity data'!AH65*ManureNEF*NtoN2O*kgtoGg,IF('Net zero activities &amp; levers'!$C$9="On",(('Net zero supporting data'!F168*'Net zero supporting data'!F183)+('Net zero supporting data'!F180*ManureNEF))*NtoN2O*kgtoGg,"ERROR"))</f>
        <v>0.79491912717906921</v>
      </c>
      <c r="P682" s="101">
        <f>IF('Net zero activities &amp; levers'!$C$9="Off",'Activity data'!AI65*ManureNEF*NtoN2O*kgtoGg,IF('Net zero activities &amp; levers'!$C$9="On",(('Net zero supporting data'!G168*'Net zero supporting data'!G183)+('Net zero supporting data'!G180*ManureNEF))*NtoN2O*kgtoGg,"ERROR"))</f>
        <v>0.8050882404927846</v>
      </c>
      <c r="Q682" s="101">
        <f>IF('Net zero activities &amp; levers'!$C$9="Off",'Activity data'!AJ65*ManureNEF*NtoN2O*kgtoGg,IF('Net zero activities &amp; levers'!$C$9="On",(('Net zero supporting data'!H168*'Net zero supporting data'!H183)+('Net zero supporting data'!H180*ManureNEF))*NtoN2O*kgtoGg,"ERROR"))</f>
        <v>0.80900668851215218</v>
      </c>
      <c r="R682" s="101">
        <f>IF('Net zero activities &amp; levers'!$C$9="Off",'Activity data'!AK65*ManureNEF*NtoN2O*kgtoGg,IF('Net zero activities &amp; levers'!$C$9="On",(('Net zero supporting data'!I168*'Net zero supporting data'!I183)+('Net zero supporting data'!I180*ManureNEF))*NtoN2O*kgtoGg,"ERROR"))</f>
        <v>0.79104206342465233</v>
      </c>
      <c r="S682" s="101">
        <f>IF('Net zero activities &amp; levers'!$C$9="Off",'Activity data'!AL65*ManureNEF*NtoN2O*kgtoGg,IF('Net zero activities &amp; levers'!$C$9="On",(('Net zero supporting data'!J168*'Net zero supporting data'!J183)+('Net zero supporting data'!J180*ManureNEF))*NtoN2O*kgtoGg,"ERROR"))</f>
        <v>0.67708002243474696</v>
      </c>
      <c r="T682" s="101">
        <f>IF('Net zero activities &amp; levers'!$C$9="Off",'Activity data'!AM65*ManureNEF*NtoN2O*kgtoGg,IF('Net zero activities &amp; levers'!$C$9="On",(('Net zero supporting data'!K168*'Net zero supporting data'!K183)+('Net zero supporting data'!K180*ManureNEF))*NtoN2O*kgtoGg,"ERROR"))</f>
        <v>0.70064733672897017</v>
      </c>
      <c r="U682" s="101">
        <f>IF('Net zero activities &amp; levers'!$C$9="Off",'Activity data'!AN65*ManureNEF*NtoN2O*kgtoGg,IF('Net zero activities &amp; levers'!$C$9="On",(('Net zero supporting data'!L168*'Net zero supporting data'!L183)+('Net zero supporting data'!L180*ManureNEF))*NtoN2O*kgtoGg,"ERROR"))</f>
        <v>0.7114006798463276</v>
      </c>
      <c r="V682" s="101">
        <f>IF('Net zero activities &amp; levers'!$C$9="Off",'Activity data'!AO65*ManureNEF*NtoN2O*kgtoGg,IF('Net zero activities &amp; levers'!$C$9="On",(('Net zero supporting data'!M168*'Net zero supporting data'!M183)+('Net zero supporting data'!M180*ManureNEF))*NtoN2O*kgtoGg,"ERROR"))</f>
        <v>0.71875266670193549</v>
      </c>
      <c r="W682" s="101">
        <f>IF('Net zero activities &amp; levers'!$C$9="Off",'Activity data'!AP65*ManureNEF*NtoN2O*kgtoGg,IF('Net zero activities &amp; levers'!$C$9="On",(('Net zero supporting data'!N168*'Net zero supporting data'!N183)+('Net zero supporting data'!N180*ManureNEF))*NtoN2O*kgtoGg,"ERROR"))</f>
        <v>0.72950286834724243</v>
      </c>
      <c r="X682" s="101">
        <f>IF('Net zero activities &amp; levers'!$C$9="Off",'Activity data'!AQ65*ManureNEF*NtoN2O*kgtoGg,IF('Net zero activities &amp; levers'!$C$9="On",(('Net zero supporting data'!O168*'Net zero supporting data'!O183)+('Net zero supporting data'!O180*ManureNEF))*NtoN2O*kgtoGg,"ERROR"))</f>
        <v>0.75346815811651924</v>
      </c>
      <c r="Y682" s="101">
        <f>IF('Net zero activities &amp; levers'!$C$9="Off",'Activity data'!AR65*ManureNEF*NtoN2O*kgtoGg,IF('Net zero activities &amp; levers'!$C$9="On",(('Net zero supporting data'!P168*'Net zero supporting data'!P183)+('Net zero supporting data'!P180*ManureNEF))*NtoN2O*kgtoGg,"ERROR"))</f>
        <v>0.7803654176476742</v>
      </c>
      <c r="Z682" s="101">
        <f>IF('Net zero activities &amp; levers'!$C$9="Off",'Activity data'!AS65*ManureNEF*NtoN2O*kgtoGg,IF('Net zero activities &amp; levers'!$C$9="On",(('Net zero supporting data'!Q168*'Net zero supporting data'!Q183)+('Net zero supporting data'!Q180*ManureNEF))*NtoN2O*kgtoGg,"ERROR"))</f>
        <v>0.80918731170054303</v>
      </c>
      <c r="AA682" s="101">
        <f>IF('Net zero activities &amp; levers'!$C$9="Off",'Activity data'!AT65*ManureNEF*NtoN2O*kgtoGg,IF('Net zero activities &amp; levers'!$C$9="On",(('Net zero supporting data'!R168*'Net zero supporting data'!R183)+('Net zero supporting data'!R180*ManureNEF))*NtoN2O*kgtoGg,"ERROR"))</f>
        <v>0.83094961396722777</v>
      </c>
      <c r="AB682" s="101">
        <f>IF('Net zero activities &amp; levers'!$C$9="Off",'Activity data'!AU65*ManureNEF*NtoN2O*kgtoGg,IF('Net zero activities &amp; levers'!$C$9="On",(('Net zero supporting data'!S168*'Net zero supporting data'!S183)+('Net zero supporting data'!S180*ManureNEF))*NtoN2O*kgtoGg,"ERROR"))</f>
        <v>0.85727802616332027</v>
      </c>
      <c r="AC682" s="101">
        <f>IF('Net zero activities &amp; levers'!$C$9="Off",'Activity data'!AV65*ManureNEF*NtoN2O*kgtoGg,IF('Net zero activities &amp; levers'!$C$9="On",(('Net zero supporting data'!T168*'Net zero supporting data'!T183)+('Net zero supporting data'!T180*ManureNEF))*NtoN2O*kgtoGg,"ERROR"))</f>
        <v>0.88919632226137035</v>
      </c>
      <c r="AD682" s="101">
        <f>IF('Net zero activities &amp; levers'!$C$9="Off",'Activity data'!AW65*ManureNEF*NtoN2O*kgtoGg,IF('Net zero activities &amp; levers'!$C$9="On",(('Net zero supporting data'!U168*'Net zero supporting data'!U183)+('Net zero supporting data'!U180*ManureNEF))*NtoN2O*kgtoGg,"ERROR"))</f>
        <v>0.9185908377211861</v>
      </c>
      <c r="AE682" s="101">
        <f>IF('Net zero activities &amp; levers'!$C$9="Off",'Activity data'!AX65*ManureNEF*NtoN2O*kgtoGg,IF('Net zero activities &amp; levers'!$C$9="On",(('Net zero supporting data'!V168*'Net zero supporting data'!V183)+('Net zero supporting data'!V180*ManureNEF))*NtoN2O*kgtoGg,"ERROR"))</f>
        <v>0.94819872099961666</v>
      </c>
      <c r="AF682" s="101">
        <f>IF('Net zero activities &amp; levers'!$C$9="Off",'Activity data'!AY65*ManureNEF*NtoN2O*kgtoGg,IF('Net zero activities &amp; levers'!$C$9="On",(('Net zero supporting data'!W168*'Net zero supporting data'!W183)+('Net zero supporting data'!W180*ManureNEF))*NtoN2O*kgtoGg,"ERROR"))</f>
        <v>0.97679305143421968</v>
      </c>
      <c r="AG682" s="101">
        <f>IF('Net zero activities &amp; levers'!$C$9="Off",'Activity data'!AZ65*ManureNEF*NtoN2O*kgtoGg,IF('Net zero activities &amp; levers'!$C$9="On",(('Net zero supporting data'!X168*'Net zero supporting data'!X183)+('Net zero supporting data'!X180*ManureNEF))*NtoN2O*kgtoGg,"ERROR"))</f>
        <v>1.0089463228416966</v>
      </c>
      <c r="AH682" s="101">
        <f>IF('Net zero activities &amp; levers'!$C$9="Off",'Activity data'!BA65*ManureNEF*NtoN2O*kgtoGg,IF('Net zero activities &amp; levers'!$C$9="On",(('Net zero supporting data'!Y168*'Net zero supporting data'!Y183)+('Net zero supporting data'!Y180*ManureNEF))*NtoN2O*kgtoGg,"ERROR"))</f>
        <v>1.0323634203366459</v>
      </c>
      <c r="AI682" s="101">
        <f>IF('Net zero activities &amp; levers'!$C$9="Off",'Activity data'!BB65*ManureNEF*NtoN2O*kgtoGg,IF('Net zero activities &amp; levers'!$C$9="On",(('Net zero supporting data'!Z168*'Net zero supporting data'!Z183)+('Net zero supporting data'!Z180*ManureNEF))*NtoN2O*kgtoGg,"ERROR"))</f>
        <v>1.057060437617628</v>
      </c>
      <c r="AJ682" s="101">
        <f>IF('Net zero activities &amp; levers'!$C$9="Off",'Activity data'!BC65*ManureNEF*NtoN2O*kgtoGg,IF('Net zero activities &amp; levers'!$C$9="On",(('Net zero supporting data'!AA168*'Net zero supporting data'!AA183)+('Net zero supporting data'!AA180*ManureNEF))*NtoN2O*kgtoGg,"ERROR"))</f>
        <v>1.0803574115413026</v>
      </c>
      <c r="AK682" s="101">
        <f>IF('Net zero activities &amp; levers'!$C$9="Off",'Activity data'!BD65*ManureNEF*NtoN2O*kgtoGg,IF('Net zero activities &amp; levers'!$C$9="On",(('Net zero supporting data'!AB168*'Net zero supporting data'!AB183)+('Net zero supporting data'!AB180*ManureNEF))*NtoN2O*kgtoGg,"ERROR"))</f>
        <v>1.0992026894432623</v>
      </c>
      <c r="AL682" s="101">
        <f>IF('Net zero activities &amp; levers'!$C$9="Off",'Activity data'!BE65*ManureNEF*NtoN2O*kgtoGg,IF('Net zero activities &amp; levers'!$C$9="On",(('Net zero supporting data'!AC168*'Net zero supporting data'!AC183)+('Net zero supporting data'!AC180*ManureNEF))*NtoN2O*kgtoGg,"ERROR"))</f>
        <v>1.1157225632893966</v>
      </c>
      <c r="AM682" s="101">
        <f>IF('Net zero activities &amp; levers'!$C$9="Off",'Activity data'!BF65*ManureNEF*NtoN2O*kgtoGg,IF('Net zero activities &amp; levers'!$C$9="On",(('Net zero supporting data'!AD168*'Net zero supporting data'!AD183)+('Net zero supporting data'!AD180*ManureNEF))*NtoN2O*kgtoGg,"ERROR"))</f>
        <v>1.1316562326874791</v>
      </c>
      <c r="AN682" s="101">
        <f>IF('Net zero activities &amp; levers'!$C$9="Off",'Activity data'!BG65*ManureNEF*NtoN2O*kgtoGg,IF('Net zero activities &amp; levers'!$C$9="On",(('Net zero supporting data'!AE168*'Net zero supporting data'!AE183)+('Net zero supporting data'!AE180*ManureNEF))*NtoN2O*kgtoGg,"ERROR"))</f>
        <v>1.1797324221202932</v>
      </c>
      <c r="AO682" s="101">
        <f>IF('Net zero activities &amp; levers'!$C$9="Off",'Activity data'!BH65*ManureNEF*NtoN2O*kgtoGg,IF('Net zero activities &amp; levers'!$C$9="On",(('Net zero supporting data'!AF168*'Net zero supporting data'!AF183)+('Net zero supporting data'!AF180*ManureNEF))*NtoN2O*kgtoGg,"ERROR"))</f>
        <v>1.2250689411137681</v>
      </c>
      <c r="AP682" s="101">
        <f>IF('Net zero activities &amp; levers'!$C$9="Off",'Activity data'!BI65*ManureNEF*NtoN2O*kgtoGg,IF('Net zero activities &amp; levers'!$C$9="On",(('Net zero supporting data'!AG168*'Net zero supporting data'!AG183)+('Net zero supporting data'!AG180*ManureNEF))*NtoN2O*kgtoGg,"ERROR"))</f>
        <v>1.271146111438082</v>
      </c>
      <c r="AQ682" s="101">
        <f>IF('Net zero activities &amp; levers'!$C$9="Off",'Activity data'!BJ65*ManureNEF*NtoN2O*kgtoGg,IF('Net zero activities &amp; levers'!$C$9="On",(('Net zero supporting data'!AH168*'Net zero supporting data'!AH183)+('Net zero supporting data'!AH180*ManureNEF))*NtoN2O*kgtoGg,"ERROR"))</f>
        <v>1.3180576855713066</v>
      </c>
      <c r="AR682" s="101">
        <f>IF('Net zero activities &amp; levers'!$C$9="Off",'Activity data'!BK65*ManureNEF*NtoN2O*kgtoGg,IF('Net zero activities &amp; levers'!$C$9="On",(('Net zero supporting data'!AI168*'Net zero supporting data'!AI183)+('Net zero supporting data'!AI180*ManureNEF))*NtoN2O*kgtoGg,"ERROR"))</f>
        <v>1.3682993136477442</v>
      </c>
      <c r="AS682" s="101">
        <f>IF('Net zero activities &amp; levers'!$C$9="Off",'Activity data'!BL65*ManureNEF*NtoN2O*kgtoGg,IF('Net zero activities &amp; levers'!$C$9="On",(('Net zero supporting data'!AJ168*'Net zero supporting data'!AJ183)+('Net zero supporting data'!AJ180*ManureNEF))*NtoN2O*kgtoGg,"ERROR"))</f>
        <v>1.4203594597517946</v>
      </c>
      <c r="AT682" s="101">
        <f>IF('Net zero activities &amp; levers'!$C$9="Off",'Activity data'!BM65*ManureNEF*NtoN2O*kgtoGg,IF('Net zero activities &amp; levers'!$C$9="On",(('Net zero supporting data'!AK168*'Net zero supporting data'!AK183)+('Net zero supporting data'!AK180*ManureNEF))*NtoN2O*kgtoGg,"ERROR"))</f>
        <v>1.4493489000381476</v>
      </c>
      <c r="AU682" s="101">
        <f>IF('Net zero activities &amp; levers'!$C$9="Off",'Activity data'!BN65*ManureNEF*NtoN2O*kgtoGg,IF('Net zero activities &amp; levers'!$C$9="On",(('Net zero supporting data'!AL168*'Net zero supporting data'!AL183)+('Net zero supporting data'!AL180*ManureNEF))*NtoN2O*kgtoGg,"ERROR"))</f>
        <v>1.4768122895318889</v>
      </c>
      <c r="AV682" s="101">
        <f>IF('Net zero activities &amp; levers'!$C$9="Off",'Activity data'!BO65*ManureNEF*NtoN2O*kgtoGg,IF('Net zero activities &amp; levers'!$C$9="On",(('Net zero supporting data'!AM168*'Net zero supporting data'!AM183)+('Net zero supporting data'!AM180*ManureNEF))*NtoN2O*kgtoGg,"ERROR"))</f>
        <v>1.5075252706967743</v>
      </c>
      <c r="AW682" s="101">
        <f>IF('Net zero activities &amp; levers'!$C$9="Off",'Activity data'!BP65*ManureNEF*NtoN2O*kgtoGg,IF('Net zero activities &amp; levers'!$C$9="On",(('Net zero supporting data'!AN168*'Net zero supporting data'!AN183)+('Net zero supporting data'!AN180*ManureNEF))*NtoN2O*kgtoGg,"ERROR"))</f>
        <v>1.5369949660886615</v>
      </c>
      <c r="AY682" s="85"/>
      <c r="AZ682" s="85"/>
    </row>
    <row r="683" spans="1:52" x14ac:dyDescent="0.25">
      <c r="A683" s="102" t="str">
        <f t="shared" si="149"/>
        <v>NI U&amp;D</v>
      </c>
      <c r="B683" s="102" t="s">
        <v>970</v>
      </c>
      <c r="C683" s="102" t="s">
        <v>1337</v>
      </c>
      <c r="D683" t="s">
        <v>369</v>
      </c>
      <c r="E683" t="s">
        <v>55</v>
      </c>
      <c r="F683" t="s">
        <v>422</v>
      </c>
      <c r="G683" t="s">
        <v>1153</v>
      </c>
      <c r="H683" t="s">
        <v>1241</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85"/>
      <c r="AZ683" s="85"/>
    </row>
    <row r="684" spans="1:52" x14ac:dyDescent="0.25">
      <c r="A684" s="102" t="str">
        <f t="shared" si="149"/>
        <v>NI U&amp;D</v>
      </c>
      <c r="B684" s="102" t="s">
        <v>970</v>
      </c>
      <c r="C684" s="102" t="s">
        <v>1337</v>
      </c>
      <c r="D684" t="s">
        <v>369</v>
      </c>
      <c r="E684" t="s">
        <v>55</v>
      </c>
      <c r="F684" t="s">
        <v>422</v>
      </c>
      <c r="G684" t="s">
        <v>1155</v>
      </c>
      <c r="H684" t="s">
        <v>1242</v>
      </c>
      <c r="I684" t="s">
        <v>139</v>
      </c>
      <c r="J684" t="s">
        <v>287</v>
      </c>
      <c r="K684" s="22">
        <f t="shared" ref="K684:Z710" si="152">K1483</f>
        <v>1.0786753296429479</v>
      </c>
      <c r="L684" s="22">
        <f t="shared" si="152"/>
        <v>1.0859586060309057</v>
      </c>
      <c r="M684" s="22">
        <f t="shared" si="152"/>
        <v>1.0923296279678898</v>
      </c>
      <c r="N684" s="22">
        <f t="shared" si="152"/>
        <v>1.0931537330099066</v>
      </c>
      <c r="O684" s="22">
        <f t="shared" si="152"/>
        <v>1.0945731731430408</v>
      </c>
      <c r="P684" s="22">
        <f t="shared" si="152"/>
        <v>1.1027176588076981</v>
      </c>
      <c r="Q684" s="22">
        <f t="shared" si="152"/>
        <v>1.1092302651165924</v>
      </c>
      <c r="R684" s="22">
        <f t="shared" si="152"/>
        <v>1.109287368040317</v>
      </c>
      <c r="S684" s="22">
        <f t="shared" si="152"/>
        <v>1.0798981830298287</v>
      </c>
      <c r="T684" s="22">
        <f t="shared" si="152"/>
        <v>1.0940959356021487</v>
      </c>
      <c r="U684" s="22">
        <f t="shared" si="152"/>
        <v>1.1048433903618551</v>
      </c>
      <c r="V684" s="22">
        <f t="shared" si="152"/>
        <v>1.1149833596000451</v>
      </c>
      <c r="W684" s="22">
        <f t="shared" si="152"/>
        <v>1.1267409528269945</v>
      </c>
      <c r="X684" s="22">
        <f t="shared" si="152"/>
        <v>1.1435878034617475</v>
      </c>
      <c r="Y684" s="22">
        <f t="shared" si="152"/>
        <v>1.1611273352268467</v>
      </c>
      <c r="Z684" s="22">
        <f t="shared" si="152"/>
        <v>1.1801792260010431</v>
      </c>
      <c r="AA684" s="22">
        <f t="shared" si="151"/>
        <v>1.1975049735261083</v>
      </c>
      <c r="AB684" s="22">
        <f t="shared" si="151"/>
        <v>1.2173560530719671</v>
      </c>
      <c r="AC684" s="22">
        <f t="shared" si="151"/>
        <v>1.2402923210603021</v>
      </c>
      <c r="AD684" s="22">
        <f t="shared" si="151"/>
        <v>1.2623742733775345</v>
      </c>
      <c r="AE684" s="22">
        <f t="shared" si="151"/>
        <v>1.2856074455004303</v>
      </c>
      <c r="AF684" s="22">
        <f t="shared" si="151"/>
        <v>1.3095452950439004</v>
      </c>
      <c r="AG684" s="22">
        <f t="shared" si="151"/>
        <v>1.3361813419952935</v>
      </c>
      <c r="AH684" s="22">
        <f t="shared" si="151"/>
        <v>1.3602968998390941</v>
      </c>
      <c r="AI684" s="22">
        <f t="shared" si="151"/>
        <v>1.3853556448541151</v>
      </c>
      <c r="AJ684" s="22">
        <f t="shared" si="151"/>
        <v>1.4110693769069982</v>
      </c>
      <c r="AK684" s="22">
        <f t="shared" si="151"/>
        <v>1.4360144578705683</v>
      </c>
      <c r="AL684" s="22">
        <f t="shared" si="151"/>
        <v>1.4611486001146794</v>
      </c>
      <c r="AM684" s="22">
        <f t="shared" si="151"/>
        <v>1.4873489277695111</v>
      </c>
      <c r="AN684" s="22">
        <f t="shared" si="151"/>
        <v>1.5144167777664856</v>
      </c>
      <c r="AO684" s="22">
        <f t="shared" si="151"/>
        <v>1.540269346746828</v>
      </c>
      <c r="AP684" s="22">
        <f t="shared" si="151"/>
        <v>1.5666680254867089</v>
      </c>
      <c r="AQ684" s="22">
        <f t="shared" si="151"/>
        <v>1.593660390525756</v>
      </c>
      <c r="AR684" s="22">
        <f t="shared" si="151"/>
        <v>1.6225260915070563</v>
      </c>
      <c r="AS684" s="22">
        <f t="shared" si="151"/>
        <v>1.6517094827819983</v>
      </c>
      <c r="AT684" s="22">
        <f t="shared" si="151"/>
        <v>1.6691760933817195</v>
      </c>
      <c r="AU684" s="22">
        <f t="shared" si="151"/>
        <v>1.6859640883447786</v>
      </c>
      <c r="AV684" s="22">
        <f t="shared" si="151"/>
        <v>1.7045379947409554</v>
      </c>
      <c r="AW684" s="22">
        <f t="shared" si="151"/>
        <v>1.7225765964260569</v>
      </c>
      <c r="AY684" s="85"/>
      <c r="AZ684" s="85"/>
    </row>
    <row r="685" spans="1:52" x14ac:dyDescent="0.25">
      <c r="A685" s="102" t="str">
        <f t="shared" si="149"/>
        <v>NI U&amp;D</v>
      </c>
      <c r="B685" s="102" t="s">
        <v>970</v>
      </c>
      <c r="C685" s="102" t="s">
        <v>1337</v>
      </c>
      <c r="D685" t="s">
        <v>369</v>
      </c>
      <c r="E685" t="s">
        <v>55</v>
      </c>
      <c r="F685" t="s">
        <v>422</v>
      </c>
      <c r="G685" t="s">
        <v>1157</v>
      </c>
      <c r="H685" t="s">
        <v>1243</v>
      </c>
      <c r="I685" t="s">
        <v>139</v>
      </c>
      <c r="J685" t="s">
        <v>287</v>
      </c>
      <c r="K685" s="22">
        <f t="shared" si="152"/>
        <v>0.73458527987811684</v>
      </c>
      <c r="L685" s="22">
        <f t="shared" si="151"/>
        <v>0.73954524093113228</v>
      </c>
      <c r="M685" s="22">
        <f t="shared" si="151"/>
        <v>0.74388395046130973</v>
      </c>
      <c r="N685" s="22">
        <f t="shared" si="151"/>
        <v>0.7444451716335222</v>
      </c>
      <c r="O685" s="22">
        <f t="shared" si="151"/>
        <v>0.7454118200761205</v>
      </c>
      <c r="P685" s="22">
        <f t="shared" si="151"/>
        <v>0.75095827053903796</v>
      </c>
      <c r="Q685" s="22">
        <f t="shared" si="151"/>
        <v>0.75539339999521871</v>
      </c>
      <c r="R685" s="22">
        <f t="shared" si="151"/>
        <v>0.75543228747697821</v>
      </c>
      <c r="S685" s="22">
        <f t="shared" si="151"/>
        <v>0.73541805140145267</v>
      </c>
      <c r="T685" s="22">
        <f t="shared" si="151"/>
        <v>0.74508681804547194</v>
      </c>
      <c r="U685" s="22">
        <f t="shared" si="151"/>
        <v>0.75240590827186049</v>
      </c>
      <c r="V685" s="22">
        <f t="shared" si="151"/>
        <v>0.75931129670162745</v>
      </c>
      <c r="W685" s="22">
        <f t="shared" si="151"/>
        <v>0.76731829813566454</v>
      </c>
      <c r="X685" s="22">
        <f t="shared" si="151"/>
        <v>0.77879111868556206</v>
      </c>
      <c r="Y685" s="22">
        <f t="shared" si="151"/>
        <v>0.79073565982461014</v>
      </c>
      <c r="Z685" s="22">
        <f t="shared" si="151"/>
        <v>0.80371012779654638</v>
      </c>
      <c r="AA685" s="22">
        <f t="shared" si="151"/>
        <v>0.81550908040540082</v>
      </c>
      <c r="AB685" s="22">
        <f t="shared" si="151"/>
        <v>0.82902780139895904</v>
      </c>
      <c r="AC685" s="22">
        <f t="shared" si="151"/>
        <v>0.84464755683097381</v>
      </c>
      <c r="AD685" s="22">
        <f t="shared" si="151"/>
        <v>0.85968551744566435</v>
      </c>
      <c r="AE685" s="22">
        <f t="shared" si="151"/>
        <v>0.8755074666247592</v>
      </c>
      <c r="AF685" s="22">
        <f t="shared" si="151"/>
        <v>0.89180930594872954</v>
      </c>
      <c r="AG685" s="22">
        <f t="shared" si="151"/>
        <v>0.90994863616879917</v>
      </c>
      <c r="AH685" s="22">
        <f t="shared" si="151"/>
        <v>0.9263714960611904</v>
      </c>
      <c r="AI685" s="22">
        <f t="shared" si="151"/>
        <v>0.94343667287055244</v>
      </c>
      <c r="AJ685" s="22">
        <f t="shared" si="151"/>
        <v>0.96094790033417754</v>
      </c>
      <c r="AK685" s="22">
        <f t="shared" si="151"/>
        <v>0.97793567114680158</v>
      </c>
      <c r="AL685" s="22">
        <f t="shared" si="151"/>
        <v>0.99505219398504785</v>
      </c>
      <c r="AM685" s="22">
        <f t="shared" si="151"/>
        <v>1.0128947963829298</v>
      </c>
      <c r="AN685" s="22">
        <f t="shared" si="151"/>
        <v>1.0313281874314744</v>
      </c>
      <c r="AO685" s="22">
        <f t="shared" si="151"/>
        <v>1.0489339637926334</v>
      </c>
      <c r="AP685" s="22">
        <f t="shared" si="151"/>
        <v>1.066911644636569</v>
      </c>
      <c r="AQ685" s="22">
        <f t="shared" si="151"/>
        <v>1.0852936299122902</v>
      </c>
      <c r="AR685" s="22">
        <f t="shared" si="151"/>
        <v>1.1049513697822153</v>
      </c>
      <c r="AS685" s="22">
        <f t="shared" si="151"/>
        <v>1.1248254589157749</v>
      </c>
      <c r="AT685" s="22">
        <f t="shared" si="151"/>
        <v>1.1367203402422674</v>
      </c>
      <c r="AU685" s="22">
        <f t="shared" si="151"/>
        <v>1.1481530796770461</v>
      </c>
      <c r="AV685" s="22">
        <f t="shared" si="151"/>
        <v>1.1608020370171399</v>
      </c>
      <c r="AW685" s="22">
        <f t="shared" si="151"/>
        <v>1.1730864481863896</v>
      </c>
      <c r="AY685" s="85"/>
      <c r="AZ685" s="85"/>
    </row>
    <row r="686" spans="1:52" x14ac:dyDescent="0.25">
      <c r="A686" s="102" t="str">
        <f t="shared" si="149"/>
        <v>NI U&amp;D</v>
      </c>
      <c r="B686" s="102" t="s">
        <v>970</v>
      </c>
      <c r="C686" s="102" t="s">
        <v>1337</v>
      </c>
      <c r="D686" t="s">
        <v>369</v>
      </c>
      <c r="E686" t="s">
        <v>55</v>
      </c>
      <c r="F686" t="s">
        <v>422</v>
      </c>
      <c r="G686" t="s">
        <v>1159</v>
      </c>
      <c r="H686" t="s">
        <v>1244</v>
      </c>
      <c r="I686" t="s">
        <v>139</v>
      </c>
      <c r="J686" t="s">
        <v>287</v>
      </c>
      <c r="K686" s="22">
        <f t="shared" si="152"/>
        <v>15.429280800788639</v>
      </c>
      <c r="L686" s="22">
        <f t="shared" si="151"/>
        <v>15.35072698203709</v>
      </c>
      <c r="M686" s="22">
        <f t="shared" si="151"/>
        <v>15.207351875662043</v>
      </c>
      <c r="N686" s="22">
        <f t="shared" si="151"/>
        <v>14.814893699547214</v>
      </c>
      <c r="O686" s="22">
        <f t="shared" si="151"/>
        <v>14.438096972663228</v>
      </c>
      <c r="P686" s="22">
        <f t="shared" si="151"/>
        <v>14.314758846199135</v>
      </c>
      <c r="Q686" s="22">
        <f t="shared" si="151"/>
        <v>14.115554649678398</v>
      </c>
      <c r="R686" s="22">
        <f t="shared" si="151"/>
        <v>13.66798161990047</v>
      </c>
      <c r="S686" s="22">
        <f t="shared" si="151"/>
        <v>12.166328141225097</v>
      </c>
      <c r="T686" s="22">
        <f t="shared" si="151"/>
        <v>12.463610414813839</v>
      </c>
      <c r="U686" s="22">
        <f t="shared" si="151"/>
        <v>12.624180384375714</v>
      </c>
      <c r="V686" s="22">
        <f t="shared" si="151"/>
        <v>12.751805743467081</v>
      </c>
      <c r="W686" s="22">
        <f t="shared" si="151"/>
        <v>12.923326016620354</v>
      </c>
      <c r="X686" s="22">
        <f t="shared" si="151"/>
        <v>13.25262145197801</v>
      </c>
      <c r="Y686" s="22">
        <f t="shared" si="151"/>
        <v>13.613027690777479</v>
      </c>
      <c r="Z686" s="22">
        <f t="shared" si="151"/>
        <v>14.005728103550339</v>
      </c>
      <c r="AA686" s="22">
        <f t="shared" si="151"/>
        <v>14.32592763712187</v>
      </c>
      <c r="AB686" s="22">
        <f t="shared" si="151"/>
        <v>14.710285410323998</v>
      </c>
      <c r="AC686" s="22">
        <f t="shared" si="151"/>
        <v>15.173253105796089</v>
      </c>
      <c r="AD686" s="22">
        <f t="shared" si="151"/>
        <v>15.47822319183811</v>
      </c>
      <c r="AE686" s="22">
        <f t="shared" si="151"/>
        <v>15.789739593019302</v>
      </c>
      <c r="AF686" s="22">
        <f t="shared" si="151"/>
        <v>16.093283241134344</v>
      </c>
      <c r="AG686" s="22">
        <f t="shared" si="151"/>
        <v>16.444459062010196</v>
      </c>
      <c r="AH686" s="22">
        <f t="shared" si="151"/>
        <v>16.694708961891717</v>
      </c>
      <c r="AI686" s="22">
        <f t="shared" si="151"/>
        <v>16.95834334016514</v>
      </c>
      <c r="AJ686" s="22">
        <f t="shared" si="151"/>
        <v>17.210617740902418</v>
      </c>
      <c r="AK686" s="22">
        <f t="shared" si="151"/>
        <v>17.41443137892249</v>
      </c>
      <c r="AL686" s="22">
        <f t="shared" si="151"/>
        <v>17.595815239613078</v>
      </c>
      <c r="AM686" s="22">
        <f t="shared" si="151"/>
        <v>17.776384709935595</v>
      </c>
      <c r="AN686" s="22">
        <f t="shared" si="151"/>
        <v>18.054309099342483</v>
      </c>
      <c r="AO686" s="22">
        <f t="shared" si="151"/>
        <v>18.280646748605641</v>
      </c>
      <c r="AP686" s="22">
        <f t="shared" si="151"/>
        <v>18.497984454615345</v>
      </c>
      <c r="AQ686" s="22">
        <f t="shared" si="151"/>
        <v>18.70703547273348</v>
      </c>
      <c r="AR686" s="22">
        <f t="shared" si="151"/>
        <v>18.935485661659122</v>
      </c>
      <c r="AS686" s="22">
        <f t="shared" si="151"/>
        <v>19.159250135643951</v>
      </c>
      <c r="AT686" s="22">
        <f t="shared" si="151"/>
        <v>19.11314806868306</v>
      </c>
      <c r="AU686" s="22">
        <f t="shared" si="151"/>
        <v>19.040808228696374</v>
      </c>
      <c r="AV686" s="22">
        <f t="shared" si="151"/>
        <v>18.992992620644625</v>
      </c>
      <c r="AW686" s="22">
        <f t="shared" si="151"/>
        <v>18.921839562511444</v>
      </c>
      <c r="AY686" s="85"/>
      <c r="AZ686" s="85"/>
    </row>
    <row r="687" spans="1:52" x14ac:dyDescent="0.25">
      <c r="A687" s="102" t="str">
        <f t="shared" si="149"/>
        <v>NI U&amp;D</v>
      </c>
      <c r="B687" s="102" t="s">
        <v>970</v>
      </c>
      <c r="C687" s="102" t="s">
        <v>1337</v>
      </c>
      <c r="D687" t="s">
        <v>369</v>
      </c>
      <c r="E687" t="s">
        <v>55</v>
      </c>
      <c r="F687" t="s">
        <v>422</v>
      </c>
      <c r="G687" t="s">
        <v>1161</v>
      </c>
      <c r="H687" t="s">
        <v>1245</v>
      </c>
      <c r="I687" t="s">
        <v>139</v>
      </c>
      <c r="J687" t="s">
        <v>287</v>
      </c>
      <c r="K687" s="22">
        <f t="shared" si="152"/>
        <v>9.701944231797869</v>
      </c>
      <c r="L687" s="22">
        <f t="shared" si="151"/>
        <v>9.652549527108631</v>
      </c>
      <c r="M687" s="22">
        <f t="shared" si="151"/>
        <v>9.5623951443970494</v>
      </c>
      <c r="N687" s="22">
        <f t="shared" si="151"/>
        <v>9.3156171262158942</v>
      </c>
      <c r="O687" s="22">
        <f t="shared" si="151"/>
        <v>9.0786870399629098</v>
      </c>
      <c r="P687" s="22">
        <f t="shared" si="151"/>
        <v>9.0011319264058365</v>
      </c>
      <c r="Q687" s="22">
        <f t="shared" si="151"/>
        <v>8.8758721667101366</v>
      </c>
      <c r="R687" s="22">
        <f t="shared" si="151"/>
        <v>8.5944378840220992</v>
      </c>
      <c r="S687" s="22">
        <f t="shared" si="151"/>
        <v>7.6501969635477565</v>
      </c>
      <c r="T687" s="22">
        <f t="shared" si="151"/>
        <v>7.8371282973344023</v>
      </c>
      <c r="U687" s="22">
        <f t="shared" si="151"/>
        <v>7.9380948239084157</v>
      </c>
      <c r="V687" s="22">
        <f t="shared" si="151"/>
        <v>8.0183457528048763</v>
      </c>
      <c r="W687" s="22">
        <f t="shared" si="151"/>
        <v>8.1261978391231704</v>
      </c>
      <c r="X687" s="22">
        <f t="shared" si="151"/>
        <v>8.3332590748913482</v>
      </c>
      <c r="Y687" s="22">
        <f t="shared" si="151"/>
        <v>8.5598828089960346</v>
      </c>
      <c r="Z687" s="22">
        <f t="shared" si="151"/>
        <v>8.8068131457834475</v>
      </c>
      <c r="AA687" s="22">
        <f t="shared" si="151"/>
        <v>9.0081548711605581</v>
      </c>
      <c r="AB687" s="22">
        <f t="shared" si="151"/>
        <v>9.249839349446443</v>
      </c>
      <c r="AC687" s="22">
        <f t="shared" si="151"/>
        <v>9.5409538103592695</v>
      </c>
      <c r="AD687" s="22">
        <f t="shared" si="151"/>
        <v>9.7327192468269903</v>
      </c>
      <c r="AE687" s="22">
        <f t="shared" si="151"/>
        <v>9.9286010115425469</v>
      </c>
      <c r="AF687" s="22">
        <f t="shared" si="151"/>
        <v>10.119469502689464</v>
      </c>
      <c r="AG687" s="22">
        <f t="shared" si="151"/>
        <v>10.340289142547157</v>
      </c>
      <c r="AH687" s="22">
        <f t="shared" si="151"/>
        <v>10.497646481752456</v>
      </c>
      <c r="AI687" s="22">
        <f t="shared" si="151"/>
        <v>10.663419991782989</v>
      </c>
      <c r="AJ687" s="22">
        <f t="shared" si="151"/>
        <v>10.822050338761844</v>
      </c>
      <c r="AK687" s="22">
        <f t="shared" si="151"/>
        <v>10.950208518995984</v>
      </c>
      <c r="AL687" s="22">
        <f t="shared" si="151"/>
        <v>11.064262837125854</v>
      </c>
      <c r="AM687" s="22">
        <f t="shared" si="151"/>
        <v>11.17780506593439</v>
      </c>
      <c r="AN687" s="22">
        <f t="shared" si="151"/>
        <v>11.352564146509573</v>
      </c>
      <c r="AO687" s="22">
        <f t="shared" si="151"/>
        <v>11.494885443208972</v>
      </c>
      <c r="AP687" s="22">
        <f t="shared" si="151"/>
        <v>11.631547568320162</v>
      </c>
      <c r="AQ687" s="22">
        <f t="shared" si="151"/>
        <v>11.762999017390882</v>
      </c>
      <c r="AR687" s="22">
        <f t="shared" si="151"/>
        <v>11.906648680736627</v>
      </c>
      <c r="AS687" s="22">
        <f t="shared" si="151"/>
        <v>12.047351962742322</v>
      </c>
      <c r="AT687" s="22">
        <f t="shared" si="151"/>
        <v>12.018362945794602</v>
      </c>
      <c r="AU687" s="22">
        <f t="shared" si="151"/>
        <v>11.972875595972562</v>
      </c>
      <c r="AV687" s="22">
        <f t="shared" si="151"/>
        <v>11.942809103002656</v>
      </c>
      <c r="AW687" s="22">
        <f t="shared" si="151"/>
        <v>11.898068002568817</v>
      </c>
      <c r="AY687" s="85"/>
      <c r="AZ687" s="85"/>
    </row>
    <row r="688" spans="1:52" x14ac:dyDescent="0.25">
      <c r="A688" s="102" t="str">
        <f t="shared" si="149"/>
        <v>NI U&amp;D</v>
      </c>
      <c r="B688" s="102" t="s">
        <v>970</v>
      </c>
      <c r="C688" s="102" t="s">
        <v>1337</v>
      </c>
      <c r="D688" t="s">
        <v>369</v>
      </c>
      <c r="E688" t="s">
        <v>55</v>
      </c>
      <c r="F688" t="s">
        <v>422</v>
      </c>
      <c r="G688" t="s">
        <v>1163</v>
      </c>
      <c r="H688" t="s">
        <v>1246</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85"/>
      <c r="AZ688" s="85"/>
    </row>
    <row r="689" spans="1:52" x14ac:dyDescent="0.25">
      <c r="A689" s="102" t="str">
        <f t="shared" si="149"/>
        <v>NI U&amp;D</v>
      </c>
      <c r="B689" s="102" t="s">
        <v>970</v>
      </c>
      <c r="C689" s="102" t="s">
        <v>1337</v>
      </c>
      <c r="D689" t="s">
        <v>369</v>
      </c>
      <c r="E689" t="s">
        <v>55</v>
      </c>
      <c r="F689" t="s">
        <v>422</v>
      </c>
      <c r="G689" t="s">
        <v>1165</v>
      </c>
      <c r="H689" t="s">
        <v>1247</v>
      </c>
      <c r="I689" t="s">
        <v>139</v>
      </c>
      <c r="J689" t="s">
        <v>287</v>
      </c>
      <c r="K689" s="22">
        <f t="shared" si="152"/>
        <v>5.7999838553710088</v>
      </c>
      <c r="L689" s="22">
        <f t="shared" si="151"/>
        <v>5.8031139960917857</v>
      </c>
      <c r="M689" s="22">
        <f t="shared" si="151"/>
        <v>5.8103099227335253</v>
      </c>
      <c r="N689" s="22">
        <f t="shared" si="151"/>
        <v>5.8209929462353873</v>
      </c>
      <c r="O689" s="22">
        <f t="shared" si="151"/>
        <v>5.8354121165006498</v>
      </c>
      <c r="P689" s="22">
        <f t="shared" si="151"/>
        <v>5.8538572193681269</v>
      </c>
      <c r="Q689" s="22">
        <f t="shared" si="151"/>
        <v>5.8741818038916174</v>
      </c>
      <c r="R689" s="22">
        <f t="shared" si="151"/>
        <v>5.8960701972534357</v>
      </c>
      <c r="S689" s="22">
        <f t="shared" si="151"/>
        <v>5.9177559307877479</v>
      </c>
      <c r="T689" s="22">
        <f t="shared" si="151"/>
        <v>5.9266307004561112</v>
      </c>
      <c r="U689" s="22">
        <f t="shared" si="151"/>
        <v>5.9367082769549988</v>
      </c>
      <c r="V689" s="22">
        <f t="shared" si="151"/>
        <v>5.9481053028915358</v>
      </c>
      <c r="W689" s="22">
        <f t="shared" si="151"/>
        <v>5.960904450999025</v>
      </c>
      <c r="X689" s="22">
        <f t="shared" si="151"/>
        <v>5.9752866719651836</v>
      </c>
      <c r="Y689" s="22">
        <f t="shared" si="151"/>
        <v>5.9843295860357024</v>
      </c>
      <c r="Z689" s="22">
        <f t="shared" si="151"/>
        <v>5.9945123676402678</v>
      </c>
      <c r="AA689" s="22">
        <f t="shared" si="151"/>
        <v>6.0055516159641433</v>
      </c>
      <c r="AB689" s="22">
        <f t="shared" si="151"/>
        <v>6.0177061448313278</v>
      </c>
      <c r="AC689" s="22">
        <f t="shared" si="151"/>
        <v>6.03097456248548</v>
      </c>
      <c r="AD689" s="22">
        <f t="shared" si="151"/>
        <v>6.0397566686890718</v>
      </c>
      <c r="AE689" s="22">
        <f t="shared" si="151"/>
        <v>6.0493932233323875</v>
      </c>
      <c r="AF689" s="22">
        <f t="shared" si="151"/>
        <v>6.0598194909466505</v>
      </c>
      <c r="AG689" s="22">
        <f t="shared" si="151"/>
        <v>6.0711483366347876</v>
      </c>
      <c r="AH689" s="22">
        <f t="shared" si="151"/>
        <v>6.0829788619886944</v>
      </c>
      <c r="AI689" s="22">
        <f t="shared" si="151"/>
        <v>6.0905477121768259</v>
      </c>
      <c r="AJ689" s="22">
        <f t="shared" si="151"/>
        <v>6.0987586244880356</v>
      </c>
      <c r="AK689" s="22">
        <f t="shared" si="151"/>
        <v>6.1074872449990725</v>
      </c>
      <c r="AL689" s="22">
        <f t="shared" si="151"/>
        <v>6.1167813545421765</v>
      </c>
      <c r="AM689" s="22">
        <f t="shared" si="151"/>
        <v>6.1266844936604166</v>
      </c>
      <c r="AN689" s="22">
        <f t="shared" si="151"/>
        <v>6.1325212653673837</v>
      </c>
      <c r="AO689" s="22">
        <f t="shared" si="151"/>
        <v>6.1387404789422586</v>
      </c>
      <c r="AP689" s="22">
        <f t="shared" si="151"/>
        <v>6.145451732291618</v>
      </c>
      <c r="AQ689" s="22">
        <f t="shared" si="151"/>
        <v>6.152643186293405</v>
      </c>
      <c r="AR689" s="22">
        <f t="shared" si="151"/>
        <v>6.1603920516403416</v>
      </c>
      <c r="AS689" s="22">
        <f t="shared" si="151"/>
        <v>6.1638844604068606</v>
      </c>
      <c r="AT689" s="22">
        <f t="shared" si="151"/>
        <v>6.1669158271420823</v>
      </c>
      <c r="AU689" s="22">
        <f t="shared" si="151"/>
        <v>6.1702623626652491</v>
      </c>
      <c r="AV689" s="22">
        <f t="shared" si="151"/>
        <v>6.1740883613222994</v>
      </c>
      <c r="AW689" s="22">
        <f t="shared" si="151"/>
        <v>6.1782170575379913</v>
      </c>
      <c r="AY689" s="85"/>
      <c r="AZ689" s="85"/>
    </row>
    <row r="690" spans="1:52" x14ac:dyDescent="0.25">
      <c r="A690" s="102" t="str">
        <f t="shared" si="149"/>
        <v>NI U&amp;D</v>
      </c>
      <c r="B690" s="102" t="s">
        <v>970</v>
      </c>
      <c r="C690" s="102" t="s">
        <v>1337</v>
      </c>
      <c r="D690" t="s">
        <v>369</v>
      </c>
      <c r="E690" t="s">
        <v>55</v>
      </c>
      <c r="F690" t="s">
        <v>422</v>
      </c>
      <c r="G690" t="s">
        <v>1167</v>
      </c>
      <c r="H690" t="s">
        <v>1248</v>
      </c>
      <c r="I690" t="s">
        <v>139</v>
      </c>
      <c r="J690" t="s">
        <v>287</v>
      </c>
      <c r="K690" s="22">
        <f t="shared" si="152"/>
        <v>0.64744945388640951</v>
      </c>
      <c r="L690" s="22">
        <f t="shared" si="151"/>
        <v>0.64779887001424552</v>
      </c>
      <c r="M690" s="22">
        <f t="shared" si="151"/>
        <v>0.64860214790097404</v>
      </c>
      <c r="N690" s="22">
        <f t="shared" si="151"/>
        <v>0.64979468876050261</v>
      </c>
      <c r="O690" s="22">
        <f t="shared" si="151"/>
        <v>0.65140429391571231</v>
      </c>
      <c r="P690" s="22">
        <f t="shared" ref="L690:AW696" si="153">P1489</f>
        <v>0.6534633120226967</v>
      </c>
      <c r="Q690" s="22">
        <f t="shared" si="153"/>
        <v>0.65573213577778644</v>
      </c>
      <c r="R690" s="22">
        <f t="shared" si="153"/>
        <v>0.65817552677368318</v>
      </c>
      <c r="S690" s="22">
        <f t="shared" si="153"/>
        <v>0.66059629494891092</v>
      </c>
      <c r="T690" s="22">
        <f t="shared" si="153"/>
        <v>0.66158698128846494</v>
      </c>
      <c r="U690" s="22">
        <f t="shared" si="153"/>
        <v>0.66271193638547965</v>
      </c>
      <c r="V690" s="22">
        <f t="shared" si="153"/>
        <v>0.6639841809990068</v>
      </c>
      <c r="W690" s="22">
        <f t="shared" si="153"/>
        <v>0.66541294384715366</v>
      </c>
      <c r="X690" s="22">
        <f t="shared" si="153"/>
        <v>0.66701842436958481</v>
      </c>
      <c r="Y690" s="22">
        <f t="shared" si="153"/>
        <v>0.66802788058920459</v>
      </c>
      <c r="Z690" s="22">
        <f t="shared" si="153"/>
        <v>0.66916457968239529</v>
      </c>
      <c r="AA690" s="22">
        <f t="shared" si="153"/>
        <v>0.67039688575028045</v>
      </c>
      <c r="AB690" s="22">
        <f t="shared" si="153"/>
        <v>0.671753690057592</v>
      </c>
      <c r="AC690" s="22">
        <f t="shared" si="153"/>
        <v>0.67323483724322841</v>
      </c>
      <c r="AD690" s="22">
        <f t="shared" si="153"/>
        <v>0.67421517960404742</v>
      </c>
      <c r="AE690" s="22">
        <f t="shared" si="153"/>
        <v>0.6752909036399658</v>
      </c>
      <c r="AF690" s="22">
        <f t="shared" si="153"/>
        <v>0.67645478296122918</v>
      </c>
      <c r="AG690" s="22">
        <f t="shared" si="153"/>
        <v>0.67771941664588264</v>
      </c>
      <c r="AH690" s="22">
        <f t="shared" si="153"/>
        <v>0.67904005259428835</v>
      </c>
      <c r="AI690" s="22">
        <f t="shared" si="153"/>
        <v>0.67988495976007579</v>
      </c>
      <c r="AJ690" s="22">
        <f t="shared" si="153"/>
        <v>0.68080154001691195</v>
      </c>
      <c r="AK690" s="22">
        <f t="shared" si="153"/>
        <v>0.68177591179517449</v>
      </c>
      <c r="AL690" s="22">
        <f t="shared" si="153"/>
        <v>0.68281340884656228</v>
      </c>
      <c r="AM690" s="22">
        <f t="shared" si="153"/>
        <v>0.68391889158129904</v>
      </c>
      <c r="AN690" s="22">
        <f t="shared" si="153"/>
        <v>0.68457044764565533</v>
      </c>
      <c r="AO690" s="22">
        <f t="shared" si="153"/>
        <v>0.68526469551479852</v>
      </c>
      <c r="AP690" s="22">
        <f t="shared" si="153"/>
        <v>0.68601386955119048</v>
      </c>
      <c r="AQ690" s="22">
        <f t="shared" si="153"/>
        <v>0.68681664815923671</v>
      </c>
      <c r="AR690" s="22">
        <f t="shared" si="153"/>
        <v>0.68768165033203899</v>
      </c>
      <c r="AS690" s="22">
        <f t="shared" si="153"/>
        <v>0.68807150627043723</v>
      </c>
      <c r="AT690" s="22">
        <f t="shared" si="153"/>
        <v>0.68840989630499416</v>
      </c>
      <c r="AU690" s="22">
        <f t="shared" si="153"/>
        <v>0.68878346848224781</v>
      </c>
      <c r="AV690" s="22">
        <f t="shared" si="153"/>
        <v>0.68921056290230964</v>
      </c>
      <c r="AW690" s="22">
        <f t="shared" si="153"/>
        <v>0.68967144730764052</v>
      </c>
      <c r="AY690" s="85"/>
      <c r="AZ690" s="85"/>
    </row>
    <row r="691" spans="1:52" x14ac:dyDescent="0.25">
      <c r="A691" s="102" t="str">
        <f t="shared" si="149"/>
        <v>NI U&amp;D</v>
      </c>
      <c r="B691" s="102" t="s">
        <v>970</v>
      </c>
      <c r="C691" s="102" t="s">
        <v>1337</v>
      </c>
      <c r="D691" t="s">
        <v>369</v>
      </c>
      <c r="E691" t="s">
        <v>55</v>
      </c>
      <c r="F691" t="s">
        <v>422</v>
      </c>
      <c r="G691" t="s">
        <v>1169</v>
      </c>
      <c r="H691" t="s">
        <v>1249</v>
      </c>
      <c r="I691" t="s">
        <v>139</v>
      </c>
      <c r="J691" t="s">
        <v>287</v>
      </c>
      <c r="K691" s="22">
        <f t="shared" si="152"/>
        <v>0.71689894789530229</v>
      </c>
      <c r="L691" s="22">
        <f t="shared" si="153"/>
        <v>0.71876228746109427</v>
      </c>
      <c r="M691" s="22">
        <f t="shared" si="153"/>
        <v>0.72127503720090047</v>
      </c>
      <c r="N691" s="22">
        <f t="shared" si="153"/>
        <v>0.72433550259006296</v>
      </c>
      <c r="O691" s="22">
        <f t="shared" si="153"/>
        <v>0.72800120185684258</v>
      </c>
      <c r="P691" s="22">
        <f t="shared" si="153"/>
        <v>0.73233490465194795</v>
      </c>
      <c r="Q691" s="22">
        <f t="shared" si="153"/>
        <v>0.73692777433186207</v>
      </c>
      <c r="R691" s="22">
        <f t="shared" si="153"/>
        <v>0.74172607064181018</v>
      </c>
      <c r="S691" s="22">
        <f t="shared" si="153"/>
        <v>0.74639750027277085</v>
      </c>
      <c r="T691" s="22">
        <f t="shared" si="153"/>
        <v>0.74854009324631066</v>
      </c>
      <c r="U691" s="22">
        <f t="shared" si="153"/>
        <v>0.75085065923922678</v>
      </c>
      <c r="V691" s="22">
        <f t="shared" si="153"/>
        <v>0.75335493730359926</v>
      </c>
      <c r="W691" s="22">
        <f t="shared" si="153"/>
        <v>0.75607146605668685</v>
      </c>
      <c r="X691" s="22">
        <f t="shared" si="153"/>
        <v>0.75903679046714201</v>
      </c>
      <c r="Y691" s="22">
        <f t="shared" si="153"/>
        <v>0.76094537488964475</v>
      </c>
      <c r="Z691" s="22">
        <f t="shared" si="153"/>
        <v>0.76302818529273087</v>
      </c>
      <c r="AA691" s="22">
        <f t="shared" si="153"/>
        <v>0.76523341198680583</v>
      </c>
      <c r="AB691" s="22">
        <f t="shared" si="153"/>
        <v>0.76761119115957532</v>
      </c>
      <c r="AC691" s="22">
        <f t="shared" si="153"/>
        <v>0.77016232439967147</v>
      </c>
      <c r="AD691" s="22">
        <f t="shared" si="153"/>
        <v>0.77184151262759737</v>
      </c>
      <c r="AE691" s="22">
        <f t="shared" si="153"/>
        <v>0.7736515769208151</v>
      </c>
      <c r="AF691" s="22">
        <f t="shared" si="153"/>
        <v>0.77558124888408586</v>
      </c>
      <c r="AG691" s="22">
        <f t="shared" si="153"/>
        <v>0.77765221756919434</v>
      </c>
      <c r="AH691" s="22">
        <f t="shared" si="153"/>
        <v>0.7797906862662336</v>
      </c>
      <c r="AI691" s="22">
        <f t="shared" si="153"/>
        <v>0.7811163537007122</v>
      </c>
      <c r="AJ691" s="22">
        <f t="shared" si="153"/>
        <v>0.78254032699837495</v>
      </c>
      <c r="AK691" s="22">
        <f t="shared" si="153"/>
        <v>0.78404012574492399</v>
      </c>
      <c r="AL691" s="22">
        <f t="shared" si="153"/>
        <v>0.78562503827513464</v>
      </c>
      <c r="AM691" s="22">
        <f t="shared" si="153"/>
        <v>0.78730345031212023</v>
      </c>
      <c r="AN691" s="22">
        <f t="shared" si="153"/>
        <v>0.78821861780581803</v>
      </c>
      <c r="AO691" s="22">
        <f t="shared" si="153"/>
        <v>0.78918935012210545</v>
      </c>
      <c r="AP691" s="22">
        <f t="shared" si="153"/>
        <v>0.79023602178732166</v>
      </c>
      <c r="AQ691" s="22">
        <f t="shared" si="153"/>
        <v>0.79135668556159844</v>
      </c>
      <c r="AR691" s="22">
        <f t="shared" si="153"/>
        <v>0.79256558771735774</v>
      </c>
      <c r="AS691" s="22">
        <f t="shared" si="153"/>
        <v>0.79298785766331426</v>
      </c>
      <c r="AT691" s="22">
        <f t="shared" si="153"/>
        <v>0.79331656903659509</v>
      </c>
      <c r="AU691" s="22">
        <f t="shared" si="153"/>
        <v>0.79369322526599873</v>
      </c>
      <c r="AV691" s="22">
        <f t="shared" si="153"/>
        <v>0.79414770745075947</v>
      </c>
      <c r="AW691" s="22">
        <f t="shared" si="153"/>
        <v>0.79464809471787612</v>
      </c>
      <c r="AY691" s="85"/>
      <c r="AZ691" s="85"/>
    </row>
    <row r="692" spans="1:52" x14ac:dyDescent="0.25">
      <c r="A692" s="102" t="str">
        <f t="shared" si="149"/>
        <v>NI U&amp;D</v>
      </c>
      <c r="B692" s="102" t="s">
        <v>970</v>
      </c>
      <c r="C692" s="102" t="s">
        <v>1337</v>
      </c>
      <c r="D692" t="s">
        <v>369</v>
      </c>
      <c r="E692" t="s">
        <v>55</v>
      </c>
      <c r="F692" t="s">
        <v>422</v>
      </c>
      <c r="G692" t="s">
        <v>1171</v>
      </c>
      <c r="H692" t="s">
        <v>1250</v>
      </c>
      <c r="I692" t="s">
        <v>139</v>
      </c>
      <c r="J692" t="s">
        <v>287</v>
      </c>
      <c r="K692" s="22">
        <f t="shared" si="152"/>
        <v>1.1864531966682197</v>
      </c>
      <c r="L692" s="22">
        <f t="shared" si="153"/>
        <v>1.1895369858002907</v>
      </c>
      <c r="M692" s="22">
        <f t="shared" si="153"/>
        <v>1.1936955355791294</v>
      </c>
      <c r="N692" s="22">
        <f t="shared" si="153"/>
        <v>1.1987605436321125</v>
      </c>
      <c r="O692" s="22">
        <f t="shared" si="153"/>
        <v>1.2048272014586632</v>
      </c>
      <c r="P692" s="22">
        <f t="shared" si="153"/>
        <v>1.2119993915556884</v>
      </c>
      <c r="Q692" s="22">
        <f t="shared" si="153"/>
        <v>1.2196004975827131</v>
      </c>
      <c r="R692" s="22">
        <f t="shared" si="153"/>
        <v>1.2275415805096901</v>
      </c>
      <c r="S692" s="22">
        <f t="shared" si="153"/>
        <v>1.2352727016599383</v>
      </c>
      <c r="T692" s="22">
        <f t="shared" si="153"/>
        <v>1.238818649509462</v>
      </c>
      <c r="U692" s="22">
        <f t="shared" si="153"/>
        <v>1.2426425892940813</v>
      </c>
      <c r="V692" s="22">
        <f t="shared" si="153"/>
        <v>1.2467871186221595</v>
      </c>
      <c r="W692" s="22">
        <f t="shared" si="153"/>
        <v>1.2512829185286929</v>
      </c>
      <c r="X692" s="22">
        <f t="shared" si="153"/>
        <v>1.2561904701944779</v>
      </c>
      <c r="Y692" s="22">
        <f t="shared" si="153"/>
        <v>1.2593491386453628</v>
      </c>
      <c r="Z692" s="22">
        <f t="shared" si="153"/>
        <v>1.2627961475551268</v>
      </c>
      <c r="AA692" s="22">
        <f t="shared" si="153"/>
        <v>1.2664457529398805</v>
      </c>
      <c r="AB692" s="22">
        <f t="shared" si="153"/>
        <v>1.2703809291718808</v>
      </c>
      <c r="AC692" s="22">
        <f t="shared" si="153"/>
        <v>1.2746030028640307</v>
      </c>
      <c r="AD692" s="22">
        <f t="shared" si="153"/>
        <v>1.2773820252725296</v>
      </c>
      <c r="AE692" s="22">
        <f t="shared" si="153"/>
        <v>1.2803776449106503</v>
      </c>
      <c r="AF692" s="22">
        <f t="shared" si="153"/>
        <v>1.2835712128131631</v>
      </c>
      <c r="AG692" s="22">
        <f t="shared" si="153"/>
        <v>1.2869986239202102</v>
      </c>
      <c r="AH692" s="22">
        <f t="shared" si="153"/>
        <v>1.2905377461759007</v>
      </c>
      <c r="AI692" s="22">
        <f t="shared" si="153"/>
        <v>1.2927316988521784</v>
      </c>
      <c r="AJ692" s="22">
        <f t="shared" si="153"/>
        <v>1.2950883457351767</v>
      </c>
      <c r="AK692" s="22">
        <f t="shared" si="153"/>
        <v>1.2975704821958689</v>
      </c>
      <c r="AL692" s="22">
        <f t="shared" si="153"/>
        <v>1.3001934802396349</v>
      </c>
      <c r="AM692" s="22">
        <f t="shared" si="153"/>
        <v>1.3029712180678941</v>
      </c>
      <c r="AN692" s="22">
        <f t="shared" si="153"/>
        <v>1.3044858016805112</v>
      </c>
      <c r="AO692" s="22">
        <f t="shared" si="153"/>
        <v>1.3060923439458467</v>
      </c>
      <c r="AP692" s="22">
        <f t="shared" si="153"/>
        <v>1.3078245642911324</v>
      </c>
      <c r="AQ692" s="22">
        <f t="shared" si="153"/>
        <v>1.309679240073939</v>
      </c>
      <c r="AR692" s="22">
        <f t="shared" si="153"/>
        <v>1.3116799485857458</v>
      </c>
      <c r="AS692" s="22">
        <f t="shared" si="153"/>
        <v>1.3123787967688931</v>
      </c>
      <c r="AT692" s="22">
        <f t="shared" si="153"/>
        <v>1.3129228074146826</v>
      </c>
      <c r="AU692" s="22">
        <f t="shared" si="153"/>
        <v>1.3135461658234697</v>
      </c>
      <c r="AV692" s="22">
        <f t="shared" si="153"/>
        <v>1.3142983246075228</v>
      </c>
      <c r="AW692" s="22">
        <f t="shared" si="153"/>
        <v>1.3151264553704232</v>
      </c>
      <c r="AY692" s="85"/>
      <c r="AZ692" s="85"/>
    </row>
    <row r="693" spans="1:52" x14ac:dyDescent="0.25">
      <c r="A693" s="102" t="str">
        <f t="shared" si="149"/>
        <v>NI U&amp;D</v>
      </c>
      <c r="B693" s="102" t="s">
        <v>970</v>
      </c>
      <c r="C693" s="102" t="s">
        <v>1337</v>
      </c>
      <c r="D693" t="s">
        <v>369</v>
      </c>
      <c r="E693" t="s">
        <v>55</v>
      </c>
      <c r="F693" t="s">
        <v>422</v>
      </c>
      <c r="G693" t="s">
        <v>1173</v>
      </c>
      <c r="H693" t="s">
        <v>1251</v>
      </c>
      <c r="I693" t="s">
        <v>139</v>
      </c>
      <c r="J693" t="s">
        <v>287</v>
      </c>
      <c r="K693" s="22">
        <f t="shared" si="152"/>
        <v>0.19181822763057532</v>
      </c>
      <c r="L693" s="22">
        <f t="shared" si="153"/>
        <v>0.19311010534642395</v>
      </c>
      <c r="M693" s="22">
        <f t="shared" si="153"/>
        <v>0.19389173119299405</v>
      </c>
      <c r="N693" s="22">
        <f t="shared" si="153"/>
        <v>0.19286331841675533</v>
      </c>
      <c r="O693" s="22">
        <f t="shared" si="153"/>
        <v>0.19181235815879408</v>
      </c>
      <c r="P693" s="22">
        <f t="shared" si="153"/>
        <v>0.19246355732374573</v>
      </c>
      <c r="Q693" s="22">
        <f t="shared" si="153"/>
        <v>0.19254768245204176</v>
      </c>
      <c r="R693" s="22">
        <f t="shared" si="153"/>
        <v>0.1907519738898287</v>
      </c>
      <c r="S693" s="22">
        <f t="shared" si="153"/>
        <v>0.18088699682644091</v>
      </c>
      <c r="T693" s="22">
        <f t="shared" si="153"/>
        <v>0.1838972381660133</v>
      </c>
      <c r="U693" s="22">
        <f t="shared" si="153"/>
        <v>0.18587548996919678</v>
      </c>
      <c r="V693" s="22">
        <f t="shared" si="153"/>
        <v>0.18760159282395869</v>
      </c>
      <c r="W693" s="22">
        <f t="shared" si="153"/>
        <v>0.1896732782375587</v>
      </c>
      <c r="X693" s="22">
        <f t="shared" si="153"/>
        <v>0.1930022477976579</v>
      </c>
      <c r="Y693" s="22">
        <f t="shared" si="153"/>
        <v>0.19680822491201644</v>
      </c>
      <c r="Z693" s="22">
        <f t="shared" si="153"/>
        <v>0.20092114686502896</v>
      </c>
      <c r="AA693" s="22">
        <f t="shared" si="153"/>
        <v>0.20449468327122119</v>
      </c>
      <c r="AB693" s="22">
        <f t="shared" si="153"/>
        <v>0.20863723377024176</v>
      </c>
      <c r="AC693" s="22">
        <f t="shared" si="153"/>
        <v>0.21348409201000912</v>
      </c>
      <c r="AD693" s="22">
        <f t="shared" si="153"/>
        <v>0.21835511855598433</v>
      </c>
      <c r="AE693" s="22">
        <f t="shared" si="153"/>
        <v>0.22343868148870985</v>
      </c>
      <c r="AF693" s="22">
        <f t="shared" si="153"/>
        <v>0.22861834548683552</v>
      </c>
      <c r="AG693" s="22">
        <f t="shared" si="153"/>
        <v>0.23439670920107816</v>
      </c>
      <c r="AH693" s="22">
        <f t="shared" si="153"/>
        <v>0.23945118587989581</v>
      </c>
      <c r="AI693" s="22">
        <f t="shared" si="153"/>
        <v>0.24500563890300198</v>
      </c>
      <c r="AJ693" s="22">
        <f t="shared" si="153"/>
        <v>0.25065226424650994</v>
      </c>
      <c r="AK693" s="22">
        <f t="shared" si="153"/>
        <v>0.25603495440723167</v>
      </c>
      <c r="AL693" s="22">
        <f t="shared" si="153"/>
        <v>0.26139389266760604</v>
      </c>
      <c r="AM693" s="22">
        <f t="shared" si="153"/>
        <v>0.26694586167829398</v>
      </c>
      <c r="AN693" s="22">
        <f t="shared" si="153"/>
        <v>0.2729875481925238</v>
      </c>
      <c r="AO693" s="22">
        <f t="shared" si="153"/>
        <v>0.27866949697835908</v>
      </c>
      <c r="AP693" s="22">
        <f t="shared" si="153"/>
        <v>0.28442636508269281</v>
      </c>
      <c r="AQ693" s="22">
        <f t="shared" si="153"/>
        <v>0.29026877942449542</v>
      </c>
      <c r="AR693" s="22">
        <f t="shared" si="153"/>
        <v>0.2965076361345787</v>
      </c>
      <c r="AS693" s="22">
        <f t="shared" si="153"/>
        <v>0.30314124222534444</v>
      </c>
      <c r="AT693" s="22">
        <f t="shared" si="153"/>
        <v>0.30687944467675132</v>
      </c>
      <c r="AU693" s="22">
        <f t="shared" si="153"/>
        <v>0.31041516575775774</v>
      </c>
      <c r="AV693" s="22">
        <f t="shared" si="153"/>
        <v>0.31434593932944749</v>
      </c>
      <c r="AW693" s="22">
        <f t="shared" si="153"/>
        <v>0.31810899011348942</v>
      </c>
      <c r="AY693" s="85"/>
      <c r="AZ693" s="85"/>
    </row>
    <row r="694" spans="1:52" x14ac:dyDescent="0.25">
      <c r="A694" s="102" t="str">
        <f t="shared" si="149"/>
        <v>NI U&amp;D</v>
      </c>
      <c r="B694" s="102" t="s">
        <v>970</v>
      </c>
      <c r="C694" s="102" t="s">
        <v>1337</v>
      </c>
      <c r="D694" t="s">
        <v>369</v>
      </c>
      <c r="E694" t="s">
        <v>55</v>
      </c>
      <c r="F694" t="s">
        <v>422</v>
      </c>
      <c r="G694" t="s">
        <v>1175</v>
      </c>
      <c r="H694" t="s">
        <v>1252</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85"/>
      <c r="AZ694" s="85"/>
    </row>
    <row r="695" spans="1:52" x14ac:dyDescent="0.25">
      <c r="A695" s="102" t="str">
        <f t="shared" si="149"/>
        <v>NI U&amp;D</v>
      </c>
      <c r="B695" s="102" t="s">
        <v>970</v>
      </c>
      <c r="C695" s="102" t="s">
        <v>1337</v>
      </c>
      <c r="D695" t="s">
        <v>369</v>
      </c>
      <c r="E695" t="s">
        <v>55</v>
      </c>
      <c r="F695" t="s">
        <v>422</v>
      </c>
      <c r="G695" t="s">
        <v>1177</v>
      </c>
      <c r="H695" t="s">
        <v>1253</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85"/>
      <c r="AZ695" s="85"/>
    </row>
    <row r="696" spans="1:52" x14ac:dyDescent="0.25">
      <c r="A696" s="102" t="str">
        <f t="shared" si="149"/>
        <v>NI U&amp;D</v>
      </c>
      <c r="B696" s="102" t="s">
        <v>970</v>
      </c>
      <c r="C696" s="102" t="s">
        <v>1337</v>
      </c>
      <c r="D696" t="s">
        <v>369</v>
      </c>
      <c r="E696" t="s">
        <v>55</v>
      </c>
      <c r="F696" t="s">
        <v>422</v>
      </c>
      <c r="G696" t="s">
        <v>1179</v>
      </c>
      <c r="H696" t="s">
        <v>1254</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85"/>
      <c r="AZ696" s="85"/>
    </row>
    <row r="697" spans="1:52" x14ac:dyDescent="0.25">
      <c r="A697" s="102" t="str">
        <f t="shared" si="149"/>
        <v>NI U&amp;D</v>
      </c>
      <c r="B697" s="102" t="s">
        <v>970</v>
      </c>
      <c r="C697" s="102" t="s">
        <v>1337</v>
      </c>
      <c r="D697" t="s">
        <v>369</v>
      </c>
      <c r="E697" t="s">
        <v>55</v>
      </c>
      <c r="F697" t="s">
        <v>422</v>
      </c>
      <c r="G697" t="s">
        <v>1181</v>
      </c>
      <c r="H697" t="s">
        <v>1255</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85"/>
      <c r="AZ697" s="85"/>
    </row>
    <row r="698" spans="1:52" x14ac:dyDescent="0.25">
      <c r="A698" s="102" t="str">
        <f t="shared" si="149"/>
        <v>NI U&amp;D</v>
      </c>
      <c r="B698" s="102" t="s">
        <v>970</v>
      </c>
      <c r="C698" s="102" t="s">
        <v>1337</v>
      </c>
      <c r="D698" t="s">
        <v>369</v>
      </c>
      <c r="E698" t="s">
        <v>55</v>
      </c>
      <c r="F698" t="s">
        <v>422</v>
      </c>
      <c r="G698" t="s">
        <v>1183</v>
      </c>
      <c r="H698" t="s">
        <v>1256</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85"/>
      <c r="AZ698" s="85"/>
    </row>
    <row r="699" spans="1:52" x14ac:dyDescent="0.25">
      <c r="A699" s="102" t="str">
        <f t="shared" si="149"/>
        <v>NI FSOM</v>
      </c>
      <c r="B699" s="102" t="s">
        <v>970</v>
      </c>
      <c r="C699" s="102" t="s">
        <v>60</v>
      </c>
      <c r="D699" t="s">
        <v>369</v>
      </c>
      <c r="E699" t="s">
        <v>55</v>
      </c>
      <c r="F699" t="s">
        <v>60</v>
      </c>
      <c r="G699" t="s">
        <v>1267</v>
      </c>
      <c r="H699" t="s">
        <v>1268</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85"/>
      <c r="AZ699" s="85"/>
    </row>
    <row r="700" spans="1:52" x14ac:dyDescent="0.25">
      <c r="A700" s="102" t="str">
        <f t="shared" si="149"/>
        <v>NI FSOM</v>
      </c>
      <c r="B700" s="102" t="s">
        <v>970</v>
      </c>
      <c r="C700" s="102" t="s">
        <v>60</v>
      </c>
      <c r="D700" t="s">
        <v>369</v>
      </c>
      <c r="E700" t="s">
        <v>55</v>
      </c>
      <c r="F700" t="s">
        <v>60</v>
      </c>
      <c r="G700" t="s">
        <v>1269</v>
      </c>
      <c r="H700" t="s">
        <v>1270</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85"/>
      <c r="AZ700" s="85"/>
    </row>
    <row r="701" spans="1:52" x14ac:dyDescent="0.25">
      <c r="A701" s="102" t="str">
        <f t="shared" si="149"/>
        <v>NI FSOM</v>
      </c>
      <c r="B701" s="102" t="s">
        <v>970</v>
      </c>
      <c r="C701" s="102" t="s">
        <v>60</v>
      </c>
      <c r="D701" t="s">
        <v>369</v>
      </c>
      <c r="E701" t="s">
        <v>55</v>
      </c>
      <c r="F701" t="s">
        <v>60</v>
      </c>
      <c r="G701" t="s">
        <v>1271</v>
      </c>
      <c r="H701" t="s">
        <v>1272</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85"/>
      <c r="AZ701" s="85"/>
    </row>
    <row r="702" spans="1:52" x14ac:dyDescent="0.25">
      <c r="A702" s="102" t="str">
        <f t="shared" si="149"/>
        <v>NI FSOM</v>
      </c>
      <c r="B702" s="102" t="s">
        <v>970</v>
      </c>
      <c r="C702" s="102" t="s">
        <v>60</v>
      </c>
      <c r="D702" t="s">
        <v>369</v>
      </c>
      <c r="E702" t="s">
        <v>55</v>
      </c>
      <c r="F702" t="s">
        <v>60</v>
      </c>
      <c r="G702" t="s">
        <v>1273</v>
      </c>
      <c r="H702" t="s">
        <v>1274</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85"/>
      <c r="AZ702" s="85"/>
    </row>
    <row r="703" spans="1:52" x14ac:dyDescent="0.25">
      <c r="A703" s="102" t="str">
        <f t="shared" si="149"/>
        <v>NI FSOM</v>
      </c>
      <c r="B703" s="102" t="s">
        <v>970</v>
      </c>
      <c r="C703" s="102" t="s">
        <v>60</v>
      </c>
      <c r="D703" t="s">
        <v>369</v>
      </c>
      <c r="E703" t="s">
        <v>55</v>
      </c>
      <c r="F703" t="s">
        <v>60</v>
      </c>
      <c r="G703" t="s">
        <v>1275</v>
      </c>
      <c r="H703" t="s">
        <v>1276</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85"/>
      <c r="AZ703" s="85"/>
    </row>
    <row r="704" spans="1:52" x14ac:dyDescent="0.25">
      <c r="A704" s="102" t="str">
        <f t="shared" si="149"/>
        <v>NI FSOM</v>
      </c>
      <c r="B704" s="102" t="s">
        <v>970</v>
      </c>
      <c r="C704" s="102" t="s">
        <v>60</v>
      </c>
      <c r="D704" t="s">
        <v>369</v>
      </c>
      <c r="E704" t="s">
        <v>55</v>
      </c>
      <c r="F704" t="s">
        <v>60</v>
      </c>
      <c r="G704" t="s">
        <v>1277</v>
      </c>
      <c r="H704" t="s">
        <v>1278</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85"/>
      <c r="AZ704" s="85"/>
    </row>
    <row r="705" spans="1:52" x14ac:dyDescent="0.25">
      <c r="A705" s="102" t="str">
        <f t="shared" si="149"/>
        <v>NI FSOM</v>
      </c>
      <c r="B705" s="102" t="s">
        <v>970</v>
      </c>
      <c r="C705" s="102" t="s">
        <v>60</v>
      </c>
      <c r="D705" t="s">
        <v>369</v>
      </c>
      <c r="E705" t="s">
        <v>55</v>
      </c>
      <c r="F705" t="s">
        <v>60</v>
      </c>
      <c r="G705" t="s">
        <v>1279</v>
      </c>
      <c r="H705" t="s">
        <v>1280</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85"/>
      <c r="AZ705" s="85"/>
    </row>
    <row r="706" spans="1:52" x14ac:dyDescent="0.25">
      <c r="A706" s="102" t="str">
        <f t="shared" si="149"/>
        <v>NI FSOM</v>
      </c>
      <c r="B706" s="102" t="s">
        <v>970</v>
      </c>
      <c r="C706" s="102" t="s">
        <v>60</v>
      </c>
      <c r="D706" t="s">
        <v>369</v>
      </c>
      <c r="E706" t="s">
        <v>55</v>
      </c>
      <c r="F706" t="s">
        <v>60</v>
      </c>
      <c r="G706" t="s">
        <v>1281</v>
      </c>
      <c r="H706" t="s">
        <v>1282</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85"/>
      <c r="AZ706" s="85"/>
    </row>
    <row r="707" spans="1:52" x14ac:dyDescent="0.25">
      <c r="A707" s="102" t="str">
        <f t="shared" si="149"/>
        <v>NI FSOM</v>
      </c>
      <c r="B707" s="102" t="s">
        <v>970</v>
      </c>
      <c r="C707" s="102" t="s">
        <v>60</v>
      </c>
      <c r="D707" t="s">
        <v>369</v>
      </c>
      <c r="E707" t="s">
        <v>55</v>
      </c>
      <c r="F707" t="s">
        <v>60</v>
      </c>
      <c r="G707" t="s">
        <v>1283</v>
      </c>
      <c r="H707" t="s">
        <v>1284</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85"/>
      <c r="AZ707" s="85"/>
    </row>
    <row r="708" spans="1:52" x14ac:dyDescent="0.25">
      <c r="A708" s="102" t="str">
        <f t="shared" si="149"/>
        <v>NI FSOM</v>
      </c>
      <c r="B708" s="102" t="s">
        <v>970</v>
      </c>
      <c r="C708" s="102" t="s">
        <v>60</v>
      </c>
      <c r="D708" t="s">
        <v>369</v>
      </c>
      <c r="E708" t="s">
        <v>55</v>
      </c>
      <c r="F708" t="s">
        <v>60</v>
      </c>
      <c r="G708" t="s">
        <v>1285</v>
      </c>
      <c r="H708" t="s">
        <v>1286</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85"/>
      <c r="AZ708" s="85"/>
    </row>
    <row r="709" spans="1:52" x14ac:dyDescent="0.25">
      <c r="A709" s="102" t="str">
        <f t="shared" si="149"/>
        <v>NI FSOM</v>
      </c>
      <c r="B709" s="102" t="s">
        <v>970</v>
      </c>
      <c r="C709" s="102" t="s">
        <v>60</v>
      </c>
      <c r="D709" t="s">
        <v>369</v>
      </c>
      <c r="E709" t="s">
        <v>55</v>
      </c>
      <c r="F709" t="s">
        <v>60</v>
      </c>
      <c r="G709" t="s">
        <v>1287</v>
      </c>
      <c r="H709" t="s">
        <v>1288</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85"/>
      <c r="AZ709" s="85"/>
    </row>
    <row r="710" spans="1:52" x14ac:dyDescent="0.25">
      <c r="A710" s="102" t="str">
        <f t="shared" si="149"/>
        <v>NI FSOM</v>
      </c>
      <c r="B710" s="102" t="s">
        <v>970</v>
      </c>
      <c r="C710" s="102" t="s">
        <v>60</v>
      </c>
      <c r="D710" t="s">
        <v>369</v>
      </c>
      <c r="E710" t="s">
        <v>55</v>
      </c>
      <c r="F710" t="s">
        <v>60</v>
      </c>
      <c r="G710" t="s">
        <v>1289</v>
      </c>
      <c r="H710" t="s">
        <v>1290</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85"/>
      <c r="AZ710" s="85"/>
    </row>
    <row r="711" spans="1:52" x14ac:dyDescent="0.25">
      <c r="A711" s="102" t="str">
        <f t="shared" si="149"/>
        <v>NI Volatilisation</v>
      </c>
      <c r="B711" s="102" t="s">
        <v>970</v>
      </c>
      <c r="C711" s="102" t="s">
        <v>62</v>
      </c>
      <c r="D711" t="s">
        <v>369</v>
      </c>
      <c r="E711" t="s">
        <v>61</v>
      </c>
      <c r="F711" t="s">
        <v>62</v>
      </c>
      <c r="G711" t="s">
        <v>435</v>
      </c>
      <c r="H711" t="s">
        <v>1185</v>
      </c>
      <c r="I711" t="s">
        <v>139</v>
      </c>
      <c r="J711" t="s">
        <v>287</v>
      </c>
      <c r="K711" s="101">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101">
        <f>IF('Net zero activities &amp; levers'!$C$9="Off",'Activity data'!AE47*ttokg*FracGASF*MSVolatEF*NtoN2O*kgtoGg,IF('Net zero activities &amp; levers'!$C$9="On",(('Net zero supporting data'!C157*ttokg*FracGASF*'Net zero supporting data'!C184)+('Net zero supporting data'!C169*ttokg*FracGASF*MMVolatEF))*NtoN2O*kgtoGg,"ERROR"))</f>
        <v>0.66056660352543128</v>
      </c>
      <c r="M711" s="101">
        <f>IF('Net zero activities &amp; levers'!$C$9="Off",'Activity data'!AF47*ttokg*FracGASF*MSVolatEF*NtoN2O*kgtoGg,IF('Net zero activities &amp; levers'!$C$9="On",(('Net zero supporting data'!D157*ttokg*FracGASF*'Net zero supporting data'!D184)+('Net zero supporting data'!D169*ttokg*FracGASF*MMVolatEF))*NtoN2O*kgtoGg,"ERROR"))</f>
        <v>0.66042995522505377</v>
      </c>
      <c r="N711" s="101">
        <f>IF('Net zero activities &amp; levers'!$C$9="Off",'Activity data'!AG47*ttokg*FracGASF*MSVolatEF*NtoN2O*kgtoGg,IF('Net zero activities &amp; levers'!$C$9="On",(('Net zero supporting data'!E157*ttokg*FracGASF*'Net zero supporting data'!E184)+('Net zero supporting data'!E169*ttokg*FracGASF*MMVolatEF))*NtoN2O*kgtoGg,"ERROR"))</f>
        <v>0.66031365898338112</v>
      </c>
      <c r="O711" s="101">
        <f>IF('Net zero activities &amp; levers'!$C$9="Off",'Activity data'!AH47*ttokg*FracGASF*MSVolatEF*NtoN2O*kgtoGg,IF('Net zero activities &amp; levers'!$C$9="On",(('Net zero supporting data'!F157*ttokg*FracGASF*'Net zero supporting data'!F184)+('Net zero supporting data'!F169*ttokg*FracGASF*MMVolatEF))*NtoN2O*kgtoGg,"ERROR"))</f>
        <v>0.66027560568732091</v>
      </c>
      <c r="P711" s="101">
        <f>IF('Net zero activities &amp; levers'!$C$9="Off",'Activity data'!AI47*ttokg*FracGASF*MSVolatEF*NtoN2O*kgtoGg,IF('Net zero activities &amp; levers'!$C$9="On",(('Net zero supporting data'!G157*ttokg*FracGASF*'Net zero supporting data'!G184)+('Net zero supporting data'!G169*ttokg*FracGASF*MMVolatEF))*NtoN2O*kgtoGg,"ERROR"))</f>
        <v>0.66023708971175277</v>
      </c>
      <c r="Q711" s="101">
        <f>IF('Net zero activities &amp; levers'!$C$9="Off",'Activity data'!AJ47*ttokg*FracGASF*MSVolatEF*NtoN2O*kgtoGg,IF('Net zero activities &amp; levers'!$C$9="On",(('Net zero supporting data'!H157*ttokg*FracGASF*'Net zero supporting data'!H184)+('Net zero supporting data'!H169*ttokg*FracGASF*MMVolatEF))*NtoN2O*kgtoGg,"ERROR"))</f>
        <v>0.66011966991986881</v>
      </c>
      <c r="R711" s="101">
        <f>IF('Net zero activities &amp; levers'!$C$9="Off",'Activity data'!AK47*ttokg*FracGASF*MSVolatEF*NtoN2O*kgtoGg,IF('Net zero activities &amp; levers'!$C$9="On",(('Net zero supporting data'!I157*ttokg*FracGASF*'Net zero supporting data'!I184)+('Net zero supporting data'!I169*ttokg*FracGASF*MMVolatEF))*NtoN2O*kgtoGg,"ERROR"))</f>
        <v>0.66002765167075472</v>
      </c>
      <c r="S711" s="101">
        <f>IF('Net zero activities &amp; levers'!$C$9="Off",'Activity data'!AL47*ttokg*FracGASF*MSVolatEF*NtoN2O*kgtoGg,IF('Net zero activities &amp; levers'!$C$9="On",(('Net zero supporting data'!J157*ttokg*FracGASF*'Net zero supporting data'!J184)+('Net zero supporting data'!J169*ttokg*FracGASF*MMVolatEF))*NtoN2O*kgtoGg,"ERROR"))</f>
        <v>0.66002145648060517</v>
      </c>
      <c r="T711" s="101">
        <f>IF('Net zero activities &amp; levers'!$C$9="Off",'Activity data'!AM47*ttokg*FracGASF*MSVolatEF*NtoN2O*kgtoGg,IF('Net zero activities &amp; levers'!$C$9="On",(('Net zero supporting data'!K157*ttokg*FracGASF*'Net zero supporting data'!K184)+('Net zero supporting data'!K169*ttokg*FracGASF*MMVolatEF))*NtoN2O*kgtoGg,"ERROR"))</f>
        <v>0.64884713357569712</v>
      </c>
      <c r="U711" s="101">
        <f>IF('Net zero activities &amp; levers'!$C$9="Off",'Activity data'!AN47*ttokg*FracGASF*MSVolatEF*NtoN2O*kgtoGg,IF('Net zero activities &amp; levers'!$C$9="On",(('Net zero supporting data'!L157*ttokg*FracGASF*'Net zero supporting data'!L184)+('Net zero supporting data'!L169*ttokg*FracGASF*MMVolatEF))*NtoN2O*kgtoGg,"ERROR"))</f>
        <v>0.63708803698567296</v>
      </c>
      <c r="V711" s="101">
        <f>IF('Net zero activities &amp; levers'!$C$9="Off",'Activity data'!AO47*ttokg*FracGASF*MSVolatEF*NtoN2O*kgtoGg,IF('Net zero activities &amp; levers'!$C$9="On",(('Net zero supporting data'!M157*ttokg*FracGASF*'Net zero supporting data'!M184)+('Net zero supporting data'!M169*ttokg*FracGASF*MMVolatEF))*NtoN2O*kgtoGg,"ERROR"))</f>
        <v>0.62538460566482112</v>
      </c>
      <c r="W711" s="101">
        <f>IF('Net zero activities &amp; levers'!$C$9="Off",'Activity data'!AP47*ttokg*FracGASF*MSVolatEF*NtoN2O*kgtoGg,IF('Net zero activities &amp; levers'!$C$9="On",(('Net zero supporting data'!N157*ttokg*FracGASF*'Net zero supporting data'!N184)+('Net zero supporting data'!N169*ttokg*FracGASF*MMVolatEF))*NtoN2O*kgtoGg,"ERROR"))</f>
        <v>0.61369820845996637</v>
      </c>
      <c r="X711" s="101">
        <f>IF('Net zero activities &amp; levers'!$C$9="Off",'Activity data'!AQ47*ttokg*FracGASF*MSVolatEF*NtoN2O*kgtoGg,IF('Net zero activities &amp; levers'!$C$9="On",(('Net zero supporting data'!O157*ttokg*FracGASF*'Net zero supporting data'!O184)+('Net zero supporting data'!O169*ttokg*FracGASF*MMVolatEF))*NtoN2O*kgtoGg,"ERROR"))</f>
        <v>0.6020021273988051</v>
      </c>
      <c r="Y711" s="101">
        <f>IF('Net zero activities &amp; levers'!$C$9="Off",'Activity data'!AR47*ttokg*FracGASF*MSVolatEF*NtoN2O*kgtoGg,IF('Net zero activities &amp; levers'!$C$9="On",(('Net zero supporting data'!P157*ttokg*FracGASF*'Net zero supporting data'!P184)+('Net zero supporting data'!P169*ttokg*FracGASF*MMVolatEF))*NtoN2O*kgtoGg,"ERROR"))</f>
        <v>0.5902596122009317</v>
      </c>
      <c r="Z711" s="101">
        <f>IF('Net zero activities &amp; levers'!$C$9="Off",'Activity data'!AS47*ttokg*FracGASF*MSVolatEF*NtoN2O*kgtoGg,IF('Net zero activities &amp; levers'!$C$9="On",(('Net zero supporting data'!Q157*ttokg*FracGASF*'Net zero supporting data'!Q184)+('Net zero supporting data'!Q169*ttokg*FracGASF*MMVolatEF))*NtoN2O*kgtoGg,"ERROR"))</f>
        <v>0.5785156981443339</v>
      </c>
      <c r="AA711" s="101">
        <f>IF('Net zero activities &amp; levers'!$C$9="Off",'Activity data'!AT47*ttokg*FracGASF*MSVolatEF*NtoN2O*kgtoGg,IF('Net zero activities &amp; levers'!$C$9="On",(('Net zero supporting data'!R157*ttokg*FracGASF*'Net zero supporting data'!R184)+('Net zero supporting data'!R169*ttokg*FracGASF*MMVolatEF))*NtoN2O*kgtoGg,"ERROR"))</f>
        <v>0.5667705411124212</v>
      </c>
      <c r="AB711" s="101">
        <f>IF('Net zero activities &amp; levers'!$C$9="Off",'Activity data'!AU47*ttokg*FracGASF*MSVolatEF*NtoN2O*kgtoGg,IF('Net zero activities &amp; levers'!$C$9="On",(('Net zero supporting data'!S157*ttokg*FracGASF*'Net zero supporting data'!S184)+('Net zero supporting data'!S169*ttokg*FracGASF*MMVolatEF))*NtoN2O*kgtoGg,"ERROR"))</f>
        <v>0.55505648633992311</v>
      </c>
      <c r="AC711" s="101">
        <f>IF('Net zero activities &amp; levers'!$C$9="Off",'Activity data'!AV47*ttokg*FracGASF*MSVolatEF*NtoN2O*kgtoGg,IF('Net zero activities &amp; levers'!$C$9="On",(('Net zero supporting data'!T157*ttokg*FracGASF*'Net zero supporting data'!T184)+('Net zero supporting data'!T169*ttokg*FracGASF*MMVolatEF))*NtoN2O*kgtoGg,"ERROR"))</f>
        <v>0.54333166304000646</v>
      </c>
      <c r="AD711" s="101">
        <f>IF('Net zero activities &amp; levers'!$C$9="Off",'Activity data'!AW47*ttokg*FracGASF*MSVolatEF*NtoN2O*kgtoGg,IF('Net zero activities &amp; levers'!$C$9="On",(('Net zero supporting data'!U157*ttokg*FracGASF*'Net zero supporting data'!U184)+('Net zero supporting data'!U169*ttokg*FracGASF*MMVolatEF))*NtoN2O*kgtoGg,"ERROR"))</f>
        <v>0.53159379976462073</v>
      </c>
      <c r="AE711" s="101">
        <f>IF('Net zero activities &amp; levers'!$C$9="Off",'Activity data'!AX47*ttokg*FracGASF*MSVolatEF*NtoN2O*kgtoGg,IF('Net zero activities &amp; levers'!$C$9="On",(('Net zero supporting data'!V157*ttokg*FracGASF*'Net zero supporting data'!V184)+('Net zero supporting data'!V169*ttokg*FracGASF*MMVolatEF))*NtoN2O*kgtoGg,"ERROR"))</f>
        <v>0.51987392259821752</v>
      </c>
      <c r="AF711" s="101">
        <f>IF('Net zero activities &amp; levers'!$C$9="Off",'Activity data'!AY47*ttokg*FracGASF*MSVolatEF*NtoN2O*kgtoGg,IF('Net zero activities &amp; levers'!$C$9="On",(('Net zero supporting data'!W157*ttokg*FracGASF*'Net zero supporting data'!W184)+('Net zero supporting data'!W169*ttokg*FracGASF*MMVolatEF))*NtoN2O*kgtoGg,"ERROR"))</f>
        <v>0.5081596249755701</v>
      </c>
      <c r="AG711" s="101">
        <f>IF('Net zero activities &amp; levers'!$C$9="Off",'Activity data'!AZ47*ttokg*FracGASF*MSVolatEF*NtoN2O*kgtoGg,IF('Net zero activities &amp; levers'!$C$9="On",(('Net zero supporting data'!X157*ttokg*FracGASF*'Net zero supporting data'!X184)+('Net zero supporting data'!X169*ttokg*FracGASF*MMVolatEF))*NtoN2O*kgtoGg,"ERROR"))</f>
        <v>0.49645485717820759</v>
      </c>
      <c r="AH711" s="101">
        <f>IF('Net zero activities &amp; levers'!$C$9="Off",'Activity data'!BA47*ttokg*FracGASF*MSVolatEF*NtoN2O*kgtoGg,IF('Net zero activities &amp; levers'!$C$9="On",(('Net zero supporting data'!Y157*ttokg*FracGASF*'Net zero supporting data'!Y184)+('Net zero supporting data'!Y169*ttokg*FracGASF*MMVolatEF))*NtoN2O*kgtoGg,"ERROR"))</f>
        <v>0.48474557390037626</v>
      </c>
      <c r="AI711" s="101">
        <f>IF('Net zero activities &amp; levers'!$C$9="Off",'Activity data'!BB47*ttokg*FracGASF*MSVolatEF*NtoN2O*kgtoGg,IF('Net zero activities &amp; levers'!$C$9="On",(('Net zero supporting data'!Z157*ttokg*FracGASF*'Net zero supporting data'!Z184)+('Net zero supporting data'!Z169*ttokg*FracGASF*MMVolatEF))*NtoN2O*kgtoGg,"ERROR"))</f>
        <v>0.47306898681441428</v>
      </c>
      <c r="AJ711" s="101">
        <f>IF('Net zero activities &amp; levers'!$C$9="Off",'Activity data'!BC47*ttokg*FracGASF*MSVolatEF*NtoN2O*kgtoGg,IF('Net zero activities &amp; levers'!$C$9="On",(('Net zero supporting data'!AA157*ttokg*FracGASF*'Net zero supporting data'!AA184)+('Net zero supporting data'!AA169*ttokg*FracGASF*MMVolatEF))*NtoN2O*kgtoGg,"ERROR"))</f>
        <v>0.46139615258641831</v>
      </c>
      <c r="AK711" s="101">
        <f>IF('Net zero activities &amp; levers'!$C$9="Off",'Activity data'!BD47*ttokg*FracGASF*MSVolatEF*NtoN2O*kgtoGg,IF('Net zero activities &amp; levers'!$C$9="On",(('Net zero supporting data'!AB157*ttokg*FracGASF*'Net zero supporting data'!AB184)+('Net zero supporting data'!AB169*ttokg*FracGASF*MMVolatEF))*NtoN2O*kgtoGg,"ERROR"))</f>
        <v>0.44973293431913319</v>
      </c>
      <c r="AL711" s="101">
        <f>IF('Net zero activities &amp; levers'!$C$9="Off",'Activity data'!BE47*ttokg*FracGASF*MSVolatEF*NtoN2O*kgtoGg,IF('Net zero activities &amp; levers'!$C$9="On",(('Net zero supporting data'!AC157*ttokg*FracGASF*'Net zero supporting data'!AC184)+('Net zero supporting data'!AC169*ttokg*FracGASF*MMVolatEF))*NtoN2O*kgtoGg,"ERROR"))</f>
        <v>0.4380874487369647</v>
      </c>
      <c r="AM711" s="101">
        <f>IF('Net zero activities &amp; levers'!$C$9="Off",'Activity data'!BF47*ttokg*FracGASF*MSVolatEF*NtoN2O*kgtoGg,IF('Net zero activities &amp; levers'!$C$9="On",(('Net zero supporting data'!AD157*ttokg*FracGASF*'Net zero supporting data'!AD184)+('Net zero supporting data'!AD169*ttokg*FracGASF*MMVolatEF))*NtoN2O*kgtoGg,"ERROR"))</f>
        <v>0.42645319482134658</v>
      </c>
      <c r="AN711" s="101">
        <f>IF('Net zero activities &amp; levers'!$C$9="Off",'Activity data'!BG47*ttokg*FracGASF*MSVolatEF*NtoN2O*kgtoGg,IF('Net zero activities &amp; levers'!$C$9="On",(('Net zero supporting data'!AE157*ttokg*FracGASF*'Net zero supporting data'!AE184)+('Net zero supporting data'!AE169*ttokg*FracGASF*MMVolatEF))*NtoN2O*kgtoGg,"ERROR"))</f>
        <v>0.42630265119364436</v>
      </c>
      <c r="AO711" s="101">
        <f>IF('Net zero activities &amp; levers'!$C$9="Off",'Activity data'!BH47*ttokg*FracGASF*MSVolatEF*NtoN2O*kgtoGg,IF('Net zero activities &amp; levers'!$C$9="On",(('Net zero supporting data'!AF157*ttokg*FracGASF*'Net zero supporting data'!AF184)+('Net zero supporting data'!AF169*ttokg*FracGASF*MMVolatEF))*NtoN2O*kgtoGg,"ERROR"))</f>
        <v>0.42614899499211401</v>
      </c>
      <c r="AP711" s="101">
        <f>IF('Net zero activities &amp; levers'!$C$9="Off",'Activity data'!BI47*ttokg*FracGASF*MSVolatEF*NtoN2O*kgtoGg,IF('Net zero activities &amp; levers'!$C$9="On",(('Net zero supporting data'!AG157*ttokg*FracGASF*'Net zero supporting data'!AG184)+('Net zero supporting data'!AG169*ttokg*FracGASF*MMVolatEF))*NtoN2O*kgtoGg,"ERROR"))</f>
        <v>0.42600556212534957</v>
      </c>
      <c r="AQ711" s="101">
        <f>IF('Net zero activities &amp; levers'!$C$9="Off",'Activity data'!BJ47*ttokg*FracGASF*MSVolatEF*NtoN2O*kgtoGg,IF('Net zero activities &amp; levers'!$C$9="On",(('Net zero supporting data'!AH157*ttokg*FracGASF*'Net zero supporting data'!AH184)+('Net zero supporting data'!AH169*ttokg*FracGASF*MMVolatEF))*NtoN2O*kgtoGg,"ERROR"))</f>
        <v>0.4258630576999537</v>
      </c>
      <c r="AR711" s="101">
        <f>IF('Net zero activities &amp; levers'!$C$9="Off",'Activity data'!BK47*ttokg*FracGASF*MSVolatEF*NtoN2O*kgtoGg,IF('Net zero activities &amp; levers'!$C$9="On",(('Net zero supporting data'!AI157*ttokg*FracGASF*'Net zero supporting data'!AI184)+('Net zero supporting data'!AI169*ttokg*FracGASF*MMVolatEF))*NtoN2O*kgtoGg,"ERROR"))</f>
        <v>0.42572126751954814</v>
      </c>
      <c r="AS711" s="101">
        <f>IF('Net zero activities &amp; levers'!$C$9="Off",'Activity data'!BL47*ttokg*FracGASF*MSVolatEF*NtoN2O*kgtoGg,IF('Net zero activities &amp; levers'!$C$9="On",(('Net zero supporting data'!AJ157*ttokg*FracGASF*'Net zero supporting data'!AJ184)+('Net zero supporting data'!AJ169*ttokg*FracGASF*MMVolatEF))*NtoN2O*kgtoGg,"ERROR"))</f>
        <v>0.42557426056629877</v>
      </c>
      <c r="AT711" s="101">
        <f>IF('Net zero activities &amp; levers'!$C$9="Off",'Activity data'!BM47*ttokg*FracGASF*MSVolatEF*NtoN2O*kgtoGg,IF('Net zero activities &amp; levers'!$C$9="On",(('Net zero supporting data'!AK157*ttokg*FracGASF*'Net zero supporting data'!AK184)+('Net zero supporting data'!AK169*ttokg*FracGASF*MMVolatEF))*NtoN2O*kgtoGg,"ERROR"))</f>
        <v>0.4254272279998963</v>
      </c>
      <c r="AU711" s="101">
        <f>IF('Net zero activities &amp; levers'!$C$9="Off",'Activity data'!BN47*ttokg*FracGASF*MSVolatEF*NtoN2O*kgtoGg,IF('Net zero activities &amp; levers'!$C$9="On",(('Net zero supporting data'!AL157*ttokg*FracGASF*'Net zero supporting data'!AL184)+('Net zero supporting data'!AL169*ttokg*FracGASF*MMVolatEF))*NtoN2O*kgtoGg,"ERROR"))</f>
        <v>0.42533600661556659</v>
      </c>
      <c r="AV711" s="101">
        <f>IF('Net zero activities &amp; levers'!$C$9="Off",'Activity data'!BO47*ttokg*FracGASF*MSVolatEF*NtoN2O*kgtoGg,IF('Net zero activities &amp; levers'!$C$9="On",(('Net zero supporting data'!AM157*ttokg*FracGASF*'Net zero supporting data'!AM184)+('Net zero supporting data'!AM169*ttokg*FracGASF*MMVolatEF))*NtoN2O*kgtoGg,"ERROR"))</f>
        <v>0.42524929028242858</v>
      </c>
      <c r="AW711" s="101">
        <f>IF('Net zero activities &amp; levers'!$C$9="Off",'Activity data'!BP47*ttokg*FracGASF*MSVolatEF*NtoN2O*kgtoGg,IF('Net zero activities &amp; levers'!$C$9="On",(('Net zero supporting data'!AN157*ttokg*FracGASF*'Net zero supporting data'!AN184)+('Net zero supporting data'!AN169*ttokg*FracGASF*MMVolatEF))*NtoN2O*kgtoGg,"ERROR"))</f>
        <v>0.42515620439195606</v>
      </c>
      <c r="AY711" s="85"/>
      <c r="AZ711" s="85"/>
    </row>
    <row r="712" spans="1:52" x14ac:dyDescent="0.25">
      <c r="A712" s="102" t="str">
        <f t="shared" si="149"/>
        <v>NI Volatilisation</v>
      </c>
      <c r="B712" s="102" t="s">
        <v>970</v>
      </c>
      <c r="C712" s="102" t="s">
        <v>62</v>
      </c>
      <c r="D712" t="s">
        <v>369</v>
      </c>
      <c r="E712" t="s">
        <v>61</v>
      </c>
      <c r="F712" t="s">
        <v>62</v>
      </c>
      <c r="G712" t="s">
        <v>436</v>
      </c>
      <c r="H712" t="s">
        <v>1186</v>
      </c>
      <c r="I712" t="s">
        <v>139</v>
      </c>
      <c r="J712" t="s">
        <v>287</v>
      </c>
      <c r="K712" s="101">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101">
        <f>IF('Net zero activities &amp; levers'!$C$9="Off",'Activity data'!AE48*ttokg*FracGASM*MSVolatEF*NtoN2O*kgtoGg,IF('Net zero activities &amp; levers'!$C$9="On",(('Net zero supporting data'!C158*ttokg*FracGASM*'Net zero supporting data'!C184)+('Net zero supporting data'!C170*ttokg*FracGASM*MSVolatEF))*NtoN2O*kgtoGg,"ERROR"))</f>
        <v>8.7194791665356954E-3</v>
      </c>
      <c r="M712" s="101">
        <f>IF('Net zero activities &amp; levers'!$C$9="Off",'Activity data'!AF48*ttokg*FracGASM*MSVolatEF*NtoN2O*kgtoGg,IF('Net zero activities &amp; levers'!$C$9="On",(('Net zero supporting data'!D158*ttokg*FracGASM*'Net zero supporting data'!D184)+('Net zero supporting data'!D170*ttokg*FracGASM*MSVolatEF))*NtoN2O*kgtoGg,"ERROR"))</f>
        <v>8.7176754089707108E-3</v>
      </c>
      <c r="N712" s="101">
        <f>IF('Net zero activities &amp; levers'!$C$9="Off",'Activity data'!AG48*ttokg*FracGASM*MSVolatEF*NtoN2O*kgtoGg,IF('Net zero activities &amp; levers'!$C$9="On",(('Net zero supporting data'!E158*ttokg*FracGASM*'Net zero supporting data'!E184)+('Net zero supporting data'!E170*ttokg*FracGASM*MSVolatEF))*NtoN2O*kgtoGg,"ERROR"))</f>
        <v>8.7161402985806314E-3</v>
      </c>
      <c r="O712" s="101">
        <f>IF('Net zero activities &amp; levers'!$C$9="Off",'Activity data'!AH48*ttokg*FracGASM*MSVolatEF*NtoN2O*kgtoGg,IF('Net zero activities &amp; levers'!$C$9="On",(('Net zero supporting data'!F158*ttokg*FracGASM*'Net zero supporting data'!F184)+('Net zero supporting data'!F170*ttokg*FracGASM*MSVolatEF))*NtoN2O*kgtoGg,"ERROR"))</f>
        <v>8.7156379950726372E-3</v>
      </c>
      <c r="P712" s="101">
        <f>IF('Net zero activities &amp; levers'!$C$9="Off",'Activity data'!AI48*ttokg*FracGASM*MSVolatEF*NtoN2O*kgtoGg,IF('Net zero activities &amp; levers'!$C$9="On",(('Net zero supporting data'!G158*ttokg*FracGASM*'Net zero supporting data'!G184)+('Net zero supporting data'!G170*ttokg*FracGASM*MSVolatEF))*NtoN2O*kgtoGg,"ERROR"))</f>
        <v>8.7151295841951387E-3</v>
      </c>
      <c r="Q712" s="101">
        <f>IF('Net zero activities &amp; levers'!$C$9="Off",'Activity data'!AJ48*ttokg*FracGASM*MSVolatEF*NtoN2O*kgtoGg,IF('Net zero activities &amp; levers'!$C$9="On",(('Net zero supporting data'!H158*ttokg*FracGASM*'Net zero supporting data'!H184)+('Net zero supporting data'!H170*ttokg*FracGASM*MSVolatEF))*NtoN2O*kgtoGg,"ERROR"))</f>
        <v>8.7135796429422714E-3</v>
      </c>
      <c r="R712" s="101">
        <f>IF('Net zero activities &amp; levers'!$C$9="Off",'Activity data'!AK48*ttokg*FracGASM*MSVolatEF*NtoN2O*kgtoGg,IF('Net zero activities &amp; levers'!$C$9="On",(('Net zero supporting data'!I158*ttokg*FracGASM*'Net zero supporting data'!I184)+('Net zero supporting data'!I170*ttokg*FracGASM*MSVolatEF))*NtoN2O*kgtoGg,"ERROR"))</f>
        <v>8.7123650020539626E-3</v>
      </c>
      <c r="S712" s="101">
        <f>IF('Net zero activities &amp; levers'!$C$9="Off",'Activity data'!AL48*ttokg*FracGASM*MSVolatEF*NtoN2O*kgtoGg,IF('Net zero activities &amp; levers'!$C$9="On",(('Net zero supporting data'!J158*ttokg*FracGASM*'Net zero supporting data'!J184)+('Net zero supporting data'!J170*ttokg*FracGASM*MSVolatEF))*NtoN2O*kgtoGg,"ERROR"))</f>
        <v>8.7122832255439892E-3</v>
      </c>
      <c r="T712" s="101">
        <f>IF('Net zero activities &amp; levers'!$C$9="Off",'Activity data'!AM48*ttokg*FracGASM*MSVolatEF*NtoN2O*kgtoGg,IF('Net zero activities &amp; levers'!$C$9="On",(('Net zero supporting data'!K158*ttokg*FracGASM*'Net zero supporting data'!K184)+('Net zero supporting data'!K170*ttokg*FracGASM*MSVolatEF))*NtoN2O*kgtoGg,"ERROR"))</f>
        <v>8.5647821631992041E-3</v>
      </c>
      <c r="U712" s="101">
        <f>IF('Net zero activities &amp; levers'!$C$9="Off",'Activity data'!AN48*ttokg*FracGASM*MSVolatEF*NtoN2O*kgtoGg,IF('Net zero activities &amp; levers'!$C$9="On",(('Net zero supporting data'!L158*ttokg*FracGASM*'Net zero supporting data'!L184)+('Net zero supporting data'!L170*ttokg*FracGASM*MSVolatEF))*NtoN2O*kgtoGg,"ERROR"))</f>
        <v>8.4095620882108837E-3</v>
      </c>
      <c r="V712" s="101">
        <f>IF('Net zero activities &amp; levers'!$C$9="Off",'Activity data'!AO48*ttokg*FracGASM*MSVolatEF*NtoN2O*kgtoGg,IF('Net zero activities &amp; levers'!$C$9="On",(('Net zero supporting data'!M158*ttokg*FracGASM*'Net zero supporting data'!M184)+('Net zero supporting data'!M170*ttokg*FracGASM*MSVolatEF))*NtoN2O*kgtoGg,"ERROR"))</f>
        <v>8.2550767947756412E-3</v>
      </c>
      <c r="W712" s="101">
        <f>IF('Net zero activities &amp; levers'!$C$9="Off",'Activity data'!AP48*ttokg*FracGASM*MSVolatEF*NtoN2O*kgtoGg,IF('Net zero activities &amp; levers'!$C$9="On",(('Net zero supporting data'!N158*ttokg*FracGASM*'Net zero supporting data'!N184)+('Net zero supporting data'!N170*ttokg*FracGASM*MSVolatEF))*NtoN2O*kgtoGg,"ERROR"))</f>
        <v>8.1008163516715567E-3</v>
      </c>
      <c r="X712" s="101">
        <f>IF('Net zero activities &amp; levers'!$C$9="Off",'Activity data'!AQ48*ttokg*FracGASM*MSVolatEF*NtoN2O*kgtoGg,IF('Net zero activities &amp; levers'!$C$9="On",(('Net zero supporting data'!O158*ttokg*FracGASM*'Net zero supporting data'!O184)+('Net zero supporting data'!O170*ttokg*FracGASM*MSVolatEF))*NtoN2O*kgtoGg,"ERROR"))</f>
        <v>7.9464280816642311E-3</v>
      </c>
      <c r="Y712" s="101">
        <f>IF('Net zero activities &amp; levers'!$C$9="Off",'Activity data'!AR48*ttokg*FracGASM*MSVolatEF*NtoN2O*kgtoGg,IF('Net zero activities &amp; levers'!$C$9="On",(('Net zero supporting data'!P158*ttokg*FracGASM*'Net zero supporting data'!P184)+('Net zero supporting data'!P170*ttokg*FracGASM*MSVolatEF))*NtoN2O*kgtoGg,"ERROR"))</f>
        <v>7.7914268810522977E-3</v>
      </c>
      <c r="Z712" s="101">
        <f>IF('Net zero activities &amp; levers'!$C$9="Off",'Activity data'!AS48*ttokg*FracGASM*MSVolatEF*NtoN2O*kgtoGg,IF('Net zero activities &amp; levers'!$C$9="On",(('Net zero supporting data'!Q158*ttokg*FracGASM*'Net zero supporting data'!Q184)+('Net zero supporting data'!Q170*ttokg*FracGASM*MSVolatEF))*NtoN2O*kgtoGg,"ERROR"))</f>
        <v>7.6364072155052096E-3</v>
      </c>
      <c r="AA712" s="101">
        <f>IF('Net zero activities &amp; levers'!$C$9="Off",'Activity data'!AT48*ttokg*FracGASM*MSVolatEF*NtoN2O*kgtoGg,IF('Net zero activities &amp; levers'!$C$9="On",(('Net zero supporting data'!R158*ttokg*FracGASM*'Net zero supporting data'!R184)+('Net zero supporting data'!R170*ttokg*FracGASM*MSVolatEF))*NtoN2O*kgtoGg,"ERROR"))</f>
        <v>7.4813711426839589E-3</v>
      </c>
      <c r="AB712" s="101">
        <f>IF('Net zero activities &amp; levers'!$C$9="Off",'Activity data'!AU48*ttokg*FracGASM*MSVolatEF*NtoN2O*kgtoGg,IF('Net zero activities &amp; levers'!$C$9="On",(('Net zero supporting data'!S158*ttokg*FracGASM*'Net zero supporting data'!S184)+('Net zero supporting data'!S170*ttokg*FracGASM*MSVolatEF))*NtoN2O*kgtoGg,"ERROR"))</f>
        <v>7.3267456196869874E-3</v>
      </c>
      <c r="AC712" s="101">
        <f>IF('Net zero activities &amp; levers'!$C$9="Off",'Activity data'!AV48*ttokg*FracGASM*MSVolatEF*NtoN2O*kgtoGg,IF('Net zero activities &amp; levers'!$C$9="On",(('Net zero supporting data'!T158*ttokg*FracGASM*'Net zero supporting data'!T184)+('Net zero supporting data'!T170*ttokg*FracGASM*MSVolatEF))*NtoN2O*kgtoGg,"ERROR"))</f>
        <v>7.1719779521280842E-3</v>
      </c>
      <c r="AD712" s="101">
        <f>IF('Net zero activities &amp; levers'!$C$9="Off",'Activity data'!AW48*ttokg*FracGASM*MSVolatEF*NtoN2O*kgtoGg,IF('Net zero activities &amp; levers'!$C$9="On",(('Net zero supporting data'!U158*ttokg*FracGASM*'Net zero supporting data'!U184)+('Net zero supporting data'!U170*ttokg*FracGASM*MSVolatEF))*NtoN2O*kgtoGg,"ERROR"))</f>
        <v>7.0170381568929931E-3</v>
      </c>
      <c r="AE712" s="101">
        <f>IF('Net zero activities &amp; levers'!$C$9="Off",'Activity data'!AX48*ttokg*FracGASM*MSVolatEF*NtoN2O*kgtoGg,IF('Net zero activities &amp; levers'!$C$9="On",(('Net zero supporting data'!V158*ttokg*FracGASM*'Net zero supporting data'!V184)+('Net zero supporting data'!V170*ttokg*FracGASM*MSVolatEF))*NtoN2O*kgtoGg,"ERROR"))</f>
        <v>6.8623357782964722E-3</v>
      </c>
      <c r="AF712" s="101">
        <f>IF('Net zero activities &amp; levers'!$C$9="Off",'Activity data'!AY48*ttokg*FracGASM*MSVolatEF*NtoN2O*kgtoGg,IF('Net zero activities &amp; levers'!$C$9="On",(('Net zero supporting data'!W158*ttokg*FracGASM*'Net zero supporting data'!W184)+('Net zero supporting data'!W170*ttokg*FracGASM*MSVolatEF))*NtoN2O*kgtoGg,"ERROR"))</f>
        <v>6.7077070496775262E-3</v>
      </c>
      <c r="AG712" s="101">
        <f>IF('Net zero activities &amp; levers'!$C$9="Off",'Activity data'!AZ48*ttokg*FracGASM*MSVolatEF*NtoN2O*kgtoGg,IF('Net zero activities &amp; levers'!$C$9="On",(('Net zero supporting data'!X158*ttokg*FracGASM*'Net zero supporting data'!X184)+('Net zero supporting data'!X170*ttokg*FracGASM*MSVolatEF))*NtoN2O*kgtoGg,"ERROR"))</f>
        <v>6.5532041147523395E-3</v>
      </c>
      <c r="AH712" s="101">
        <f>IF('Net zero activities &amp; levers'!$C$9="Off",'Activity data'!BA48*ttokg*FracGASM*MSVolatEF*NtoN2O*kgtoGg,IF('Net zero activities &amp; levers'!$C$9="On",(('Net zero supporting data'!Y158*ttokg*FracGASM*'Net zero supporting data'!Y184)+('Net zero supporting data'!Y170*ttokg*FracGASM*MSVolatEF))*NtoN2O*kgtoGg,"ERROR"))</f>
        <v>6.3986415754849679E-3</v>
      </c>
      <c r="AI712" s="101">
        <f>IF('Net zero activities &amp; levers'!$C$9="Off",'Activity data'!BB48*ttokg*FracGASM*MSVolatEF*NtoN2O*kgtoGg,IF('Net zero activities &amp; levers'!$C$9="On",(('Net zero supporting data'!Z158*ttokg*FracGASM*'Net zero supporting data'!Z184)+('Net zero supporting data'!Z170*ttokg*FracGASM*MSVolatEF))*NtoN2O*kgtoGg,"ERROR"))</f>
        <v>6.2445106259502699E-3</v>
      </c>
      <c r="AJ712" s="101">
        <f>IF('Net zero activities &amp; levers'!$C$9="Off",'Activity data'!BC48*ttokg*FracGASM*MSVolatEF*NtoN2O*kgtoGg,IF('Net zero activities &amp; levers'!$C$9="On",(('Net zero supporting data'!AA158*ttokg*FracGASM*'Net zero supporting data'!AA184)+('Net zero supporting data'!AA170*ttokg*FracGASM*MSVolatEF))*NtoN2O*kgtoGg,"ERROR"))</f>
        <v>6.0904292141407239E-3</v>
      </c>
      <c r="AK712" s="101">
        <f>IF('Net zero activities &amp; levers'!$C$9="Off",'Activity data'!BD48*ttokg*FracGASM*MSVolatEF*NtoN2O*kgtoGg,IF('Net zero activities &amp; levers'!$C$9="On",(('Net zero supporting data'!AB158*ttokg*FracGASM*'Net zero supporting data'!AB184)+('Net zero supporting data'!AB170*ttokg*FracGASM*MSVolatEF))*NtoN2O*kgtoGg,"ERROR"))</f>
        <v>5.9364747330125601E-3</v>
      </c>
      <c r="AL712" s="101">
        <f>IF('Net zero activities &amp; levers'!$C$9="Off",'Activity data'!BE48*ttokg*FracGASM*MSVolatEF*NtoN2O*kgtoGg,IF('Net zero activities &amp; levers'!$C$9="On",(('Net zero supporting data'!AC158*ttokg*FracGASM*'Net zero supporting data'!AC184)+('Net zero supporting data'!AC170*ttokg*FracGASM*MSVolatEF))*NtoN2O*kgtoGg,"ERROR"))</f>
        <v>5.7827543233279349E-3</v>
      </c>
      <c r="AM712" s="101">
        <f>IF('Net zero activities &amp; levers'!$C$9="Off",'Activity data'!BF48*ttokg*FracGASM*MSVolatEF*NtoN2O*kgtoGg,IF('Net zero activities &amp; levers'!$C$9="On",(('Net zero supporting data'!AD158*ttokg*FracGASM*'Net zero supporting data'!AD184)+('Net zero supporting data'!AD170*ttokg*FracGASM*MSVolatEF))*NtoN2O*kgtoGg,"ERROR"))</f>
        <v>5.6291821716417762E-3</v>
      </c>
      <c r="AN712" s="101">
        <f>IF('Net zero activities &amp; levers'!$C$9="Off",'Activity data'!BG48*ttokg*FracGASM*MSVolatEF*NtoN2O*kgtoGg,IF('Net zero activities &amp; levers'!$C$9="On",(('Net zero supporting data'!AE158*ttokg*FracGASM*'Net zero supporting data'!AE184)+('Net zero supporting data'!AE170*ttokg*FracGASM*MSVolatEF))*NtoN2O*kgtoGg,"ERROR"))</f>
        <v>5.6271949957561072E-3</v>
      </c>
      <c r="AO712" s="101">
        <f>IF('Net zero activities &amp; levers'!$C$9="Off",'Activity data'!BH48*ttokg*FracGASM*MSVolatEF*NtoN2O*kgtoGg,IF('Net zero activities &amp; levers'!$C$9="On",(('Net zero supporting data'!AF158*ttokg*FracGASM*'Net zero supporting data'!AF184)+('Net zero supporting data'!AF170*ttokg*FracGASM*MSVolatEF))*NtoN2O*kgtoGg,"ERROR"))</f>
        <v>5.6251667338959067E-3</v>
      </c>
      <c r="AP712" s="101">
        <f>IF('Net zero activities &amp; levers'!$C$9="Off",'Activity data'!BI48*ttokg*FracGASM*MSVolatEF*NtoN2O*kgtoGg,IF('Net zero activities &amp; levers'!$C$9="On",(('Net zero supporting data'!AG158*ttokg*FracGASM*'Net zero supporting data'!AG184)+('Net zero supporting data'!AG170*ttokg*FracGASM*MSVolatEF))*NtoN2O*kgtoGg,"ERROR"))</f>
        <v>5.6232734200546159E-3</v>
      </c>
      <c r="AQ712" s="101">
        <f>IF('Net zero activities &amp; levers'!$C$9="Off",'Activity data'!BJ48*ttokg*FracGASM*MSVolatEF*NtoN2O*kgtoGg,IF('Net zero activities &amp; levers'!$C$9="On",(('Net zero supporting data'!AH158*ttokg*FracGASM*'Net zero supporting data'!AH184)+('Net zero supporting data'!AH170*ttokg*FracGASM*MSVolatEF))*NtoN2O*kgtoGg,"ERROR"))</f>
        <v>5.6213923616393905E-3</v>
      </c>
      <c r="AR712" s="101">
        <f>IF('Net zero activities &amp; levers'!$C$9="Off",'Activity data'!BK48*ttokg*FracGASM*MSVolatEF*NtoN2O*kgtoGg,IF('Net zero activities &amp; levers'!$C$9="On",(('Net zero supporting data'!AI158*ttokg*FracGASM*'Net zero supporting data'!AI184)+('Net zero supporting data'!AI170*ttokg*FracGASM*MSVolatEF))*NtoN2O*kgtoGg,"ERROR"))</f>
        <v>5.6195207312580379E-3</v>
      </c>
      <c r="AS712" s="101">
        <f>IF('Net zero activities &amp; levers'!$C$9="Off",'Activity data'!BL48*ttokg*FracGASM*MSVolatEF*NtoN2O*kgtoGg,IF('Net zero activities &amp; levers'!$C$9="On",(('Net zero supporting data'!AJ158*ttokg*FracGASM*'Net zero supporting data'!AJ184)+('Net zero supporting data'!AJ170*ttokg*FracGASM*MSVolatEF))*NtoN2O*kgtoGg,"ERROR"))</f>
        <v>5.6175802394751433E-3</v>
      </c>
      <c r="AT712" s="101">
        <f>IF('Net zero activities &amp; levers'!$C$9="Off",'Activity data'!BM48*ttokg*FracGASM*MSVolatEF*NtoN2O*kgtoGg,IF('Net zero activities &amp; levers'!$C$9="On",(('Net zero supporting data'!AK158*ttokg*FracGASM*'Net zero supporting data'!AK184)+('Net zero supporting data'!AK170*ttokg*FracGASM*MSVolatEF))*NtoN2O*kgtoGg,"ERROR"))</f>
        <v>5.6156394095986306E-3</v>
      </c>
      <c r="AU712" s="101">
        <f>IF('Net zero activities &amp; levers'!$C$9="Off",'Activity data'!BN48*ttokg*FracGASM*MSVolatEF*NtoN2O*kgtoGg,IF('Net zero activities &amp; levers'!$C$9="On",(('Net zero supporting data'!AL158*ttokg*FracGASM*'Net zero supporting data'!AL184)+('Net zero supporting data'!AL170*ttokg*FracGASM*MSVolatEF))*NtoN2O*kgtoGg,"ERROR"))</f>
        <v>5.6144352873254795E-3</v>
      </c>
      <c r="AV712" s="101">
        <f>IF('Net zero activities &amp; levers'!$C$9="Off",'Activity data'!BO48*ttokg*FracGASM*MSVolatEF*NtoN2O*kgtoGg,IF('Net zero activities &amp; levers'!$C$9="On",(('Net zero supporting data'!AM158*ttokg*FracGASM*'Net zero supporting data'!AM184)+('Net zero supporting data'!AM170*ttokg*FracGASM*MSVolatEF))*NtoN2O*kgtoGg,"ERROR"))</f>
        <v>5.6132906317280587E-3</v>
      </c>
      <c r="AW712" s="101">
        <f>IF('Net zero activities &amp; levers'!$C$9="Off",'Activity data'!BP48*ttokg*FracGASM*MSVolatEF*NtoN2O*kgtoGg,IF('Net zero activities &amp; levers'!$C$9="On",(('Net zero supporting data'!AN158*ttokg*FracGASM*'Net zero supporting data'!AN184)+('Net zero supporting data'!AN170*ttokg*FracGASM*MSVolatEF))*NtoN2O*kgtoGg,"ERROR"))</f>
        <v>5.612061897973821E-3</v>
      </c>
      <c r="AY712" s="85"/>
      <c r="AZ712" s="85"/>
    </row>
    <row r="713" spans="1:52" x14ac:dyDescent="0.25">
      <c r="A713" s="102" t="str">
        <f t="shared" si="149"/>
        <v>NI Volatilisation</v>
      </c>
      <c r="B713" s="102" t="s">
        <v>970</v>
      </c>
      <c r="C713" s="102" t="s">
        <v>62</v>
      </c>
      <c r="D713" t="s">
        <v>369</v>
      </c>
      <c r="E713" t="s">
        <v>61</v>
      </c>
      <c r="F713" t="s">
        <v>62</v>
      </c>
      <c r="G713" t="s">
        <v>437</v>
      </c>
      <c r="H713" t="s">
        <v>1187</v>
      </c>
      <c r="I713" t="s">
        <v>139</v>
      </c>
      <c r="J713" t="s">
        <v>287</v>
      </c>
      <c r="K713" s="101">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1.2055794850635657</v>
      </c>
      <c r="L713" s="101">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1.2104278424184183</v>
      </c>
      <c r="M713" s="101">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1.2110410080270342</v>
      </c>
      <c r="N713" s="101">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1.1943250378730979</v>
      </c>
      <c r="O713" s="101">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1.1785336367211481</v>
      </c>
      <c r="P713" s="101">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1.1807984846872714</v>
      </c>
      <c r="Q713" s="101">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1.1777806975328993</v>
      </c>
      <c r="R713" s="101">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1.156598727295993</v>
      </c>
      <c r="S713" s="101">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1.0565661190304909</v>
      </c>
      <c r="T713" s="101">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1.057741400706494</v>
      </c>
      <c r="U713" s="101">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1.0485010244409365</v>
      </c>
      <c r="V713" s="101">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1.0366978429470775</v>
      </c>
      <c r="W713" s="101">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1.0277861305673586</v>
      </c>
      <c r="X713" s="101">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1.0293526000483106</v>
      </c>
      <c r="Y713" s="101">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1.0323011615187214</v>
      </c>
      <c r="Z713" s="101">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1.0366127214617826</v>
      </c>
      <c r="AA713" s="101">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1.0354223982953596</v>
      </c>
      <c r="AB713" s="101">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1.037621376023969</v>
      </c>
      <c r="AC713" s="101">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1.0438585452021982</v>
      </c>
      <c r="AD713" s="101">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1.0519982530660377</v>
      </c>
      <c r="AE713" s="101">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1.0601856070681661</v>
      </c>
      <c r="AF713" s="101">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1.0675260122586407</v>
      </c>
      <c r="AG713" s="101">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1.0773384089009619</v>
      </c>
      <c r="AH713" s="101">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1.0807540948572365</v>
      </c>
      <c r="AI713" s="101">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1.0845998573864337</v>
      </c>
      <c r="AJ713" s="101">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1.0874266881801535</v>
      </c>
      <c r="AK713" s="101">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1.087112156089467</v>
      </c>
      <c r="AL713" s="101">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1.0852063058850825</v>
      </c>
      <c r="AM713" s="101">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1.0829510180633146</v>
      </c>
      <c r="AN713" s="101">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1.1044920006041508</v>
      </c>
      <c r="AO713" s="101">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1.1235975703622645</v>
      </c>
      <c r="AP713" s="101">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1.1426780216225272</v>
      </c>
      <c r="AQ713" s="101">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1.1617908795461127</v>
      </c>
      <c r="AR713" s="101">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1.1825625312974417</v>
      </c>
      <c r="AS713" s="101">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1.2036158077597432</v>
      </c>
      <c r="AT713" s="101">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1.2093598155123346</v>
      </c>
      <c r="AU713" s="101">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1.2139297984760413</v>
      </c>
      <c r="AV713" s="101">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1.220347884088685</v>
      </c>
      <c r="AW713" s="101">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1.2257761819680646</v>
      </c>
      <c r="AY713" s="85"/>
      <c r="AZ713" s="85"/>
    </row>
    <row r="714" spans="1:52" x14ac:dyDescent="0.25">
      <c r="A714" s="102" t="str">
        <f t="shared" si="149"/>
        <v>NI Volatilisation</v>
      </c>
      <c r="B714" s="102" t="s">
        <v>970</v>
      </c>
      <c r="C714" s="102"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4.4098974147867755</v>
      </c>
      <c r="L714" s="22">
        <f t="shared" ref="L714:AW714" si="160">L1513</f>
        <v>4.4002705988392581</v>
      </c>
      <c r="M714" s="22">
        <f t="shared" si="160"/>
        <v>4.3810790490560496</v>
      </c>
      <c r="N714" s="22">
        <f t="shared" si="160"/>
        <v>4.3210884872533324</v>
      </c>
      <c r="O714" s="22">
        <f t="shared" si="160"/>
        <v>4.2648964492483783</v>
      </c>
      <c r="P714" s="22">
        <f t="shared" si="160"/>
        <v>4.2527084614653266</v>
      </c>
      <c r="Q714" s="22">
        <f t="shared" si="160"/>
        <v>4.2283311412429541</v>
      </c>
      <c r="R714" s="22">
        <f t="shared" si="160"/>
        <v>4.1624951000433894</v>
      </c>
      <c r="S714" s="22">
        <f t="shared" si="160"/>
        <v>3.918294133105289</v>
      </c>
      <c r="T714" s="22">
        <f t="shared" si="160"/>
        <v>3.9728149933985741</v>
      </c>
      <c r="U714" s="22">
        <f t="shared" si="160"/>
        <v>4.0046383553460947</v>
      </c>
      <c r="V714" s="22">
        <f t="shared" si="160"/>
        <v>4.0313393560711299</v>
      </c>
      <c r="W714" s="22">
        <f t="shared" si="160"/>
        <v>4.0659554364901567</v>
      </c>
      <c r="X714" s="22">
        <f t="shared" si="160"/>
        <v>4.127860980146191</v>
      </c>
      <c r="Y714" s="22">
        <f t="shared" si="160"/>
        <v>4.1932975047825973</v>
      </c>
      <c r="Z714" s="22">
        <f t="shared" si="160"/>
        <v>4.2646556600059613</v>
      </c>
      <c r="AA714" s="22">
        <f t="shared" si="160"/>
        <v>4.3240622404895737</v>
      </c>
      <c r="AB714" s="22">
        <f t="shared" si="160"/>
        <v>4.3947968135079751</v>
      </c>
      <c r="AC714" s="22">
        <f t="shared" si="160"/>
        <v>4.4793345574908621</v>
      </c>
      <c r="AD714" s="22">
        <f t="shared" si="160"/>
        <v>4.5365384381843912</v>
      </c>
      <c r="AE714" s="22">
        <f t="shared" si="160"/>
        <v>4.5953040720129232</v>
      </c>
      <c r="AF714" s="22">
        <f t="shared" si="160"/>
        <v>4.6531478649857521</v>
      </c>
      <c r="AG714" s="22">
        <f t="shared" si="160"/>
        <v>4.7195989933520908</v>
      </c>
      <c r="AH714" s="22">
        <f t="shared" si="160"/>
        <v>4.7691902048211627</v>
      </c>
      <c r="AI714" s="22">
        <f t="shared" si="160"/>
        <v>4.8198409519315524</v>
      </c>
      <c r="AJ714" s="22">
        <f t="shared" si="160"/>
        <v>4.8689648702732589</v>
      </c>
      <c r="AK714" s="22">
        <f t="shared" si="160"/>
        <v>4.9101688608077527</v>
      </c>
      <c r="AL714" s="22">
        <f t="shared" si="160"/>
        <v>4.9479174362838023</v>
      </c>
      <c r="AM714" s="22">
        <f t="shared" si="160"/>
        <v>4.9859362473479623</v>
      </c>
      <c r="AN714" s="22">
        <f t="shared" si="160"/>
        <v>5.0387466715290952</v>
      </c>
      <c r="AO714" s="22">
        <f t="shared" si="160"/>
        <v>5.0829929376217953</v>
      </c>
      <c r="AP714" s="22">
        <f t="shared" si="160"/>
        <v>5.1260297941923829</v>
      </c>
      <c r="AQ714" s="22">
        <f t="shared" si="160"/>
        <v>5.1679798732444908</v>
      </c>
      <c r="AR714" s="22">
        <f t="shared" si="160"/>
        <v>5.2136546695362291</v>
      </c>
      <c r="AS714" s="22">
        <f t="shared" si="160"/>
        <v>5.2573345909610909</v>
      </c>
      <c r="AT714" s="22">
        <f t="shared" si="160"/>
        <v>5.2543577680109008</v>
      </c>
      <c r="AU714" s="22">
        <f t="shared" si="160"/>
        <v>5.2470482911537353</v>
      </c>
      <c r="AV714" s="22">
        <f t="shared" si="160"/>
        <v>5.2442604689487187</v>
      </c>
      <c r="AW714" s="22">
        <f t="shared" si="160"/>
        <v>5.2376395842644694</v>
      </c>
      <c r="AY714" s="85"/>
      <c r="AZ714" s="85"/>
    </row>
    <row r="715" spans="1:52" x14ac:dyDescent="0.25">
      <c r="A715" s="102" t="str">
        <f t="shared" si="149"/>
        <v>NI Leaching</v>
      </c>
      <c r="B715" s="102" t="s">
        <v>970</v>
      </c>
      <c r="C715" s="102" t="s">
        <v>1191</v>
      </c>
      <c r="D715" t="s">
        <v>369</v>
      </c>
      <c r="E715" t="s">
        <v>61</v>
      </c>
      <c r="F715" t="s">
        <v>63</v>
      </c>
      <c r="G715" t="s">
        <v>435</v>
      </c>
      <c r="H715" t="s">
        <v>1188</v>
      </c>
      <c r="I715" t="s">
        <v>139</v>
      </c>
      <c r="J715" t="s">
        <v>287</v>
      </c>
      <c r="K715" s="101">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101">
        <f>IF('Net zero activities &amp; levers'!$C$9="Off",'Activity data'!AE47*FracLEACH*MSLeachEF*NtoN2O*kgtoGg,IF('Net zero activities &amp; levers'!$C$9="On",(('Net zero supporting data'!C157*FracLEACH*'Net zero supporting data'!C185)+('Net zero supporting data'!C169*FracLEACH*MSLeachEF))*NtoN2O*kgtoGg,"ERROR"))</f>
        <v>2.278954782162738E-4</v>
      </c>
      <c r="M715" s="101">
        <f>IF('Net zero activities &amp; levers'!$C$9="Off",'Activity data'!AF47*FracLEACH*MSLeachEF*NtoN2O*kgtoGg,IF('Net zero activities &amp; levers'!$C$9="On",(('Net zero supporting data'!D157*FracLEACH*'Net zero supporting data'!D185)+('Net zero supporting data'!D169*FracLEACH*MSLeachEF))*NtoN2O*kgtoGg,"ERROR"))</f>
        <v>2.2784833455264354E-4</v>
      </c>
      <c r="N715" s="101">
        <f>IF('Net zero activities &amp; levers'!$C$9="Off",'Activity data'!AG47*FracLEACH*MSLeachEF*NtoN2O*kgtoGg,IF('Net zero activities &amp; levers'!$C$9="On",(('Net zero supporting data'!E157*FracLEACH*'Net zero supporting data'!E185)+('Net zero supporting data'!E169*FracLEACH*MSLeachEF))*NtoN2O*kgtoGg,"ERROR"))</f>
        <v>2.2780821234926642E-4</v>
      </c>
      <c r="O715" s="101">
        <f>IF('Net zero activities &amp; levers'!$C$9="Off",'Activity data'!AH47*FracLEACH*MSLeachEF*NtoN2O*kgtoGg,IF('Net zero activities &amp; levers'!$C$9="On",(('Net zero supporting data'!F157*FracLEACH*'Net zero supporting data'!F185)+('Net zero supporting data'!F169*FracLEACH*MSLeachEF))*NtoN2O*kgtoGg,"ERROR"))</f>
        <v>2.2779508396212562E-4</v>
      </c>
      <c r="P715" s="101">
        <f>IF('Net zero activities &amp; levers'!$C$9="Off",'Activity data'!AI47*FracLEACH*MSLeachEF*NtoN2O*kgtoGg,IF('Net zero activities &amp; levers'!$C$9="On",(('Net zero supporting data'!G157*FracLEACH*'Net zero supporting data'!G185)+('Net zero supporting data'!G169*FracLEACH*MSLeachEF))*NtoN2O*kgtoGg,"ERROR"))</f>
        <v>2.2778179595055463E-4</v>
      </c>
      <c r="Q715" s="101">
        <f>IF('Net zero activities &amp; levers'!$C$9="Off",'Activity data'!AJ47*FracLEACH*MSLeachEF*NtoN2O*kgtoGg,IF('Net zero activities &amp; levers'!$C$9="On",(('Net zero supporting data'!H157*FracLEACH*'Net zero supporting data'!H185)+('Net zero supporting data'!H169*FracLEACH*MSLeachEF))*NtoN2O*kgtoGg,"ERROR"))</f>
        <v>2.2774128612235473E-4</v>
      </c>
      <c r="R715" s="101">
        <f>IF('Net zero activities &amp; levers'!$C$9="Off",'Activity data'!AK47*FracLEACH*MSLeachEF*NtoN2O*kgtoGg,IF('Net zero activities &amp; levers'!$C$9="On",(('Net zero supporting data'!I157*FracLEACH*'Net zero supporting data'!I185)+('Net zero supporting data'!I169*FracLEACH*MSLeachEF))*NtoN2O*kgtoGg,"ERROR"))</f>
        <v>2.2770953982641034E-4</v>
      </c>
      <c r="S715" s="101">
        <f>IF('Net zero activities &amp; levers'!$C$9="Off",'Activity data'!AL47*FracLEACH*MSLeachEF*NtoN2O*kgtoGg,IF('Net zero activities &amp; levers'!$C$9="On",(('Net zero supporting data'!J157*FracLEACH*'Net zero supporting data'!J185)+('Net zero supporting data'!J169*FracLEACH*MSLeachEF))*NtoN2O*kgtoGg,"ERROR"))</f>
        <v>2.2770740248580869E-4</v>
      </c>
      <c r="T715" s="101">
        <f>IF('Net zero activities &amp; levers'!$C$9="Off",'Activity data'!AM47*FracLEACH*MSLeachEF*NtoN2O*kgtoGg,IF('Net zero activities &amp; levers'!$C$9="On",(('Net zero supporting data'!K157*FracLEACH*'Net zero supporting data'!K185)+('Net zero supporting data'!K169*FracLEACH*MSLeachEF))*NtoN2O*kgtoGg,"ERROR"))</f>
        <v>2.2385226108361547E-4</v>
      </c>
      <c r="U715" s="101">
        <f>IF('Net zero activities &amp; levers'!$C$9="Off",'Activity data'!AN47*FracLEACH*MSLeachEF*NtoN2O*kgtoGg,IF('Net zero activities &amp; levers'!$C$9="On",(('Net zero supporting data'!L157*FracLEACH*'Net zero supporting data'!L185)+('Net zero supporting data'!L169*FracLEACH*MSLeachEF))*NtoN2O*kgtoGg,"ERROR"))</f>
        <v>2.197953727600572E-4</v>
      </c>
      <c r="V715" s="101">
        <f>IF('Net zero activities &amp; levers'!$C$9="Off",'Activity data'!AO47*FracLEACH*MSLeachEF*NtoN2O*kgtoGg,IF('Net zero activities &amp; levers'!$C$9="On",(('Net zero supporting data'!M157*FracLEACH*'Net zero supporting data'!M185)+('Net zero supporting data'!M169*FracLEACH*MSLeachEF))*NtoN2O*kgtoGg,"ERROR"))</f>
        <v>2.1575768895436327E-4</v>
      </c>
      <c r="W715" s="101">
        <f>IF('Net zero activities &amp; levers'!$C$9="Off",'Activity data'!AP47*FracLEACH*MSLeachEF*NtoN2O*kgtoGg,IF('Net zero activities &amp; levers'!$C$9="On",(('Net zero supporting data'!N157*FracLEACH*'Net zero supporting data'!N185)+('Net zero supporting data'!N169*FracLEACH*MSLeachEF))*NtoN2O*kgtoGg,"ERROR"))</f>
        <v>2.1172588191868834E-4</v>
      </c>
      <c r="X715" s="101">
        <f>IF('Net zero activities &amp; levers'!$C$9="Off",'Activity data'!AQ47*FracLEACH*MSLeachEF*NtoN2O*kgtoGg,IF('Net zero activities &amp; levers'!$C$9="On",(('Net zero supporting data'!O157*FracLEACH*'Net zero supporting data'!O185)+('Net zero supporting data'!O169*FracLEACH*MSLeachEF))*NtoN2O*kgtoGg,"ERROR"))</f>
        <v>2.0769073395258774E-4</v>
      </c>
      <c r="Y715" s="101">
        <f>IF('Net zero activities &amp; levers'!$C$9="Off",'Activity data'!AR47*FracLEACH*MSLeachEF*NtoN2O*kgtoGg,IF('Net zero activities &amp; levers'!$C$9="On",(('Net zero supporting data'!P157*FracLEACH*'Net zero supporting data'!P185)+('Net zero supporting data'!P169*FracLEACH*MSLeachEF))*NtoN2O*kgtoGg,"ERROR"))</f>
        <v>2.0363956620932143E-4</v>
      </c>
      <c r="Z715" s="101">
        <f>IF('Net zero activities &amp; levers'!$C$9="Off",'Activity data'!AS47*FracLEACH*MSLeachEF*NtoN2O*kgtoGg,IF('Net zero activities &amp; levers'!$C$9="On",(('Net zero supporting data'!Q157*FracLEACH*'Net zero supporting data'!Q185)+('Net zero supporting data'!Q169*FracLEACH*MSLeachEF))*NtoN2O*kgtoGg,"ERROR"))</f>
        <v>1.9958791585979513E-4</v>
      </c>
      <c r="AA715" s="101">
        <f>IF('Net zero activities &amp; levers'!$C$9="Off",'Activity data'!AT47*FracLEACH*MSLeachEF*NtoN2O*kgtoGg,IF('Net zero activities &amp; levers'!$C$9="On",(('Net zero supporting data'!R157*FracLEACH*'Net zero supporting data'!R185)+('Net zero supporting data'!R169*FracLEACH*MSLeachEF))*NtoN2O*kgtoGg,"ERROR"))</f>
        <v>1.9553583668378521E-4</v>
      </c>
      <c r="AB715" s="101">
        <f>IF('Net zero activities &amp; levers'!$C$9="Off",'Activity data'!AU47*FracLEACH*MSLeachEF*NtoN2O*kgtoGg,IF('Net zero activities &amp; levers'!$C$9="On",(('Net zero supporting data'!S157*FracLEACH*'Net zero supporting data'!S185)+('Net zero supporting data'!S169*FracLEACH*MSLeachEF))*NtoN2O*kgtoGg,"ERROR"))</f>
        <v>1.914944877872735E-4</v>
      </c>
      <c r="AC715" s="101">
        <f>IF('Net zero activities &amp; levers'!$C$9="Off",'Activity data'!AV47*FracLEACH*MSLeachEF*NtoN2O*kgtoGg,IF('Net zero activities &amp; levers'!$C$9="On",(('Net zero supporting data'!T157*FracLEACH*'Net zero supporting data'!T185)+('Net zero supporting data'!T169*FracLEACH*MSLeachEF))*NtoN2O*kgtoGg,"ERROR"))</f>
        <v>1.8744942374880217E-4</v>
      </c>
      <c r="AD715" s="101">
        <f>IF('Net zero activities &amp; levers'!$C$9="Off",'Activity data'!AW47*FracLEACH*MSLeachEF*NtoN2O*kgtoGg,IF('Net zero activities &amp; levers'!$C$9="On",(('Net zero supporting data'!U157*FracLEACH*'Net zero supporting data'!U185)+('Net zero supporting data'!U169*FracLEACH*MSLeachEF))*NtoN2O*kgtoGg,"ERROR"))</f>
        <v>1.833998609187941E-4</v>
      </c>
      <c r="AE715" s="101">
        <f>IF('Net zero activities &amp; levers'!$C$9="Off",'Activity data'!AX47*FracLEACH*MSLeachEF*NtoN2O*kgtoGg,IF('Net zero activities &amp; levers'!$C$9="On",(('Net zero supporting data'!V157*FracLEACH*'Net zero supporting data'!V185)+('Net zero supporting data'!V169*FracLEACH*MSLeachEF))*NtoN2O*kgtoGg,"ERROR"))</f>
        <v>1.7935650329638502E-4</v>
      </c>
      <c r="AF715" s="101">
        <f>IF('Net zero activities &amp; levers'!$C$9="Off",'Activity data'!AY47*FracLEACH*MSLeachEF*NtoN2O*kgtoGg,IF('Net zero activities &amp; levers'!$C$9="On",(('Net zero supporting data'!W157*FracLEACH*'Net zero supporting data'!W185)+('Net zero supporting data'!W169*FracLEACH*MSLeachEF))*NtoN2O*kgtoGg,"ERROR"))</f>
        <v>1.7531507061657167E-4</v>
      </c>
      <c r="AG715" s="101">
        <f>IF('Net zero activities &amp; levers'!$C$9="Off",'Activity data'!AZ47*FracLEACH*MSLeachEF*NtoN2O*kgtoGg,IF('Net zero activities &amp; levers'!$C$9="On",(('Net zero supporting data'!X157*FracLEACH*'Net zero supporting data'!X185)+('Net zero supporting data'!X169*FracLEACH*MSLeachEF))*NtoN2O*kgtoGg,"ERROR"))</f>
        <v>1.7127692572648157E-4</v>
      </c>
      <c r="AH715" s="101">
        <f>IF('Net zero activities &amp; levers'!$C$9="Off",'Activity data'!BA47*FracLEACH*MSLeachEF*NtoN2O*kgtoGg,IF('Net zero activities &amp; levers'!$C$9="On",(('Net zero supporting data'!Y157*FracLEACH*'Net zero supporting data'!Y185)+('Net zero supporting data'!Y169*FracLEACH*MSLeachEF))*NtoN2O*kgtoGg,"ERROR"))</f>
        <v>1.6723722299562976E-4</v>
      </c>
      <c r="AI715" s="101">
        <f>IF('Net zero activities &amp; levers'!$C$9="Off",'Activity data'!BB47*FracLEACH*MSLeachEF*NtoN2O*kgtoGg,IF('Net zero activities &amp; levers'!$C$9="On",(('Net zero supporting data'!Z157*FracLEACH*'Net zero supporting data'!Z185)+('Net zero supporting data'!Z169*FracLEACH*MSLeachEF))*NtoN2O*kgtoGg,"ERROR"))</f>
        <v>1.6320880045097292E-4</v>
      </c>
      <c r="AJ715" s="101">
        <f>IF('Net zero activities &amp; levers'!$C$9="Off",'Activity data'!BC47*FracLEACH*MSLeachEF*NtoN2O*kgtoGg,IF('Net zero activities &amp; levers'!$C$9="On",(('Net zero supporting data'!AA157*FracLEACH*'Net zero supporting data'!AA185)+('Net zero supporting data'!AA169*FracLEACH*MSLeachEF))*NtoN2O*kgtoGg,"ERROR"))</f>
        <v>1.5918167264231429E-4</v>
      </c>
      <c r="AK715" s="101">
        <f>IF('Net zero activities &amp; levers'!$C$9="Off",'Activity data'!BD47*FracLEACH*MSLeachEF*NtoN2O*kgtoGg,IF('Net zero activities &amp; levers'!$C$9="On",(('Net zero supporting data'!AB157*FracLEACH*'Net zero supporting data'!AB185)+('Net zero supporting data'!AB169*FracLEACH*MSLeachEF))*NtoN2O*kgtoGg,"ERROR"))</f>
        <v>1.5515786234010092E-4</v>
      </c>
      <c r="AL715" s="101">
        <f>IF('Net zero activities &amp; levers'!$C$9="Off",'Activity data'!BE47*FracLEACH*MSLeachEF*NtoN2O*kgtoGg,IF('Net zero activities &amp; levers'!$C$9="On",(('Net zero supporting data'!AC157*FracLEACH*'Net zero supporting data'!AC185)+('Net zero supporting data'!AC169*FracLEACH*MSLeachEF))*NtoN2O*kgtoGg,"ERROR"))</f>
        <v>1.5114016981425282E-4</v>
      </c>
      <c r="AM715" s="101">
        <f>IF('Net zero activities &amp; levers'!$C$9="Off",'Activity data'!BF47*FracLEACH*MSLeachEF*NtoN2O*kgtoGg,IF('Net zero activities &amp; levers'!$C$9="On",(('Net zero supporting data'!AD157*FracLEACH*'Net zero supporting data'!AD185)+('Net zero supporting data'!AD169*FracLEACH*MSLeachEF))*NtoN2O*kgtoGg,"ERROR"))</f>
        <v>1.4712635221336454E-4</v>
      </c>
      <c r="AN715" s="101">
        <f>IF('Net zero activities &amp; levers'!$C$9="Off",'Activity data'!BG47*FracLEACH*MSLeachEF*NtoN2O*kgtoGg,IF('Net zero activities &amp; levers'!$C$9="On",(('Net zero supporting data'!AE157*FracLEACH*'Net zero supporting data'!AE185)+('Net zero supporting data'!AE169*FracLEACH*MSLeachEF))*NtoN2O*kgtoGg,"ERROR"))</f>
        <v>1.4707441466180727E-4</v>
      </c>
      <c r="AO715" s="101">
        <f>IF('Net zero activities &amp; levers'!$C$9="Off",'Activity data'!BH47*FracLEACH*MSLeachEF*NtoN2O*kgtoGg,IF('Net zero activities &amp; levers'!$C$9="On",(('Net zero supporting data'!AF157*FracLEACH*'Net zero supporting data'!AF185)+('Net zero supporting data'!AF169*FracLEACH*MSLeachEF))*NtoN2O*kgtoGg,"ERROR"))</f>
        <v>1.4702140327227931E-4</v>
      </c>
      <c r="AP715" s="101">
        <f>IF('Net zero activities &amp; levers'!$C$9="Off",'Activity data'!BI47*FracLEACH*MSLeachEF*NtoN2O*kgtoGg,IF('Net zero activities &amp; levers'!$C$9="On",(('Net zero supporting data'!AG157*FracLEACH*'Net zero supporting data'!AG185)+('Net zero supporting data'!AG169*FracLEACH*MSLeachEF))*NtoN2O*kgtoGg,"ERROR"))</f>
        <v>1.469719189332456E-4</v>
      </c>
      <c r="AQ715" s="101">
        <f>IF('Net zero activities &amp; levers'!$C$9="Off",'Activity data'!BJ47*FracLEACH*MSLeachEF*NtoN2O*kgtoGg,IF('Net zero activities &amp; levers'!$C$9="On",(('Net zero supporting data'!AH157*FracLEACH*'Net zero supporting data'!AH185)+('Net zero supporting data'!AH169*FracLEACH*MSLeachEF))*NtoN2O*kgtoGg,"ERROR"))</f>
        <v>1.4692275490648399E-4</v>
      </c>
      <c r="AR715" s="101">
        <f>IF('Net zero activities &amp; levers'!$C$9="Off",'Activity data'!BK47*FracLEACH*MSLeachEF*NtoN2O*kgtoGg,IF('Net zero activities &amp; levers'!$C$9="On",(('Net zero supporting data'!AI157*FracLEACH*'Net zero supporting data'!AI185)+('Net zero supporting data'!AI169*FracLEACH*MSLeachEF))*NtoN2O*kgtoGg,"ERROR"))</f>
        <v>1.4687383729424411E-4</v>
      </c>
      <c r="AS715" s="101">
        <f>IF('Net zero activities &amp; levers'!$C$9="Off",'Activity data'!BL47*FracLEACH*MSLeachEF*NtoN2O*kgtoGg,IF('Net zero activities &amp; levers'!$C$9="On",(('Net zero supporting data'!AJ157*FracLEACH*'Net zero supporting data'!AJ185)+('Net zero supporting data'!AJ169*FracLEACH*MSLeachEF))*NtoN2O*kgtoGg,"ERROR"))</f>
        <v>1.4682311989537298E-4</v>
      </c>
      <c r="AT715" s="101">
        <f>IF('Net zero activities &amp; levers'!$C$9="Off",'Activity data'!BM47*FracLEACH*MSLeachEF*NtoN2O*kgtoGg,IF('Net zero activities &amp; levers'!$C$9="On",(('Net zero supporting data'!AK157*FracLEACH*'Net zero supporting data'!AK185)+('Net zero supporting data'!AK169*FracLEACH*MSLeachEF))*NtoN2O*kgtoGg,"ERROR"))</f>
        <v>1.4677239365996415E-4</v>
      </c>
      <c r="AU715" s="101">
        <f>IF('Net zero activities &amp; levers'!$C$9="Off",'Activity data'!BN47*FracLEACH*MSLeachEF*NtoN2O*kgtoGg,IF('Net zero activities &amp; levers'!$C$9="On",(('Net zero supporting data'!AL157*FracLEACH*'Net zero supporting data'!AL185)+('Net zero supporting data'!AL169*FracLEACH*MSLeachEF))*NtoN2O*kgtoGg,"ERROR"))</f>
        <v>1.4674092228237045E-4</v>
      </c>
      <c r="AV715" s="101">
        <f>IF('Net zero activities &amp; levers'!$C$9="Off",'Activity data'!BO47*FracLEACH*MSLeachEF*NtoN2O*kgtoGg,IF('Net zero activities &amp; levers'!$C$9="On",(('Net zero supporting data'!AM157*FracLEACH*'Net zero supporting data'!AM185)+('Net zero supporting data'!AM169*FracLEACH*MSLeachEF))*NtoN2O*kgtoGg,"ERROR"))</f>
        <v>1.4671100514743784E-4</v>
      </c>
      <c r="AW715" s="101">
        <f>IF('Net zero activities &amp; levers'!$C$9="Off",'Activity data'!BP47*FracLEACH*MSLeachEF*NtoN2O*kgtoGg,IF('Net zero activities &amp; levers'!$C$9="On",(('Net zero supporting data'!AN157*FracLEACH*'Net zero supporting data'!AN185)+('Net zero supporting data'!AN169*FracLEACH*MSLeachEF))*NtoN2O*kgtoGg,"ERROR"))</f>
        <v>1.4667889051522481E-4</v>
      </c>
      <c r="AY715" s="85"/>
      <c r="AZ715" s="85"/>
    </row>
    <row r="716" spans="1:52" x14ac:dyDescent="0.25">
      <c r="A716" s="102" t="str">
        <f t="shared" si="149"/>
        <v>NI Leaching</v>
      </c>
      <c r="B716" s="102" t="s">
        <v>970</v>
      </c>
      <c r="C716" s="102" t="s">
        <v>1191</v>
      </c>
      <c r="D716" t="s">
        <v>369</v>
      </c>
      <c r="E716" t="s">
        <v>61</v>
      </c>
      <c r="F716" t="s">
        <v>63</v>
      </c>
      <c r="G716" t="s">
        <v>436</v>
      </c>
      <c r="H716" t="s">
        <v>1189</v>
      </c>
      <c r="I716" t="s">
        <v>139</v>
      </c>
      <c r="J716" t="s">
        <v>287</v>
      </c>
      <c r="K716" s="101">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101">
        <f>IF('Net zero activities &amp; levers'!$C$9="Off",'Activity data'!AE48*FracLEACH*MSLeachEF*NtoN2O*kgtoGg,IF('Net zero activities &amp; levers'!$C$9="On",(('Net zero supporting data'!C158*FracLEACH*'Net zero supporting data'!C185)+('Net zero supporting data'!C170*FracLEACH*MSLeachEF))*NtoN2O*kgtoGg,"ERROR"))</f>
        <v>1.5041101562274073E-6</v>
      </c>
      <c r="M716" s="101">
        <f>IF('Net zero activities &amp; levers'!$C$9="Off",'Activity data'!AF48*FracLEACH*MSLeachEF*NtoN2O*kgtoGg,IF('Net zero activities &amp; levers'!$C$9="On",(('Net zero supporting data'!D158*FracLEACH*'Net zero supporting data'!D185)+('Net zero supporting data'!D170*FracLEACH*MSLeachEF))*NtoN2O*kgtoGg,"ERROR"))</f>
        <v>1.5037990080474479E-6</v>
      </c>
      <c r="N716" s="101">
        <f>IF('Net zero activities &amp; levers'!$C$9="Off",'Activity data'!AG48*FracLEACH*MSLeachEF*NtoN2O*kgtoGg,IF('Net zero activities &amp; levers'!$C$9="On",(('Net zero supporting data'!E158*FracLEACH*'Net zero supporting data'!E185)+('Net zero supporting data'!E170*FracLEACH*MSLeachEF))*NtoN2O*kgtoGg,"ERROR"))</f>
        <v>1.5035342015051588E-6</v>
      </c>
      <c r="O716" s="101">
        <f>IF('Net zero activities &amp; levers'!$C$9="Off",'Activity data'!AH48*FracLEACH*MSLeachEF*NtoN2O*kgtoGg,IF('Net zero activities &amp; levers'!$C$9="On",(('Net zero supporting data'!F158*FracLEACH*'Net zero supporting data'!F185)+('Net zero supporting data'!F170*FracLEACH*MSLeachEF))*NtoN2O*kgtoGg,"ERROR"))</f>
        <v>1.5034475541500297E-6</v>
      </c>
      <c r="P716" s="101">
        <f>IF('Net zero activities &amp; levers'!$C$9="Off",'Activity data'!AI48*FracLEACH*MSLeachEF*NtoN2O*kgtoGg,IF('Net zero activities &amp; levers'!$C$9="On",(('Net zero supporting data'!G158*FracLEACH*'Net zero supporting data'!G185)+('Net zero supporting data'!G170*FracLEACH*MSLeachEF))*NtoN2O*kgtoGg,"ERROR"))</f>
        <v>1.5033598532736611E-6</v>
      </c>
      <c r="Q716" s="101">
        <f>IF('Net zero activities &amp; levers'!$C$9="Off",'Activity data'!AJ48*FracLEACH*MSLeachEF*NtoN2O*kgtoGg,IF('Net zero activities &amp; levers'!$C$9="On",(('Net zero supporting data'!H158*FracLEACH*'Net zero supporting data'!H185)+('Net zero supporting data'!H170*FracLEACH*MSLeachEF))*NtoN2O*kgtoGg,"ERROR"))</f>
        <v>1.5030924884075416E-6</v>
      </c>
      <c r="R716" s="101">
        <f>IF('Net zero activities &amp; levers'!$C$9="Off",'Activity data'!AK48*FracLEACH*MSLeachEF*NtoN2O*kgtoGg,IF('Net zero activities &amp; levers'!$C$9="On",(('Net zero supporting data'!I158*FracLEACH*'Net zero supporting data'!I185)+('Net zero supporting data'!I170*FracLEACH*MSLeachEF))*NtoN2O*kgtoGg,"ERROR"))</f>
        <v>1.5028829628543084E-6</v>
      </c>
      <c r="S716" s="101">
        <f>IF('Net zero activities &amp; levers'!$C$9="Off",'Activity data'!AL48*FracLEACH*MSLeachEF*NtoN2O*kgtoGg,IF('Net zero activities &amp; levers'!$C$9="On",(('Net zero supporting data'!J158*FracLEACH*'Net zero supporting data'!J185)+('Net zero supporting data'!J170*FracLEACH*MSLeachEF))*NtoN2O*kgtoGg,"ERROR"))</f>
        <v>1.5028688564063377E-6</v>
      </c>
      <c r="T716" s="101">
        <f>IF('Net zero activities &amp; levers'!$C$9="Off",'Activity data'!AM48*FracLEACH*MSLeachEF*NtoN2O*kgtoGg,IF('Net zero activities &amp; levers'!$C$9="On",(('Net zero supporting data'!K158*FracLEACH*'Net zero supporting data'!K185)+('Net zero supporting data'!K170*FracLEACH*MSLeachEF))*NtoN2O*kgtoGg,"ERROR"))</f>
        <v>1.4774249231518625E-6</v>
      </c>
      <c r="U716" s="101">
        <f>IF('Net zero activities &amp; levers'!$C$9="Off",'Activity data'!AN48*FracLEACH*MSLeachEF*NtoN2O*kgtoGg,IF('Net zero activities &amp; levers'!$C$9="On",(('Net zero supporting data'!L158*FracLEACH*'Net zero supporting data'!L185)+('Net zero supporting data'!L170*FracLEACH*MSLeachEF))*NtoN2O*kgtoGg,"ERROR"))</f>
        <v>1.4506494602163775E-6</v>
      </c>
      <c r="V716" s="101">
        <f>IF('Net zero activities &amp; levers'!$C$9="Off",'Activity data'!AO48*FracLEACH*MSLeachEF*NtoN2O*kgtoGg,IF('Net zero activities &amp; levers'!$C$9="On",(('Net zero supporting data'!M158*FracLEACH*'Net zero supporting data'!M185)+('Net zero supporting data'!M170*FracLEACH*MSLeachEF))*NtoN2O*kgtoGg,"ERROR"))</f>
        <v>1.4240007470987976E-6</v>
      </c>
      <c r="W716" s="101">
        <f>IF('Net zero activities &amp; levers'!$C$9="Off",'Activity data'!AP48*FracLEACH*MSLeachEF*NtoN2O*kgtoGg,IF('Net zero activities &amp; levers'!$C$9="On",(('Net zero supporting data'!N158*FracLEACH*'Net zero supporting data'!N185)+('Net zero supporting data'!N170*FracLEACH*MSLeachEF))*NtoN2O*kgtoGg,"ERROR"))</f>
        <v>1.3973908206633434E-6</v>
      </c>
      <c r="X716" s="101">
        <f>IF('Net zero activities &amp; levers'!$C$9="Off",'Activity data'!AQ48*FracLEACH*MSLeachEF*NtoN2O*kgtoGg,IF('Net zero activities &amp; levers'!$C$9="On",(('Net zero supporting data'!O158*FracLEACH*'Net zero supporting data'!O185)+('Net zero supporting data'!O170*FracLEACH*MSLeachEF))*NtoN2O*kgtoGg,"ERROR"))</f>
        <v>1.3707588440870795E-6</v>
      </c>
      <c r="Y716" s="101">
        <f>IF('Net zero activities &amp; levers'!$C$9="Off",'Activity data'!AR48*FracLEACH*MSLeachEF*NtoN2O*kgtoGg,IF('Net zero activities &amp; levers'!$C$9="On",(('Net zero supporting data'!P158*FracLEACH*'Net zero supporting data'!P185)+('Net zero supporting data'!P170*FracLEACH*MSLeachEF))*NtoN2O*kgtoGg,"ERROR"))</f>
        <v>1.3440211369815212E-6</v>
      </c>
      <c r="Z716" s="101">
        <f>IF('Net zero activities &amp; levers'!$C$9="Off",'Activity data'!AS48*FracLEACH*MSLeachEF*NtoN2O*kgtoGg,IF('Net zero activities &amp; levers'!$C$9="On",(('Net zero supporting data'!Q158*FracLEACH*'Net zero supporting data'!Q185)+('Net zero supporting data'!Q170*FracLEACH*MSLeachEF))*NtoN2O*kgtoGg,"ERROR"))</f>
        <v>1.3172802446746488E-6</v>
      </c>
      <c r="AA716" s="101">
        <f>IF('Net zero activities &amp; levers'!$C$9="Off",'Activity data'!AT48*FracLEACH*MSLeachEF*NtoN2O*kgtoGg,IF('Net zero activities &amp; levers'!$C$9="On",(('Net zero supporting data'!R158*FracLEACH*'Net zero supporting data'!R185)+('Net zero supporting data'!R170*FracLEACH*MSLeachEF))*NtoN2O*kgtoGg,"ERROR"))</f>
        <v>1.2905365221129827E-6</v>
      </c>
      <c r="AB716" s="101">
        <f>IF('Net zero activities &amp; levers'!$C$9="Off",'Activity data'!AU48*FracLEACH*MSLeachEF*NtoN2O*kgtoGg,IF('Net zero activities &amp; levers'!$C$9="On",(('Net zero supporting data'!S158*FracLEACH*'Net zero supporting data'!S185)+('Net zero supporting data'!S170*FracLEACH*MSLeachEF))*NtoN2O*kgtoGg,"ERROR"))</f>
        <v>1.2638636193960052E-6</v>
      </c>
      <c r="AC716" s="101">
        <f>IF('Net zero activities &amp; levers'!$C$9="Off",'Activity data'!AV48*FracLEACH*MSLeachEF*NtoN2O*kgtoGg,IF('Net zero activities &amp; levers'!$C$9="On",(('Net zero supporting data'!T158*FracLEACH*'Net zero supporting data'!T185)+('Net zero supporting data'!T170*FracLEACH*MSLeachEF))*NtoN2O*kgtoGg,"ERROR"))</f>
        <v>1.2371661967420944E-6</v>
      </c>
      <c r="AD716" s="101">
        <f>IF('Net zero activities &amp; levers'!$C$9="Off",'Activity data'!AW48*FracLEACH*MSLeachEF*NtoN2O*kgtoGg,IF('Net zero activities &amp; levers'!$C$9="On",(('Net zero supporting data'!U158*FracLEACH*'Net zero supporting data'!U185)+('Net zero supporting data'!U170*FracLEACH*MSLeachEF))*NtoN2O*kgtoGg,"ERROR"))</f>
        <v>1.2104390820640414E-6</v>
      </c>
      <c r="AE716" s="101">
        <f>IF('Net zero activities &amp; levers'!$C$9="Off",'Activity data'!AX48*FracLEACH*MSLeachEF*NtoN2O*kgtoGg,IF('Net zero activities &amp; levers'!$C$9="On",(('Net zero supporting data'!V158*FracLEACH*'Net zero supporting data'!V185)+('Net zero supporting data'!V170*FracLEACH*MSLeachEF))*NtoN2O*kgtoGg,"ERROR"))</f>
        <v>1.1837529217561414E-6</v>
      </c>
      <c r="AF716" s="101">
        <f>IF('Net zero activities &amp; levers'!$C$9="Off",'Activity data'!AY48*FracLEACH*MSLeachEF*NtoN2O*kgtoGg,IF('Net zero activities &amp; levers'!$C$9="On",(('Net zero supporting data'!W158*FracLEACH*'Net zero supporting data'!W185)+('Net zero supporting data'!W170*FracLEACH*MSLeachEF))*NtoN2O*kgtoGg,"ERROR"))</f>
        <v>1.1570794660693732E-6</v>
      </c>
      <c r="AG716" s="101">
        <f>IF('Net zero activities &amp; levers'!$C$9="Off",'Activity data'!AZ48*FracLEACH*MSLeachEF*NtoN2O*kgtoGg,IF('Net zero activities &amp; levers'!$C$9="On",(('Net zero supporting data'!X158*FracLEACH*'Net zero supporting data'!X185)+('Net zero supporting data'!X170*FracLEACH*MSLeachEF))*NtoN2O*kgtoGg,"ERROR"))</f>
        <v>1.1304277097947785E-6</v>
      </c>
      <c r="AH716" s="101">
        <f>IF('Net zero activities &amp; levers'!$C$9="Off",'Activity data'!BA48*FracLEACH*MSLeachEF*NtoN2O*kgtoGg,IF('Net zero activities &amp; levers'!$C$9="On",(('Net zero supporting data'!Y158*FracLEACH*'Net zero supporting data'!Y185)+('Net zero supporting data'!Y170*FracLEACH*MSLeachEF))*NtoN2O*kgtoGg,"ERROR"))</f>
        <v>1.1037656717711568E-6</v>
      </c>
      <c r="AI716" s="101">
        <f>IF('Net zero activities &amp; levers'!$C$9="Off",'Activity data'!BB48*FracLEACH*MSLeachEF*NtoN2O*kgtoGg,IF('Net zero activities &amp; levers'!$C$9="On",(('Net zero supporting data'!Z158*FracLEACH*'Net zero supporting data'!Z185)+('Net zero supporting data'!Z170*FracLEACH*MSLeachEF))*NtoN2O*kgtoGg,"ERROR"))</f>
        <v>1.0771780829764214E-6</v>
      </c>
      <c r="AJ716" s="101">
        <f>IF('Net zero activities &amp; levers'!$C$9="Off",'Activity data'!BC48*FracLEACH*MSLeachEF*NtoN2O*kgtoGg,IF('Net zero activities &amp; levers'!$C$9="On",(('Net zero supporting data'!AA158*FracLEACH*'Net zero supporting data'!AA185)+('Net zero supporting data'!AA170*FracLEACH*MSLeachEF))*NtoN2O*kgtoGg,"ERROR"))</f>
        <v>1.0505990394392748E-6</v>
      </c>
      <c r="AK716" s="101">
        <f>IF('Net zero activities &amp; levers'!$C$9="Off",'Activity data'!BD48*FracLEACH*MSLeachEF*NtoN2O*kgtoGg,IF('Net zero activities &amp; levers'!$C$9="On",(('Net zero supporting data'!AB158*FracLEACH*'Net zero supporting data'!AB185)+('Net zero supporting data'!AB170*FracLEACH*MSLeachEF))*NtoN2O*kgtoGg,"ERROR"))</f>
        <v>1.0240418914446663E-6</v>
      </c>
      <c r="AL716" s="101">
        <f>IF('Net zero activities &amp; levers'!$C$9="Off",'Activity data'!BE48*FracLEACH*MSLeachEF*NtoN2O*kgtoGg,IF('Net zero activities &amp; levers'!$C$9="On",(('Net zero supporting data'!AC158*FracLEACH*'Net zero supporting data'!AC185)+('Net zero supporting data'!AC170*FracLEACH*MSLeachEF))*NtoN2O*kgtoGg,"ERROR"))</f>
        <v>9.9752512077406852E-7</v>
      </c>
      <c r="AM716" s="101">
        <f>IF('Net zero activities &amp; levers'!$C$9="Off",'Activity data'!BF48*FracLEACH*MSLeachEF*NtoN2O*kgtoGg,IF('Net zero activities &amp; levers'!$C$9="On",(('Net zero supporting data'!AD158*FracLEACH*'Net zero supporting data'!AD185)+('Net zero supporting data'!AD170*FracLEACH*MSLeachEF))*NtoN2O*kgtoGg,"ERROR"))</f>
        <v>9.71033924608206E-7</v>
      </c>
      <c r="AN716" s="101">
        <f>IF('Net zero activities &amp; levers'!$C$9="Off",'Activity data'!BG48*FracLEACH*MSLeachEF*NtoN2O*kgtoGg,IF('Net zero activities &amp; levers'!$C$9="On",(('Net zero supporting data'!AE158*FracLEACH*'Net zero supporting data'!AE185)+('Net zero supporting data'!AE170*FracLEACH*MSLeachEF))*NtoN2O*kgtoGg,"ERROR"))</f>
        <v>9.7069113676792823E-7</v>
      </c>
      <c r="AO716" s="101">
        <f>IF('Net zero activities &amp; levers'!$C$9="Off",'Activity data'!BH48*FracLEACH*MSLeachEF*NtoN2O*kgtoGg,IF('Net zero activities &amp; levers'!$C$9="On",(('Net zero supporting data'!AF158*FracLEACH*'Net zero supporting data'!AF185)+('Net zero supporting data'!AF170*FracLEACH*MSLeachEF))*NtoN2O*kgtoGg,"ERROR"))</f>
        <v>9.7034126159704357E-7</v>
      </c>
      <c r="AP716" s="101">
        <f>IF('Net zero activities &amp; levers'!$C$9="Off",'Activity data'!BI48*FracLEACH*MSLeachEF*NtoN2O*kgtoGg,IF('Net zero activities &amp; levers'!$C$9="On",(('Net zero supporting data'!AG158*FracLEACH*'Net zero supporting data'!AG185)+('Net zero supporting data'!AG170*FracLEACH*MSLeachEF))*NtoN2O*kgtoGg,"ERROR"))</f>
        <v>9.7001466495942116E-7</v>
      </c>
      <c r="AQ716" s="101">
        <f>IF('Net zero activities &amp; levers'!$C$9="Off",'Activity data'!BJ48*FracLEACH*MSLeachEF*NtoN2O*kgtoGg,IF('Net zero activities &amp; levers'!$C$9="On",(('Net zero supporting data'!AH158*FracLEACH*'Net zero supporting data'!AH185)+('Net zero supporting data'!AH170*FracLEACH*MSLeachEF))*NtoN2O*kgtoGg,"ERROR"))</f>
        <v>9.6969018238279449E-7</v>
      </c>
      <c r="AR716" s="101">
        <f>IF('Net zero activities &amp; levers'!$C$9="Off",'Activity data'!BK48*FracLEACH*MSLeachEF*NtoN2O*kgtoGg,IF('Net zero activities &amp; levers'!$C$9="On",(('Net zero supporting data'!AI158*FracLEACH*'Net zero supporting data'!AI185)+('Net zero supporting data'!AI170*FracLEACH*MSLeachEF))*NtoN2O*kgtoGg,"ERROR"))</f>
        <v>9.6936732614201126E-7</v>
      </c>
      <c r="AS716" s="101">
        <f>IF('Net zero activities &amp; levers'!$C$9="Off",'Activity data'!BL48*FracLEACH*MSLeachEF*NtoN2O*kgtoGg,IF('Net zero activities &amp; levers'!$C$9="On",(('Net zero supporting data'!AJ158*FracLEACH*'Net zero supporting data'!AJ185)+('Net zero supporting data'!AJ170*FracLEACH*MSLeachEF))*NtoN2O*kgtoGg,"ERROR"))</f>
        <v>9.6903259130946192E-7</v>
      </c>
      <c r="AT716" s="101">
        <f>IF('Net zero activities &amp; levers'!$C$9="Off",'Activity data'!BM48*FracLEACH*MSLeachEF*NtoN2O*kgtoGg,IF('Net zero activities &amp; levers'!$C$9="On",(('Net zero supporting data'!AK158*FracLEACH*'Net zero supporting data'!AK185)+('Net zero supporting data'!AK170*FracLEACH*MSLeachEF))*NtoN2O*kgtoGg,"ERROR"))</f>
        <v>9.6869779815576384E-7</v>
      </c>
      <c r="AU716" s="101">
        <f>IF('Net zero activities &amp; levers'!$C$9="Off",'Activity data'!BN48*FracLEACH*MSLeachEF*NtoN2O*kgtoGg,IF('Net zero activities &amp; levers'!$C$9="On",(('Net zero supporting data'!AL158*FracLEACH*'Net zero supporting data'!AL185)+('Net zero supporting data'!AL170*FracLEACH*MSLeachEF))*NtoN2O*kgtoGg,"ERROR"))</f>
        <v>9.6849008706364506E-7</v>
      </c>
      <c r="AV716" s="101">
        <f>IF('Net zero activities &amp; levers'!$C$9="Off",'Activity data'!BO48*FracLEACH*MSLeachEF*NtoN2O*kgtoGg,IF('Net zero activities &amp; levers'!$C$9="On",(('Net zero supporting data'!AM158*FracLEACH*'Net zero supporting data'!AM185)+('Net zero supporting data'!AM170*FracLEACH*MSLeachEF))*NtoN2O*kgtoGg,"ERROR"))</f>
        <v>9.6829263397308984E-7</v>
      </c>
      <c r="AW716" s="101">
        <f>IF('Net zero activities &amp; levers'!$C$9="Off",'Activity data'!BP48*FracLEACH*MSLeachEF*NtoN2O*kgtoGg,IF('Net zero activities &amp; levers'!$C$9="On",(('Net zero supporting data'!AN158*FracLEACH*'Net zero supporting data'!AN185)+('Net zero supporting data'!AN170*FracLEACH*MSLeachEF))*NtoN2O*kgtoGg,"ERROR"))</f>
        <v>9.6808067740048416E-7</v>
      </c>
      <c r="AY716" s="85"/>
      <c r="AZ716" s="85"/>
    </row>
    <row r="717" spans="1:52" x14ac:dyDescent="0.25">
      <c r="A717" s="102" t="str">
        <f t="shared" si="149"/>
        <v>NI Leaching</v>
      </c>
      <c r="B717" s="102" t="s">
        <v>970</v>
      </c>
      <c r="C717" s="102" t="s">
        <v>1191</v>
      </c>
      <c r="D717" t="s">
        <v>369</v>
      </c>
      <c r="E717" t="s">
        <v>61</v>
      </c>
      <c r="F717" t="s">
        <v>63</v>
      </c>
      <c r="G717" t="s">
        <v>437</v>
      </c>
      <c r="H717" t="s">
        <v>1190</v>
      </c>
      <c r="I717" t="s">
        <v>139</v>
      </c>
      <c r="J717" t="s">
        <v>287</v>
      </c>
      <c r="K717" s="101">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0.20796246117346504</v>
      </c>
      <c r="L717" s="101">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0.20879880281717714</v>
      </c>
      <c r="M717" s="101">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0.20890457388466335</v>
      </c>
      <c r="N717" s="101">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0.20602106903310935</v>
      </c>
      <c r="O717" s="101">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0.20329705233439804</v>
      </c>
      <c r="P717" s="101">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0.2036877386085543</v>
      </c>
      <c r="Q717" s="101">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0.20316717032442505</v>
      </c>
      <c r="R717" s="101">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0.19951328045855879</v>
      </c>
      <c r="S717" s="101">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0.18225765553275966</v>
      </c>
      <c r="T717" s="101">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0.18246039162187019</v>
      </c>
      <c r="U717" s="101">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0.18086642671606151</v>
      </c>
      <c r="V717" s="101">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0.17883037790837089</v>
      </c>
      <c r="W717" s="101">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0.17729310752286934</v>
      </c>
      <c r="X717" s="101">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0.17756332350833359</v>
      </c>
      <c r="Y717" s="101">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0.1780719503619794</v>
      </c>
      <c r="Z717" s="101">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0.1788156944521575</v>
      </c>
      <c r="AA717" s="101">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0.17861036370594957</v>
      </c>
      <c r="AB717" s="101">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0.17898968736413462</v>
      </c>
      <c r="AC717" s="101">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0.18006559904737918</v>
      </c>
      <c r="AD717" s="101">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0.18146969865389151</v>
      </c>
      <c r="AE717" s="101">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0.18288201721925859</v>
      </c>
      <c r="AF717" s="101">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0.18414823711461548</v>
      </c>
      <c r="AG717" s="101">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0.18584087553541589</v>
      </c>
      <c r="AH717" s="101">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0.18643008136287331</v>
      </c>
      <c r="AI717" s="101">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0.1870934753991598</v>
      </c>
      <c r="AJ717" s="101">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0.18758110371107645</v>
      </c>
      <c r="AK717" s="101">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0.18752684692543306</v>
      </c>
      <c r="AL717" s="101">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0.18719808776517669</v>
      </c>
      <c r="AM717" s="101">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0.18680905061592176</v>
      </c>
      <c r="AN717" s="101">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0.19052487010421601</v>
      </c>
      <c r="AO717" s="101">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0.19382058088749057</v>
      </c>
      <c r="AP717" s="101">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0.19711195872988591</v>
      </c>
      <c r="AQ717" s="101">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0.20040892672170452</v>
      </c>
      <c r="AR717" s="101">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0.20399203664880869</v>
      </c>
      <c r="AS717" s="101">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0.20762372683855568</v>
      </c>
      <c r="AT717" s="101">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0.2086145681758777</v>
      </c>
      <c r="AU717" s="101">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0.20940289023711706</v>
      </c>
      <c r="AV717" s="101">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0.21051001000529812</v>
      </c>
      <c r="AW717" s="101">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0.21144639138949103</v>
      </c>
      <c r="AY717" s="85"/>
      <c r="AZ717" s="85"/>
    </row>
    <row r="718" spans="1:52" x14ac:dyDescent="0.25">
      <c r="A718" s="102" t="str">
        <f t="shared" si="149"/>
        <v>NI Leaching</v>
      </c>
      <c r="B718" s="102" t="s">
        <v>970</v>
      </c>
      <c r="C718" s="102" t="s">
        <v>1191</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85"/>
      <c r="AZ718" s="85"/>
    </row>
    <row r="719" spans="1:52" x14ac:dyDescent="0.25">
      <c r="A719" s="102" t="str">
        <f t="shared" si="149"/>
        <v>NI Leaching</v>
      </c>
      <c r="B719" s="102" t="s">
        <v>970</v>
      </c>
      <c r="C719" s="102" t="s">
        <v>1191</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0.10196112149474701</v>
      </c>
      <c r="M719" s="22">
        <f t="shared" si="167"/>
        <v>0.10231307662851437</v>
      </c>
      <c r="N719" s="22">
        <f t="shared" si="167"/>
        <v>0.10261261243819185</v>
      </c>
      <c r="O719" s="22">
        <f t="shared" si="167"/>
        <v>0.10271062355774604</v>
      </c>
      <c r="P719" s="22">
        <f t="shared" si="167"/>
        <v>0.10280982636740998</v>
      </c>
      <c r="Q719" s="22">
        <f t="shared" si="167"/>
        <v>0.10311225602401949</v>
      </c>
      <c r="R719" s="22">
        <f t="shared" si="167"/>
        <v>0.10334926076602191</v>
      </c>
      <c r="S719" s="22">
        <f t="shared" si="167"/>
        <v>0.1033652172687505</v>
      </c>
      <c r="T719" s="22">
        <f t="shared" si="167"/>
        <v>0.10237939394800614</v>
      </c>
      <c r="U719" s="22">
        <f t="shared" si="167"/>
        <v>0.10291860215695282</v>
      </c>
      <c r="V719" s="22">
        <f t="shared" si="167"/>
        <v>0.10332641119306983</v>
      </c>
      <c r="W719" s="22">
        <f t="shared" si="167"/>
        <v>0.10370239203239459</v>
      </c>
      <c r="X719" s="22">
        <f t="shared" si="167"/>
        <v>0.1041201277615169</v>
      </c>
      <c r="Y719" s="22">
        <f t="shared" si="167"/>
        <v>0.1046878275069046</v>
      </c>
      <c r="Z719" s="22">
        <f t="shared" si="167"/>
        <v>0.10528227646052629</v>
      </c>
      <c r="AA719" s="22">
        <f t="shared" si="165"/>
        <v>0.1059046407105468</v>
      </c>
      <c r="AB719" s="22">
        <f t="shared" si="165"/>
        <v>0.10645777636830578</v>
      </c>
      <c r="AC719" s="22">
        <f t="shared" si="165"/>
        <v>0.10706799743750575</v>
      </c>
      <c r="AD719" s="22">
        <f t="shared" si="165"/>
        <v>0.10774626043627387</v>
      </c>
      <c r="AE719" s="22">
        <f t="shared" si="165"/>
        <v>0.10839593316449521</v>
      </c>
      <c r="AF719" s="22">
        <f t="shared" si="165"/>
        <v>0.10905643789090745</v>
      </c>
      <c r="AG719" s="22">
        <f t="shared" si="165"/>
        <v>0.10971505173574356</v>
      </c>
      <c r="AH719" s="22">
        <f t="shared" si="165"/>
        <v>0.11042069158828928</v>
      </c>
      <c r="AI719" s="22">
        <f t="shared" si="165"/>
        <v>0.11104367058067952</v>
      </c>
      <c r="AJ719" s="22">
        <f t="shared" si="165"/>
        <v>0.11168392829219058</v>
      </c>
      <c r="AK719" s="22">
        <f t="shared" si="165"/>
        <v>0.11232074350166987</v>
      </c>
      <c r="AL719" s="22">
        <f t="shared" si="165"/>
        <v>0.11292252611061948</v>
      </c>
      <c r="AM719" s="22">
        <f t="shared" si="165"/>
        <v>0.11351220687490285</v>
      </c>
      <c r="AN719" s="22">
        <f t="shared" si="165"/>
        <v>0.11410873660154547</v>
      </c>
      <c r="AO719" s="22">
        <f t="shared" si="165"/>
        <v>0.11471759991442693</v>
      </c>
      <c r="AP719" s="22">
        <f t="shared" si="165"/>
        <v>0.11528595322242488</v>
      </c>
      <c r="AQ719" s="22">
        <f t="shared" si="165"/>
        <v>0.1158506275777887</v>
      </c>
      <c r="AR719" s="22">
        <f t="shared" si="165"/>
        <v>0.1164124717345221</v>
      </c>
      <c r="AS719" s="22">
        <f t="shared" si="165"/>
        <v>0.11699498737450693</v>
      </c>
      <c r="AT719" s="22">
        <f t="shared" si="165"/>
        <v>0.11757760450671237</v>
      </c>
      <c r="AU719" s="22">
        <f t="shared" si="165"/>
        <v>0.11793906960682159</v>
      </c>
      <c r="AV719" s="22">
        <f t="shared" si="165"/>
        <v>0.11828268342357233</v>
      </c>
      <c r="AW719" s="22">
        <f t="shared" si="165"/>
        <v>0.11865153663672662</v>
      </c>
      <c r="AY719" s="85"/>
      <c r="AZ719" s="85"/>
    </row>
    <row r="720" spans="1:52" x14ac:dyDescent="0.25">
      <c r="A720" s="102" t="str">
        <f t="shared" si="149"/>
        <v>NI Leaching</v>
      </c>
      <c r="B720" s="102" t="s">
        <v>970</v>
      </c>
      <c r="C720" s="102" t="s">
        <v>1191</v>
      </c>
      <c r="D720" t="s">
        <v>369</v>
      </c>
      <c r="E720" t="s">
        <v>61</v>
      </c>
      <c r="F720" t="s">
        <v>63</v>
      </c>
      <c r="G720" t="s">
        <v>1194</v>
      </c>
      <c r="H720" t="s">
        <v>1195</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85"/>
      <c r="AZ720" s="85"/>
    </row>
    <row r="721" spans="1:52" x14ac:dyDescent="0.25">
      <c r="A721" s="102" t="str">
        <f t="shared" si="149"/>
        <v>NI Leaching</v>
      </c>
      <c r="B721" s="102" t="s">
        <v>970</v>
      </c>
      <c r="C721" s="102" t="s">
        <v>1191</v>
      </c>
      <c r="D721" t="s">
        <v>369</v>
      </c>
      <c r="E721" t="s">
        <v>61</v>
      </c>
      <c r="F721" t="s">
        <v>63</v>
      </c>
      <c r="G721" t="s">
        <v>1196</v>
      </c>
      <c r="H721" t="s">
        <v>1197</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85"/>
      <c r="AZ721" s="85"/>
    </row>
    <row r="722" spans="1:52" x14ac:dyDescent="0.25">
      <c r="A722" s="102" t="str">
        <f t="shared" si="149"/>
        <v>NI Leaching</v>
      </c>
      <c r="B722" s="102" t="s">
        <v>970</v>
      </c>
      <c r="C722" s="102" t="s">
        <v>1191</v>
      </c>
      <c r="D722" t="s">
        <v>369</v>
      </c>
      <c r="E722" t="s">
        <v>61</v>
      </c>
      <c r="F722" t="s">
        <v>63</v>
      </c>
      <c r="G722" t="s">
        <v>1198</v>
      </c>
      <c r="H722" t="s">
        <v>1199</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85"/>
      <c r="AZ722" s="85"/>
    </row>
    <row r="723" spans="1:52" x14ac:dyDescent="0.25">
      <c r="A723" s="102" t="str">
        <f t="shared" si="149"/>
        <v>NI Leaching</v>
      </c>
      <c r="B723" s="102" t="s">
        <v>970</v>
      </c>
      <c r="C723" s="102" t="s">
        <v>1191</v>
      </c>
      <c r="D723" t="s">
        <v>369</v>
      </c>
      <c r="E723" t="s">
        <v>61</v>
      </c>
      <c r="F723" t="s">
        <v>63</v>
      </c>
      <c r="G723" t="s">
        <v>1200</v>
      </c>
      <c r="H723" t="s">
        <v>1201</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85"/>
      <c r="AZ723" s="85"/>
    </row>
    <row r="724" spans="1:52" x14ac:dyDescent="0.25">
      <c r="A724" s="102" t="str">
        <f t="shared" si="149"/>
        <v>NI Leaching</v>
      </c>
      <c r="B724" s="102" t="s">
        <v>970</v>
      </c>
      <c r="C724" s="102" t="s">
        <v>1191</v>
      </c>
      <c r="D724" t="s">
        <v>369</v>
      </c>
      <c r="E724" t="s">
        <v>61</v>
      </c>
      <c r="F724" t="s">
        <v>63</v>
      </c>
      <c r="G724" t="s">
        <v>1202</v>
      </c>
      <c r="H724" t="s">
        <v>1203</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85"/>
      <c r="AZ724" s="85"/>
    </row>
    <row r="725" spans="1:52" x14ac:dyDescent="0.25">
      <c r="A725" s="102" t="str">
        <f t="shared" si="149"/>
        <v>NI Leaching</v>
      </c>
      <c r="B725" s="102" t="s">
        <v>970</v>
      </c>
      <c r="C725" s="102" t="s">
        <v>1191</v>
      </c>
      <c r="D725" t="s">
        <v>369</v>
      </c>
      <c r="E725" t="s">
        <v>61</v>
      </c>
      <c r="F725" t="s">
        <v>63</v>
      </c>
      <c r="G725" t="s">
        <v>1204</v>
      </c>
      <c r="H725" t="s">
        <v>1205</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85"/>
      <c r="AZ725" s="85"/>
    </row>
    <row r="726" spans="1:52" x14ac:dyDescent="0.25">
      <c r="A726" s="102" t="str">
        <f t="shared" si="149"/>
        <v>NI Leaching</v>
      </c>
      <c r="B726" s="102" t="s">
        <v>970</v>
      </c>
      <c r="C726" s="102" t="s">
        <v>1191</v>
      </c>
      <c r="D726" t="s">
        <v>369</v>
      </c>
      <c r="E726" t="s">
        <v>61</v>
      </c>
      <c r="F726" t="s">
        <v>63</v>
      </c>
      <c r="G726" t="s">
        <v>1206</v>
      </c>
      <c r="H726" t="s">
        <v>1207</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85"/>
      <c r="AZ726" s="85"/>
    </row>
    <row r="727" spans="1:52" x14ac:dyDescent="0.25">
      <c r="A727" s="102" t="str">
        <f t="shared" si="149"/>
        <v>NI Leaching</v>
      </c>
      <c r="B727" s="102" t="s">
        <v>970</v>
      </c>
      <c r="C727" s="102" t="s">
        <v>1191</v>
      </c>
      <c r="D727" t="s">
        <v>369</v>
      </c>
      <c r="E727" t="s">
        <v>61</v>
      </c>
      <c r="F727" t="s">
        <v>63</v>
      </c>
      <c r="G727" t="s">
        <v>1208</v>
      </c>
      <c r="H727" t="s">
        <v>1209</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85"/>
      <c r="AZ727" s="85"/>
    </row>
    <row r="728" spans="1:52" x14ac:dyDescent="0.25">
      <c r="A728" s="102" t="str">
        <f t="shared" si="149"/>
        <v>NI Leaching</v>
      </c>
      <c r="B728" s="102" t="s">
        <v>970</v>
      </c>
      <c r="C728" s="102" t="s">
        <v>1191</v>
      </c>
      <c r="D728" t="s">
        <v>369</v>
      </c>
      <c r="E728" t="s">
        <v>61</v>
      </c>
      <c r="F728" t="s">
        <v>63</v>
      </c>
      <c r="G728" t="s">
        <v>1210</v>
      </c>
      <c r="H728" t="s">
        <v>1211</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85"/>
      <c r="AZ728" s="85"/>
    </row>
    <row r="729" spans="1:52" x14ac:dyDescent="0.25">
      <c r="A729" s="102" t="str">
        <f t="shared" si="149"/>
        <v>NI Leaching</v>
      </c>
      <c r="B729" s="102" t="s">
        <v>970</v>
      </c>
      <c r="C729" s="102" t="s">
        <v>1191</v>
      </c>
      <c r="D729" t="s">
        <v>369</v>
      </c>
      <c r="E729" t="s">
        <v>61</v>
      </c>
      <c r="F729" t="s">
        <v>63</v>
      </c>
      <c r="G729" t="s">
        <v>1212</v>
      </c>
      <c r="H729" t="s">
        <v>1213</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85"/>
      <c r="AZ729" s="85"/>
    </row>
    <row r="730" spans="1:52" x14ac:dyDescent="0.25">
      <c r="A730" s="102" t="str">
        <f t="shared" si="149"/>
        <v>NI Leaching</v>
      </c>
      <c r="B730" s="102" t="s">
        <v>970</v>
      </c>
      <c r="C730" s="102" t="s">
        <v>1191</v>
      </c>
      <c r="D730" t="s">
        <v>369</v>
      </c>
      <c r="E730" t="s">
        <v>61</v>
      </c>
      <c r="F730" t="s">
        <v>63</v>
      </c>
      <c r="G730" t="s">
        <v>1214</v>
      </c>
      <c r="H730" t="s">
        <v>1215</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85"/>
      <c r="AZ730" s="85"/>
    </row>
    <row r="731" spans="1:52" x14ac:dyDescent="0.25">
      <c r="A731" s="102"/>
      <c r="B731" s="102" t="s">
        <v>970</v>
      </c>
      <c r="C731" s="102"/>
      <c r="D731" t="s">
        <v>369</v>
      </c>
      <c r="E731" t="s">
        <v>61</v>
      </c>
      <c r="F731" t="s">
        <v>63</v>
      </c>
      <c r="G731" t="s">
        <v>1216</v>
      </c>
      <c r="H731" t="s">
        <v>1217</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85"/>
      <c r="AZ731" s="85"/>
    </row>
    <row r="732" spans="1:52" x14ac:dyDescent="0.25">
      <c r="A732" s="102" t="str">
        <f t="shared" ref="A732:A795" si="176">B732&amp;" "&amp;C732</f>
        <v>NI MM Volatilisation</v>
      </c>
      <c r="B732" s="102" t="s">
        <v>970</v>
      </c>
      <c r="C732" s="102" t="s">
        <v>1333</v>
      </c>
      <c r="D732" t="s">
        <v>369</v>
      </c>
      <c r="E732" t="s">
        <v>64</v>
      </c>
      <c r="F732" t="s">
        <v>62</v>
      </c>
      <c r="G732" t="s">
        <v>1153</v>
      </c>
      <c r="H732" t="s">
        <v>1291</v>
      </c>
      <c r="I732" t="s">
        <v>139</v>
      </c>
      <c r="J732" t="s">
        <v>287</v>
      </c>
      <c r="K732" s="22">
        <f t="shared" ref="K732:AW732" si="177">K1531</f>
        <v>0.39650006889927725</v>
      </c>
      <c r="L732" s="22">
        <f t="shared" si="177"/>
        <v>0.39917725962597483</v>
      </c>
      <c r="M732" s="22">
        <f t="shared" si="177"/>
        <v>0.40151912336157097</v>
      </c>
      <c r="N732" s="22">
        <f t="shared" si="177"/>
        <v>0.40182204834461305</v>
      </c>
      <c r="O732" s="22">
        <f t="shared" si="177"/>
        <v>0.40234380692675509</v>
      </c>
      <c r="P732" s="22">
        <f t="shared" si="177"/>
        <v>0.40533756143141658</v>
      </c>
      <c r="Q732" s="22">
        <f t="shared" si="177"/>
        <v>0.40773146882804268</v>
      </c>
      <c r="R732" s="22">
        <f t="shared" si="177"/>
        <v>0.4077524587520438</v>
      </c>
      <c r="S732" s="22">
        <f t="shared" si="177"/>
        <v>0.39694956601748077</v>
      </c>
      <c r="T732" s="22">
        <f t="shared" si="177"/>
        <v>0.40216838368989699</v>
      </c>
      <c r="U732" s="22">
        <f t="shared" si="177"/>
        <v>0.40611893900122115</v>
      </c>
      <c r="V732" s="22">
        <f t="shared" si="177"/>
        <v>0.40984619445157972</v>
      </c>
      <c r="W732" s="22">
        <f t="shared" si="177"/>
        <v>0.41416805701435672</v>
      </c>
      <c r="X732" s="22">
        <f t="shared" si="177"/>
        <v>0.42036063160455023</v>
      </c>
      <c r="Y732" s="22">
        <f t="shared" si="177"/>
        <v>0.42680782230429931</v>
      </c>
      <c r="Z732" s="22">
        <f t="shared" si="177"/>
        <v>0.43381092675754646</v>
      </c>
      <c r="AA732" s="22">
        <f t="shared" si="177"/>
        <v>0.4401795345291673</v>
      </c>
      <c r="AB732" s="22">
        <f t="shared" si="177"/>
        <v>0.44747640522914289</v>
      </c>
      <c r="AC732" s="22">
        <f t="shared" si="177"/>
        <v>0.45590733118781618</v>
      </c>
      <c r="AD732" s="22">
        <f t="shared" si="177"/>
        <v>0.46402422732384918</v>
      </c>
      <c r="AE732" s="22">
        <f t="shared" si="177"/>
        <v>0.47256428946703954</v>
      </c>
      <c r="AF732" s="22">
        <f t="shared" si="177"/>
        <v>0.48136337732272266</v>
      </c>
      <c r="AG732" s="22">
        <f t="shared" si="177"/>
        <v>0.49115427006051043</v>
      </c>
      <c r="AH732" s="22">
        <f t="shared" si="177"/>
        <v>0.50001868003063199</v>
      </c>
      <c r="AI732" s="22">
        <f t="shared" si="177"/>
        <v>0.50922978725811852</v>
      </c>
      <c r="AJ732" s="22">
        <f t="shared" si="177"/>
        <v>0.51868165497998486</v>
      </c>
      <c r="AK732" s="22">
        <f t="shared" si="177"/>
        <v>0.52785098151313881</v>
      </c>
      <c r="AL732" s="22">
        <f t="shared" si="177"/>
        <v>0.53708980329541955</v>
      </c>
      <c r="AM732" s="22">
        <f t="shared" si="177"/>
        <v>0.54672053409535659</v>
      </c>
      <c r="AN732" s="22">
        <f t="shared" si="177"/>
        <v>0.55667014923331293</v>
      </c>
      <c r="AO732" s="22">
        <f t="shared" si="177"/>
        <v>0.5661730507090722</v>
      </c>
      <c r="AP732" s="22">
        <f t="shared" si="177"/>
        <v>0.57587669150956888</v>
      </c>
      <c r="AQ732" s="22">
        <f t="shared" si="177"/>
        <v>0.5857985598453167</v>
      </c>
      <c r="AR732" s="22">
        <f t="shared" si="177"/>
        <v>0.59640903003350576</v>
      </c>
      <c r="AS732" s="22">
        <f t="shared" si="177"/>
        <v>0.60713627699395989</v>
      </c>
      <c r="AT732" s="22">
        <f t="shared" si="177"/>
        <v>0.61355666329177083</v>
      </c>
      <c r="AU732" s="22">
        <f t="shared" si="177"/>
        <v>0.6197276036819036</v>
      </c>
      <c r="AV732" s="22">
        <f t="shared" si="177"/>
        <v>0.62655501037549211</v>
      </c>
      <c r="AW732" s="22">
        <f t="shared" si="177"/>
        <v>0.63318564946997902</v>
      </c>
      <c r="AY732" s="85"/>
      <c r="AZ732" s="85"/>
    </row>
    <row r="733" spans="1:52" x14ac:dyDescent="0.25">
      <c r="A733" s="102" t="str">
        <f t="shared" si="176"/>
        <v>NI MM Volatilisation</v>
      </c>
      <c r="B733" s="102" t="s">
        <v>970</v>
      </c>
      <c r="C733" s="102" t="s">
        <v>1333</v>
      </c>
      <c r="D733" t="s">
        <v>369</v>
      </c>
      <c r="E733" t="s">
        <v>64</v>
      </c>
      <c r="F733" t="s">
        <v>62</v>
      </c>
      <c r="G733" t="s">
        <v>1155</v>
      </c>
      <c r="H733" t="s">
        <v>1292</v>
      </c>
      <c r="I733" t="s">
        <v>139</v>
      </c>
      <c r="J733" t="s">
        <v>287</v>
      </c>
      <c r="K733" s="22">
        <f t="shared" ref="K733:AW733" si="178">K1532</f>
        <v>3.1281584559645491E-2</v>
      </c>
      <c r="L733" s="22">
        <f t="shared" si="178"/>
        <v>3.1492799574896264E-2</v>
      </c>
      <c r="M733" s="22">
        <f t="shared" si="178"/>
        <v>3.1677559211068809E-2</v>
      </c>
      <c r="N733" s="22">
        <f t="shared" si="178"/>
        <v>3.1701458257287304E-2</v>
      </c>
      <c r="O733" s="22">
        <f t="shared" si="178"/>
        <v>3.1742622021148185E-2</v>
      </c>
      <c r="P733" s="22">
        <f t="shared" si="178"/>
        <v>3.1978812105423256E-2</v>
      </c>
      <c r="Q733" s="22">
        <f t="shared" si="178"/>
        <v>3.2167677688381177E-2</v>
      </c>
      <c r="R733" s="22">
        <f t="shared" si="178"/>
        <v>3.2169333673169188E-2</v>
      </c>
      <c r="S733" s="22">
        <f t="shared" si="178"/>
        <v>3.1317047307865033E-2</v>
      </c>
      <c r="T733" s="22">
        <f t="shared" si="178"/>
        <v>3.1728782132462323E-2</v>
      </c>
      <c r="U733" s="22">
        <f t="shared" si="178"/>
        <v>3.2040458320493799E-2</v>
      </c>
      <c r="V733" s="22">
        <f t="shared" si="178"/>
        <v>3.2334517428401308E-2</v>
      </c>
      <c r="W733" s="22">
        <f t="shared" si="178"/>
        <v>3.2675487631982837E-2</v>
      </c>
      <c r="X733" s="22">
        <f t="shared" si="178"/>
        <v>3.316404630039068E-2</v>
      </c>
      <c r="Y733" s="22">
        <f t="shared" si="178"/>
        <v>3.3672692721578558E-2</v>
      </c>
      <c r="Z733" s="22">
        <f t="shared" si="178"/>
        <v>3.4225197554030251E-2</v>
      </c>
      <c r="AA733" s="22">
        <f t="shared" si="178"/>
        <v>3.4727644232257139E-2</v>
      </c>
      <c r="AB733" s="22">
        <f t="shared" si="178"/>
        <v>3.5303325539087042E-2</v>
      </c>
      <c r="AC733" s="22">
        <f t="shared" si="178"/>
        <v>3.5968477310748759E-2</v>
      </c>
      <c r="AD733" s="22">
        <f t="shared" si="178"/>
        <v>3.6608853927948493E-2</v>
      </c>
      <c r="AE733" s="22">
        <f t="shared" si="178"/>
        <v>3.7282615919512485E-2</v>
      </c>
      <c r="AF733" s="22">
        <f t="shared" si="178"/>
        <v>3.7976813556273109E-2</v>
      </c>
      <c r="AG733" s="22">
        <f t="shared" si="178"/>
        <v>3.8749258917863509E-2</v>
      </c>
      <c r="AH733" s="22">
        <f t="shared" si="178"/>
        <v>3.9448610095333729E-2</v>
      </c>
      <c r="AI733" s="22">
        <f t="shared" si="178"/>
        <v>4.0175313700769343E-2</v>
      </c>
      <c r="AJ733" s="22">
        <f t="shared" si="178"/>
        <v>4.0921011930302946E-2</v>
      </c>
      <c r="AK733" s="22">
        <f t="shared" si="178"/>
        <v>4.164441927824649E-2</v>
      </c>
      <c r="AL733" s="22">
        <f t="shared" si="178"/>
        <v>4.2373309403325697E-2</v>
      </c>
      <c r="AM733" s="22">
        <f t="shared" si="178"/>
        <v>4.313311890531582E-2</v>
      </c>
      <c r="AN733" s="22">
        <f t="shared" si="178"/>
        <v>4.3918086555228081E-2</v>
      </c>
      <c r="AO733" s="22">
        <f t="shared" si="178"/>
        <v>4.4667811055658022E-2</v>
      </c>
      <c r="AP733" s="22">
        <f t="shared" si="178"/>
        <v>4.5433372739114561E-2</v>
      </c>
      <c r="AQ733" s="22">
        <f t="shared" si="178"/>
        <v>4.6216151325246931E-2</v>
      </c>
      <c r="AR733" s="22">
        <f t="shared" si="178"/>
        <v>4.705325665370462E-2</v>
      </c>
      <c r="AS733" s="22">
        <f t="shared" si="178"/>
        <v>4.7899575000677964E-2</v>
      </c>
      <c r="AT733" s="22">
        <f t="shared" si="178"/>
        <v>4.8406106708069871E-2</v>
      </c>
      <c r="AU733" s="22">
        <f t="shared" si="178"/>
        <v>4.8892958561998573E-2</v>
      </c>
      <c r="AV733" s="22">
        <f t="shared" si="178"/>
        <v>4.9431601847487718E-2</v>
      </c>
      <c r="AW733" s="22">
        <f t="shared" si="178"/>
        <v>4.9954721296355649E-2</v>
      </c>
      <c r="AY733" s="85"/>
      <c r="AZ733" s="85"/>
    </row>
    <row r="734" spans="1:52" x14ac:dyDescent="0.25">
      <c r="A734" s="102" t="str">
        <f t="shared" si="176"/>
        <v>NI MM Volatilisation</v>
      </c>
      <c r="B734" s="102" t="s">
        <v>970</v>
      </c>
      <c r="C734" s="102" t="s">
        <v>1333</v>
      </c>
      <c r="D734" t="s">
        <v>369</v>
      </c>
      <c r="E734" t="s">
        <v>64</v>
      </c>
      <c r="F734" t="s">
        <v>62</v>
      </c>
      <c r="G734" t="s">
        <v>1157</v>
      </c>
      <c r="H734" t="s">
        <v>1293</v>
      </c>
      <c r="I734" t="s">
        <v>139</v>
      </c>
      <c r="J734" t="s">
        <v>287</v>
      </c>
      <c r="K734" s="22">
        <f t="shared" ref="K734:AW734" si="179">K1533</f>
        <v>2.8996787363609876E-4</v>
      </c>
      <c r="L734" s="22">
        <f t="shared" si="179"/>
        <v>2.9192575299913116E-4</v>
      </c>
      <c r="M734" s="22">
        <f t="shared" si="179"/>
        <v>2.9363840149788538E-4</v>
      </c>
      <c r="N734" s="22">
        <f t="shared" si="179"/>
        <v>2.9385993617112721E-4</v>
      </c>
      <c r="O734" s="22">
        <f t="shared" si="179"/>
        <v>2.9424150792478436E-4</v>
      </c>
      <c r="P734" s="22">
        <f t="shared" si="179"/>
        <v>2.964308962654098E-4</v>
      </c>
      <c r="Q734" s="22">
        <f t="shared" si="179"/>
        <v>2.9818160526127053E-4</v>
      </c>
      <c r="R734" s="22">
        <f t="shared" si="179"/>
        <v>2.9819695558301769E-4</v>
      </c>
      <c r="S734" s="22">
        <f t="shared" si="179"/>
        <v>2.9029659923741555E-4</v>
      </c>
      <c r="T734" s="22">
        <f t="shared" si="179"/>
        <v>2.9411321764952843E-4</v>
      </c>
      <c r="U734" s="22">
        <f t="shared" si="179"/>
        <v>2.970023322125765E-4</v>
      </c>
      <c r="V734" s="22">
        <f t="shared" si="179"/>
        <v>2.99728143434853E-4</v>
      </c>
      <c r="W734" s="22">
        <f t="shared" si="179"/>
        <v>3.0288880189565705E-4</v>
      </c>
      <c r="X734" s="22">
        <f t="shared" si="179"/>
        <v>3.0741754684956394E-4</v>
      </c>
      <c r="Y734" s="22">
        <f t="shared" si="179"/>
        <v>3.1213249729918828E-4</v>
      </c>
      <c r="Z734" s="22">
        <f t="shared" si="179"/>
        <v>3.1725399781442622E-4</v>
      </c>
      <c r="AA734" s="22">
        <f t="shared" si="179"/>
        <v>3.2191147910739512E-4</v>
      </c>
      <c r="AB734" s="22">
        <f t="shared" si="179"/>
        <v>3.2724781634169446E-4</v>
      </c>
      <c r="AC734" s="22">
        <f t="shared" si="179"/>
        <v>3.3341350927538441E-4</v>
      </c>
      <c r="AD734" s="22">
        <f t="shared" si="179"/>
        <v>3.3934954636013071E-4</v>
      </c>
      <c r="AE734" s="22">
        <f t="shared" si="179"/>
        <v>3.4559505261503654E-4</v>
      </c>
      <c r="AF734" s="22">
        <f t="shared" si="179"/>
        <v>3.5202998919028807E-4</v>
      </c>
      <c r="AG734" s="22">
        <f t="shared" si="179"/>
        <v>3.5919025111926287E-4</v>
      </c>
      <c r="AH734" s="22">
        <f t="shared" si="179"/>
        <v>3.6567295897152252E-4</v>
      </c>
      <c r="AI734" s="22">
        <f t="shared" si="179"/>
        <v>3.7240921297521811E-4</v>
      </c>
      <c r="AJ734" s="22">
        <f t="shared" si="179"/>
        <v>3.7932153960559638E-4</v>
      </c>
      <c r="AK734" s="22">
        <f t="shared" si="179"/>
        <v>3.8602723861057959E-4</v>
      </c>
      <c r="AL734" s="22">
        <f t="shared" si="179"/>
        <v>3.9278376078357157E-4</v>
      </c>
      <c r="AM734" s="22">
        <f t="shared" si="179"/>
        <v>3.9982689330905129E-4</v>
      </c>
      <c r="AN734" s="22">
        <f t="shared" si="179"/>
        <v>4.0710323188084528E-4</v>
      </c>
      <c r="AO734" s="22">
        <f t="shared" si="179"/>
        <v>4.1405288044446054E-4</v>
      </c>
      <c r="AP734" s="22">
        <f t="shared" si="179"/>
        <v>4.2114933340917202E-4</v>
      </c>
      <c r="AQ734" s="22">
        <f t="shared" si="179"/>
        <v>4.284053802285357E-4</v>
      </c>
      <c r="AR734" s="22">
        <f t="shared" si="179"/>
        <v>4.3616501438771657E-4</v>
      </c>
      <c r="AS734" s="22">
        <f t="shared" si="179"/>
        <v>4.4401004957201647E-4</v>
      </c>
      <c r="AT734" s="22">
        <f t="shared" si="179"/>
        <v>4.4870539746405302E-4</v>
      </c>
      <c r="AU734" s="22">
        <f t="shared" si="179"/>
        <v>4.5321832092514971E-4</v>
      </c>
      <c r="AV734" s="22">
        <f t="shared" si="179"/>
        <v>4.5821133040150263E-4</v>
      </c>
      <c r="AW734" s="22">
        <f t="shared" si="179"/>
        <v>4.630604400735748E-4</v>
      </c>
      <c r="AY734" s="85"/>
      <c r="AZ734" s="85"/>
    </row>
    <row r="735" spans="1:52" x14ac:dyDescent="0.25">
      <c r="A735" s="102" t="str">
        <f t="shared" si="176"/>
        <v>NI MM Volatilisation</v>
      </c>
      <c r="B735" s="102" t="s">
        <v>970</v>
      </c>
      <c r="C735" s="102" t="s">
        <v>1333</v>
      </c>
      <c r="D735" t="s">
        <v>369</v>
      </c>
      <c r="E735" t="s">
        <v>64</v>
      </c>
      <c r="F735" t="s">
        <v>62</v>
      </c>
      <c r="G735" t="s">
        <v>1159</v>
      </c>
      <c r="H735" t="s">
        <v>1294</v>
      </c>
      <c r="I735" t="s">
        <v>139</v>
      </c>
      <c r="J735" t="s">
        <v>287</v>
      </c>
      <c r="K735" s="22">
        <f t="shared" ref="K735:AW735" si="180">K1534</f>
        <v>3.2482696422712933E-3</v>
      </c>
      <c r="L735" s="22">
        <f t="shared" si="180"/>
        <v>3.2317319962183351E-3</v>
      </c>
      <c r="M735" s="22">
        <f t="shared" si="180"/>
        <v>3.2015477632972725E-3</v>
      </c>
      <c r="N735" s="22">
        <f t="shared" si="180"/>
        <v>3.1189249893783613E-3</v>
      </c>
      <c r="O735" s="22">
        <f t="shared" si="180"/>
        <v>3.0395993626659438E-3</v>
      </c>
      <c r="P735" s="22">
        <f t="shared" si="180"/>
        <v>3.013633441305081E-3</v>
      </c>
      <c r="Q735" s="22">
        <f t="shared" si="180"/>
        <v>2.9716957157217678E-3</v>
      </c>
      <c r="R735" s="22">
        <f t="shared" si="180"/>
        <v>2.8774698147158886E-3</v>
      </c>
      <c r="S735" s="22">
        <f t="shared" si="180"/>
        <v>2.5613322402579155E-3</v>
      </c>
      <c r="T735" s="22">
        <f t="shared" si="180"/>
        <v>2.623917982066072E-3</v>
      </c>
      <c r="U735" s="22">
        <f t="shared" si="180"/>
        <v>2.6577221861843617E-3</v>
      </c>
      <c r="V735" s="22">
        <f t="shared" si="180"/>
        <v>2.6845906828351748E-3</v>
      </c>
      <c r="W735" s="22">
        <f t="shared" si="180"/>
        <v>2.7207002140253378E-3</v>
      </c>
      <c r="X735" s="22">
        <f t="shared" si="180"/>
        <v>2.7900255688374769E-3</v>
      </c>
      <c r="Y735" s="22">
        <f t="shared" si="180"/>
        <v>2.8659005664794695E-3</v>
      </c>
      <c r="Z735" s="22">
        <f t="shared" si="180"/>
        <v>2.9485743375895451E-3</v>
      </c>
      <c r="AA735" s="22">
        <f t="shared" si="180"/>
        <v>3.0159847657098681E-3</v>
      </c>
      <c r="AB735" s="22">
        <f t="shared" si="180"/>
        <v>3.0969021916471581E-3</v>
      </c>
      <c r="AC735" s="22">
        <f t="shared" si="180"/>
        <v>3.1943690749044406E-3</v>
      </c>
      <c r="AD735" s="22">
        <f t="shared" si="180"/>
        <v>3.2585733035448653E-3</v>
      </c>
      <c r="AE735" s="22">
        <f t="shared" si="180"/>
        <v>3.3241557037935383E-3</v>
      </c>
      <c r="AF735" s="22">
        <f t="shared" si="180"/>
        <v>3.3880596297124936E-3</v>
      </c>
      <c r="AG735" s="22">
        <f t="shared" si="180"/>
        <v>3.4619913814758307E-3</v>
      </c>
      <c r="AH735" s="22">
        <f t="shared" si="180"/>
        <v>3.5146755709245725E-3</v>
      </c>
      <c r="AI735" s="22">
        <f t="shared" si="180"/>
        <v>3.5701775452979248E-3</v>
      </c>
      <c r="AJ735" s="22">
        <f t="shared" si="180"/>
        <v>3.6232879454531405E-3</v>
      </c>
      <c r="AK735" s="22">
        <f t="shared" si="180"/>
        <v>3.6661960797731564E-3</v>
      </c>
      <c r="AL735" s="22">
        <f t="shared" si="180"/>
        <v>3.7043821557080172E-3</v>
      </c>
      <c r="AM735" s="22">
        <f t="shared" si="180"/>
        <v>3.7423967810390727E-3</v>
      </c>
      <c r="AN735" s="22">
        <f t="shared" si="180"/>
        <v>3.8009071788089443E-3</v>
      </c>
      <c r="AO735" s="22">
        <f t="shared" si="180"/>
        <v>3.8485572102327672E-3</v>
      </c>
      <c r="AP735" s="22">
        <f t="shared" si="180"/>
        <v>3.8943125167611257E-3</v>
      </c>
      <c r="AQ735" s="22">
        <f t="shared" si="180"/>
        <v>3.9383232574175748E-3</v>
      </c>
      <c r="AR735" s="22">
        <f t="shared" si="180"/>
        <v>3.9864180340335002E-3</v>
      </c>
      <c r="AS735" s="22">
        <f t="shared" si="180"/>
        <v>4.0335263443460959E-3</v>
      </c>
      <c r="AT735" s="22">
        <f t="shared" si="180"/>
        <v>4.0238206460385395E-3</v>
      </c>
      <c r="AU735" s="22">
        <f t="shared" si="180"/>
        <v>4.0085912060413426E-3</v>
      </c>
      <c r="AV735" s="22">
        <f t="shared" si="180"/>
        <v>3.9985247622409742E-3</v>
      </c>
      <c r="AW735" s="22">
        <f t="shared" si="180"/>
        <v>3.9835451710550415E-3</v>
      </c>
      <c r="AY735" s="85"/>
      <c r="AZ735" s="85"/>
    </row>
    <row r="736" spans="1:52" x14ac:dyDescent="0.25">
      <c r="A736" s="102" t="str">
        <f t="shared" si="176"/>
        <v>NI MM Volatilisation</v>
      </c>
      <c r="B736" s="102" t="s">
        <v>970</v>
      </c>
      <c r="C736" s="102" t="s">
        <v>1333</v>
      </c>
      <c r="D736" t="s">
        <v>369</v>
      </c>
      <c r="E736" t="s">
        <v>64</v>
      </c>
      <c r="F736" t="s">
        <v>62</v>
      </c>
      <c r="G736" t="s">
        <v>1161</v>
      </c>
      <c r="H736" t="s">
        <v>1295</v>
      </c>
      <c r="I736" t="s">
        <v>139</v>
      </c>
      <c r="J736" t="s">
        <v>287</v>
      </c>
      <c r="K736" s="22">
        <f t="shared" ref="K736:AW736" si="181">K1535</f>
        <v>1.6169907052996448E-2</v>
      </c>
      <c r="L736" s="22">
        <f t="shared" si="181"/>
        <v>1.6087582545181053E-2</v>
      </c>
      <c r="M736" s="22">
        <f t="shared" si="181"/>
        <v>1.5937325240661746E-2</v>
      </c>
      <c r="N736" s="22">
        <f t="shared" si="181"/>
        <v>1.5526028543693155E-2</v>
      </c>
      <c r="O736" s="22">
        <f t="shared" si="181"/>
        <v>1.5131145066604845E-2</v>
      </c>
      <c r="P736" s="22">
        <f t="shared" si="181"/>
        <v>1.5001886544009729E-2</v>
      </c>
      <c r="Q736" s="22">
        <f t="shared" si="181"/>
        <v>1.4793120277850224E-2</v>
      </c>
      <c r="R736" s="22">
        <f t="shared" si="181"/>
        <v>1.4324063140036831E-2</v>
      </c>
      <c r="S736" s="22">
        <f t="shared" si="181"/>
        <v>1.2750328272579596E-2</v>
      </c>
      <c r="T736" s="22">
        <f t="shared" si="181"/>
        <v>1.3061880495557336E-2</v>
      </c>
      <c r="U736" s="22">
        <f t="shared" si="181"/>
        <v>1.3230158039847359E-2</v>
      </c>
      <c r="V736" s="22">
        <f t="shared" si="181"/>
        <v>1.3363909588008125E-2</v>
      </c>
      <c r="W736" s="22">
        <f t="shared" si="181"/>
        <v>1.3543663065205281E-2</v>
      </c>
      <c r="X736" s="22">
        <f t="shared" si="181"/>
        <v>1.3888765124818915E-2</v>
      </c>
      <c r="Y736" s="22">
        <f t="shared" si="181"/>
        <v>1.4266471348326726E-2</v>
      </c>
      <c r="Z736" s="22">
        <f t="shared" si="181"/>
        <v>1.4678021909639079E-2</v>
      </c>
      <c r="AA736" s="22">
        <f t="shared" si="181"/>
        <v>1.5013591451934262E-2</v>
      </c>
      <c r="AB736" s="22">
        <f t="shared" si="181"/>
        <v>1.5416398915744074E-2</v>
      </c>
      <c r="AC736" s="22">
        <f t="shared" si="181"/>
        <v>1.5901589683932116E-2</v>
      </c>
      <c r="AD736" s="22">
        <f t="shared" si="181"/>
        <v>1.6221198744711653E-2</v>
      </c>
      <c r="AE736" s="22">
        <f t="shared" si="181"/>
        <v>1.6547668352570915E-2</v>
      </c>
      <c r="AF736" s="22">
        <f t="shared" si="181"/>
        <v>1.6865782504482438E-2</v>
      </c>
      <c r="AG736" s="22">
        <f t="shared" si="181"/>
        <v>1.7233815237578592E-2</v>
      </c>
      <c r="AH736" s="22">
        <f t="shared" si="181"/>
        <v>1.7496077469587427E-2</v>
      </c>
      <c r="AI736" s="22">
        <f t="shared" si="181"/>
        <v>1.7772366652971647E-2</v>
      </c>
      <c r="AJ736" s="22">
        <f t="shared" si="181"/>
        <v>1.8036750564603077E-2</v>
      </c>
      <c r="AK736" s="22">
        <f t="shared" si="181"/>
        <v>1.825034753165997E-2</v>
      </c>
      <c r="AL736" s="22">
        <f t="shared" si="181"/>
        <v>1.8440438061876424E-2</v>
      </c>
      <c r="AM736" s="22">
        <f t="shared" si="181"/>
        <v>1.862967510989065E-2</v>
      </c>
      <c r="AN736" s="22">
        <f t="shared" si="181"/>
        <v>1.8920940244182623E-2</v>
      </c>
      <c r="AO736" s="22">
        <f t="shared" si="181"/>
        <v>1.9158142405348286E-2</v>
      </c>
      <c r="AP736" s="22">
        <f t="shared" si="181"/>
        <v>1.9385912613866938E-2</v>
      </c>
      <c r="AQ736" s="22">
        <f t="shared" si="181"/>
        <v>1.9604998362318136E-2</v>
      </c>
      <c r="AR736" s="22">
        <f t="shared" si="181"/>
        <v>1.9844414467894381E-2</v>
      </c>
      <c r="AS736" s="22">
        <f t="shared" si="181"/>
        <v>2.0078919937903877E-2</v>
      </c>
      <c r="AT736" s="22">
        <f t="shared" si="181"/>
        <v>2.0030604909657669E-2</v>
      </c>
      <c r="AU736" s="22">
        <f t="shared" si="181"/>
        <v>1.9954792659954267E-2</v>
      </c>
      <c r="AV736" s="22">
        <f t="shared" si="181"/>
        <v>1.9904681838337764E-2</v>
      </c>
      <c r="AW736" s="22">
        <f t="shared" si="181"/>
        <v>1.9830113337614693E-2</v>
      </c>
      <c r="AY736" s="85"/>
      <c r="AZ736" s="85"/>
    </row>
    <row r="737" spans="1:52" x14ac:dyDescent="0.25">
      <c r="A737" s="102" t="str">
        <f t="shared" si="176"/>
        <v>NI MM Volatilisation</v>
      </c>
      <c r="B737" s="102" t="s">
        <v>970</v>
      </c>
      <c r="C737" s="102" t="s">
        <v>1333</v>
      </c>
      <c r="D737" t="s">
        <v>369</v>
      </c>
      <c r="E737" t="s">
        <v>64</v>
      </c>
      <c r="F737" t="s">
        <v>62</v>
      </c>
      <c r="G737" t="s">
        <v>1163</v>
      </c>
      <c r="H737" t="s">
        <v>1296</v>
      </c>
      <c r="I737" t="s">
        <v>139</v>
      </c>
      <c r="J737" t="s">
        <v>287</v>
      </c>
      <c r="K737" s="22">
        <f t="shared" ref="K737:AW737" si="182">K1536</f>
        <v>0.15881310952891459</v>
      </c>
      <c r="L737" s="22">
        <f t="shared" si="182"/>
        <v>0.16473779708525871</v>
      </c>
      <c r="M737" s="22">
        <f t="shared" si="182"/>
        <v>0.17006036536738212</v>
      </c>
      <c r="N737" s="22">
        <f t="shared" si="182"/>
        <v>0.1725581026820969</v>
      </c>
      <c r="O737" s="22">
        <f t="shared" si="182"/>
        <v>0.17509405758016705</v>
      </c>
      <c r="P737" s="22">
        <f t="shared" si="182"/>
        <v>0.18069182253517682</v>
      </c>
      <c r="Q737" s="22">
        <f t="shared" si="182"/>
        <v>0.18541356320951116</v>
      </c>
      <c r="R737" s="22">
        <f t="shared" si="182"/>
        <v>0.18679194415388084</v>
      </c>
      <c r="S737" s="22">
        <f t="shared" si="182"/>
        <v>0.17296868678120739</v>
      </c>
      <c r="T737" s="22">
        <f t="shared" si="182"/>
        <v>0.18144262132443914</v>
      </c>
      <c r="U737" s="22">
        <f t="shared" si="182"/>
        <v>0.18812503294384797</v>
      </c>
      <c r="V737" s="22">
        <f t="shared" si="182"/>
        <v>0.19446239722796549</v>
      </c>
      <c r="W737" s="22">
        <f t="shared" si="182"/>
        <v>0.2016240264907645</v>
      </c>
      <c r="X737" s="22">
        <f t="shared" si="182"/>
        <v>0.21147893804143503</v>
      </c>
      <c r="Y737" s="22">
        <f t="shared" si="182"/>
        <v>0.2221363393242273</v>
      </c>
      <c r="Z737" s="22">
        <f t="shared" si="182"/>
        <v>0.23365788448441194</v>
      </c>
      <c r="AA737" s="22">
        <f t="shared" si="182"/>
        <v>0.24430091045471902</v>
      </c>
      <c r="AB737" s="22">
        <f t="shared" si="182"/>
        <v>0.25637491269914275</v>
      </c>
      <c r="AC737" s="22">
        <f t="shared" si="182"/>
        <v>0.27021906806746643</v>
      </c>
      <c r="AD737" s="22">
        <f t="shared" si="182"/>
        <v>0.28476142142999822</v>
      </c>
      <c r="AE737" s="22">
        <f t="shared" si="182"/>
        <v>0.30011305574638969</v>
      </c>
      <c r="AF737" s="22">
        <f t="shared" si="182"/>
        <v>0.31603885980078922</v>
      </c>
      <c r="AG737" s="22">
        <f t="shared" si="182"/>
        <v>0.33369229141350232</v>
      </c>
      <c r="AH737" s="22">
        <f t="shared" si="182"/>
        <v>0.35009811029288379</v>
      </c>
      <c r="AI737" s="22">
        <f t="shared" si="182"/>
        <v>0.3675707773071587</v>
      </c>
      <c r="AJ737" s="22">
        <f t="shared" si="182"/>
        <v>0.38563080115839554</v>
      </c>
      <c r="AK737" s="22">
        <f t="shared" si="182"/>
        <v>0.4034429737992129</v>
      </c>
      <c r="AL737" s="22">
        <f t="shared" si="182"/>
        <v>0.42156904095031289</v>
      </c>
      <c r="AM737" s="22">
        <f t="shared" si="182"/>
        <v>0.44054187589856841</v>
      </c>
      <c r="AN737" s="22">
        <f t="shared" si="182"/>
        <v>0.4600083648860695</v>
      </c>
      <c r="AO737" s="22">
        <f t="shared" si="182"/>
        <v>0.4789155318145385</v>
      </c>
      <c r="AP737" s="22">
        <f t="shared" si="182"/>
        <v>0.4983346210539078</v>
      </c>
      <c r="AQ737" s="22">
        <f t="shared" si="182"/>
        <v>0.51830220925788251</v>
      </c>
      <c r="AR737" s="22">
        <f t="shared" si="182"/>
        <v>0.53962685269510091</v>
      </c>
      <c r="AS737" s="22">
        <f t="shared" si="182"/>
        <v>0.56169127095769178</v>
      </c>
      <c r="AT737" s="22">
        <f t="shared" si="182"/>
        <v>0.57653019243567449</v>
      </c>
      <c r="AU737" s="22">
        <f t="shared" si="182"/>
        <v>0.59104442540925484</v>
      </c>
      <c r="AV737" s="22">
        <f t="shared" si="182"/>
        <v>0.60681048738089205</v>
      </c>
      <c r="AW737" s="22">
        <f t="shared" si="182"/>
        <v>0.62234884521273104</v>
      </c>
      <c r="AY737" s="85"/>
      <c r="AZ737" s="85"/>
    </row>
    <row r="738" spans="1:52" x14ac:dyDescent="0.25">
      <c r="A738" s="102" t="str">
        <f t="shared" si="176"/>
        <v>NI MM Volatilisation</v>
      </c>
      <c r="B738" s="102" t="s">
        <v>970</v>
      </c>
      <c r="C738" s="102" t="s">
        <v>1333</v>
      </c>
      <c r="D738" t="s">
        <v>369</v>
      </c>
      <c r="E738" t="s">
        <v>64</v>
      </c>
      <c r="F738" t="s">
        <v>62</v>
      </c>
      <c r="G738" t="s">
        <v>1165</v>
      </c>
      <c r="H738" t="s">
        <v>1297</v>
      </c>
      <c r="I738" t="s">
        <v>139</v>
      </c>
      <c r="J738" t="s">
        <v>287</v>
      </c>
      <c r="K738" s="22">
        <f t="shared" ref="K738:AW738" si="183">K1537</f>
        <v>1.1717139101759614E-4</v>
      </c>
      <c r="L738" s="22">
        <f t="shared" si="183"/>
        <v>1.1723462618367247E-4</v>
      </c>
      <c r="M738" s="22">
        <f t="shared" si="183"/>
        <v>1.1737999843906114E-4</v>
      </c>
      <c r="N738" s="22">
        <f t="shared" si="183"/>
        <v>1.1759581709566441E-4</v>
      </c>
      <c r="O738" s="22">
        <f t="shared" si="183"/>
        <v>1.178871134646596E-4</v>
      </c>
      <c r="P738" s="22">
        <f t="shared" si="183"/>
        <v>1.182597418054167E-4</v>
      </c>
      <c r="Q738" s="22">
        <f t="shared" si="183"/>
        <v>1.1867033947255795E-4</v>
      </c>
      <c r="R738" s="22">
        <f t="shared" si="183"/>
        <v>1.1911252923744314E-4</v>
      </c>
      <c r="S738" s="22">
        <f t="shared" si="183"/>
        <v>1.1955062486439893E-4</v>
      </c>
      <c r="T738" s="22">
        <f t="shared" si="183"/>
        <v>1.1972991314052751E-4</v>
      </c>
      <c r="U738" s="22">
        <f t="shared" si="183"/>
        <v>1.1993350054454542E-4</v>
      </c>
      <c r="V738" s="22">
        <f t="shared" si="183"/>
        <v>1.2016374349275828E-4</v>
      </c>
      <c r="W738" s="22">
        <f t="shared" si="183"/>
        <v>1.2042231214139446E-4</v>
      </c>
      <c r="X738" s="22">
        <f t="shared" si="183"/>
        <v>1.207128620599027E-4</v>
      </c>
      <c r="Y738" s="22">
        <f t="shared" si="183"/>
        <v>1.2089554719264044E-4</v>
      </c>
      <c r="Z738" s="22">
        <f t="shared" si="183"/>
        <v>1.2110125995232866E-4</v>
      </c>
      <c r="AA738" s="22">
        <f t="shared" si="183"/>
        <v>1.2132427506998271E-4</v>
      </c>
      <c r="AB738" s="22">
        <f t="shared" si="183"/>
        <v>1.2156982110770359E-4</v>
      </c>
      <c r="AC738" s="22">
        <f t="shared" si="183"/>
        <v>1.2183786994920164E-4</v>
      </c>
      <c r="AD738" s="22">
        <f t="shared" si="183"/>
        <v>1.2201528623614288E-4</v>
      </c>
      <c r="AE738" s="22">
        <f t="shared" si="183"/>
        <v>1.2220996410772502E-4</v>
      </c>
      <c r="AF738" s="22">
        <f t="shared" si="183"/>
        <v>1.2242059577670001E-4</v>
      </c>
      <c r="AG738" s="22">
        <f t="shared" si="183"/>
        <v>1.2264946134615736E-4</v>
      </c>
      <c r="AH738" s="22">
        <f t="shared" si="183"/>
        <v>1.2288846185835745E-4</v>
      </c>
      <c r="AI738" s="22">
        <f t="shared" si="183"/>
        <v>1.2304136792276417E-4</v>
      </c>
      <c r="AJ738" s="22">
        <f t="shared" si="183"/>
        <v>1.2320724493915228E-4</v>
      </c>
      <c r="AK738" s="22">
        <f t="shared" si="183"/>
        <v>1.2338358070705196E-4</v>
      </c>
      <c r="AL738" s="22">
        <f t="shared" si="183"/>
        <v>1.2357134049580156E-4</v>
      </c>
      <c r="AM738" s="22">
        <f t="shared" si="183"/>
        <v>1.2377140391233165E-4</v>
      </c>
      <c r="AN738" s="22">
        <f t="shared" si="183"/>
        <v>1.2388931849227042E-4</v>
      </c>
      <c r="AO738" s="22">
        <f t="shared" si="183"/>
        <v>1.2401495917055069E-4</v>
      </c>
      <c r="AP738" s="22">
        <f t="shared" si="183"/>
        <v>1.2415054004629534E-4</v>
      </c>
      <c r="AQ738" s="22">
        <f t="shared" si="183"/>
        <v>1.2429582194532134E-4</v>
      </c>
      <c r="AR738" s="22">
        <f t="shared" si="183"/>
        <v>1.2445236467960286E-4</v>
      </c>
      <c r="AS738" s="22">
        <f t="shared" si="183"/>
        <v>1.2452291839205781E-4</v>
      </c>
      <c r="AT738" s="22">
        <f t="shared" si="183"/>
        <v>1.2458415812408247E-4</v>
      </c>
      <c r="AU738" s="22">
        <f t="shared" si="183"/>
        <v>1.2465176490232825E-4</v>
      </c>
      <c r="AV738" s="22">
        <f t="shared" si="183"/>
        <v>1.2472905780449089E-4</v>
      </c>
      <c r="AW738" s="22">
        <f t="shared" si="183"/>
        <v>1.248124658088483E-4</v>
      </c>
      <c r="AY738" s="85"/>
      <c r="AZ738" s="85"/>
    </row>
    <row r="739" spans="1:52" x14ac:dyDescent="0.25">
      <c r="A739" s="102" t="str">
        <f t="shared" si="176"/>
        <v>NI MM Volatilisation</v>
      </c>
      <c r="B739" s="102" t="s">
        <v>970</v>
      </c>
      <c r="C739" s="102" t="s">
        <v>1333</v>
      </c>
      <c r="D739" t="s">
        <v>369</v>
      </c>
      <c r="E739" t="s">
        <v>64</v>
      </c>
      <c r="F739" t="s">
        <v>62</v>
      </c>
      <c r="G739" t="s">
        <v>1167</v>
      </c>
      <c r="H739" t="s">
        <v>1298</v>
      </c>
      <c r="I739" t="s">
        <v>139</v>
      </c>
      <c r="J739" t="s">
        <v>287</v>
      </c>
      <c r="K739" s="22">
        <f t="shared" ref="K739:AW739" si="184">K1538</f>
        <v>8.0409045079441203E-4</v>
      </c>
      <c r="L739" s="22">
        <f t="shared" si="184"/>
        <v>8.0452440308220838E-4</v>
      </c>
      <c r="M739" s="22">
        <f t="shared" si="184"/>
        <v>8.055220223931452E-4</v>
      </c>
      <c r="N739" s="22">
        <f t="shared" si="184"/>
        <v>8.0700308120255969E-4</v>
      </c>
      <c r="O739" s="22">
        <f t="shared" si="184"/>
        <v>8.0900210695983646E-4</v>
      </c>
      <c r="P739" s="22">
        <f t="shared" si="184"/>
        <v>8.1155927460883318E-4</v>
      </c>
      <c r="Q739" s="22">
        <f t="shared" si="184"/>
        <v>8.1437700733692851E-4</v>
      </c>
      <c r="R739" s="22">
        <f t="shared" si="184"/>
        <v>8.1741154131570351E-4</v>
      </c>
      <c r="S739" s="22">
        <f t="shared" si="184"/>
        <v>8.2041797921074454E-4</v>
      </c>
      <c r="T739" s="22">
        <f t="shared" si="184"/>
        <v>8.2164834772922271E-4</v>
      </c>
      <c r="U739" s="22">
        <f t="shared" si="184"/>
        <v>8.2304546938196678E-4</v>
      </c>
      <c r="V739" s="22">
        <f t="shared" si="184"/>
        <v>8.2462551511166995E-4</v>
      </c>
      <c r="W739" s="22">
        <f t="shared" si="184"/>
        <v>8.2639994639082011E-4</v>
      </c>
      <c r="X739" s="22">
        <f t="shared" si="184"/>
        <v>8.2839384962029086E-4</v>
      </c>
      <c r="Y739" s="22">
        <f t="shared" si="184"/>
        <v>8.2964752911885125E-4</v>
      </c>
      <c r="Z739" s="22">
        <f t="shared" si="184"/>
        <v>8.3105923605716848E-4</v>
      </c>
      <c r="AA739" s="22">
        <f t="shared" si="184"/>
        <v>8.3258968068986462E-4</v>
      </c>
      <c r="AB739" s="22">
        <f t="shared" si="184"/>
        <v>8.3427474410378356E-4</v>
      </c>
      <c r="AC739" s="22">
        <f t="shared" si="184"/>
        <v>8.3611423335046113E-4</v>
      </c>
      <c r="AD739" s="22">
        <f t="shared" si="184"/>
        <v>8.373317553147042E-4</v>
      </c>
      <c r="AE739" s="22">
        <f t="shared" si="184"/>
        <v>8.3866773516576396E-4</v>
      </c>
      <c r="AF739" s="22">
        <f t="shared" si="184"/>
        <v>8.4011319819378471E-4</v>
      </c>
      <c r="AG739" s="22">
        <f t="shared" si="184"/>
        <v>8.416837916408544E-4</v>
      </c>
      <c r="AH739" s="22">
        <f t="shared" si="184"/>
        <v>8.4332393628645482E-4</v>
      </c>
      <c r="AI739" s="22">
        <f t="shared" si="184"/>
        <v>8.4437325647622322E-4</v>
      </c>
      <c r="AJ739" s="22">
        <f t="shared" si="184"/>
        <v>8.4551159002100391E-4</v>
      </c>
      <c r="AK739" s="22">
        <f t="shared" si="184"/>
        <v>8.4672169690691037E-4</v>
      </c>
      <c r="AL739" s="22">
        <f t="shared" si="184"/>
        <v>8.4801020130944032E-4</v>
      </c>
      <c r="AM739" s="22">
        <f t="shared" si="184"/>
        <v>8.4938313954451667E-4</v>
      </c>
      <c r="AN739" s="22">
        <f t="shared" si="184"/>
        <v>8.5019233014057226E-4</v>
      </c>
      <c r="AO739" s="22">
        <f t="shared" si="184"/>
        <v>8.5105454120386272E-4</v>
      </c>
      <c r="AP739" s="22">
        <f t="shared" si="184"/>
        <v>8.5198496702325278E-4</v>
      </c>
      <c r="AQ739" s="22">
        <f t="shared" si="184"/>
        <v>8.5298196626227814E-4</v>
      </c>
      <c r="AR739" s="22">
        <f t="shared" si="184"/>
        <v>8.5405624315430654E-4</v>
      </c>
      <c r="AS739" s="22">
        <f t="shared" si="184"/>
        <v>8.545404190778012E-4</v>
      </c>
      <c r="AT739" s="22">
        <f t="shared" si="184"/>
        <v>8.5496067766910582E-4</v>
      </c>
      <c r="AU739" s="22">
        <f t="shared" si="184"/>
        <v>8.5542463021182405E-4</v>
      </c>
      <c r="AV739" s="22">
        <f t="shared" si="184"/>
        <v>8.5595505392706218E-4</v>
      </c>
      <c r="AW739" s="22">
        <f t="shared" si="184"/>
        <v>8.5652744262400531E-4</v>
      </c>
      <c r="AY739" s="85"/>
      <c r="AZ739" s="85"/>
    </row>
    <row r="740" spans="1:52" x14ac:dyDescent="0.25">
      <c r="A740" s="102" t="str">
        <f t="shared" si="176"/>
        <v>NI MM Volatilisation</v>
      </c>
      <c r="B740" s="102" t="s">
        <v>970</v>
      </c>
      <c r="C740" s="102" t="s">
        <v>1333</v>
      </c>
      <c r="D740" t="s">
        <v>369</v>
      </c>
      <c r="E740" t="s">
        <v>64</v>
      </c>
      <c r="F740" t="s">
        <v>62</v>
      </c>
      <c r="G740" t="s">
        <v>1169</v>
      </c>
      <c r="H740" t="s">
        <v>1299</v>
      </c>
      <c r="I740" t="s">
        <v>139</v>
      </c>
      <c r="J740" t="s">
        <v>287</v>
      </c>
      <c r="K740" s="22">
        <f t="shared" ref="K740:AW740" si="185">K1539</f>
        <v>1.4482807028187922E-5</v>
      </c>
      <c r="L740" s="22">
        <f t="shared" si="185"/>
        <v>1.4520450251739282E-5</v>
      </c>
      <c r="M740" s="22">
        <f t="shared" si="185"/>
        <v>1.4571212872745464E-5</v>
      </c>
      <c r="N740" s="22">
        <f t="shared" si="185"/>
        <v>1.4633040456364911E-5</v>
      </c>
      <c r="O740" s="22">
        <f t="shared" si="185"/>
        <v>1.4707094987006923E-5</v>
      </c>
      <c r="P740" s="22">
        <f t="shared" si="185"/>
        <v>1.4794644538423194E-5</v>
      </c>
      <c r="Q740" s="22">
        <f t="shared" si="185"/>
        <v>1.4887429784482061E-5</v>
      </c>
      <c r="R740" s="22">
        <f t="shared" si="185"/>
        <v>1.4984365063470914E-5</v>
      </c>
      <c r="S740" s="22">
        <f t="shared" si="185"/>
        <v>1.5078737379247896E-5</v>
      </c>
      <c r="T740" s="22">
        <f t="shared" si="185"/>
        <v>1.5122022085784052E-5</v>
      </c>
      <c r="U740" s="22">
        <f t="shared" si="185"/>
        <v>1.5168700186651053E-5</v>
      </c>
      <c r="V740" s="22">
        <f t="shared" si="185"/>
        <v>1.5219291662698976E-5</v>
      </c>
      <c r="W740" s="22">
        <f t="shared" si="185"/>
        <v>1.5274171031448217E-5</v>
      </c>
      <c r="X740" s="22">
        <f t="shared" si="185"/>
        <v>1.5334076575093776E-5</v>
      </c>
      <c r="Y740" s="22">
        <f t="shared" si="185"/>
        <v>1.5372633836154438E-5</v>
      </c>
      <c r="Z740" s="22">
        <f t="shared" si="185"/>
        <v>1.5414710813994563E-5</v>
      </c>
      <c r="AA740" s="22">
        <f t="shared" si="185"/>
        <v>1.5459260848218299E-5</v>
      </c>
      <c r="AB740" s="22">
        <f t="shared" si="185"/>
        <v>1.550729679110253E-5</v>
      </c>
      <c r="AC740" s="22">
        <f t="shared" si="185"/>
        <v>1.5558834836357002E-5</v>
      </c>
      <c r="AD740" s="22">
        <f t="shared" si="185"/>
        <v>1.5592757830860554E-5</v>
      </c>
      <c r="AE740" s="22">
        <f t="shared" si="185"/>
        <v>1.5629324786279091E-5</v>
      </c>
      <c r="AF740" s="22">
        <f t="shared" si="185"/>
        <v>1.5668308058264363E-5</v>
      </c>
      <c r="AG740" s="22">
        <f t="shared" si="185"/>
        <v>1.5710145809478675E-5</v>
      </c>
      <c r="AH740" s="22">
        <f t="shared" si="185"/>
        <v>1.5753347197297649E-5</v>
      </c>
      <c r="AI740" s="22">
        <f t="shared" si="185"/>
        <v>1.5780128357590142E-5</v>
      </c>
      <c r="AJ740" s="22">
        <f t="shared" si="185"/>
        <v>1.5808895494916665E-5</v>
      </c>
      <c r="AK740" s="22">
        <f t="shared" si="185"/>
        <v>1.5839194459493418E-5</v>
      </c>
      <c r="AL740" s="22">
        <f t="shared" si="185"/>
        <v>1.5871212894447166E-5</v>
      </c>
      <c r="AM740" s="22">
        <f t="shared" si="185"/>
        <v>1.5905120208325659E-5</v>
      </c>
      <c r="AN740" s="22">
        <f t="shared" si="185"/>
        <v>1.5923608440521578E-5</v>
      </c>
      <c r="AO740" s="22">
        <f t="shared" si="185"/>
        <v>1.5943219194385969E-5</v>
      </c>
      <c r="AP740" s="22">
        <f t="shared" si="185"/>
        <v>1.5964364076511548E-5</v>
      </c>
      <c r="AQ740" s="22">
        <f t="shared" si="185"/>
        <v>1.5987003748719161E-5</v>
      </c>
      <c r="AR740" s="22">
        <f t="shared" si="185"/>
        <v>1.6011426014492075E-5</v>
      </c>
      <c r="AS740" s="22">
        <f t="shared" si="185"/>
        <v>1.6019956720470997E-5</v>
      </c>
      <c r="AT740" s="22">
        <f t="shared" si="185"/>
        <v>1.6026597354274649E-5</v>
      </c>
      <c r="AU740" s="22">
        <f t="shared" si="185"/>
        <v>1.6034206571030276E-5</v>
      </c>
      <c r="AV740" s="22">
        <f t="shared" si="185"/>
        <v>1.6043388029308272E-5</v>
      </c>
      <c r="AW740" s="22">
        <f t="shared" si="185"/>
        <v>1.6053496862987396E-5</v>
      </c>
      <c r="AY740" s="85"/>
      <c r="AZ740" s="85"/>
    </row>
    <row r="741" spans="1:52" x14ac:dyDescent="0.25">
      <c r="A741" s="102" t="str">
        <f t="shared" si="176"/>
        <v>NI MM Volatilisation</v>
      </c>
      <c r="B741" s="102" t="s">
        <v>970</v>
      </c>
      <c r="C741" s="102" t="s">
        <v>1333</v>
      </c>
      <c r="D741" t="s">
        <v>369</v>
      </c>
      <c r="E741" t="s">
        <v>64</v>
      </c>
      <c r="F741" t="s">
        <v>62</v>
      </c>
      <c r="G741" t="s">
        <v>1171</v>
      </c>
      <c r="H741" t="s">
        <v>1300</v>
      </c>
      <c r="I741" t="s">
        <v>139</v>
      </c>
      <c r="J741" t="s">
        <v>287</v>
      </c>
      <c r="K741" s="22">
        <f t="shared" ref="K741:AW741" si="186">K1540</f>
        <v>1.4734983248944019E-3</v>
      </c>
      <c r="L741" s="22">
        <f t="shared" si="186"/>
        <v>1.4773281920422968E-3</v>
      </c>
      <c r="M741" s="22">
        <f t="shared" si="186"/>
        <v>1.4824928425740808E-3</v>
      </c>
      <c r="N741" s="22">
        <f t="shared" si="186"/>
        <v>1.4887832558011719E-3</v>
      </c>
      <c r="O741" s="22">
        <f t="shared" si="186"/>
        <v>1.4963176534244689E-3</v>
      </c>
      <c r="P741" s="22">
        <f t="shared" si="186"/>
        <v>1.5052250508030326E-3</v>
      </c>
      <c r="Q741" s="22">
        <f t="shared" si="186"/>
        <v>1.5146651340946602E-3</v>
      </c>
      <c r="R741" s="22">
        <f t="shared" si="186"/>
        <v>1.5245274467620346E-3</v>
      </c>
      <c r="S741" s="22">
        <f t="shared" si="186"/>
        <v>1.5341290004486333E-3</v>
      </c>
      <c r="T741" s="22">
        <f t="shared" si="186"/>
        <v>1.5385328389069129E-3</v>
      </c>
      <c r="U741" s="22">
        <f t="shared" si="186"/>
        <v>1.5432819254136169E-3</v>
      </c>
      <c r="V741" s="22">
        <f t="shared" si="186"/>
        <v>1.5484291634501014E-3</v>
      </c>
      <c r="W741" s="22">
        <f t="shared" si="186"/>
        <v>1.5540126568824096E-3</v>
      </c>
      <c r="X741" s="22">
        <f t="shared" si="186"/>
        <v>1.5601075194350781E-3</v>
      </c>
      <c r="Y741" s="22">
        <f t="shared" si="186"/>
        <v>1.5640303818660153E-3</v>
      </c>
      <c r="Z741" s="22">
        <f t="shared" si="186"/>
        <v>1.5683113445442707E-3</v>
      </c>
      <c r="AA741" s="22">
        <f t="shared" si="186"/>
        <v>1.5728439189737231E-3</v>
      </c>
      <c r="AB741" s="22">
        <f t="shared" si="186"/>
        <v>1.5777311539715299E-3</v>
      </c>
      <c r="AC741" s="22">
        <f t="shared" si="186"/>
        <v>1.5829746971053286E-3</v>
      </c>
      <c r="AD741" s="22">
        <f t="shared" si="186"/>
        <v>1.5864260636449165E-3</v>
      </c>
      <c r="AE741" s="22">
        <f t="shared" si="186"/>
        <v>1.5901464299696787E-3</v>
      </c>
      <c r="AF741" s="22">
        <f t="shared" si="186"/>
        <v>1.5941126352679608E-3</v>
      </c>
      <c r="AG741" s="22">
        <f t="shared" si="186"/>
        <v>1.5983692587396162E-3</v>
      </c>
      <c r="AH741" s="22">
        <f t="shared" si="186"/>
        <v>1.6027646202507156E-3</v>
      </c>
      <c r="AI741" s="22">
        <f t="shared" si="186"/>
        <v>1.6054893679293186E-3</v>
      </c>
      <c r="AJ741" s="22">
        <f t="shared" si="186"/>
        <v>1.6084161713162683E-3</v>
      </c>
      <c r="AK741" s="22">
        <f t="shared" si="186"/>
        <v>1.6114988246626113E-3</v>
      </c>
      <c r="AL741" s="22">
        <f t="shared" si="186"/>
        <v>1.6147564190072887E-3</v>
      </c>
      <c r="AM741" s="22">
        <f t="shared" si="186"/>
        <v>1.6182061901810947E-3</v>
      </c>
      <c r="AN741" s="22">
        <f t="shared" si="186"/>
        <v>1.6200872053128935E-3</v>
      </c>
      <c r="AO741" s="22">
        <f t="shared" si="186"/>
        <v>1.6220824271585524E-3</v>
      </c>
      <c r="AP741" s="22">
        <f t="shared" si="186"/>
        <v>1.6242337330712453E-3</v>
      </c>
      <c r="AQ741" s="22">
        <f t="shared" si="186"/>
        <v>1.6265371207369889E-3</v>
      </c>
      <c r="AR741" s="22">
        <f t="shared" si="186"/>
        <v>1.6290218716306845E-3</v>
      </c>
      <c r="AS741" s="22">
        <f t="shared" si="186"/>
        <v>1.6298897959871744E-3</v>
      </c>
      <c r="AT741" s="22">
        <f t="shared" si="186"/>
        <v>1.6305654221117833E-3</v>
      </c>
      <c r="AU741" s="22">
        <f t="shared" si="186"/>
        <v>1.6313395930388258E-3</v>
      </c>
      <c r="AV741" s="22">
        <f t="shared" si="186"/>
        <v>1.6322737257222465E-3</v>
      </c>
      <c r="AW741" s="22">
        <f t="shared" si="186"/>
        <v>1.6333022107019772E-3</v>
      </c>
      <c r="AY741" s="85"/>
      <c r="AZ741" s="85"/>
    </row>
    <row r="742" spans="1:52" x14ac:dyDescent="0.25">
      <c r="A742" s="102" t="str">
        <f t="shared" si="176"/>
        <v>NI MM Volatilisation</v>
      </c>
      <c r="B742" s="102" t="s">
        <v>970</v>
      </c>
      <c r="C742" s="102" t="s">
        <v>1333</v>
      </c>
      <c r="D742" t="s">
        <v>369</v>
      </c>
      <c r="E742" t="s">
        <v>64</v>
      </c>
      <c r="F742" t="s">
        <v>62</v>
      </c>
      <c r="G742" t="s">
        <v>1173</v>
      </c>
      <c r="H742" t="s">
        <v>1301</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85"/>
      <c r="AZ742" s="85"/>
    </row>
    <row r="743" spans="1:52" x14ac:dyDescent="0.25">
      <c r="A743" s="102" t="str">
        <f t="shared" si="176"/>
        <v>NI MM Volatilisation</v>
      </c>
      <c r="B743" s="102" t="s">
        <v>970</v>
      </c>
      <c r="C743" s="102" t="s">
        <v>1333</v>
      </c>
      <c r="D743" t="s">
        <v>369</v>
      </c>
      <c r="E743" t="s">
        <v>64</v>
      </c>
      <c r="F743" t="s">
        <v>62</v>
      </c>
      <c r="G743" t="s">
        <v>1175</v>
      </c>
      <c r="H743" t="s">
        <v>1302</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85"/>
      <c r="AZ743" s="85"/>
    </row>
    <row r="744" spans="1:52" x14ac:dyDescent="0.25">
      <c r="A744" s="102" t="str">
        <f t="shared" si="176"/>
        <v>NI MM Volatilisation</v>
      </c>
      <c r="B744" s="102" t="s">
        <v>970</v>
      </c>
      <c r="C744" s="102" t="s">
        <v>1333</v>
      </c>
      <c r="D744" t="s">
        <v>369</v>
      </c>
      <c r="E744" t="s">
        <v>64</v>
      </c>
      <c r="F744" t="s">
        <v>62</v>
      </c>
      <c r="G744" t="s">
        <v>1177</v>
      </c>
      <c r="H744" t="s">
        <v>1303</v>
      </c>
      <c r="I744" t="s">
        <v>139</v>
      </c>
      <c r="J744" t="s">
        <v>287</v>
      </c>
      <c r="K744" s="22">
        <f t="shared" ref="K744:AW744" si="189">K1543</f>
        <v>0.13127680408912967</v>
      </c>
      <c r="L744" s="22">
        <f t="shared" si="189"/>
        <v>0.13104478756679175</v>
      </c>
      <c r="M744" s="22">
        <f t="shared" si="189"/>
        <v>0.13030955774266942</v>
      </c>
      <c r="N744" s="22">
        <f t="shared" si="189"/>
        <v>0.12743411073001928</v>
      </c>
      <c r="O744" s="22">
        <f t="shared" si="189"/>
        <v>0.1247149107669546</v>
      </c>
      <c r="P744" s="22">
        <f t="shared" si="189"/>
        <v>0.1242760261027246</v>
      </c>
      <c r="Q744" s="22">
        <f t="shared" si="189"/>
        <v>0.1232106270346093</v>
      </c>
      <c r="R744" s="22">
        <f t="shared" si="189"/>
        <v>0.11992927074804736</v>
      </c>
      <c r="S744" s="22">
        <f t="shared" si="189"/>
        <v>0.10697136059413564</v>
      </c>
      <c r="T744" s="22">
        <f t="shared" si="189"/>
        <v>0.10927238007305687</v>
      </c>
      <c r="U744" s="22">
        <f t="shared" si="189"/>
        <v>0.11033195793154126</v>
      </c>
      <c r="V744" s="22">
        <f t="shared" si="189"/>
        <v>0.11110365742908961</v>
      </c>
      <c r="W744" s="22">
        <f t="shared" si="189"/>
        <v>0.1122884240961687</v>
      </c>
      <c r="X744" s="22">
        <f t="shared" si="189"/>
        <v>0.11491943317032226</v>
      </c>
      <c r="Y744" s="22">
        <f t="shared" si="189"/>
        <v>0.117880487302873</v>
      </c>
      <c r="Z744" s="22">
        <f t="shared" si="189"/>
        <v>0.12113886796014842</v>
      </c>
      <c r="AA744" s="22">
        <f t="shared" si="189"/>
        <v>0.12374440018879811</v>
      </c>
      <c r="AB744" s="22">
        <f t="shared" si="189"/>
        <v>0.12693570858518674</v>
      </c>
      <c r="AC744" s="22">
        <f t="shared" si="189"/>
        <v>0.13084113615278595</v>
      </c>
      <c r="AD744" s="22">
        <f t="shared" si="189"/>
        <v>0.13453780909031221</v>
      </c>
      <c r="AE744" s="22">
        <f t="shared" si="189"/>
        <v>0.13838522984786125</v>
      </c>
      <c r="AF744" s="22">
        <f t="shared" si="189"/>
        <v>0.1422552100509078</v>
      </c>
      <c r="AG744" s="22">
        <f t="shared" si="189"/>
        <v>0.14666883461308858</v>
      </c>
      <c r="AH744" s="22">
        <f t="shared" si="189"/>
        <v>0.15024709495665656</v>
      </c>
      <c r="AI744" s="22">
        <f t="shared" si="189"/>
        <v>0.15408132184002271</v>
      </c>
      <c r="AJ744" s="22">
        <f t="shared" si="189"/>
        <v>0.15791627313476184</v>
      </c>
      <c r="AK744" s="22">
        <f t="shared" si="189"/>
        <v>0.16139685457136538</v>
      </c>
      <c r="AL744" s="22">
        <f t="shared" si="189"/>
        <v>0.16476948346525533</v>
      </c>
      <c r="AM744" s="22">
        <f t="shared" si="189"/>
        <v>0.1682466106779141</v>
      </c>
      <c r="AN744" s="22">
        <f t="shared" si="189"/>
        <v>0.17192264568830376</v>
      </c>
      <c r="AO744" s="22">
        <f t="shared" si="189"/>
        <v>0.17515461564548812</v>
      </c>
      <c r="AP744" s="22">
        <f t="shared" si="189"/>
        <v>0.17836303688392388</v>
      </c>
      <c r="AQ744" s="22">
        <f t="shared" si="189"/>
        <v>0.18155644014490915</v>
      </c>
      <c r="AR744" s="22">
        <f t="shared" si="189"/>
        <v>0.18501677268932123</v>
      </c>
      <c r="AS744" s="22">
        <f t="shared" si="189"/>
        <v>0.1885273047927761</v>
      </c>
      <c r="AT744" s="22">
        <f t="shared" si="189"/>
        <v>0.1893481182412324</v>
      </c>
      <c r="AU744" s="22">
        <f t="shared" si="189"/>
        <v>0.18994311944670875</v>
      </c>
      <c r="AV744" s="22">
        <f t="shared" si="189"/>
        <v>0.19083634950059308</v>
      </c>
      <c r="AW744" s="22">
        <f t="shared" si="189"/>
        <v>0.19153378485504027</v>
      </c>
      <c r="AY744" s="85"/>
      <c r="AZ744" s="85"/>
    </row>
    <row r="745" spans="1:52" x14ac:dyDescent="0.25">
      <c r="A745" s="102" t="str">
        <f t="shared" si="176"/>
        <v>NI MM Volatilisation</v>
      </c>
      <c r="B745" s="102" t="s">
        <v>970</v>
      </c>
      <c r="C745" s="102" t="s">
        <v>1333</v>
      </c>
      <c r="D745" t="s">
        <v>369</v>
      </c>
      <c r="E745" t="s">
        <v>64</v>
      </c>
      <c r="F745" t="s">
        <v>62</v>
      </c>
      <c r="G745" t="s">
        <v>1179</v>
      </c>
      <c r="H745" t="s">
        <v>1304</v>
      </c>
      <c r="I745" t="s">
        <v>139</v>
      </c>
      <c r="J745" t="s">
        <v>287</v>
      </c>
      <c r="K745" s="22">
        <f t="shared" ref="K745:AW745" si="190">K1544</f>
        <v>1.2775290998949166E-2</v>
      </c>
      <c r="L745" s="22">
        <f t="shared" si="190"/>
        <v>1.2752712154118219E-2</v>
      </c>
      <c r="M745" s="22">
        <f t="shared" si="190"/>
        <v>1.2681162766399339E-2</v>
      </c>
      <c r="N745" s="22">
        <f t="shared" si="190"/>
        <v>1.2401336695117745E-2</v>
      </c>
      <c r="O745" s="22">
        <f t="shared" si="190"/>
        <v>1.2136715911167996E-2</v>
      </c>
      <c r="P745" s="22">
        <f t="shared" si="190"/>
        <v>1.2094005553162118E-2</v>
      </c>
      <c r="Q745" s="22">
        <f t="shared" si="190"/>
        <v>1.1990325522103915E-2</v>
      </c>
      <c r="R745" s="22">
        <f t="shared" si="190"/>
        <v>1.1670998115233177E-2</v>
      </c>
      <c r="S745" s="22">
        <f t="shared" si="190"/>
        <v>1.0409990322553617E-2</v>
      </c>
      <c r="T745" s="22">
        <f t="shared" si="190"/>
        <v>1.0633915589789026E-2</v>
      </c>
      <c r="U745" s="22">
        <f t="shared" si="190"/>
        <v>1.0737029125893931E-2</v>
      </c>
      <c r="V745" s="22">
        <f t="shared" si="190"/>
        <v>1.0812127584554078E-2</v>
      </c>
      <c r="W745" s="22">
        <f t="shared" si="190"/>
        <v>1.092742395425785E-2</v>
      </c>
      <c r="X745" s="22">
        <f t="shared" si="190"/>
        <v>1.1183462382191907E-2</v>
      </c>
      <c r="Y745" s="22">
        <f t="shared" si="190"/>
        <v>1.1471619368260015E-2</v>
      </c>
      <c r="Z745" s="22">
        <f t="shared" si="190"/>
        <v>1.1788710886223677E-2</v>
      </c>
      <c r="AA745" s="22">
        <f t="shared" si="190"/>
        <v>1.2042270017702387E-2</v>
      </c>
      <c r="AB745" s="22">
        <f t="shared" si="190"/>
        <v>1.2352834353223334E-2</v>
      </c>
      <c r="AC745" s="22">
        <f t="shared" si="190"/>
        <v>1.2732893678993665E-2</v>
      </c>
      <c r="AD745" s="22">
        <f t="shared" si="190"/>
        <v>1.3092637906715528E-2</v>
      </c>
      <c r="AE745" s="22">
        <f t="shared" si="190"/>
        <v>1.3467052260524101E-2</v>
      </c>
      <c r="AF745" s="22">
        <f t="shared" si="190"/>
        <v>1.384366200203278E-2</v>
      </c>
      <c r="AG745" s="22">
        <f t="shared" si="190"/>
        <v>1.4273176862127078E-2</v>
      </c>
      <c r="AH745" s="22">
        <f t="shared" si="190"/>
        <v>1.4621397688161536E-2</v>
      </c>
      <c r="AI745" s="22">
        <f t="shared" si="190"/>
        <v>1.4994528071178318E-2</v>
      </c>
      <c r="AJ745" s="22">
        <f t="shared" si="190"/>
        <v>1.5367728950777933E-2</v>
      </c>
      <c r="AK745" s="22">
        <f t="shared" si="190"/>
        <v>1.5706444087901172E-2</v>
      </c>
      <c r="AL745" s="22">
        <f t="shared" si="190"/>
        <v>1.6034653750300141E-2</v>
      </c>
      <c r="AM745" s="22">
        <f t="shared" si="190"/>
        <v>1.6373032737283407E-2</v>
      </c>
      <c r="AN745" s="22">
        <f t="shared" si="190"/>
        <v>1.673076857116438E-2</v>
      </c>
      <c r="AO745" s="22">
        <f t="shared" si="190"/>
        <v>1.7045289913981791E-2</v>
      </c>
      <c r="AP745" s="22">
        <f t="shared" si="190"/>
        <v>1.7357519597303427E-2</v>
      </c>
      <c r="AQ745" s="22">
        <f t="shared" si="190"/>
        <v>1.7668287795989782E-2</v>
      </c>
      <c r="AR745" s="22">
        <f t="shared" si="190"/>
        <v>1.8005032398471E-2</v>
      </c>
      <c r="AS745" s="22">
        <f t="shared" si="190"/>
        <v>1.8346662205000568E-2</v>
      </c>
      <c r="AT745" s="22">
        <f t="shared" si="190"/>
        <v>1.8426540221018993E-2</v>
      </c>
      <c r="AU745" s="22">
        <f t="shared" si="190"/>
        <v>1.8484443165849414E-2</v>
      </c>
      <c r="AV745" s="22">
        <f t="shared" si="190"/>
        <v>1.8571368452815044E-2</v>
      </c>
      <c r="AW745" s="22">
        <f t="shared" si="190"/>
        <v>1.8639239846149461E-2</v>
      </c>
      <c r="AY745" s="85"/>
      <c r="AZ745" s="85"/>
    </row>
    <row r="746" spans="1:52" x14ac:dyDescent="0.25">
      <c r="A746" s="102" t="str">
        <f t="shared" si="176"/>
        <v>NI MM Volatilisation</v>
      </c>
      <c r="B746" s="102" t="s">
        <v>970</v>
      </c>
      <c r="C746" s="102" t="s">
        <v>1333</v>
      </c>
      <c r="D746" t="s">
        <v>369</v>
      </c>
      <c r="E746" t="s">
        <v>64</v>
      </c>
      <c r="F746" t="s">
        <v>62</v>
      </c>
      <c r="G746" t="s">
        <v>1181</v>
      </c>
      <c r="H746" t="s">
        <v>1305</v>
      </c>
      <c r="I746" t="s">
        <v>139</v>
      </c>
      <c r="J746" t="s">
        <v>287</v>
      </c>
      <c r="K746" s="22">
        <f t="shared" ref="K746:AW746" si="191">K1545</f>
        <v>6.4639922525530427E-2</v>
      </c>
      <c r="L746" s="22">
        <f t="shared" si="191"/>
        <v>6.6092820241884495E-2</v>
      </c>
      <c r="M746" s="22">
        <f t="shared" si="191"/>
        <v>6.7406950311631311E-2</v>
      </c>
      <c r="N746" s="22">
        <f t="shared" si="191"/>
        <v>6.8085378535523336E-2</v>
      </c>
      <c r="O746" s="22">
        <f t="shared" si="191"/>
        <v>6.8782509933711544E-2</v>
      </c>
      <c r="P746" s="22">
        <f t="shared" si="191"/>
        <v>7.0170496606956442E-2</v>
      </c>
      <c r="Q746" s="22">
        <f t="shared" si="191"/>
        <v>7.1357352719614867E-2</v>
      </c>
      <c r="R746" s="22">
        <f t="shared" si="191"/>
        <v>7.1807853842609945E-2</v>
      </c>
      <c r="S746" s="22">
        <f t="shared" si="191"/>
        <v>6.89560372793145E-2</v>
      </c>
      <c r="T746" s="22">
        <f t="shared" si="191"/>
        <v>7.1008173280929857E-2</v>
      </c>
      <c r="U746" s="22">
        <f t="shared" si="191"/>
        <v>7.2666722437194436E-2</v>
      </c>
      <c r="V746" s="22">
        <f t="shared" si="191"/>
        <v>7.4247222856444403E-2</v>
      </c>
      <c r="W746" s="22">
        <f t="shared" si="191"/>
        <v>7.600218438166105E-2</v>
      </c>
      <c r="X746" s="22">
        <f t="shared" si="191"/>
        <v>7.8331736592242102E-2</v>
      </c>
      <c r="Y746" s="22">
        <f t="shared" si="191"/>
        <v>8.0778487004079483E-2</v>
      </c>
      <c r="Z746" s="22">
        <f t="shared" si="191"/>
        <v>8.3401229369706939E-2</v>
      </c>
      <c r="AA746" s="22">
        <f t="shared" si="191"/>
        <v>8.5827271656106763E-2</v>
      </c>
      <c r="AB746" s="22">
        <f t="shared" si="191"/>
        <v>8.8549064394725929E-2</v>
      </c>
      <c r="AC746" s="22">
        <f t="shared" si="191"/>
        <v>9.1636240743728642E-2</v>
      </c>
      <c r="AD746" s="22">
        <f t="shared" si="191"/>
        <v>9.4662173779080358E-2</v>
      </c>
      <c r="AE746" s="22">
        <f t="shared" si="191"/>
        <v>9.7831321391472395E-2</v>
      </c>
      <c r="AF746" s="22">
        <f t="shared" si="191"/>
        <v>0.1010924495137356</v>
      </c>
      <c r="AG746" s="22">
        <f t="shared" si="191"/>
        <v>0.10468368456707709</v>
      </c>
      <c r="AH746" s="22">
        <f t="shared" si="191"/>
        <v>0.10798542807128246</v>
      </c>
      <c r="AI746" s="22">
        <f t="shared" si="191"/>
        <v>0.11143964262193619</v>
      </c>
      <c r="AJ746" s="22">
        <f t="shared" si="191"/>
        <v>0.11498300476041527</v>
      </c>
      <c r="AK746" s="22">
        <f t="shared" si="191"/>
        <v>0.11844428302751359</v>
      </c>
      <c r="AL746" s="22">
        <f t="shared" si="191"/>
        <v>0.12193846206930534</v>
      </c>
      <c r="AM746" s="22">
        <f t="shared" si="191"/>
        <v>0.12557241914152842</v>
      </c>
      <c r="AN746" s="22">
        <f t="shared" si="191"/>
        <v>0.12935192234708767</v>
      </c>
      <c r="AO746" s="22">
        <f t="shared" si="191"/>
        <v>0.13299431940651141</v>
      </c>
      <c r="AP746" s="22">
        <f t="shared" si="191"/>
        <v>0.13671453058130023</v>
      </c>
      <c r="AQ746" s="22">
        <f t="shared" si="191"/>
        <v>0.14051897664424154</v>
      </c>
      <c r="AR746" s="22">
        <f t="shared" si="191"/>
        <v>0.14456662668799888</v>
      </c>
      <c r="AS746" s="22">
        <f t="shared" si="191"/>
        <v>0.14869599338087189</v>
      </c>
      <c r="AT746" s="22">
        <f t="shared" si="191"/>
        <v>0.15137911693275455</v>
      </c>
      <c r="AU746" s="22">
        <f t="shared" si="191"/>
        <v>0.1539813872955596</v>
      </c>
      <c r="AV746" s="22">
        <f t="shared" si="191"/>
        <v>0.15681091101615385</v>
      </c>
      <c r="AW746" s="22">
        <f t="shared" si="191"/>
        <v>0.15957796848952543</v>
      </c>
      <c r="AY746" s="85"/>
      <c r="AZ746" s="85"/>
    </row>
    <row r="747" spans="1:52" x14ac:dyDescent="0.25">
      <c r="A747" s="102" t="str">
        <f t="shared" si="176"/>
        <v>NI MM Volatilisation</v>
      </c>
      <c r="B747" s="102" t="s">
        <v>970</v>
      </c>
      <c r="C747" s="102" t="s">
        <v>1333</v>
      </c>
      <c r="D747" t="s">
        <v>369</v>
      </c>
      <c r="E747" t="s">
        <v>64</v>
      </c>
      <c r="F747" t="s">
        <v>62</v>
      </c>
      <c r="G747" t="s">
        <v>1183</v>
      </c>
      <c r="H747" t="s">
        <v>1306</v>
      </c>
      <c r="I747" t="s">
        <v>139</v>
      </c>
      <c r="J747" t="s">
        <v>287</v>
      </c>
      <c r="K747" s="22">
        <f t="shared" ref="K747:AW747" si="192">K1546</f>
        <v>0.3124157271084777</v>
      </c>
      <c r="L747" s="22">
        <f t="shared" si="192"/>
        <v>0.31821414255231495</v>
      </c>
      <c r="M747" s="22">
        <f t="shared" si="192"/>
        <v>0.32201191440693633</v>
      </c>
      <c r="N747" s="22">
        <f t="shared" si="192"/>
        <v>0.3178348082585094</v>
      </c>
      <c r="O747" s="22">
        <f t="shared" si="192"/>
        <v>0.31378386599173785</v>
      </c>
      <c r="P747" s="22">
        <f t="shared" si="192"/>
        <v>0.31779798966820449</v>
      </c>
      <c r="Q747" s="22">
        <f t="shared" si="192"/>
        <v>0.31934474546532327</v>
      </c>
      <c r="R747" s="22">
        <f t="shared" si="192"/>
        <v>0.3122534460886785</v>
      </c>
      <c r="S747" s="22">
        <f t="shared" si="192"/>
        <v>0.26726842990845273</v>
      </c>
      <c r="T747" s="22">
        <f t="shared" si="192"/>
        <v>0.28155383456320437</v>
      </c>
      <c r="U747" s="22">
        <f t="shared" si="192"/>
        <v>0.29111754321840305</v>
      </c>
      <c r="V747" s="22">
        <f t="shared" si="192"/>
        <v>0.2996184601617527</v>
      </c>
      <c r="W747" s="22">
        <f t="shared" si="192"/>
        <v>0.30988409927740257</v>
      </c>
      <c r="X747" s="22">
        <f t="shared" si="192"/>
        <v>0.32626779257260974</v>
      </c>
      <c r="Y747" s="22">
        <f t="shared" si="192"/>
        <v>0.34459114138127506</v>
      </c>
      <c r="Z747" s="22">
        <f t="shared" si="192"/>
        <v>0.36451721195122694</v>
      </c>
      <c r="AA747" s="22">
        <f t="shared" si="192"/>
        <v>0.38201404405887901</v>
      </c>
      <c r="AB747" s="22">
        <f t="shared" si="192"/>
        <v>0.40238508942677492</v>
      </c>
      <c r="AC747" s="22">
        <f t="shared" si="192"/>
        <v>0.4263053965641187</v>
      </c>
      <c r="AD747" s="22">
        <f t="shared" si="192"/>
        <v>0.44998725989455773</v>
      </c>
      <c r="AE747" s="22">
        <f t="shared" si="192"/>
        <v>0.47482812670868052</v>
      </c>
      <c r="AF747" s="22">
        <f t="shared" si="192"/>
        <v>0.50027841318334143</v>
      </c>
      <c r="AG747" s="22">
        <f t="shared" si="192"/>
        <v>0.52877672683612675</v>
      </c>
      <c r="AH747" s="22">
        <f t="shared" si="192"/>
        <v>0.55394333487777203</v>
      </c>
      <c r="AI747" s="22">
        <f t="shared" si="192"/>
        <v>0.58103945126716949</v>
      </c>
      <c r="AJ747" s="22">
        <f t="shared" si="192"/>
        <v>0.60869953568846558</v>
      </c>
      <c r="AK747" s="22">
        <f t="shared" si="192"/>
        <v>0.6352030919632573</v>
      </c>
      <c r="AL747" s="22">
        <f t="shared" si="192"/>
        <v>0.66171943775292319</v>
      </c>
      <c r="AM747" s="22">
        <f t="shared" si="192"/>
        <v>0.68930855279653469</v>
      </c>
      <c r="AN747" s="22">
        <f t="shared" si="192"/>
        <v>0.71866455371182625</v>
      </c>
      <c r="AO747" s="22">
        <f t="shared" si="192"/>
        <v>0.74635733605458598</v>
      </c>
      <c r="AP747" s="22">
        <f t="shared" si="192"/>
        <v>0.7745069527648214</v>
      </c>
      <c r="AQ747" s="22">
        <f t="shared" si="192"/>
        <v>0.80317067030208755</v>
      </c>
      <c r="AR747" s="22">
        <f t="shared" si="192"/>
        <v>0.83386954359351506</v>
      </c>
      <c r="AS747" s="22">
        <f t="shared" si="192"/>
        <v>0.86568293208899882</v>
      </c>
      <c r="AT747" s="22">
        <f t="shared" si="192"/>
        <v>0.88344012524771687</v>
      </c>
      <c r="AU747" s="22">
        <f t="shared" si="192"/>
        <v>0.90027059680950883</v>
      </c>
      <c r="AV747" s="22">
        <f t="shared" si="192"/>
        <v>0.91908561041712944</v>
      </c>
      <c r="AW747" s="22">
        <f t="shared" si="192"/>
        <v>0.9371463380375723</v>
      </c>
      <c r="AY747" s="85"/>
      <c r="AZ747" s="85"/>
    </row>
    <row r="748" spans="1:52" x14ac:dyDescent="0.25">
      <c r="A748" s="102" t="str">
        <f t="shared" si="176"/>
        <v>NI MM Leaching</v>
      </c>
      <c r="B748" s="102" t="s">
        <v>970</v>
      </c>
      <c r="C748" s="102" t="s">
        <v>1334</v>
      </c>
      <c r="D748" t="s">
        <v>369</v>
      </c>
      <c r="E748" t="s">
        <v>64</v>
      </c>
      <c r="F748" t="s">
        <v>63</v>
      </c>
      <c r="G748" t="s">
        <v>1153</v>
      </c>
      <c r="H748" t="s">
        <v>1307</v>
      </c>
      <c r="I748" t="s">
        <v>139</v>
      </c>
      <c r="J748" t="s">
        <v>287</v>
      </c>
      <c r="K748" s="22">
        <f t="shared" ref="K748:AW748" si="193">K1547</f>
        <v>8.9301817319657029E-2</v>
      </c>
      <c r="L748" s="22">
        <f t="shared" si="193"/>
        <v>8.9904788204048389E-2</v>
      </c>
      <c r="M748" s="22">
        <f t="shared" si="193"/>
        <v>9.0432234991344826E-2</v>
      </c>
      <c r="N748" s="22">
        <f t="shared" si="193"/>
        <v>9.0500461338876806E-2</v>
      </c>
      <c r="O748" s="22">
        <f t="shared" si="193"/>
        <v>9.0617974533052939E-2</v>
      </c>
      <c r="P748" s="22">
        <f t="shared" si="193"/>
        <v>9.1292243565634368E-2</v>
      </c>
      <c r="Q748" s="22">
        <f t="shared" si="193"/>
        <v>9.1831411898207801E-2</v>
      </c>
      <c r="R748" s="22">
        <f t="shared" si="193"/>
        <v>9.1836139358568436E-2</v>
      </c>
      <c r="S748" s="22">
        <f t="shared" si="193"/>
        <v>8.9403055409342513E-2</v>
      </c>
      <c r="T748" s="22">
        <f t="shared" si="193"/>
        <v>9.0578464795021837E-2</v>
      </c>
      <c r="U748" s="22">
        <f t="shared" si="193"/>
        <v>9.1468229504779536E-2</v>
      </c>
      <c r="V748" s="22">
        <f t="shared" si="193"/>
        <v>9.2307701453058486E-2</v>
      </c>
      <c r="W748" s="22">
        <f t="shared" si="193"/>
        <v>9.3281093922152392E-2</v>
      </c>
      <c r="X748" s="22">
        <f t="shared" si="193"/>
        <v>9.4675817928952744E-2</v>
      </c>
      <c r="Y748" s="22">
        <f t="shared" si="193"/>
        <v>9.6127887906373721E-2</v>
      </c>
      <c r="Z748" s="22">
        <f t="shared" si="193"/>
        <v>9.7705163684132096E-2</v>
      </c>
      <c r="AA748" s="22">
        <f t="shared" si="193"/>
        <v>9.9139534803866503E-2</v>
      </c>
      <c r="AB748" s="22">
        <f t="shared" si="193"/>
        <v>0.10078297415070787</v>
      </c>
      <c r="AC748" s="22">
        <f t="shared" si="193"/>
        <v>0.10268183134860724</v>
      </c>
      <c r="AD748" s="22">
        <f t="shared" si="193"/>
        <v>0.10450996110897502</v>
      </c>
      <c r="AE748" s="22">
        <f t="shared" si="193"/>
        <v>0.1064333985286125</v>
      </c>
      <c r="AF748" s="22">
        <f t="shared" si="193"/>
        <v>0.10841517507268528</v>
      </c>
      <c r="AG748" s="22">
        <f t="shared" si="193"/>
        <v>0.11062033109470952</v>
      </c>
      <c r="AH748" s="22">
        <f t="shared" si="193"/>
        <v>0.11261681982671894</v>
      </c>
      <c r="AI748" s="22">
        <f t="shared" si="193"/>
        <v>0.11469139352660324</v>
      </c>
      <c r="AJ748" s="22">
        <f t="shared" si="193"/>
        <v>0.11682019256305964</v>
      </c>
      <c r="AK748" s="22">
        <f t="shared" si="193"/>
        <v>0.11888535619665287</v>
      </c>
      <c r="AL748" s="22">
        <f t="shared" si="193"/>
        <v>0.12096617191338277</v>
      </c>
      <c r="AM748" s="22">
        <f t="shared" si="193"/>
        <v>0.12313525542688207</v>
      </c>
      <c r="AN748" s="22">
        <f t="shared" si="193"/>
        <v>0.12537615973723265</v>
      </c>
      <c r="AO748" s="22">
        <f t="shared" si="193"/>
        <v>0.12751645286240365</v>
      </c>
      <c r="AP748" s="22">
        <f t="shared" si="193"/>
        <v>0.12970195754720021</v>
      </c>
      <c r="AQ748" s="22">
        <f t="shared" si="193"/>
        <v>0.131936612577774</v>
      </c>
      <c r="AR748" s="22">
        <f t="shared" si="193"/>
        <v>0.13432635811565444</v>
      </c>
      <c r="AS748" s="22">
        <f t="shared" si="193"/>
        <v>0.13674240472836932</v>
      </c>
      <c r="AT748" s="22">
        <f t="shared" si="193"/>
        <v>0.13818843767832675</v>
      </c>
      <c r="AU748" s="22">
        <f t="shared" si="193"/>
        <v>0.13957828911754586</v>
      </c>
      <c r="AV748" s="22">
        <f t="shared" si="193"/>
        <v>0.14111599332781352</v>
      </c>
      <c r="AW748" s="22">
        <f t="shared" si="193"/>
        <v>0.14260938051125654</v>
      </c>
      <c r="AY748" s="85"/>
      <c r="AZ748" s="85"/>
    </row>
    <row r="749" spans="1:52" x14ac:dyDescent="0.25">
      <c r="A749" s="102" t="str">
        <f t="shared" si="176"/>
        <v>NI MM Leaching</v>
      </c>
      <c r="B749" s="102" t="s">
        <v>970</v>
      </c>
      <c r="C749" s="102" t="s">
        <v>1334</v>
      </c>
      <c r="D749" t="s">
        <v>369</v>
      </c>
      <c r="E749" t="s">
        <v>64</v>
      </c>
      <c r="F749" t="s">
        <v>63</v>
      </c>
      <c r="G749" t="s">
        <v>1155</v>
      </c>
      <c r="H749" t="s">
        <v>1308</v>
      </c>
      <c r="I749" t="s">
        <v>139</v>
      </c>
      <c r="J749" t="s">
        <v>287</v>
      </c>
      <c r="K749" s="22">
        <f t="shared" ref="K749:AW749" si="194">K1548</f>
        <v>2.69668832410737E-2</v>
      </c>
      <c r="L749" s="22">
        <f t="shared" si="194"/>
        <v>2.7148965150772641E-2</v>
      </c>
      <c r="M749" s="22">
        <f t="shared" si="194"/>
        <v>2.730824069919725E-2</v>
      </c>
      <c r="N749" s="22">
        <f t="shared" si="194"/>
        <v>2.7328843325247671E-2</v>
      </c>
      <c r="O749" s="22">
        <f t="shared" si="194"/>
        <v>2.7364329328576024E-2</v>
      </c>
      <c r="P749" s="22">
        <f t="shared" si="194"/>
        <v>2.756794147019246E-2</v>
      </c>
      <c r="Q749" s="22">
        <f t="shared" si="194"/>
        <v>2.7730756627914813E-2</v>
      </c>
      <c r="R749" s="22">
        <f t="shared" si="194"/>
        <v>2.7732184201007922E-2</v>
      </c>
      <c r="S749" s="22">
        <f t="shared" si="194"/>
        <v>2.6997454575745719E-2</v>
      </c>
      <c r="T749" s="22">
        <f t="shared" si="194"/>
        <v>2.7352398390053725E-2</v>
      </c>
      <c r="U749" s="22">
        <f t="shared" si="194"/>
        <v>2.7621084759046378E-2</v>
      </c>
      <c r="V749" s="22">
        <f t="shared" si="194"/>
        <v>2.7874583990001138E-2</v>
      </c>
      <c r="W749" s="22">
        <f t="shared" si="194"/>
        <v>2.8168523820674866E-2</v>
      </c>
      <c r="X749" s="22">
        <f t="shared" si="194"/>
        <v>2.8589695086543694E-2</v>
      </c>
      <c r="Y749" s="22">
        <f t="shared" si="194"/>
        <v>2.9028183380671174E-2</v>
      </c>
      <c r="Z749" s="22">
        <f t="shared" si="194"/>
        <v>2.9504480650026085E-2</v>
      </c>
      <c r="AA749" s="22">
        <f t="shared" si="194"/>
        <v>2.9937624338152707E-2</v>
      </c>
      <c r="AB749" s="22">
        <f t="shared" si="194"/>
        <v>3.0433901326799174E-2</v>
      </c>
      <c r="AC749" s="22">
        <f t="shared" si="194"/>
        <v>3.1007308026507561E-2</v>
      </c>
      <c r="AD749" s="22">
        <f t="shared" si="194"/>
        <v>3.1559356834438362E-2</v>
      </c>
      <c r="AE749" s="22">
        <f t="shared" si="194"/>
        <v>3.2140186137510761E-2</v>
      </c>
      <c r="AF749" s="22">
        <f t="shared" si="194"/>
        <v>3.2738632376097511E-2</v>
      </c>
      <c r="AG749" s="22">
        <f t="shared" si="194"/>
        <v>3.3404533549882341E-2</v>
      </c>
      <c r="AH749" s="22">
        <f t="shared" si="194"/>
        <v>3.4007422495977352E-2</v>
      </c>
      <c r="AI749" s="22">
        <f t="shared" si="194"/>
        <v>3.4633891121352886E-2</v>
      </c>
      <c r="AJ749" s="22">
        <f t="shared" si="194"/>
        <v>3.5276734422674962E-2</v>
      </c>
      <c r="AK749" s="22">
        <f t="shared" si="194"/>
        <v>3.5900361446764215E-2</v>
      </c>
      <c r="AL749" s="22">
        <f t="shared" si="194"/>
        <v>3.6528715002866974E-2</v>
      </c>
      <c r="AM749" s="22">
        <f t="shared" si="194"/>
        <v>3.718372319423778E-2</v>
      </c>
      <c r="AN749" s="22">
        <f t="shared" si="194"/>
        <v>3.7860419444162144E-2</v>
      </c>
      <c r="AO749" s="22">
        <f t="shared" si="194"/>
        <v>3.8506733668670703E-2</v>
      </c>
      <c r="AP749" s="22">
        <f t="shared" si="194"/>
        <v>3.9166700637167727E-2</v>
      </c>
      <c r="AQ749" s="22">
        <f t="shared" si="194"/>
        <v>3.9841509763143906E-2</v>
      </c>
      <c r="AR749" s="22">
        <f t="shared" si="194"/>
        <v>4.0563152287676402E-2</v>
      </c>
      <c r="AS749" s="22">
        <f t="shared" si="194"/>
        <v>4.1292737069549959E-2</v>
      </c>
      <c r="AT749" s="22">
        <f t="shared" si="194"/>
        <v>4.1729402334542996E-2</v>
      </c>
      <c r="AU749" s="22">
        <f t="shared" si="194"/>
        <v>4.2149102208619463E-2</v>
      </c>
      <c r="AV749" s="22">
        <f t="shared" si="194"/>
        <v>4.2613449868523889E-2</v>
      </c>
      <c r="AW749" s="22">
        <f t="shared" si="194"/>
        <v>4.3064414910651432E-2</v>
      </c>
      <c r="AY749" s="85"/>
      <c r="AZ749" s="85"/>
    </row>
    <row r="750" spans="1:52" x14ac:dyDescent="0.25">
      <c r="A750" s="102" t="str">
        <f t="shared" si="176"/>
        <v>NI MM Leaching</v>
      </c>
      <c r="B750" s="102" t="s">
        <v>970</v>
      </c>
      <c r="C750" s="102" t="s">
        <v>1334</v>
      </c>
      <c r="D750" t="s">
        <v>369</v>
      </c>
      <c r="E750" t="s">
        <v>64</v>
      </c>
      <c r="F750" t="s">
        <v>63</v>
      </c>
      <c r="G750" t="s">
        <v>1157</v>
      </c>
      <c r="H750" t="s">
        <v>1309</v>
      </c>
      <c r="I750" t="s">
        <v>139</v>
      </c>
      <c r="J750" t="s">
        <v>287</v>
      </c>
      <c r="K750" s="22">
        <f t="shared" ref="K750:AW750" si="195">K1549</f>
        <v>1.4498393681804938E-3</v>
      </c>
      <c r="L750" s="22">
        <f t="shared" si="195"/>
        <v>1.4596287649956559E-3</v>
      </c>
      <c r="M750" s="22">
        <f t="shared" si="195"/>
        <v>1.4681920074894272E-3</v>
      </c>
      <c r="N750" s="22">
        <f t="shared" si="195"/>
        <v>1.4692996808556361E-3</v>
      </c>
      <c r="O750" s="22">
        <f t="shared" si="195"/>
        <v>1.4712075396239221E-3</v>
      </c>
      <c r="P750" s="22">
        <f t="shared" si="195"/>
        <v>1.4821544813270488E-3</v>
      </c>
      <c r="Q750" s="22">
        <f t="shared" si="195"/>
        <v>1.4909080263063527E-3</v>
      </c>
      <c r="R750" s="22">
        <f t="shared" si="195"/>
        <v>1.4909847779150886E-3</v>
      </c>
      <c r="S750" s="22">
        <f t="shared" si="195"/>
        <v>1.451482996187078E-3</v>
      </c>
      <c r="T750" s="22">
        <f t="shared" si="195"/>
        <v>1.4705660882476425E-3</v>
      </c>
      <c r="U750" s="22">
        <f t="shared" si="195"/>
        <v>1.4850116610628827E-3</v>
      </c>
      <c r="V750" s="22">
        <f t="shared" si="195"/>
        <v>1.4986407171742647E-3</v>
      </c>
      <c r="W750" s="22">
        <f t="shared" si="195"/>
        <v>1.5144440094782853E-3</v>
      </c>
      <c r="X750" s="22">
        <f t="shared" si="195"/>
        <v>1.5370877342478196E-3</v>
      </c>
      <c r="Y750" s="22">
        <f t="shared" si="195"/>
        <v>1.5606624864959412E-3</v>
      </c>
      <c r="Z750" s="22">
        <f t="shared" si="195"/>
        <v>1.5862699890721308E-3</v>
      </c>
      <c r="AA750" s="22">
        <f t="shared" si="195"/>
        <v>1.6095573955369755E-3</v>
      </c>
      <c r="AB750" s="22">
        <f t="shared" si="195"/>
        <v>1.6362390817084723E-3</v>
      </c>
      <c r="AC750" s="22">
        <f t="shared" si="195"/>
        <v>1.6670675463769219E-3</v>
      </c>
      <c r="AD750" s="22">
        <f t="shared" si="195"/>
        <v>1.6967477318006537E-3</v>
      </c>
      <c r="AE750" s="22">
        <f t="shared" si="195"/>
        <v>1.7279752630751828E-3</v>
      </c>
      <c r="AF750" s="22">
        <f t="shared" si="195"/>
        <v>1.7601499459514404E-3</v>
      </c>
      <c r="AG750" s="22">
        <f t="shared" si="195"/>
        <v>1.7959512555963141E-3</v>
      </c>
      <c r="AH750" s="22">
        <f t="shared" si="195"/>
        <v>1.8283647948576127E-3</v>
      </c>
      <c r="AI750" s="22">
        <f t="shared" si="195"/>
        <v>1.8620460648760904E-3</v>
      </c>
      <c r="AJ750" s="22">
        <f t="shared" si="195"/>
        <v>1.8966076980279822E-3</v>
      </c>
      <c r="AK750" s="22">
        <f t="shared" si="195"/>
        <v>1.9301361930528979E-3</v>
      </c>
      <c r="AL750" s="22">
        <f t="shared" si="195"/>
        <v>1.9639188039178583E-3</v>
      </c>
      <c r="AM750" s="22">
        <f t="shared" si="195"/>
        <v>1.9991344665452565E-3</v>
      </c>
      <c r="AN750" s="22">
        <f t="shared" si="195"/>
        <v>2.0355161594042262E-3</v>
      </c>
      <c r="AO750" s="22">
        <f t="shared" si="195"/>
        <v>2.0702644022223028E-3</v>
      </c>
      <c r="AP750" s="22">
        <f t="shared" si="195"/>
        <v>2.1057466670458603E-3</v>
      </c>
      <c r="AQ750" s="22">
        <f t="shared" si="195"/>
        <v>2.1420269011426783E-3</v>
      </c>
      <c r="AR750" s="22">
        <f t="shared" si="195"/>
        <v>2.1808250719385831E-3</v>
      </c>
      <c r="AS750" s="22">
        <f t="shared" si="195"/>
        <v>2.2200502478600822E-3</v>
      </c>
      <c r="AT750" s="22">
        <f t="shared" si="195"/>
        <v>2.2435269873202655E-3</v>
      </c>
      <c r="AU750" s="22">
        <f t="shared" si="195"/>
        <v>2.2660916046257488E-3</v>
      </c>
      <c r="AV750" s="22">
        <f t="shared" si="195"/>
        <v>2.2910566520075136E-3</v>
      </c>
      <c r="AW750" s="22">
        <f t="shared" si="195"/>
        <v>2.3153022003678742E-3</v>
      </c>
      <c r="AY750" s="85"/>
      <c r="AZ750" s="85"/>
    </row>
    <row r="751" spans="1:52" x14ac:dyDescent="0.25">
      <c r="A751" s="102" t="str">
        <f t="shared" si="176"/>
        <v>NI MM Leaching</v>
      </c>
      <c r="B751" s="102" t="s">
        <v>970</v>
      </c>
      <c r="C751" s="102" t="s">
        <v>1334</v>
      </c>
      <c r="D751" t="s">
        <v>369</v>
      </c>
      <c r="E751" t="s">
        <v>64</v>
      </c>
      <c r="F751" t="s">
        <v>63</v>
      </c>
      <c r="G751" t="s">
        <v>1159</v>
      </c>
      <c r="H751" t="s">
        <v>1310</v>
      </c>
      <c r="I751" t="s">
        <v>139</v>
      </c>
      <c r="J751" t="s">
        <v>287</v>
      </c>
      <c r="K751" s="22">
        <f t="shared" ref="K751:AW751" si="196">K1550</f>
        <v>3.0452527896293373E-2</v>
      </c>
      <c r="L751" s="22">
        <f t="shared" si="196"/>
        <v>3.0297487464546878E-2</v>
      </c>
      <c r="M751" s="22">
        <f t="shared" si="196"/>
        <v>3.0014510280911927E-2</v>
      </c>
      <c r="N751" s="22">
        <f t="shared" si="196"/>
        <v>2.9239921775422131E-2</v>
      </c>
      <c r="O751" s="22">
        <f t="shared" si="196"/>
        <v>2.8496244024993216E-2</v>
      </c>
      <c r="P751" s="22">
        <f t="shared" si="196"/>
        <v>2.8252813512235145E-2</v>
      </c>
      <c r="Q751" s="22">
        <f t="shared" si="196"/>
        <v>2.7859647334891578E-2</v>
      </c>
      <c r="R751" s="22">
        <f t="shared" si="196"/>
        <v>2.6976279512961457E-2</v>
      </c>
      <c r="S751" s="22">
        <f t="shared" si="196"/>
        <v>2.4012489752417959E-2</v>
      </c>
      <c r="T751" s="22">
        <f t="shared" si="196"/>
        <v>2.4599231081869424E-2</v>
      </c>
      <c r="U751" s="22">
        <f t="shared" si="196"/>
        <v>2.4916145495478388E-2</v>
      </c>
      <c r="V751" s="22">
        <f t="shared" si="196"/>
        <v>2.5168037651579767E-2</v>
      </c>
      <c r="W751" s="22">
        <f t="shared" si="196"/>
        <v>2.5506564506487542E-2</v>
      </c>
      <c r="X751" s="22">
        <f t="shared" si="196"/>
        <v>2.6156489707851342E-2</v>
      </c>
      <c r="Y751" s="22">
        <f t="shared" si="196"/>
        <v>2.6867817810745018E-2</v>
      </c>
      <c r="Z751" s="22">
        <f t="shared" si="196"/>
        <v>2.7642884414901984E-2</v>
      </c>
      <c r="AA751" s="22">
        <f t="shared" si="196"/>
        <v>2.8274857178530011E-2</v>
      </c>
      <c r="AB751" s="22">
        <f t="shared" si="196"/>
        <v>2.903345804669211E-2</v>
      </c>
      <c r="AC751" s="22">
        <f t="shared" si="196"/>
        <v>2.9947210077229128E-2</v>
      </c>
      <c r="AD751" s="22">
        <f t="shared" si="196"/>
        <v>3.0549124720733112E-2</v>
      </c>
      <c r="AE751" s="22">
        <f t="shared" si="196"/>
        <v>3.1163959723064422E-2</v>
      </c>
      <c r="AF751" s="22">
        <f t="shared" si="196"/>
        <v>3.1763059028554627E-2</v>
      </c>
      <c r="AG751" s="22">
        <f t="shared" si="196"/>
        <v>3.2456169201335913E-2</v>
      </c>
      <c r="AH751" s="22">
        <f t="shared" si="196"/>
        <v>3.2950083477417874E-2</v>
      </c>
      <c r="AI751" s="22">
        <f t="shared" si="196"/>
        <v>3.3470414487168046E-2</v>
      </c>
      <c r="AJ751" s="22">
        <f t="shared" si="196"/>
        <v>3.3968324488623199E-2</v>
      </c>
      <c r="AK751" s="22">
        <f t="shared" si="196"/>
        <v>3.4370588247873347E-2</v>
      </c>
      <c r="AL751" s="22">
        <f t="shared" si="196"/>
        <v>3.4728582709762659E-2</v>
      </c>
      <c r="AM751" s="22">
        <f t="shared" si="196"/>
        <v>3.5084969822241303E-2</v>
      </c>
      <c r="AN751" s="22">
        <f t="shared" si="196"/>
        <v>3.563350480133385E-2</v>
      </c>
      <c r="AO751" s="22">
        <f t="shared" si="196"/>
        <v>3.6080223845932187E-2</v>
      </c>
      <c r="AP751" s="22">
        <f t="shared" si="196"/>
        <v>3.6509179844635559E-2</v>
      </c>
      <c r="AQ751" s="22">
        <f t="shared" si="196"/>
        <v>3.6921780538289761E-2</v>
      </c>
      <c r="AR751" s="22">
        <f t="shared" si="196"/>
        <v>3.7372669069064057E-2</v>
      </c>
      <c r="AS751" s="22">
        <f t="shared" si="196"/>
        <v>3.781430947824465E-2</v>
      </c>
      <c r="AT751" s="22">
        <f t="shared" si="196"/>
        <v>3.7723318556611311E-2</v>
      </c>
      <c r="AU751" s="22">
        <f t="shared" si="196"/>
        <v>3.7580542556637592E-2</v>
      </c>
      <c r="AV751" s="22">
        <f t="shared" si="196"/>
        <v>3.7486169646009135E-2</v>
      </c>
      <c r="AW751" s="22">
        <f t="shared" si="196"/>
        <v>3.7345735978641013E-2</v>
      </c>
      <c r="AY751" s="85"/>
      <c r="AZ751" s="85"/>
    </row>
    <row r="752" spans="1:52" x14ac:dyDescent="0.25">
      <c r="A752" s="102" t="str">
        <f t="shared" si="176"/>
        <v>NI MM Leaching</v>
      </c>
      <c r="B752" s="102" t="s">
        <v>970</v>
      </c>
      <c r="C752" s="102" t="s">
        <v>1334</v>
      </c>
      <c r="D752" t="s">
        <v>369</v>
      </c>
      <c r="E752" t="s">
        <v>64</v>
      </c>
      <c r="F752" t="s">
        <v>63</v>
      </c>
      <c r="G752" t="s">
        <v>1161</v>
      </c>
      <c r="H752" t="s">
        <v>1311</v>
      </c>
      <c r="I752" t="s">
        <v>139</v>
      </c>
      <c r="J752" t="s">
        <v>287</v>
      </c>
      <c r="K752" s="22">
        <f t="shared" ref="K752:AW752" si="197">K1551</f>
        <v>4.0424767632491129E-2</v>
      </c>
      <c r="L752" s="22">
        <f t="shared" si="197"/>
        <v>4.0218956362952633E-2</v>
      </c>
      <c r="M752" s="22">
        <f t="shared" si="197"/>
        <v>3.9843313101654371E-2</v>
      </c>
      <c r="N752" s="22">
        <f t="shared" si="197"/>
        <v>3.8815071359232893E-2</v>
      </c>
      <c r="O752" s="22">
        <f t="shared" si="197"/>
        <v>3.7827862666512127E-2</v>
      </c>
      <c r="P752" s="22">
        <f t="shared" si="197"/>
        <v>3.7504716360024323E-2</v>
      </c>
      <c r="Q752" s="22">
        <f t="shared" si="197"/>
        <v>3.6982800694625562E-2</v>
      </c>
      <c r="R752" s="22">
        <f t="shared" si="197"/>
        <v>3.5810157850092082E-2</v>
      </c>
      <c r="S752" s="22">
        <f t="shared" si="197"/>
        <v>3.1875820681448994E-2</v>
      </c>
      <c r="T752" s="22">
        <f t="shared" si="197"/>
        <v>3.2654701238893337E-2</v>
      </c>
      <c r="U752" s="22">
        <f t="shared" si="197"/>
        <v>3.307539509961839E-2</v>
      </c>
      <c r="V752" s="22">
        <f t="shared" si="197"/>
        <v>3.3409773970020318E-2</v>
      </c>
      <c r="W752" s="22">
        <f t="shared" si="197"/>
        <v>3.3859157663013208E-2</v>
      </c>
      <c r="X752" s="22">
        <f t="shared" si="197"/>
        <v>3.4721912812047291E-2</v>
      </c>
      <c r="Y752" s="22">
        <f t="shared" si="197"/>
        <v>3.5666178370816821E-2</v>
      </c>
      <c r="Z752" s="22">
        <f t="shared" si="197"/>
        <v>3.6695054774097693E-2</v>
      </c>
      <c r="AA752" s="22">
        <f t="shared" si="197"/>
        <v>3.7533978629835658E-2</v>
      </c>
      <c r="AB752" s="22">
        <f t="shared" si="197"/>
        <v>3.8540997289360182E-2</v>
      </c>
      <c r="AC752" s="22">
        <f t="shared" si="197"/>
        <v>3.9753974209830296E-2</v>
      </c>
      <c r="AD752" s="22">
        <f t="shared" si="197"/>
        <v>4.0552996861779135E-2</v>
      </c>
      <c r="AE752" s="22">
        <f t="shared" si="197"/>
        <v>4.1369170881427282E-2</v>
      </c>
      <c r="AF752" s="22">
        <f t="shared" si="197"/>
        <v>4.2164456261206094E-2</v>
      </c>
      <c r="AG752" s="22">
        <f t="shared" si="197"/>
        <v>4.3084538093946481E-2</v>
      </c>
      <c r="AH752" s="22">
        <f t="shared" si="197"/>
        <v>4.3740193673968565E-2</v>
      </c>
      <c r="AI752" s="22">
        <f t="shared" si="197"/>
        <v>4.4430916632429117E-2</v>
      </c>
      <c r="AJ752" s="22">
        <f t="shared" si="197"/>
        <v>4.5091876411507692E-2</v>
      </c>
      <c r="AK752" s="22">
        <f t="shared" si="197"/>
        <v>4.5625868829149929E-2</v>
      </c>
      <c r="AL752" s="22">
        <f t="shared" si="197"/>
        <v>4.610109515469106E-2</v>
      </c>
      <c r="AM752" s="22">
        <f t="shared" si="197"/>
        <v>4.6574187774726626E-2</v>
      </c>
      <c r="AN752" s="22">
        <f t="shared" si="197"/>
        <v>4.730235061045656E-2</v>
      </c>
      <c r="AO752" s="22">
        <f t="shared" si="197"/>
        <v>4.7895356013370721E-2</v>
      </c>
      <c r="AP752" s="22">
        <f t="shared" si="197"/>
        <v>4.8464781534667351E-2</v>
      </c>
      <c r="AQ752" s="22">
        <f t="shared" si="197"/>
        <v>4.9012495905795345E-2</v>
      </c>
      <c r="AR752" s="22">
        <f t="shared" si="197"/>
        <v>4.9611036169735952E-2</v>
      </c>
      <c r="AS752" s="22">
        <f t="shared" si="197"/>
        <v>5.019729984475968E-2</v>
      </c>
      <c r="AT752" s="22">
        <f t="shared" si="197"/>
        <v>5.0076512274144176E-2</v>
      </c>
      <c r="AU752" s="22">
        <f t="shared" si="197"/>
        <v>4.9886981649885677E-2</v>
      </c>
      <c r="AV752" s="22">
        <f t="shared" si="197"/>
        <v>4.9761704595844405E-2</v>
      </c>
      <c r="AW752" s="22">
        <f t="shared" si="197"/>
        <v>4.9575283344036727E-2</v>
      </c>
      <c r="AY752" s="85"/>
      <c r="AZ752" s="85"/>
    </row>
    <row r="753" spans="1:52" x14ac:dyDescent="0.25">
      <c r="A753" s="102" t="str">
        <f t="shared" si="176"/>
        <v>NI MM Leaching</v>
      </c>
      <c r="B753" s="102" t="s">
        <v>970</v>
      </c>
      <c r="C753" s="102" t="s">
        <v>1334</v>
      </c>
      <c r="D753" t="s">
        <v>369</v>
      </c>
      <c r="E753" t="s">
        <v>64</v>
      </c>
      <c r="F753" t="s">
        <v>63</v>
      </c>
      <c r="G753" t="s">
        <v>1163</v>
      </c>
      <c r="H753" t="s">
        <v>1312</v>
      </c>
      <c r="I753" t="s">
        <v>139</v>
      </c>
      <c r="J753" t="s">
        <v>287</v>
      </c>
      <c r="K753" s="22">
        <f t="shared" ref="K753:AW753" si="198">K1552</f>
        <v>4.2088279910489731E-2</v>
      </c>
      <c r="L753" s="22">
        <f t="shared" si="198"/>
        <v>4.3658426789379527E-2</v>
      </c>
      <c r="M753" s="22">
        <f t="shared" si="198"/>
        <v>4.5069001422451092E-2</v>
      </c>
      <c r="N753" s="22">
        <f t="shared" si="198"/>
        <v>4.5730945940485053E-2</v>
      </c>
      <c r="O753" s="22">
        <f t="shared" si="198"/>
        <v>4.6403018793330496E-2</v>
      </c>
      <c r="P753" s="22">
        <f t="shared" si="198"/>
        <v>4.788652540684897E-2</v>
      </c>
      <c r="Q753" s="22">
        <f t="shared" si="198"/>
        <v>4.9137870108527694E-2</v>
      </c>
      <c r="R753" s="22">
        <f t="shared" si="198"/>
        <v>4.9503165411805869E-2</v>
      </c>
      <c r="S753" s="22">
        <f t="shared" si="198"/>
        <v>4.5839757980885354E-2</v>
      </c>
      <c r="T753" s="22">
        <f t="shared" si="198"/>
        <v>4.8085500350999781E-2</v>
      </c>
      <c r="U753" s="22">
        <f t="shared" si="198"/>
        <v>4.9856457493952649E-2</v>
      </c>
      <c r="V753" s="22">
        <f t="shared" si="198"/>
        <v>5.1535970996810648E-2</v>
      </c>
      <c r="W753" s="22">
        <f t="shared" si="198"/>
        <v>5.3433929282004737E-2</v>
      </c>
      <c r="X753" s="22">
        <f t="shared" si="198"/>
        <v>5.6045654957977475E-2</v>
      </c>
      <c r="Y753" s="22">
        <f t="shared" si="198"/>
        <v>5.8870054591226323E-2</v>
      </c>
      <c r="Z753" s="22">
        <f t="shared" si="198"/>
        <v>6.1923467619543808E-2</v>
      </c>
      <c r="AA753" s="22">
        <f t="shared" si="198"/>
        <v>6.4744057541003291E-2</v>
      </c>
      <c r="AB753" s="22">
        <f t="shared" si="198"/>
        <v>6.7943881457369987E-2</v>
      </c>
      <c r="AC753" s="22">
        <f t="shared" si="198"/>
        <v>7.1612827226360365E-2</v>
      </c>
      <c r="AD753" s="22">
        <f t="shared" si="198"/>
        <v>7.5466807799469487E-2</v>
      </c>
      <c r="AE753" s="22">
        <f t="shared" si="198"/>
        <v>7.9535262123601499E-2</v>
      </c>
      <c r="AF753" s="22">
        <f t="shared" si="198"/>
        <v>8.3755881572647323E-2</v>
      </c>
      <c r="AG753" s="22">
        <f t="shared" si="198"/>
        <v>8.8434352848101333E-2</v>
      </c>
      <c r="AH753" s="22">
        <f t="shared" si="198"/>
        <v>9.2782184706594648E-2</v>
      </c>
      <c r="AI753" s="22">
        <f t="shared" si="198"/>
        <v>9.7412750169741713E-2</v>
      </c>
      <c r="AJ753" s="22">
        <f t="shared" si="198"/>
        <v>0.10219897557201296</v>
      </c>
      <c r="AK753" s="22">
        <f t="shared" si="198"/>
        <v>0.10691951602452639</v>
      </c>
      <c r="AL753" s="22">
        <f t="shared" si="198"/>
        <v>0.11172324406810413</v>
      </c>
      <c r="AM753" s="22">
        <f t="shared" si="198"/>
        <v>0.11675138053848984</v>
      </c>
      <c r="AN753" s="22">
        <f t="shared" si="198"/>
        <v>0.12191034405107851</v>
      </c>
      <c r="AO753" s="22">
        <f t="shared" si="198"/>
        <v>0.12692107733600846</v>
      </c>
      <c r="AP753" s="22">
        <f t="shared" si="198"/>
        <v>0.13206747907789079</v>
      </c>
      <c r="AQ753" s="22">
        <f t="shared" si="198"/>
        <v>0.13735924273618794</v>
      </c>
      <c r="AR753" s="22">
        <f t="shared" si="198"/>
        <v>0.14301065000753557</v>
      </c>
      <c r="AS753" s="22">
        <f t="shared" si="198"/>
        <v>0.14885811067783355</v>
      </c>
      <c r="AT753" s="22">
        <f t="shared" si="198"/>
        <v>0.15279068704125651</v>
      </c>
      <c r="AU753" s="22">
        <f t="shared" si="198"/>
        <v>0.15663721521446686</v>
      </c>
      <c r="AV753" s="22">
        <f t="shared" si="198"/>
        <v>0.16081550018928234</v>
      </c>
      <c r="AW753" s="22">
        <f t="shared" si="198"/>
        <v>0.16493343954400999</v>
      </c>
      <c r="AY753" s="85"/>
      <c r="AZ753" s="85"/>
    </row>
    <row r="754" spans="1:52" x14ac:dyDescent="0.25">
      <c r="A754" s="102" t="str">
        <f t="shared" si="176"/>
        <v>NI MM Leaching</v>
      </c>
      <c r="B754" s="102" t="s">
        <v>970</v>
      </c>
      <c r="C754" s="102" t="s">
        <v>1334</v>
      </c>
      <c r="D754" t="s">
        <v>369</v>
      </c>
      <c r="E754" t="s">
        <v>64</v>
      </c>
      <c r="F754" t="s">
        <v>63</v>
      </c>
      <c r="G754" t="s">
        <v>1165</v>
      </c>
      <c r="H754" t="s">
        <v>1313</v>
      </c>
      <c r="I754" t="s">
        <v>139</v>
      </c>
      <c r="J754" t="s">
        <v>287</v>
      </c>
      <c r="K754" s="22">
        <f t="shared" ref="K754:AW754" si="199">K1553</f>
        <v>4.3939271631598543E-3</v>
      </c>
      <c r="L754" s="22">
        <f t="shared" si="199"/>
        <v>4.3962984818877171E-3</v>
      </c>
      <c r="M754" s="22">
        <f t="shared" si="199"/>
        <v>4.4017499414647923E-3</v>
      </c>
      <c r="N754" s="22">
        <f t="shared" si="199"/>
        <v>4.4098431410874153E-3</v>
      </c>
      <c r="O754" s="22">
        <f t="shared" si="199"/>
        <v>4.4207667549247352E-3</v>
      </c>
      <c r="P754" s="22">
        <f t="shared" si="199"/>
        <v>4.4347403177031263E-3</v>
      </c>
      <c r="Q754" s="22">
        <f t="shared" si="199"/>
        <v>4.4501377302209226E-3</v>
      </c>
      <c r="R754" s="22">
        <f t="shared" si="199"/>
        <v>4.4667198464041179E-3</v>
      </c>
      <c r="S754" s="22">
        <f t="shared" si="199"/>
        <v>4.4831484324149608E-3</v>
      </c>
      <c r="T754" s="22">
        <f t="shared" si="199"/>
        <v>4.4898717427697809E-3</v>
      </c>
      <c r="U754" s="22">
        <f t="shared" si="199"/>
        <v>4.4975062704204526E-3</v>
      </c>
      <c r="V754" s="22">
        <f t="shared" si="199"/>
        <v>4.5061403809784359E-3</v>
      </c>
      <c r="W754" s="22">
        <f t="shared" si="199"/>
        <v>4.5158367053022919E-3</v>
      </c>
      <c r="X754" s="22">
        <f t="shared" si="199"/>
        <v>4.526732327246351E-3</v>
      </c>
      <c r="Y754" s="22">
        <f t="shared" si="199"/>
        <v>4.5335830197240166E-3</v>
      </c>
      <c r="Z754" s="22">
        <f t="shared" si="199"/>
        <v>4.5412972482123245E-3</v>
      </c>
      <c r="AA754" s="22">
        <f t="shared" si="199"/>
        <v>4.5496603151243516E-3</v>
      </c>
      <c r="AB754" s="22">
        <f t="shared" si="199"/>
        <v>4.558868291538884E-3</v>
      </c>
      <c r="AC754" s="22">
        <f t="shared" si="199"/>
        <v>4.5689201230950608E-3</v>
      </c>
      <c r="AD754" s="22">
        <f t="shared" si="199"/>
        <v>4.5755732338553573E-3</v>
      </c>
      <c r="AE754" s="22">
        <f t="shared" si="199"/>
        <v>4.5828736540396882E-3</v>
      </c>
      <c r="AF754" s="22">
        <f t="shared" si="199"/>
        <v>4.5907723416262498E-3</v>
      </c>
      <c r="AG754" s="22">
        <f t="shared" si="199"/>
        <v>4.5993548004809003E-3</v>
      </c>
      <c r="AH754" s="22">
        <f t="shared" si="199"/>
        <v>4.608317319688404E-3</v>
      </c>
      <c r="AI754" s="22">
        <f t="shared" si="199"/>
        <v>4.614051297103656E-3</v>
      </c>
      <c r="AJ754" s="22">
        <f t="shared" si="199"/>
        <v>4.6202716852182099E-3</v>
      </c>
      <c r="AK754" s="22">
        <f t="shared" si="199"/>
        <v>4.6268842765144489E-3</v>
      </c>
      <c r="AL754" s="22">
        <f t="shared" si="199"/>
        <v>4.6339252685925585E-3</v>
      </c>
      <c r="AM754" s="22">
        <f t="shared" si="199"/>
        <v>4.6414276467124371E-3</v>
      </c>
      <c r="AN754" s="22">
        <f t="shared" si="199"/>
        <v>4.6458494434601398E-3</v>
      </c>
      <c r="AO754" s="22">
        <f t="shared" si="199"/>
        <v>4.650560968895651E-3</v>
      </c>
      <c r="AP754" s="22">
        <f t="shared" si="199"/>
        <v>4.6556452517360746E-3</v>
      </c>
      <c r="AQ754" s="22">
        <f t="shared" si="199"/>
        <v>4.6610933229495489E-3</v>
      </c>
      <c r="AR754" s="22">
        <f t="shared" si="199"/>
        <v>4.6669636754851076E-3</v>
      </c>
      <c r="AS754" s="22">
        <f t="shared" si="199"/>
        <v>4.6696094397021678E-3</v>
      </c>
      <c r="AT754" s="22">
        <f t="shared" si="199"/>
        <v>4.671905929653092E-3</v>
      </c>
      <c r="AU754" s="22">
        <f t="shared" si="199"/>
        <v>4.6744411838373096E-3</v>
      </c>
      <c r="AV754" s="22">
        <f t="shared" si="199"/>
        <v>4.6773396676684084E-3</v>
      </c>
      <c r="AW754" s="22">
        <f t="shared" si="199"/>
        <v>4.6804674678318113E-3</v>
      </c>
      <c r="AY754" s="85"/>
      <c r="AZ754" s="85"/>
    </row>
    <row r="755" spans="1:52" x14ac:dyDescent="0.25">
      <c r="A755" s="102" t="str">
        <f t="shared" si="176"/>
        <v>NI MM Leaching</v>
      </c>
      <c r="B755" s="102" t="s">
        <v>970</v>
      </c>
      <c r="C755" s="102" t="s">
        <v>1334</v>
      </c>
      <c r="D755" t="s">
        <v>369</v>
      </c>
      <c r="E755" t="s">
        <v>64</v>
      </c>
      <c r="F755" t="s">
        <v>63</v>
      </c>
      <c r="G755" t="s">
        <v>1167</v>
      </c>
      <c r="H755" t="s">
        <v>1314</v>
      </c>
      <c r="I755" t="s">
        <v>139</v>
      </c>
      <c r="J755" t="s">
        <v>287</v>
      </c>
      <c r="K755" s="22">
        <f t="shared" ref="K755:AW755" si="200">K1554</f>
        <v>3.6549565945200539E-3</v>
      </c>
      <c r="L755" s="22">
        <f t="shared" si="200"/>
        <v>3.6569291049191287E-3</v>
      </c>
      <c r="M755" s="22">
        <f t="shared" si="200"/>
        <v>3.6614637381506597E-3</v>
      </c>
      <c r="N755" s="22">
        <f t="shared" si="200"/>
        <v>3.6681958236479987E-3</v>
      </c>
      <c r="O755" s="22">
        <f t="shared" si="200"/>
        <v>3.677282304362893E-3</v>
      </c>
      <c r="P755" s="22">
        <f t="shared" si="200"/>
        <v>3.6889057936765148E-3</v>
      </c>
      <c r="Q755" s="22">
        <f t="shared" si="200"/>
        <v>3.7017136697133114E-3</v>
      </c>
      <c r="R755" s="22">
        <f t="shared" si="200"/>
        <v>3.7155070059804707E-3</v>
      </c>
      <c r="S755" s="22">
        <f t="shared" si="200"/>
        <v>3.7291726327761108E-3</v>
      </c>
      <c r="T755" s="22">
        <f t="shared" si="200"/>
        <v>3.734765216951012E-3</v>
      </c>
      <c r="U755" s="22">
        <f t="shared" si="200"/>
        <v>3.7411157699180305E-3</v>
      </c>
      <c r="V755" s="22">
        <f t="shared" si="200"/>
        <v>3.7482977959621354E-3</v>
      </c>
      <c r="W755" s="22">
        <f t="shared" si="200"/>
        <v>3.7563633926855455E-3</v>
      </c>
      <c r="X755" s="22">
        <f t="shared" si="200"/>
        <v>3.7654265891831403E-3</v>
      </c>
      <c r="Y755" s="22">
        <f t="shared" si="200"/>
        <v>3.7711251323584139E-3</v>
      </c>
      <c r="Z755" s="22">
        <f t="shared" si="200"/>
        <v>3.7775419820780388E-3</v>
      </c>
      <c r="AA755" s="22">
        <f t="shared" si="200"/>
        <v>3.7844985485902928E-3</v>
      </c>
      <c r="AB755" s="22">
        <f t="shared" si="200"/>
        <v>3.7921579277444711E-3</v>
      </c>
      <c r="AC755" s="22">
        <f t="shared" si="200"/>
        <v>3.8005192425020961E-3</v>
      </c>
      <c r="AD755" s="22">
        <f t="shared" si="200"/>
        <v>3.8060534332486559E-3</v>
      </c>
      <c r="AE755" s="22">
        <f t="shared" si="200"/>
        <v>3.812126068935291E-3</v>
      </c>
      <c r="AF755" s="22">
        <f t="shared" si="200"/>
        <v>3.8186963554262946E-3</v>
      </c>
      <c r="AG755" s="22">
        <f t="shared" si="200"/>
        <v>3.8258354165493381E-3</v>
      </c>
      <c r="AH755" s="22">
        <f t="shared" si="200"/>
        <v>3.8332906194838865E-3</v>
      </c>
      <c r="AI755" s="22">
        <f t="shared" si="200"/>
        <v>3.8380602567101062E-3</v>
      </c>
      <c r="AJ755" s="22">
        <f t="shared" si="200"/>
        <v>3.8432345000954712E-3</v>
      </c>
      <c r="AK755" s="22">
        <f t="shared" si="200"/>
        <v>3.8487349859405015E-3</v>
      </c>
      <c r="AL755" s="22">
        <f t="shared" si="200"/>
        <v>3.854591824133819E-3</v>
      </c>
      <c r="AM755" s="22">
        <f t="shared" si="200"/>
        <v>3.860832452475075E-3</v>
      </c>
      <c r="AN755" s="22">
        <f t="shared" si="200"/>
        <v>3.8645105915480556E-3</v>
      </c>
      <c r="AO755" s="22">
        <f t="shared" si="200"/>
        <v>3.868429732744831E-3</v>
      </c>
      <c r="AP755" s="22">
        <f t="shared" si="200"/>
        <v>3.8726589410147858E-3</v>
      </c>
      <c r="AQ755" s="22">
        <f t="shared" si="200"/>
        <v>3.8771907557376274E-3</v>
      </c>
      <c r="AR755" s="22">
        <f t="shared" si="200"/>
        <v>3.8820738325195756E-3</v>
      </c>
      <c r="AS755" s="22">
        <f t="shared" si="200"/>
        <v>3.8842746321718241E-3</v>
      </c>
      <c r="AT755" s="22">
        <f t="shared" si="200"/>
        <v>3.8861848984959361E-3</v>
      </c>
      <c r="AU755" s="22">
        <f t="shared" si="200"/>
        <v>3.8882937736901091E-3</v>
      </c>
      <c r="AV755" s="22">
        <f t="shared" si="200"/>
        <v>3.8907047905775548E-3</v>
      </c>
      <c r="AW755" s="22">
        <f t="shared" si="200"/>
        <v>3.893306557381843E-3</v>
      </c>
      <c r="AY755" s="85"/>
      <c r="AZ755" s="85"/>
    </row>
    <row r="756" spans="1:52" x14ac:dyDescent="0.25">
      <c r="A756" s="102" t="str">
        <f t="shared" si="176"/>
        <v>NI MM Leaching</v>
      </c>
      <c r="B756" s="102" t="s">
        <v>970</v>
      </c>
      <c r="C756" s="102" t="s">
        <v>1334</v>
      </c>
      <c r="D756" t="s">
        <v>369</v>
      </c>
      <c r="E756" t="s">
        <v>64</v>
      </c>
      <c r="F756" t="s">
        <v>63</v>
      </c>
      <c r="G756" t="s">
        <v>1169</v>
      </c>
      <c r="H756" t="s">
        <v>1315</v>
      </c>
      <c r="I756" t="s">
        <v>139</v>
      </c>
      <c r="J756" t="s">
        <v>287</v>
      </c>
      <c r="K756" s="22">
        <f t="shared" ref="K756:AW756" si="201">K1555</f>
        <v>5.4310526355704706E-4</v>
      </c>
      <c r="L756" s="22">
        <f t="shared" si="201"/>
        <v>5.4451688444022309E-4</v>
      </c>
      <c r="M756" s="22">
        <f t="shared" si="201"/>
        <v>5.4642048272795488E-4</v>
      </c>
      <c r="N756" s="22">
        <f t="shared" si="201"/>
        <v>5.4873901711368408E-4</v>
      </c>
      <c r="O756" s="22">
        <f t="shared" si="201"/>
        <v>5.5151606201275956E-4</v>
      </c>
      <c r="P756" s="22">
        <f t="shared" si="201"/>
        <v>5.5479917019086967E-4</v>
      </c>
      <c r="Q756" s="22">
        <f t="shared" si="201"/>
        <v>5.5827861691807733E-4</v>
      </c>
      <c r="R756" s="22">
        <f t="shared" si="201"/>
        <v>5.6191368988015911E-4</v>
      </c>
      <c r="S756" s="22">
        <f t="shared" si="201"/>
        <v>5.6545265172179603E-4</v>
      </c>
      <c r="T756" s="22">
        <f t="shared" si="201"/>
        <v>5.6707582821690196E-4</v>
      </c>
      <c r="U756" s="22">
        <f t="shared" si="201"/>
        <v>5.688262569994144E-4</v>
      </c>
      <c r="V756" s="22">
        <f t="shared" si="201"/>
        <v>5.7072343735121143E-4</v>
      </c>
      <c r="W756" s="22">
        <f t="shared" si="201"/>
        <v>5.7278141367930822E-4</v>
      </c>
      <c r="X756" s="22">
        <f t="shared" si="201"/>
        <v>5.7502787156601661E-4</v>
      </c>
      <c r="Y756" s="22">
        <f t="shared" si="201"/>
        <v>5.7647376885579151E-4</v>
      </c>
      <c r="Z756" s="22">
        <f t="shared" si="201"/>
        <v>5.7805165552479612E-4</v>
      </c>
      <c r="AA756" s="22">
        <f t="shared" si="201"/>
        <v>5.7972228180818623E-4</v>
      </c>
      <c r="AB756" s="22">
        <f t="shared" si="201"/>
        <v>5.8152362966634491E-4</v>
      </c>
      <c r="AC756" s="22">
        <f t="shared" si="201"/>
        <v>5.8345630636338756E-4</v>
      </c>
      <c r="AD756" s="22">
        <f t="shared" si="201"/>
        <v>5.8472841865727081E-4</v>
      </c>
      <c r="AE756" s="22">
        <f t="shared" si="201"/>
        <v>5.8609967948546591E-4</v>
      </c>
      <c r="AF756" s="22">
        <f t="shared" si="201"/>
        <v>5.8756155218491358E-4</v>
      </c>
      <c r="AG756" s="22">
        <f t="shared" si="201"/>
        <v>5.8913046785545045E-4</v>
      </c>
      <c r="AH756" s="22">
        <f t="shared" si="201"/>
        <v>5.907505198986619E-4</v>
      </c>
      <c r="AI756" s="22">
        <f t="shared" si="201"/>
        <v>5.9175481340963034E-4</v>
      </c>
      <c r="AJ756" s="22">
        <f t="shared" si="201"/>
        <v>5.9283358105937484E-4</v>
      </c>
      <c r="AK756" s="22">
        <f t="shared" si="201"/>
        <v>5.9396979223100309E-4</v>
      </c>
      <c r="AL756" s="22">
        <f t="shared" si="201"/>
        <v>5.951704835417687E-4</v>
      </c>
      <c r="AM756" s="22">
        <f t="shared" si="201"/>
        <v>5.9644200781221212E-4</v>
      </c>
      <c r="AN756" s="22">
        <f t="shared" si="201"/>
        <v>5.9713531651955909E-4</v>
      </c>
      <c r="AO756" s="22">
        <f t="shared" si="201"/>
        <v>5.9787071978947392E-4</v>
      </c>
      <c r="AP756" s="22">
        <f t="shared" si="201"/>
        <v>5.9866365286918302E-4</v>
      </c>
      <c r="AQ756" s="22">
        <f t="shared" si="201"/>
        <v>5.995126405769686E-4</v>
      </c>
      <c r="AR756" s="22">
        <f t="shared" si="201"/>
        <v>6.0042847554345289E-4</v>
      </c>
      <c r="AS756" s="22">
        <f t="shared" si="201"/>
        <v>6.0074837701766222E-4</v>
      </c>
      <c r="AT756" s="22">
        <f t="shared" si="201"/>
        <v>6.009974007852993E-4</v>
      </c>
      <c r="AU756" s="22">
        <f t="shared" si="201"/>
        <v>6.0128274641363551E-4</v>
      </c>
      <c r="AV756" s="22">
        <f t="shared" si="201"/>
        <v>6.0162705109906029E-4</v>
      </c>
      <c r="AW756" s="22">
        <f t="shared" si="201"/>
        <v>6.0200613236202735E-4</v>
      </c>
      <c r="AY756" s="85"/>
      <c r="AZ756" s="85"/>
    </row>
    <row r="757" spans="1:52" x14ac:dyDescent="0.25">
      <c r="A757" s="102" t="str">
        <f t="shared" si="176"/>
        <v>NI MM Leaching</v>
      </c>
      <c r="B757" s="102" t="s">
        <v>970</v>
      </c>
      <c r="C757" s="102" t="s">
        <v>1334</v>
      </c>
      <c r="D757" t="s">
        <v>369</v>
      </c>
      <c r="E757" t="s">
        <v>64</v>
      </c>
      <c r="F757" t="s">
        <v>63</v>
      </c>
      <c r="G757" t="s">
        <v>1171</v>
      </c>
      <c r="H757" t="s">
        <v>1316</v>
      </c>
      <c r="I757" t="s">
        <v>139</v>
      </c>
      <c r="J757" t="s">
        <v>287</v>
      </c>
      <c r="K757" s="22">
        <f t="shared" ref="K757:AW757" si="202">K1556</f>
        <v>6.697719658610918E-3</v>
      </c>
      <c r="L757" s="22">
        <f t="shared" si="202"/>
        <v>6.7151281456468035E-3</v>
      </c>
      <c r="M757" s="22">
        <f t="shared" si="202"/>
        <v>6.7386038298821848E-3</v>
      </c>
      <c r="N757" s="22">
        <f t="shared" si="202"/>
        <v>6.7671966172780547E-3</v>
      </c>
      <c r="O757" s="22">
        <f t="shared" si="202"/>
        <v>6.801443879202132E-3</v>
      </c>
      <c r="P757" s="22">
        <f t="shared" si="202"/>
        <v>6.8419320491046936E-3</v>
      </c>
      <c r="Q757" s="22">
        <f t="shared" si="202"/>
        <v>6.8848415186120908E-3</v>
      </c>
      <c r="R757" s="22">
        <f t="shared" si="202"/>
        <v>6.9296702125547019E-3</v>
      </c>
      <c r="S757" s="22">
        <f t="shared" si="202"/>
        <v>6.9733136384028775E-3</v>
      </c>
      <c r="T757" s="22">
        <f t="shared" si="202"/>
        <v>6.9933310859405127E-3</v>
      </c>
      <c r="U757" s="22">
        <f t="shared" si="202"/>
        <v>7.0149178427891682E-3</v>
      </c>
      <c r="V757" s="22">
        <f t="shared" si="202"/>
        <v>7.0383143793186411E-3</v>
      </c>
      <c r="W757" s="22">
        <f t="shared" si="202"/>
        <v>7.0636938949200419E-3</v>
      </c>
      <c r="X757" s="22">
        <f t="shared" si="202"/>
        <v>7.0913978156139906E-3</v>
      </c>
      <c r="Y757" s="22">
        <f t="shared" si="202"/>
        <v>7.1092290084818878E-3</v>
      </c>
      <c r="Z757" s="22">
        <f t="shared" si="202"/>
        <v>7.1286879297466866E-3</v>
      </c>
      <c r="AA757" s="22">
        <f t="shared" si="202"/>
        <v>7.1492905407896492E-3</v>
      </c>
      <c r="AB757" s="22">
        <f t="shared" si="202"/>
        <v>7.1715052453251351E-3</v>
      </c>
      <c r="AC757" s="22">
        <f t="shared" si="202"/>
        <v>7.1953395322969481E-3</v>
      </c>
      <c r="AD757" s="22">
        <f t="shared" si="202"/>
        <v>7.2110275620223471E-3</v>
      </c>
      <c r="AE757" s="22">
        <f t="shared" si="202"/>
        <v>7.2279383180439954E-3</v>
      </c>
      <c r="AF757" s="22">
        <f t="shared" si="202"/>
        <v>7.2459665239452764E-3</v>
      </c>
      <c r="AG757" s="22">
        <f t="shared" si="202"/>
        <v>7.2653148124528005E-3</v>
      </c>
      <c r="AH757" s="22">
        <f t="shared" si="202"/>
        <v>7.2852937284123434E-3</v>
      </c>
      <c r="AI757" s="22">
        <f t="shared" si="202"/>
        <v>7.2976789451332669E-3</v>
      </c>
      <c r="AJ757" s="22">
        <f t="shared" si="202"/>
        <v>7.3109825968921283E-3</v>
      </c>
      <c r="AK757" s="22">
        <f t="shared" si="202"/>
        <v>7.3249946575573233E-3</v>
      </c>
      <c r="AL757" s="22">
        <f t="shared" si="202"/>
        <v>7.3398019045785847E-3</v>
      </c>
      <c r="AM757" s="22">
        <f t="shared" si="202"/>
        <v>7.3554826826413384E-3</v>
      </c>
      <c r="AN757" s="22">
        <f t="shared" si="202"/>
        <v>7.3640327514222425E-3</v>
      </c>
      <c r="AO757" s="22">
        <f t="shared" si="202"/>
        <v>7.3731019416297819E-3</v>
      </c>
      <c r="AP757" s="22">
        <f t="shared" si="202"/>
        <v>7.3828806048692958E-3</v>
      </c>
      <c r="AQ757" s="22">
        <f t="shared" si="202"/>
        <v>7.3933505488044948E-3</v>
      </c>
      <c r="AR757" s="22">
        <f t="shared" si="202"/>
        <v>7.4046448710485676E-3</v>
      </c>
      <c r="AS757" s="22">
        <f t="shared" si="202"/>
        <v>7.4085899817598836E-3</v>
      </c>
      <c r="AT757" s="22">
        <f t="shared" si="202"/>
        <v>7.411661009599016E-3</v>
      </c>
      <c r="AU757" s="22">
        <f t="shared" si="202"/>
        <v>7.4151799683582981E-3</v>
      </c>
      <c r="AV757" s="22">
        <f t="shared" si="202"/>
        <v>7.4194260260102111E-3</v>
      </c>
      <c r="AW757" s="22">
        <f t="shared" si="202"/>
        <v>7.4241009577362587E-3</v>
      </c>
      <c r="AY757" s="85"/>
      <c r="AZ757" s="85"/>
    </row>
    <row r="758" spans="1:52" x14ac:dyDescent="0.25">
      <c r="A758" s="102" t="str">
        <f t="shared" si="176"/>
        <v>NI MM Leaching</v>
      </c>
      <c r="B758" s="102" t="s">
        <v>970</v>
      </c>
      <c r="C758" s="102" t="s">
        <v>1334</v>
      </c>
      <c r="D758" t="s">
        <v>369</v>
      </c>
      <c r="E758" t="s">
        <v>64</v>
      </c>
      <c r="F758" t="s">
        <v>63</v>
      </c>
      <c r="G758" t="s">
        <v>1173</v>
      </c>
      <c r="H758" t="s">
        <v>1317</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85"/>
      <c r="AZ758" s="85"/>
    </row>
    <row r="759" spans="1:52" x14ac:dyDescent="0.25">
      <c r="A759" s="102" t="str">
        <f t="shared" si="176"/>
        <v>NI MM Leaching</v>
      </c>
      <c r="B759" s="102" t="s">
        <v>970</v>
      </c>
      <c r="C759" s="102" t="s">
        <v>1334</v>
      </c>
      <c r="D759" t="s">
        <v>369</v>
      </c>
      <c r="E759" t="s">
        <v>64</v>
      </c>
      <c r="F759" t="s">
        <v>63</v>
      </c>
      <c r="G759" t="s">
        <v>1175</v>
      </c>
      <c r="H759" t="s">
        <v>1318</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85"/>
      <c r="AZ759" s="85"/>
    </row>
    <row r="760" spans="1:52" x14ac:dyDescent="0.25">
      <c r="A760" s="102" t="str">
        <f t="shared" si="176"/>
        <v>NI MM Leaching</v>
      </c>
      <c r="B760" s="102" t="s">
        <v>970</v>
      </c>
      <c r="C760" s="102" t="s">
        <v>1334</v>
      </c>
      <c r="D760" t="s">
        <v>369</v>
      </c>
      <c r="E760" t="s">
        <v>64</v>
      </c>
      <c r="F760" t="s">
        <v>63</v>
      </c>
      <c r="G760" t="s">
        <v>1177</v>
      </c>
      <c r="H760" t="s">
        <v>1319</v>
      </c>
      <c r="I760" t="s">
        <v>139</v>
      </c>
      <c r="J760" t="s">
        <v>287</v>
      </c>
      <c r="K760" s="22">
        <f t="shared" ref="K760:AW760" si="205">K1559</f>
        <v>2.6982078121909357E-2</v>
      </c>
      <c r="L760" s="22">
        <f t="shared" si="205"/>
        <v>2.6934390428910333E-2</v>
      </c>
      <c r="M760" s="22">
        <f t="shared" si="205"/>
        <v>2.6783274405865188E-2</v>
      </c>
      <c r="N760" s="22">
        <f t="shared" si="205"/>
        <v>2.6192267209513419E-2</v>
      </c>
      <c r="O760" s="22">
        <f t="shared" si="205"/>
        <v>2.5633374369749509E-2</v>
      </c>
      <c r="P760" s="22">
        <f t="shared" si="205"/>
        <v>2.5543167875320214E-2</v>
      </c>
      <c r="Q760" s="22">
        <f t="shared" si="205"/>
        <v>2.5324190264718272E-2</v>
      </c>
      <c r="R760" s="22">
        <f t="shared" si="205"/>
        <v>2.4649754195953832E-2</v>
      </c>
      <c r="S760" s="22">
        <f t="shared" si="205"/>
        <v>2.1986440242697105E-2</v>
      </c>
      <c r="T760" s="22">
        <f t="shared" si="205"/>
        <v>2.2459382037487714E-2</v>
      </c>
      <c r="U760" s="22">
        <f t="shared" si="205"/>
        <v>2.2677163181325274E-2</v>
      </c>
      <c r="V760" s="22">
        <f t="shared" si="205"/>
        <v>2.2835775026532532E-2</v>
      </c>
      <c r="W760" s="22">
        <f t="shared" si="205"/>
        <v>2.3079286947691565E-2</v>
      </c>
      <c r="X760" s="22">
        <f t="shared" si="205"/>
        <v>2.3620053405793831E-2</v>
      </c>
      <c r="Y760" s="22">
        <f t="shared" si="205"/>
        <v>2.4228655926871678E-2</v>
      </c>
      <c r="Z760" s="22">
        <f t="shared" si="205"/>
        <v>2.4898369682135196E-2</v>
      </c>
      <c r="AA760" s="22">
        <f t="shared" si="205"/>
        <v>2.5433899737352311E-2</v>
      </c>
      <c r="AB760" s="22">
        <f t="shared" si="205"/>
        <v>2.6089827744283384E-2</v>
      </c>
      <c r="AC760" s="22">
        <f t="shared" si="205"/>
        <v>2.6892532780101251E-2</v>
      </c>
      <c r="AD760" s="22">
        <f t="shared" si="205"/>
        <v>2.765233127370078E-2</v>
      </c>
      <c r="AE760" s="22">
        <f t="shared" si="205"/>
        <v>2.844311383554287E-2</v>
      </c>
      <c r="AF760" s="22">
        <f t="shared" si="205"/>
        <v>2.9238533170233168E-2</v>
      </c>
      <c r="AG760" s="22">
        <f t="shared" si="205"/>
        <v>3.0145690863199903E-2</v>
      </c>
      <c r="AH760" s="22">
        <f t="shared" si="205"/>
        <v>3.0881151333925026E-2</v>
      </c>
      <c r="AI760" s="22">
        <f t="shared" si="205"/>
        <v>3.1669222082767075E-2</v>
      </c>
      <c r="AJ760" s="22">
        <f t="shared" si="205"/>
        <v>3.2457441724053543E-2</v>
      </c>
      <c r="AK760" s="22">
        <f t="shared" si="205"/>
        <v>3.3172825686084956E-2</v>
      </c>
      <c r="AL760" s="22">
        <f t="shared" si="205"/>
        <v>3.3866021539857898E-2</v>
      </c>
      <c r="AM760" s="22">
        <f t="shared" si="205"/>
        <v>3.4580695535334494E-2</v>
      </c>
      <c r="AN760" s="22">
        <f t="shared" si="205"/>
        <v>3.533625219682867E-2</v>
      </c>
      <c r="AO760" s="22">
        <f t="shared" si="205"/>
        <v>3.6000537608691721E-2</v>
      </c>
      <c r="AP760" s="22">
        <f t="shared" si="205"/>
        <v>3.6659982916673862E-2</v>
      </c>
      <c r="AQ760" s="22">
        <f t="shared" si="205"/>
        <v>3.7316341493198645E-2</v>
      </c>
      <c r="AR760" s="22">
        <f t="shared" si="205"/>
        <v>3.8027563583719087E-2</v>
      </c>
      <c r="AS760" s="22">
        <f t="shared" si="205"/>
        <v>3.8749103478920827E-2</v>
      </c>
      <c r="AT760" s="22">
        <f t="shared" si="205"/>
        <v>3.891780999751282E-2</v>
      </c>
      <c r="AU760" s="22">
        <f t="shared" si="205"/>
        <v>3.9040104024398906E-2</v>
      </c>
      <c r="AV760" s="22">
        <f t="shared" si="205"/>
        <v>3.9223694745257554E-2</v>
      </c>
      <c r="AW760" s="22">
        <f t="shared" si="205"/>
        <v>3.9367042653132414E-2</v>
      </c>
      <c r="AY760" s="85"/>
      <c r="AZ760" s="85"/>
    </row>
    <row r="761" spans="1:52" x14ac:dyDescent="0.25">
      <c r="A761" s="102" t="str">
        <f t="shared" si="176"/>
        <v>NI MM Leaching</v>
      </c>
      <c r="B761" s="102" t="s">
        <v>970</v>
      </c>
      <c r="C761" s="102" t="s">
        <v>1334</v>
      </c>
      <c r="D761" t="s">
        <v>369</v>
      </c>
      <c r="E761" t="s">
        <v>64</v>
      </c>
      <c r="F761" t="s">
        <v>63</v>
      </c>
      <c r="G761" t="s">
        <v>1179</v>
      </c>
      <c r="H761" t="s">
        <v>1320</v>
      </c>
      <c r="I761" t="s">
        <v>139</v>
      </c>
      <c r="J761" t="s">
        <v>287</v>
      </c>
      <c r="K761" s="22">
        <f t="shared" ref="K761:AW761" si="206">K1560</f>
        <v>4.0326044819915296E-3</v>
      </c>
      <c r="L761" s="22">
        <f t="shared" si="206"/>
        <v>4.0254773213757008E-3</v>
      </c>
      <c r="M761" s="22">
        <f t="shared" si="206"/>
        <v>4.0028922873735296E-3</v>
      </c>
      <c r="N761" s="22">
        <f t="shared" si="206"/>
        <v>3.9145633507316107E-3</v>
      </c>
      <c r="O761" s="22">
        <f t="shared" si="206"/>
        <v>3.8310340628686856E-3</v>
      </c>
      <c r="P761" s="22">
        <f t="shared" si="206"/>
        <v>3.8175522579425875E-3</v>
      </c>
      <c r="Q761" s="22">
        <f t="shared" si="206"/>
        <v>3.7848249754115887E-3</v>
      </c>
      <c r="R761" s="22">
        <f t="shared" si="206"/>
        <v>3.6840271828387553E-3</v>
      </c>
      <c r="S761" s="22">
        <f t="shared" si="206"/>
        <v>3.2859817937353586E-3</v>
      </c>
      <c r="T761" s="22">
        <f t="shared" si="206"/>
        <v>3.3566652745546173E-3</v>
      </c>
      <c r="U761" s="22">
        <f t="shared" si="206"/>
        <v>3.3892137392341954E-3</v>
      </c>
      <c r="V761" s="22">
        <f t="shared" si="206"/>
        <v>3.4129190607809592E-3</v>
      </c>
      <c r="W761" s="22">
        <f t="shared" si="206"/>
        <v>3.4493131168743213E-3</v>
      </c>
      <c r="X761" s="22">
        <f t="shared" si="206"/>
        <v>3.5301333277120909E-3</v>
      </c>
      <c r="Y761" s="22">
        <f t="shared" si="206"/>
        <v>3.6210919723042977E-3</v>
      </c>
      <c r="Z761" s="22">
        <f t="shared" si="206"/>
        <v>3.7211839918635339E-3</v>
      </c>
      <c r="AA761" s="22">
        <f t="shared" si="206"/>
        <v>3.801221596496966E-3</v>
      </c>
      <c r="AB761" s="22">
        <f t="shared" si="206"/>
        <v>3.8992532680629222E-3</v>
      </c>
      <c r="AC761" s="22">
        <f t="shared" si="206"/>
        <v>4.0192214895813328E-3</v>
      </c>
      <c r="AD761" s="22">
        <f t="shared" si="206"/>
        <v>4.1327771170187903E-3</v>
      </c>
      <c r="AE761" s="22">
        <f t="shared" si="206"/>
        <v>4.250963466074527E-3</v>
      </c>
      <c r="AF761" s="22">
        <f t="shared" si="206"/>
        <v>4.3698428036719628E-3</v>
      </c>
      <c r="AG761" s="22">
        <f t="shared" si="206"/>
        <v>4.5054219893077892E-3</v>
      </c>
      <c r="AH761" s="22">
        <f t="shared" si="206"/>
        <v>4.6153401793439189E-3</v>
      </c>
      <c r="AI761" s="22">
        <f t="shared" si="206"/>
        <v>4.7331212345891162E-3</v>
      </c>
      <c r="AJ761" s="22">
        <f t="shared" si="206"/>
        <v>4.8509245425435391E-3</v>
      </c>
      <c r="AK761" s="22">
        <f t="shared" si="206"/>
        <v>4.9578421994637533E-3</v>
      </c>
      <c r="AL761" s="22">
        <f t="shared" si="206"/>
        <v>5.061443734311913E-3</v>
      </c>
      <c r="AM761" s="22">
        <f t="shared" si="206"/>
        <v>5.1682552832333995E-3</v>
      </c>
      <c r="AN761" s="22">
        <f t="shared" si="206"/>
        <v>5.2811769479685538E-3</v>
      </c>
      <c r="AO761" s="22">
        <f t="shared" si="206"/>
        <v>5.3804576748679887E-3</v>
      </c>
      <c r="AP761" s="22">
        <f t="shared" si="206"/>
        <v>5.4790150244013337E-3</v>
      </c>
      <c r="AQ761" s="22">
        <f t="shared" si="206"/>
        <v>5.5771110467139461E-3</v>
      </c>
      <c r="AR761" s="22">
        <f t="shared" si="206"/>
        <v>5.6834066914365532E-3</v>
      </c>
      <c r="AS761" s="22">
        <f t="shared" si="206"/>
        <v>5.7912443828915926E-3</v>
      </c>
      <c r="AT761" s="22">
        <f t="shared" si="206"/>
        <v>5.8164584030994289E-3</v>
      </c>
      <c r="AU761" s="22">
        <f t="shared" si="206"/>
        <v>5.8347358478060014E-3</v>
      </c>
      <c r="AV761" s="22">
        <f t="shared" si="206"/>
        <v>5.8621743853582847E-3</v>
      </c>
      <c r="AW761" s="22">
        <f t="shared" si="206"/>
        <v>5.8835984362845513E-3</v>
      </c>
      <c r="AY761" s="85"/>
      <c r="AZ761" s="85"/>
    </row>
    <row r="762" spans="1:52" x14ac:dyDescent="0.25">
      <c r="A762" s="102" t="str">
        <f t="shared" si="176"/>
        <v>NI MM Leaching</v>
      </c>
      <c r="B762" s="102" t="s">
        <v>970</v>
      </c>
      <c r="C762" s="102" t="s">
        <v>1334</v>
      </c>
      <c r="D762" t="s">
        <v>369</v>
      </c>
      <c r="E762" t="s">
        <v>64</v>
      </c>
      <c r="F762" t="s">
        <v>63</v>
      </c>
      <c r="G762" t="s">
        <v>1181</v>
      </c>
      <c r="H762" t="s">
        <v>1321</v>
      </c>
      <c r="I762" t="s">
        <v>139</v>
      </c>
      <c r="J762" t="s">
        <v>287</v>
      </c>
      <c r="K762" s="22">
        <f t="shared" ref="K762:AW762" si="207">K1561</f>
        <v>1.677506639935911E-2</v>
      </c>
      <c r="L762" s="22">
        <f t="shared" si="207"/>
        <v>1.7152115979727815E-2</v>
      </c>
      <c r="M762" s="22">
        <f t="shared" si="207"/>
        <v>1.7493153195060028E-2</v>
      </c>
      <c r="N762" s="22">
        <f t="shared" si="207"/>
        <v>1.7669215882921287E-2</v>
      </c>
      <c r="O762" s="22">
        <f t="shared" si="207"/>
        <v>1.7850132335738296E-2</v>
      </c>
      <c r="P762" s="22">
        <f t="shared" si="207"/>
        <v>1.8210336489694584E-2</v>
      </c>
      <c r="Q762" s="22">
        <f t="shared" si="207"/>
        <v>1.8518344131387941E-2</v>
      </c>
      <c r="R762" s="22">
        <f t="shared" si="207"/>
        <v>1.8635256187528534E-2</v>
      </c>
      <c r="S762" s="22">
        <f t="shared" si="207"/>
        <v>1.7895165383905148E-2</v>
      </c>
      <c r="T762" s="22">
        <f t="shared" si="207"/>
        <v>1.8427726629999096E-2</v>
      </c>
      <c r="U762" s="22">
        <f t="shared" si="207"/>
        <v>1.8858145961209626E-2</v>
      </c>
      <c r="V762" s="22">
        <f t="shared" si="207"/>
        <v>1.926831042987312E-2</v>
      </c>
      <c r="W762" s="22">
        <f t="shared" si="207"/>
        <v>1.9723750272057364E-2</v>
      </c>
      <c r="X762" s="22">
        <f t="shared" si="207"/>
        <v>2.0328305344007466E-2</v>
      </c>
      <c r="Y762" s="22">
        <f t="shared" si="207"/>
        <v>2.0963275174069075E-2</v>
      </c>
      <c r="Z762" s="22">
        <f t="shared" si="207"/>
        <v>2.1643917656498337E-2</v>
      </c>
      <c r="AA762" s="22">
        <f t="shared" si="207"/>
        <v>2.2273513405564039E-2</v>
      </c>
      <c r="AB762" s="22">
        <f t="shared" si="207"/>
        <v>2.2979861002091512E-2</v>
      </c>
      <c r="AC762" s="22">
        <f t="shared" si="207"/>
        <v>2.3781031334877679E-2</v>
      </c>
      <c r="AD762" s="22">
        <f t="shared" si="207"/>
        <v>2.4566308074155798E-2</v>
      </c>
      <c r="AE762" s="22">
        <f t="shared" si="207"/>
        <v>2.5388751226160661E-2</v>
      </c>
      <c r="AF762" s="22">
        <f t="shared" si="207"/>
        <v>2.6235064752699551E-2</v>
      </c>
      <c r="AG762" s="22">
        <f t="shared" si="207"/>
        <v>2.7167046167926586E-2</v>
      </c>
      <c r="AH762" s="22">
        <f t="shared" si="207"/>
        <v>2.8023900018498905E-2</v>
      </c>
      <c r="AI762" s="22">
        <f t="shared" si="207"/>
        <v>2.8920322479741228E-2</v>
      </c>
      <c r="AJ762" s="22">
        <f t="shared" si="207"/>
        <v>2.9839880128135453E-2</v>
      </c>
      <c r="AK762" s="22">
        <f t="shared" si="207"/>
        <v>3.0738135733783801E-2</v>
      </c>
      <c r="AL762" s="22">
        <f t="shared" si="207"/>
        <v>3.1644929602760906E-2</v>
      </c>
      <c r="AM762" s="22">
        <f t="shared" si="207"/>
        <v>3.2587998047109448E-2</v>
      </c>
      <c r="AN762" s="22">
        <f t="shared" si="207"/>
        <v>3.3568837979348017E-2</v>
      </c>
      <c r="AO762" s="22">
        <f t="shared" si="207"/>
        <v>3.451409673179362E-2</v>
      </c>
      <c r="AP762" s="22">
        <f t="shared" si="207"/>
        <v>3.5479549458814943E-2</v>
      </c>
      <c r="AQ762" s="22">
        <f t="shared" si="207"/>
        <v>3.6466862450927735E-2</v>
      </c>
      <c r="AR762" s="22">
        <f t="shared" si="207"/>
        <v>3.7517290662975496E-2</v>
      </c>
      <c r="AS762" s="22">
        <f t="shared" si="207"/>
        <v>3.8588925617873325E-2</v>
      </c>
      <c r="AT762" s="22">
        <f t="shared" si="207"/>
        <v>3.9285237958327314E-2</v>
      </c>
      <c r="AU762" s="22">
        <f t="shared" si="207"/>
        <v>3.9960567637255945E-2</v>
      </c>
      <c r="AV762" s="22">
        <f t="shared" si="207"/>
        <v>4.0694873101077993E-2</v>
      </c>
      <c r="AW762" s="22">
        <f t="shared" si="207"/>
        <v>4.1412967601087917E-2</v>
      </c>
      <c r="AY762" s="85"/>
      <c r="AZ762" s="85"/>
    </row>
    <row r="763" spans="1:52" x14ac:dyDescent="0.25">
      <c r="A763" s="102" t="str">
        <f t="shared" si="176"/>
        <v>NI MM Leaching</v>
      </c>
      <c r="B763" s="102" t="s">
        <v>970</v>
      </c>
      <c r="C763" s="102" t="s">
        <v>1334</v>
      </c>
      <c r="D763" t="s">
        <v>369</v>
      </c>
      <c r="E763" t="s">
        <v>64</v>
      </c>
      <c r="F763" t="s">
        <v>63</v>
      </c>
      <c r="G763" t="s">
        <v>1183</v>
      </c>
      <c r="H763" t="s">
        <v>1322</v>
      </c>
      <c r="I763" t="s">
        <v>139</v>
      </c>
      <c r="J763" t="s">
        <v>287</v>
      </c>
      <c r="K763" s="22">
        <f t="shared" ref="K763:AW763" si="208">K1562</f>
        <v>7.810393177711944E-2</v>
      </c>
      <c r="L763" s="22">
        <f t="shared" si="208"/>
        <v>7.9553535638078737E-2</v>
      </c>
      <c r="M763" s="22">
        <f t="shared" si="208"/>
        <v>8.0502978601734096E-2</v>
      </c>
      <c r="N763" s="22">
        <f t="shared" si="208"/>
        <v>7.9458702064627351E-2</v>
      </c>
      <c r="O763" s="22">
        <f t="shared" si="208"/>
        <v>7.8445966497934463E-2</v>
      </c>
      <c r="P763" s="22">
        <f t="shared" si="208"/>
        <v>7.944949741705111E-2</v>
      </c>
      <c r="Q763" s="22">
        <f t="shared" si="208"/>
        <v>7.9836186366330816E-2</v>
      </c>
      <c r="R763" s="22">
        <f t="shared" si="208"/>
        <v>7.8063361522169639E-2</v>
      </c>
      <c r="S763" s="22">
        <f t="shared" si="208"/>
        <v>6.6817107477113183E-2</v>
      </c>
      <c r="T763" s="22">
        <f t="shared" si="208"/>
        <v>7.0388458640801108E-2</v>
      </c>
      <c r="U763" s="22">
        <f t="shared" si="208"/>
        <v>7.2779385804600763E-2</v>
      </c>
      <c r="V763" s="22">
        <f t="shared" si="208"/>
        <v>7.4904615040438174E-2</v>
      </c>
      <c r="W763" s="22">
        <f t="shared" si="208"/>
        <v>7.7471024819350642E-2</v>
      </c>
      <c r="X763" s="22">
        <f t="shared" si="208"/>
        <v>8.1566948143152435E-2</v>
      </c>
      <c r="Y763" s="22">
        <f t="shared" si="208"/>
        <v>8.614778534531875E-2</v>
      </c>
      <c r="Z763" s="22">
        <f t="shared" si="208"/>
        <v>9.1129302987806735E-2</v>
      </c>
      <c r="AA763" s="22">
        <f t="shared" si="208"/>
        <v>9.5503511014719752E-2</v>
      </c>
      <c r="AB763" s="22">
        <f t="shared" si="208"/>
        <v>0.10059627235669374</v>
      </c>
      <c r="AC763" s="22">
        <f t="shared" si="208"/>
        <v>0.10657634914102967</v>
      </c>
      <c r="AD763" s="22">
        <f t="shared" si="208"/>
        <v>0.11249681497363943</v>
      </c>
      <c r="AE763" s="22">
        <f t="shared" si="208"/>
        <v>0.11870703167717016</v>
      </c>
      <c r="AF763" s="22">
        <f t="shared" si="208"/>
        <v>0.12506960329583536</v>
      </c>
      <c r="AG763" s="22">
        <f t="shared" si="208"/>
        <v>0.13219418170903169</v>
      </c>
      <c r="AH763" s="22">
        <f t="shared" si="208"/>
        <v>0.13848583371944298</v>
      </c>
      <c r="AI763" s="22">
        <f t="shared" si="208"/>
        <v>0.1452598628167924</v>
      </c>
      <c r="AJ763" s="22">
        <f t="shared" si="208"/>
        <v>0.15217488392211642</v>
      </c>
      <c r="AK763" s="22">
        <f t="shared" si="208"/>
        <v>0.15880077299081433</v>
      </c>
      <c r="AL763" s="22">
        <f t="shared" si="208"/>
        <v>0.16542985943823083</v>
      </c>
      <c r="AM763" s="22">
        <f t="shared" si="208"/>
        <v>0.17232713819913364</v>
      </c>
      <c r="AN763" s="22">
        <f t="shared" si="208"/>
        <v>0.17966613842795656</v>
      </c>
      <c r="AO763" s="22">
        <f t="shared" si="208"/>
        <v>0.1865893340136465</v>
      </c>
      <c r="AP763" s="22">
        <f t="shared" si="208"/>
        <v>0.19362673819120535</v>
      </c>
      <c r="AQ763" s="22">
        <f t="shared" si="208"/>
        <v>0.20079266757552186</v>
      </c>
      <c r="AR763" s="22">
        <f t="shared" si="208"/>
        <v>0.20846738589837877</v>
      </c>
      <c r="AS763" s="22">
        <f t="shared" si="208"/>
        <v>0.21642073302224971</v>
      </c>
      <c r="AT763" s="22">
        <f t="shared" si="208"/>
        <v>0.22086003131192922</v>
      </c>
      <c r="AU763" s="22">
        <f t="shared" si="208"/>
        <v>0.22506764920237721</v>
      </c>
      <c r="AV763" s="22">
        <f t="shared" si="208"/>
        <v>0.22977140260428236</v>
      </c>
      <c r="AW763" s="22">
        <f t="shared" si="208"/>
        <v>0.23428658450939308</v>
      </c>
      <c r="AY763" s="85"/>
      <c r="AZ763" s="85"/>
    </row>
    <row r="764" spans="1:52" x14ac:dyDescent="0.25">
      <c r="A764" s="102"/>
      <c r="B764" s="102"/>
      <c r="C764" s="102"/>
    </row>
    <row r="765" spans="1:52" x14ac:dyDescent="0.25">
      <c r="A765" s="102" t="str">
        <f t="shared" si="176"/>
        <v>BD Cattle</v>
      </c>
      <c r="B765" s="102" t="s">
        <v>1229</v>
      </c>
      <c r="C765" s="102" t="s">
        <v>1109</v>
      </c>
      <c r="D765" t="s">
        <v>15</v>
      </c>
      <c r="E765" t="s">
        <v>16</v>
      </c>
      <c r="F765" t="s">
        <v>6</v>
      </c>
      <c r="G765" t="s">
        <v>136</v>
      </c>
      <c r="H765" t="s">
        <v>1021</v>
      </c>
      <c r="I765" t="s">
        <v>121</v>
      </c>
      <c r="J765" t="s">
        <v>286</v>
      </c>
      <c r="K765" s="28">
        <f>K1379</f>
        <v>72.319515891788683</v>
      </c>
      <c r="L765" s="28">
        <f t="shared" ref="L765:AW772" si="209">L1379</f>
        <v>72.807821323468076</v>
      </c>
      <c r="M765" s="28">
        <f t="shared" si="209"/>
        <v>73.234964885165326</v>
      </c>
      <c r="N765" s="28">
        <f t="shared" si="209"/>
        <v>73.290216800217806</v>
      </c>
      <c r="O765" s="28">
        <f t="shared" si="209"/>
        <v>73.385382806563399</v>
      </c>
      <c r="P765" s="28">
        <f t="shared" si="209"/>
        <v>73.931427797367633</v>
      </c>
      <c r="Q765" s="28">
        <f t="shared" si="209"/>
        <v>74.368063847632101</v>
      </c>
      <c r="R765" s="28">
        <f t="shared" si="209"/>
        <v>74.371892298776103</v>
      </c>
      <c r="S765" s="28">
        <f t="shared" si="209"/>
        <v>72.401501789227453</v>
      </c>
      <c r="T765" s="28">
        <f t="shared" si="209"/>
        <v>73.35338653579106</v>
      </c>
      <c r="U765" s="28">
        <f t="shared" si="209"/>
        <v>74.073946934208749</v>
      </c>
      <c r="V765" s="28">
        <f t="shared" si="209"/>
        <v>74.753778618786441</v>
      </c>
      <c r="W765" s="28">
        <f t="shared" si="209"/>
        <v>75.542063496412212</v>
      </c>
      <c r="X765" s="28">
        <f t="shared" si="209"/>
        <v>76.67155635559341</v>
      </c>
      <c r="Y765" s="28">
        <f t="shared" si="209"/>
        <v>77.847489846758435</v>
      </c>
      <c r="Z765" s="28">
        <f t="shared" si="209"/>
        <v>79.124819066913304</v>
      </c>
      <c r="AA765" s="28">
        <f t="shared" si="209"/>
        <v>80.286419447530889</v>
      </c>
      <c r="AB765" s="28">
        <f t="shared" si="209"/>
        <v>81.617330077665642</v>
      </c>
      <c r="AC765" s="28">
        <f t="shared" si="209"/>
        <v>83.15508639015107</v>
      </c>
      <c r="AD765" s="28">
        <f t="shared" si="209"/>
        <v>84.635565323563185</v>
      </c>
      <c r="AE765" s="28">
        <f t="shared" si="209"/>
        <v>86.193227498997032</v>
      </c>
      <c r="AF765" s="28">
        <f t="shared" si="209"/>
        <v>87.798134594672661</v>
      </c>
      <c r="AG765" s="28">
        <f t="shared" si="209"/>
        <v>89.583941656222265</v>
      </c>
      <c r="AH765" s="28">
        <f t="shared" si="209"/>
        <v>91.200763160150927</v>
      </c>
      <c r="AI765" s="28">
        <f t="shared" si="209"/>
        <v>92.880820410502608</v>
      </c>
      <c r="AJ765" s="28">
        <f t="shared" si="209"/>
        <v>94.604791101897987</v>
      </c>
      <c r="AK765" s="28">
        <f t="shared" si="209"/>
        <v>96.277227774537934</v>
      </c>
      <c r="AL765" s="28">
        <f t="shared" si="209"/>
        <v>97.962340013130714</v>
      </c>
      <c r="AM765" s="28">
        <f t="shared" si="209"/>
        <v>99.718934384145854</v>
      </c>
      <c r="AN765" s="28">
        <f t="shared" si="209"/>
        <v>101.53369157216896</v>
      </c>
      <c r="AO765" s="28">
        <f t="shared" si="209"/>
        <v>103.26697055041011</v>
      </c>
      <c r="AP765" s="28">
        <f t="shared" si="209"/>
        <v>105.03686331998236</v>
      </c>
      <c r="AQ765" s="28">
        <f t="shared" si="209"/>
        <v>106.8465596380065</v>
      </c>
      <c r="AR765" s="28">
        <f t="shared" si="209"/>
        <v>108.78185329261875</v>
      </c>
      <c r="AS765" s="28">
        <f t="shared" si="209"/>
        <v>110.73844641298153</v>
      </c>
      <c r="AT765" s="28">
        <f t="shared" si="209"/>
        <v>111.90949092297359</v>
      </c>
      <c r="AU765" s="28">
        <f t="shared" si="209"/>
        <v>113.03503781846446</v>
      </c>
      <c r="AV765" s="28">
        <f t="shared" si="209"/>
        <v>114.28032069633981</v>
      </c>
      <c r="AW765" s="28">
        <f t="shared" si="209"/>
        <v>115.48971420463774</v>
      </c>
      <c r="AY765" s="85"/>
      <c r="AZ765" s="85"/>
    </row>
    <row r="766" spans="1:52" x14ac:dyDescent="0.25">
      <c r="A766" s="102" t="str">
        <f t="shared" si="176"/>
        <v>BD Cattle</v>
      </c>
      <c r="B766" s="102" t="s">
        <v>1229</v>
      </c>
      <c r="C766" s="102" t="s">
        <v>1109</v>
      </c>
      <c r="D766" t="s">
        <v>15</v>
      </c>
      <c r="E766" t="s">
        <v>16</v>
      </c>
      <c r="F766" t="s">
        <v>6</v>
      </c>
      <c r="G766" t="s">
        <v>137</v>
      </c>
      <c r="H766" t="s">
        <v>1021</v>
      </c>
      <c r="I766" t="s">
        <v>121</v>
      </c>
      <c r="J766" t="s">
        <v>286</v>
      </c>
      <c r="K766" s="28">
        <f t="shared" ref="K766:Z778" si="210">K1380</f>
        <v>57.842346035228502</v>
      </c>
      <c r="L766" s="28">
        <f t="shared" si="210"/>
        <v>58.232900803215919</v>
      </c>
      <c r="M766" s="28">
        <f t="shared" si="210"/>
        <v>58.574537295077718</v>
      </c>
      <c r="N766" s="28">
        <f t="shared" si="210"/>
        <v>58.618728691413338</v>
      </c>
      <c r="O766" s="28">
        <f t="shared" si="210"/>
        <v>58.6948440387294</v>
      </c>
      <c r="P766" s="28">
        <f t="shared" si="210"/>
        <v>59.13157986196363</v>
      </c>
      <c r="Q766" s="28">
        <f t="shared" si="210"/>
        <v>59.480808603326388</v>
      </c>
      <c r="R766" s="28">
        <f t="shared" si="210"/>
        <v>59.483870661930055</v>
      </c>
      <c r="S766" s="28">
        <f t="shared" si="210"/>
        <v>57.907919713248667</v>
      </c>
      <c r="T766" s="28">
        <f t="shared" si="210"/>
        <v>58.669252891678312</v>
      </c>
      <c r="U766" s="28">
        <f t="shared" si="210"/>
        <v>59.245569026964958</v>
      </c>
      <c r="V766" s="28">
        <f t="shared" si="210"/>
        <v>59.78930966267238</v>
      </c>
      <c r="W766" s="28">
        <f t="shared" si="210"/>
        <v>60.419792957585386</v>
      </c>
      <c r="X766" s="28">
        <f t="shared" si="210"/>
        <v>61.323180044728431</v>
      </c>
      <c r="Y766" s="28">
        <f t="shared" si="210"/>
        <v>62.263711118141018</v>
      </c>
      <c r="Z766" s="28">
        <f t="shared" si="210"/>
        <v>63.285340174171438</v>
      </c>
      <c r="AA766" s="28">
        <f t="shared" si="209"/>
        <v>64.214407388488411</v>
      </c>
      <c r="AB766" s="28">
        <f t="shared" si="209"/>
        <v>65.278891743242767</v>
      </c>
      <c r="AC766" s="28">
        <f t="shared" si="209"/>
        <v>66.508814699001078</v>
      </c>
      <c r="AD766" s="28">
        <f t="shared" si="209"/>
        <v>67.692926258769063</v>
      </c>
      <c r="AE766" s="28">
        <f t="shared" si="209"/>
        <v>68.938770253248308</v>
      </c>
      <c r="AF766" s="28">
        <f t="shared" si="209"/>
        <v>70.222401517060504</v>
      </c>
      <c r="AG766" s="28">
        <f t="shared" si="209"/>
        <v>71.650719568316063</v>
      </c>
      <c r="AH766" s="28">
        <f t="shared" si="209"/>
        <v>72.943880173088047</v>
      </c>
      <c r="AI766" s="28">
        <f t="shared" si="209"/>
        <v>74.287617774695377</v>
      </c>
      <c r="AJ766" s="28">
        <f t="shared" si="209"/>
        <v>75.66647807342153</v>
      </c>
      <c r="AK766" s="28">
        <f t="shared" si="209"/>
        <v>77.004120610818973</v>
      </c>
      <c r="AL766" s="28">
        <f t="shared" si="209"/>
        <v>78.351901275705174</v>
      </c>
      <c r="AM766" s="28">
        <f t="shared" si="209"/>
        <v>79.75685453346513</v>
      </c>
      <c r="AN766" s="28">
        <f t="shared" si="209"/>
        <v>81.20832737513372</v>
      </c>
      <c r="AO766" s="28">
        <f t="shared" si="209"/>
        <v>82.594632595774641</v>
      </c>
      <c r="AP766" s="28">
        <f t="shared" si="209"/>
        <v>84.010222132851055</v>
      </c>
      <c r="AQ766" s="28">
        <f t="shared" si="209"/>
        <v>85.457647206913492</v>
      </c>
      <c r="AR766" s="28">
        <f t="shared" si="209"/>
        <v>87.005527110000244</v>
      </c>
      <c r="AS766" s="28">
        <f t="shared" si="209"/>
        <v>88.570442678399701</v>
      </c>
      <c r="AT766" s="28">
        <f t="shared" si="209"/>
        <v>89.50706346373471</v>
      </c>
      <c r="AU766" s="28">
        <f t="shared" si="209"/>
        <v>90.407294503794148</v>
      </c>
      <c r="AV766" s="28">
        <f t="shared" si="209"/>
        <v>91.403292364753156</v>
      </c>
      <c r="AW766" s="28">
        <f t="shared" si="209"/>
        <v>92.370585313787814</v>
      </c>
      <c r="AY766" s="85"/>
      <c r="AZ766" s="85"/>
    </row>
    <row r="767" spans="1:52" x14ac:dyDescent="0.25">
      <c r="A767" s="102" t="str">
        <f t="shared" si="176"/>
        <v>BD Cattle</v>
      </c>
      <c r="B767" s="102" t="s">
        <v>1229</v>
      </c>
      <c r="C767" s="102" t="s">
        <v>1109</v>
      </c>
      <c r="D767" t="s">
        <v>15</v>
      </c>
      <c r="E767" t="s">
        <v>16</v>
      </c>
      <c r="F767" t="s">
        <v>67</v>
      </c>
      <c r="G767" t="s">
        <v>307</v>
      </c>
      <c r="H767" t="s">
        <v>1021</v>
      </c>
      <c r="I767" t="s">
        <v>121</v>
      </c>
      <c r="J767" t="s">
        <v>286</v>
      </c>
      <c r="K767" s="28">
        <f t="shared" si="210"/>
        <v>26.152753652516633</v>
      </c>
      <c r="L767" s="28">
        <f t="shared" si="209"/>
        <v>26.329338513524345</v>
      </c>
      <c r="M767" s="28">
        <f t="shared" si="209"/>
        <v>26.483805536783215</v>
      </c>
      <c r="N767" s="28">
        <f t="shared" si="209"/>
        <v>26.503786170024174</v>
      </c>
      <c r="O767" s="28">
        <f t="shared" si="209"/>
        <v>26.538200851723289</v>
      </c>
      <c r="P767" s="28">
        <f t="shared" si="209"/>
        <v>26.735665947439109</v>
      </c>
      <c r="Q767" s="28">
        <f t="shared" si="209"/>
        <v>26.893565719271944</v>
      </c>
      <c r="R767" s="28">
        <f t="shared" si="209"/>
        <v>26.894950193966014</v>
      </c>
      <c r="S767" s="28">
        <f t="shared" si="209"/>
        <v>26.182402039293791</v>
      </c>
      <c r="T767" s="28">
        <f t="shared" si="209"/>
        <v>26.526630107962227</v>
      </c>
      <c r="U767" s="28">
        <f t="shared" si="209"/>
        <v>26.787204841617442</v>
      </c>
      <c r="V767" s="28">
        <f t="shared" si="209"/>
        <v>27.033050936584925</v>
      </c>
      <c r="W767" s="28">
        <f t="shared" si="209"/>
        <v>27.318116730490384</v>
      </c>
      <c r="X767" s="28">
        <f t="shared" si="209"/>
        <v>27.72657284547105</v>
      </c>
      <c r="Y767" s="28">
        <f t="shared" si="209"/>
        <v>28.151823188023119</v>
      </c>
      <c r="Z767" s="28">
        <f t="shared" si="209"/>
        <v>28.61374105370485</v>
      </c>
      <c r="AA767" s="28">
        <f t="shared" si="209"/>
        <v>29.033808143789049</v>
      </c>
      <c r="AB767" s="28">
        <f t="shared" si="209"/>
        <v>29.515102541493693</v>
      </c>
      <c r="AC767" s="28">
        <f t="shared" si="209"/>
        <v>30.071198106046545</v>
      </c>
      <c r="AD767" s="28">
        <f t="shared" si="209"/>
        <v>30.606580573086323</v>
      </c>
      <c r="AE767" s="28">
        <f t="shared" si="209"/>
        <v>31.169874652777334</v>
      </c>
      <c r="AF767" s="28">
        <f t="shared" si="209"/>
        <v>31.750253813102248</v>
      </c>
      <c r="AG767" s="28">
        <f t="shared" si="209"/>
        <v>32.396051445673713</v>
      </c>
      <c r="AH767" s="28">
        <f t="shared" si="209"/>
        <v>32.980739188268778</v>
      </c>
      <c r="AI767" s="28">
        <f t="shared" si="209"/>
        <v>33.588294740165949</v>
      </c>
      <c r="AJ767" s="28">
        <f t="shared" si="209"/>
        <v>34.211730616917187</v>
      </c>
      <c r="AK767" s="28">
        <f t="shared" si="209"/>
        <v>34.816530355405931</v>
      </c>
      <c r="AL767" s="28">
        <f t="shared" si="209"/>
        <v>35.42591393201478</v>
      </c>
      <c r="AM767" s="28">
        <f t="shared" si="209"/>
        <v>36.061147441062253</v>
      </c>
      <c r="AN767" s="28">
        <f t="shared" si="209"/>
        <v>36.717414246671382</v>
      </c>
      <c r="AO767" s="28">
        <f t="shared" si="209"/>
        <v>37.344216259517445</v>
      </c>
      <c r="AP767" s="28">
        <f t="shared" si="209"/>
        <v>37.984258840323065</v>
      </c>
      <c r="AQ767" s="28">
        <f t="shared" si="209"/>
        <v>38.638695494212854</v>
      </c>
      <c r="AR767" s="28">
        <f t="shared" si="209"/>
        <v>39.338551647427231</v>
      </c>
      <c r="AS767" s="28">
        <f t="shared" si="209"/>
        <v>40.046110281415082</v>
      </c>
      <c r="AT767" s="28">
        <f t="shared" si="209"/>
        <v>40.469592632040602</v>
      </c>
      <c r="AU767" s="28">
        <f t="shared" si="209"/>
        <v>40.876621776513481</v>
      </c>
      <c r="AV767" s="28">
        <f t="shared" si="209"/>
        <v>41.326950791180863</v>
      </c>
      <c r="AW767" s="28">
        <f t="shared" si="209"/>
        <v>41.764301208996081</v>
      </c>
      <c r="AY767" s="85"/>
      <c r="AZ767" s="85"/>
    </row>
    <row r="768" spans="1:52" x14ac:dyDescent="0.25">
      <c r="A768" s="102" t="str">
        <f t="shared" si="176"/>
        <v>BD Cattle</v>
      </c>
      <c r="B768" s="102" t="s">
        <v>1229</v>
      </c>
      <c r="C768" s="102" t="s">
        <v>1109</v>
      </c>
      <c r="D768" t="s">
        <v>15</v>
      </c>
      <c r="E768" t="s">
        <v>16</v>
      </c>
      <c r="F768" t="s">
        <v>67</v>
      </c>
      <c r="G768" t="s">
        <v>122</v>
      </c>
      <c r="H768" t="s">
        <v>1021</v>
      </c>
      <c r="I768" t="s">
        <v>121</v>
      </c>
      <c r="J768" t="s">
        <v>286</v>
      </c>
      <c r="K768" s="28">
        <f t="shared" si="210"/>
        <v>465.52056336079949</v>
      </c>
      <c r="L768" s="28">
        <f t="shared" si="209"/>
        <v>463.15049709319385</v>
      </c>
      <c r="M768" s="28">
        <f t="shared" si="209"/>
        <v>458.82469207652616</v>
      </c>
      <c r="N768" s="28">
        <f t="shared" si="209"/>
        <v>446.98374150991339</v>
      </c>
      <c r="O768" s="28">
        <f t="shared" si="209"/>
        <v>435.61531631652565</v>
      </c>
      <c r="P768" s="28">
        <f t="shared" si="209"/>
        <v>431.8940518676672</v>
      </c>
      <c r="Q768" s="28">
        <f t="shared" si="209"/>
        <v>425.88381386723944</v>
      </c>
      <c r="R768" s="28">
        <f t="shared" si="209"/>
        <v>412.37997971855566</v>
      </c>
      <c r="S768" s="28">
        <f t="shared" si="209"/>
        <v>367.07322936568551</v>
      </c>
      <c r="T768" s="28">
        <f t="shared" si="209"/>
        <v>376.04260475427378</v>
      </c>
      <c r="U768" s="28">
        <f t="shared" si="209"/>
        <v>380.88720014756319</v>
      </c>
      <c r="V768" s="28">
        <f t="shared" si="209"/>
        <v>384.73781572909445</v>
      </c>
      <c r="W768" s="28">
        <f t="shared" si="209"/>
        <v>389.91279538090225</v>
      </c>
      <c r="X768" s="28">
        <f t="shared" si="209"/>
        <v>399.84804761715691</v>
      </c>
      <c r="Y768" s="28">
        <f t="shared" si="209"/>
        <v>410.72195142971174</v>
      </c>
      <c r="Z768" s="28">
        <f t="shared" si="209"/>
        <v>422.57021057713075</v>
      </c>
      <c r="AA768" s="28">
        <f t="shared" si="209"/>
        <v>432.23102816031104</v>
      </c>
      <c r="AB768" s="28">
        <f t="shared" si="209"/>
        <v>443.82757951116929</v>
      </c>
      <c r="AC768" s="28">
        <f t="shared" si="209"/>
        <v>457.79588984245851</v>
      </c>
      <c r="AD768" s="28">
        <f t="shared" si="209"/>
        <v>466.99721608024504</v>
      </c>
      <c r="AE768" s="28">
        <f t="shared" si="209"/>
        <v>476.39605277563965</v>
      </c>
      <c r="AF768" s="28">
        <f t="shared" si="209"/>
        <v>485.55434160967809</v>
      </c>
      <c r="AG768" s="28">
        <f t="shared" si="209"/>
        <v>496.149752250235</v>
      </c>
      <c r="AH768" s="28">
        <f t="shared" si="209"/>
        <v>503.70010251464106</v>
      </c>
      <c r="AI768" s="28">
        <f t="shared" si="209"/>
        <v>511.6542791142947</v>
      </c>
      <c r="AJ768" s="28">
        <f t="shared" si="209"/>
        <v>519.26571108374344</v>
      </c>
      <c r="AK768" s="28">
        <f t="shared" si="209"/>
        <v>525.41502165866484</v>
      </c>
      <c r="AL768" s="28">
        <f t="shared" si="209"/>
        <v>530.88759799604804</v>
      </c>
      <c r="AM768" s="28">
        <f t="shared" si="209"/>
        <v>536.33560316463638</v>
      </c>
      <c r="AN768" s="28">
        <f t="shared" si="209"/>
        <v>544.72092714693053</v>
      </c>
      <c r="AO768" s="28">
        <f t="shared" si="209"/>
        <v>551.54981511359176</v>
      </c>
      <c r="AP768" s="28">
        <f t="shared" si="209"/>
        <v>558.10716361528034</v>
      </c>
      <c r="AQ768" s="28">
        <f t="shared" si="209"/>
        <v>564.41449245205456</v>
      </c>
      <c r="AR768" s="28">
        <f t="shared" si="209"/>
        <v>571.30711836389287</v>
      </c>
      <c r="AS768" s="28">
        <f t="shared" si="209"/>
        <v>578.05837043678457</v>
      </c>
      <c r="AT768" s="28">
        <f t="shared" si="209"/>
        <v>576.66741382248574</v>
      </c>
      <c r="AU768" s="28">
        <f t="shared" si="209"/>
        <v>574.48483101134718</v>
      </c>
      <c r="AV768" s="28">
        <f t="shared" si="209"/>
        <v>573.04217473429298</v>
      </c>
      <c r="AW768" s="28">
        <f t="shared" si="209"/>
        <v>570.89539860553714</v>
      </c>
      <c r="AY768" s="85"/>
      <c r="AZ768" s="85"/>
    </row>
    <row r="769" spans="1:52" x14ac:dyDescent="0.25">
      <c r="A769" s="102" t="str">
        <f t="shared" si="176"/>
        <v>BD Cattle</v>
      </c>
      <c r="B769" s="102" t="s">
        <v>1229</v>
      </c>
      <c r="C769" s="102" t="s">
        <v>1109</v>
      </c>
      <c r="D769" t="s">
        <v>15</v>
      </c>
      <c r="E769" t="s">
        <v>16</v>
      </c>
      <c r="F769" t="s">
        <v>67</v>
      </c>
      <c r="G769" t="s">
        <v>123</v>
      </c>
      <c r="H769" t="s">
        <v>1021</v>
      </c>
      <c r="I769" t="s">
        <v>121</v>
      </c>
      <c r="J769" t="s">
        <v>286</v>
      </c>
      <c r="K769" s="28">
        <f t="shared" si="210"/>
        <v>327.80986528142375</v>
      </c>
      <c r="L769" s="28">
        <f t="shared" si="209"/>
        <v>326.14091407917653</v>
      </c>
      <c r="M769" s="28">
        <f t="shared" si="209"/>
        <v>323.0947724662044</v>
      </c>
      <c r="N769" s="28">
        <f t="shared" si="209"/>
        <v>314.75662219842133</v>
      </c>
      <c r="O769" s="28">
        <f t="shared" si="209"/>
        <v>306.75121443683565</v>
      </c>
      <c r="P769" s="28">
        <f t="shared" si="209"/>
        <v>304.13077767492297</v>
      </c>
      <c r="Q769" s="28">
        <f t="shared" si="209"/>
        <v>299.89849350898703</v>
      </c>
      <c r="R769" s="28">
        <f t="shared" si="209"/>
        <v>290.38937532717256</v>
      </c>
      <c r="S769" s="28">
        <f t="shared" si="209"/>
        <v>258.48530728280883</v>
      </c>
      <c r="T769" s="28">
        <f t="shared" si="209"/>
        <v>264.80135424014338</v>
      </c>
      <c r="U769" s="28">
        <f t="shared" si="209"/>
        <v>268.21281720915158</v>
      </c>
      <c r="V769" s="28">
        <f t="shared" si="209"/>
        <v>270.92434033912764</v>
      </c>
      <c r="W769" s="28">
        <f t="shared" si="209"/>
        <v>274.56845300784875</v>
      </c>
      <c r="X769" s="28">
        <f t="shared" si="209"/>
        <v>281.56465028341216</v>
      </c>
      <c r="Y769" s="28">
        <f t="shared" si="209"/>
        <v>289.22182640930129</v>
      </c>
      <c r="Z769" s="28">
        <f t="shared" si="209"/>
        <v>297.56512322715759</v>
      </c>
      <c r="AA769" s="28">
        <f t="shared" si="209"/>
        <v>304.36806934749092</v>
      </c>
      <c r="AB769" s="28">
        <f t="shared" si="209"/>
        <v>312.53411878816331</v>
      </c>
      <c r="AC769" s="28">
        <f t="shared" si="209"/>
        <v>322.37031140412756</v>
      </c>
      <c r="AD769" s="28">
        <f t="shared" si="209"/>
        <v>328.8496933086418</v>
      </c>
      <c r="AE769" s="28">
        <f t="shared" si="209"/>
        <v>335.46815795535053</v>
      </c>
      <c r="AF769" s="28">
        <f t="shared" si="209"/>
        <v>341.91723381833816</v>
      </c>
      <c r="AG769" s="28">
        <f t="shared" si="209"/>
        <v>349.37830086467267</v>
      </c>
      <c r="AH769" s="28">
        <f t="shared" si="209"/>
        <v>354.6950999446828</v>
      </c>
      <c r="AI769" s="28">
        <f t="shared" si="209"/>
        <v>360.29626510209863</v>
      </c>
      <c r="AJ769" s="28">
        <f t="shared" si="209"/>
        <v>365.65607664402177</v>
      </c>
      <c r="AK769" s="28">
        <f t="shared" si="209"/>
        <v>369.98629281446455</v>
      </c>
      <c r="AL769" s="28">
        <f t="shared" si="209"/>
        <v>373.83996685831022</v>
      </c>
      <c r="AM769" s="28">
        <f t="shared" si="209"/>
        <v>377.67633839789198</v>
      </c>
      <c r="AN769" s="28">
        <f t="shared" si="209"/>
        <v>383.58110854409597</v>
      </c>
      <c r="AO769" s="28">
        <f t="shared" si="209"/>
        <v>388.38986893098826</v>
      </c>
      <c r="AP769" s="28">
        <f t="shared" si="209"/>
        <v>393.00741689368874</v>
      </c>
      <c r="AQ769" s="28">
        <f t="shared" si="209"/>
        <v>397.44890622627946</v>
      </c>
      <c r="AR769" s="28">
        <f t="shared" si="209"/>
        <v>402.30254954395133</v>
      </c>
      <c r="AS769" s="28">
        <f t="shared" si="209"/>
        <v>407.05664035471597</v>
      </c>
      <c r="AT769" s="28">
        <f t="shared" si="209"/>
        <v>406.07715773626023</v>
      </c>
      <c r="AU769" s="28">
        <f t="shared" si="209"/>
        <v>404.54022847126805</v>
      </c>
      <c r="AV769" s="28">
        <f t="shared" si="209"/>
        <v>403.52434002927453</v>
      </c>
      <c r="AW769" s="28">
        <f t="shared" si="209"/>
        <v>402.01262508272896</v>
      </c>
      <c r="AY769" s="85"/>
      <c r="AZ769" s="85"/>
    </row>
    <row r="770" spans="1:52" x14ac:dyDescent="0.25">
      <c r="A770" s="102" t="str">
        <f t="shared" si="176"/>
        <v>BD Cattle</v>
      </c>
      <c r="B770" s="102" t="s">
        <v>1229</v>
      </c>
      <c r="C770" s="102" t="s">
        <v>1109</v>
      </c>
      <c r="D770" t="s">
        <v>15</v>
      </c>
      <c r="E770" t="s">
        <v>16</v>
      </c>
      <c r="F770" t="s">
        <v>67</v>
      </c>
      <c r="G770" t="s">
        <v>135</v>
      </c>
      <c r="H770" t="s">
        <v>1021</v>
      </c>
      <c r="I770" t="s">
        <v>121</v>
      </c>
      <c r="J770" t="s">
        <v>286</v>
      </c>
      <c r="K770" s="28">
        <f t="shared" si="210"/>
        <v>31.983141266454435</v>
      </c>
      <c r="L770" s="28">
        <f t="shared" si="209"/>
        <v>33.176305480896438</v>
      </c>
      <c r="M770" s="28">
        <f t="shared" si="209"/>
        <v>34.248209769984797</v>
      </c>
      <c r="N770" s="28">
        <f t="shared" si="209"/>
        <v>34.751225456913808</v>
      </c>
      <c r="O770" s="28">
        <f t="shared" si="209"/>
        <v>35.261937727399058</v>
      </c>
      <c r="P770" s="28">
        <f t="shared" si="209"/>
        <v>36.389263474395328</v>
      </c>
      <c r="Q770" s="28">
        <f t="shared" si="209"/>
        <v>37.34016796495505</v>
      </c>
      <c r="R770" s="28">
        <f t="shared" si="209"/>
        <v>37.617758099633058</v>
      </c>
      <c r="S770" s="28">
        <f t="shared" si="209"/>
        <v>34.833912391780601</v>
      </c>
      <c r="T770" s="28">
        <f t="shared" si="209"/>
        <v>36.540465751152517</v>
      </c>
      <c r="U770" s="28">
        <f t="shared" si="209"/>
        <v>37.886226913175705</v>
      </c>
      <c r="V770" s="28">
        <f t="shared" si="209"/>
        <v>39.162499493928941</v>
      </c>
      <c r="W770" s="28">
        <f t="shared" si="209"/>
        <v>40.604769600531014</v>
      </c>
      <c r="X770" s="28">
        <f t="shared" si="209"/>
        <v>42.589435911948605</v>
      </c>
      <c r="Y770" s="28">
        <f t="shared" si="209"/>
        <v>44.735714463964371</v>
      </c>
      <c r="Z770" s="28">
        <f t="shared" si="209"/>
        <v>47.056021695269649</v>
      </c>
      <c r="AA770" s="28">
        <f t="shared" si="209"/>
        <v>49.199405224000948</v>
      </c>
      <c r="AB770" s="28">
        <f t="shared" si="209"/>
        <v>51.630970984411839</v>
      </c>
      <c r="AC770" s="28">
        <f t="shared" si="209"/>
        <v>54.419025309229532</v>
      </c>
      <c r="AD770" s="28">
        <f t="shared" si="209"/>
        <v>57.347688713152579</v>
      </c>
      <c r="AE770" s="28">
        <f t="shared" si="209"/>
        <v>60.439332031947394</v>
      </c>
      <c r="AF770" s="28">
        <f t="shared" si="209"/>
        <v>63.646606559627351</v>
      </c>
      <c r="AG770" s="28">
        <f t="shared" si="209"/>
        <v>67.201805489878737</v>
      </c>
      <c r="AH770" s="28">
        <f t="shared" si="209"/>
        <v>70.505749505379512</v>
      </c>
      <c r="AI770" s="28">
        <f t="shared" si="209"/>
        <v>74.024544515923196</v>
      </c>
      <c r="AJ770" s="28">
        <f t="shared" si="209"/>
        <v>77.661626466040673</v>
      </c>
      <c r="AK770" s="28">
        <f t="shared" si="209"/>
        <v>81.248794021185191</v>
      </c>
      <c r="AL770" s="28">
        <f t="shared" si="209"/>
        <v>84.899176335457057</v>
      </c>
      <c r="AM770" s="28">
        <f t="shared" si="209"/>
        <v>88.7200879854786</v>
      </c>
      <c r="AN770" s="28">
        <f t="shared" si="209"/>
        <v>92.640415904854649</v>
      </c>
      <c r="AO770" s="28">
        <f t="shared" si="209"/>
        <v>96.448102767830918</v>
      </c>
      <c r="AP770" s="28">
        <f t="shared" si="209"/>
        <v>100.35888492083421</v>
      </c>
      <c r="AQ770" s="28">
        <f t="shared" si="209"/>
        <v>104.38012848298382</v>
      </c>
      <c r="AR770" s="28">
        <f t="shared" si="209"/>
        <v>108.6746674258483</v>
      </c>
      <c r="AS770" s="28">
        <f t="shared" si="209"/>
        <v>113.11818854540739</v>
      </c>
      <c r="AT770" s="28">
        <f t="shared" si="209"/>
        <v>116.10657737098944</v>
      </c>
      <c r="AU770" s="28">
        <f t="shared" si="209"/>
        <v>119.02957765065928</v>
      </c>
      <c r="AV770" s="28">
        <f t="shared" si="209"/>
        <v>122.20468195250368</v>
      </c>
      <c r="AW770" s="28">
        <f t="shared" si="209"/>
        <v>125.33392924864043</v>
      </c>
      <c r="AY770" s="85"/>
      <c r="AZ770" s="85"/>
    </row>
    <row r="771" spans="1:52" x14ac:dyDescent="0.25">
      <c r="A771" s="102" t="str">
        <f t="shared" si="176"/>
        <v>BD Sheep</v>
      </c>
      <c r="B771" s="102" t="s">
        <v>1229</v>
      </c>
      <c r="C771" s="102" t="s">
        <v>152</v>
      </c>
      <c r="D771" t="s">
        <v>15</v>
      </c>
      <c r="E771" t="s">
        <v>16</v>
      </c>
      <c r="F771" t="s">
        <v>18</v>
      </c>
      <c r="G771" t="s">
        <v>122</v>
      </c>
      <c r="H771" t="s">
        <v>1021</v>
      </c>
      <c r="I771" t="s">
        <v>121</v>
      </c>
      <c r="J771" t="s">
        <v>286</v>
      </c>
      <c r="K771" s="28">
        <f t="shared" si="210"/>
        <v>132.57119038642557</v>
      </c>
      <c r="L771" s="28">
        <f t="shared" si="209"/>
        <v>132.64273653065254</v>
      </c>
      <c r="M771" s="28">
        <f t="shared" si="209"/>
        <v>132.80721501621684</v>
      </c>
      <c r="N771" s="28">
        <f t="shared" si="209"/>
        <v>133.051398651531</v>
      </c>
      <c r="O771" s="28">
        <f t="shared" si="209"/>
        <v>133.38098001143086</v>
      </c>
      <c r="P771" s="28">
        <f t="shared" si="209"/>
        <v>133.80258277876908</v>
      </c>
      <c r="Q771" s="28">
        <f t="shared" si="209"/>
        <v>134.26714516921325</v>
      </c>
      <c r="R771" s="28">
        <f t="shared" si="209"/>
        <v>134.76745179695249</v>
      </c>
      <c r="S771" s="28">
        <f t="shared" si="209"/>
        <v>135.2631261954914</v>
      </c>
      <c r="T771" s="28">
        <f t="shared" si="209"/>
        <v>135.46597827382104</v>
      </c>
      <c r="U771" s="28">
        <f t="shared" si="209"/>
        <v>135.69632310683818</v>
      </c>
      <c r="V771" s="28">
        <f t="shared" si="209"/>
        <v>135.95682681390846</v>
      </c>
      <c r="W771" s="28">
        <f t="shared" si="209"/>
        <v>136.24937905937216</v>
      </c>
      <c r="X771" s="28">
        <f t="shared" si="209"/>
        <v>136.57811586303043</v>
      </c>
      <c r="Y771" s="28">
        <f t="shared" si="209"/>
        <v>136.78481124577374</v>
      </c>
      <c r="Z771" s="28">
        <f t="shared" si="209"/>
        <v>137.01756076929394</v>
      </c>
      <c r="AA771" s="28">
        <f t="shared" si="209"/>
        <v>137.26988669428977</v>
      </c>
      <c r="AB771" s="28">
        <f t="shared" si="209"/>
        <v>137.54770477114812</v>
      </c>
      <c r="AC771" s="28">
        <f t="shared" si="209"/>
        <v>137.85098318826414</v>
      </c>
      <c r="AD771" s="28">
        <f t="shared" si="209"/>
        <v>138.0517172424515</v>
      </c>
      <c r="AE771" s="28">
        <f t="shared" si="209"/>
        <v>138.27198156596427</v>
      </c>
      <c r="AF771" s="28">
        <f t="shared" si="209"/>
        <v>138.51029648948435</v>
      </c>
      <c r="AG771" s="28">
        <f t="shared" si="209"/>
        <v>138.76924178933888</v>
      </c>
      <c r="AH771" s="28">
        <f t="shared" si="209"/>
        <v>139.03965406429921</v>
      </c>
      <c r="AI771" s="28">
        <f t="shared" si="209"/>
        <v>139.21265652505053</v>
      </c>
      <c r="AJ771" s="28">
        <f t="shared" si="209"/>
        <v>139.40033470595577</v>
      </c>
      <c r="AK771" s="28">
        <f t="shared" si="209"/>
        <v>139.59984622882109</v>
      </c>
      <c r="AL771" s="28">
        <f t="shared" si="209"/>
        <v>139.81228322803275</v>
      </c>
      <c r="AM771" s="28">
        <f t="shared" si="209"/>
        <v>140.03864091698591</v>
      </c>
      <c r="AN771" s="28">
        <f t="shared" si="209"/>
        <v>140.17205297338157</v>
      </c>
      <c r="AO771" s="28">
        <f t="shared" si="209"/>
        <v>140.3142065668136</v>
      </c>
      <c r="AP771" s="28">
        <f t="shared" si="209"/>
        <v>140.46760679476171</v>
      </c>
      <c r="AQ771" s="28">
        <f t="shared" si="209"/>
        <v>140.63198304845474</v>
      </c>
      <c r="AR771" s="28">
        <f t="shared" si="209"/>
        <v>140.80910014546811</v>
      </c>
      <c r="AS771" s="28">
        <f t="shared" si="209"/>
        <v>140.88892671034117</v>
      </c>
      <c r="AT771" s="28">
        <f t="shared" si="209"/>
        <v>140.95821516124155</v>
      </c>
      <c r="AU771" s="28">
        <f t="shared" si="209"/>
        <v>141.03470747726172</v>
      </c>
      <c r="AV771" s="28">
        <f t="shared" si="209"/>
        <v>141.12215896144338</v>
      </c>
      <c r="AW771" s="28">
        <f t="shared" si="209"/>
        <v>141.21652925379365</v>
      </c>
      <c r="AY771" s="85"/>
      <c r="AZ771" s="85"/>
    </row>
    <row r="772" spans="1:52" x14ac:dyDescent="0.25">
      <c r="A772" s="102" t="str">
        <f t="shared" si="176"/>
        <v>BD Sheep</v>
      </c>
      <c r="B772" s="102" t="s">
        <v>1229</v>
      </c>
      <c r="C772" s="102" t="s">
        <v>152</v>
      </c>
      <c r="D772" t="s">
        <v>15</v>
      </c>
      <c r="E772" t="s">
        <v>16</v>
      </c>
      <c r="F772" t="s">
        <v>18</v>
      </c>
      <c r="G772" t="s">
        <v>123</v>
      </c>
      <c r="H772" t="s">
        <v>1021</v>
      </c>
      <c r="I772" t="s">
        <v>121</v>
      </c>
      <c r="J772" t="s">
        <v>286</v>
      </c>
      <c r="K772" s="28">
        <f t="shared" si="210"/>
        <v>14.367245816070934</v>
      </c>
      <c r="L772" s="28">
        <f t="shared" si="209"/>
        <v>14.374999544752898</v>
      </c>
      <c r="M772" s="28">
        <f t="shared" si="209"/>
        <v>14.392824705910984</v>
      </c>
      <c r="N772" s="28">
        <f t="shared" si="209"/>
        <v>14.419287818315681</v>
      </c>
      <c r="O772" s="28">
        <f t="shared" si="209"/>
        <v>14.455005808025765</v>
      </c>
      <c r="P772" s="28">
        <f t="shared" ref="L772:AW778" si="211">P1386</f>
        <v>14.500696508829069</v>
      </c>
      <c r="Q772" s="28">
        <f t="shared" si="211"/>
        <v>14.551042907929491</v>
      </c>
      <c r="R772" s="28">
        <f t="shared" si="211"/>
        <v>14.605263046431578</v>
      </c>
      <c r="S772" s="28">
        <f t="shared" si="211"/>
        <v>14.658981172577873</v>
      </c>
      <c r="T772" s="28">
        <f t="shared" si="211"/>
        <v>14.680965026424001</v>
      </c>
      <c r="U772" s="28">
        <f t="shared" si="211"/>
        <v>14.705928375012579</v>
      </c>
      <c r="V772" s="28">
        <f t="shared" si="211"/>
        <v>14.734160155873615</v>
      </c>
      <c r="W772" s="28">
        <f t="shared" si="211"/>
        <v>14.765865159142944</v>
      </c>
      <c r="X772" s="28">
        <f t="shared" si="211"/>
        <v>14.801491621070163</v>
      </c>
      <c r="Y772" s="28">
        <f t="shared" si="211"/>
        <v>14.823891988482297</v>
      </c>
      <c r="Z772" s="28">
        <f t="shared" si="211"/>
        <v>14.84911594255739</v>
      </c>
      <c r="AA772" s="28">
        <f t="shared" si="211"/>
        <v>14.876461465967234</v>
      </c>
      <c r="AB772" s="28">
        <f t="shared" si="211"/>
        <v>14.906569671156744</v>
      </c>
      <c r="AC772" s="28">
        <f t="shared" si="211"/>
        <v>14.939437110580908</v>
      </c>
      <c r="AD772" s="28">
        <f t="shared" si="211"/>
        <v>14.961191426068007</v>
      </c>
      <c r="AE772" s="28">
        <f t="shared" si="211"/>
        <v>14.985062311372678</v>
      </c>
      <c r="AF772" s="28">
        <f t="shared" si="211"/>
        <v>15.01088940908426</v>
      </c>
      <c r="AG772" s="28">
        <f t="shared" si="211"/>
        <v>15.038952299408185</v>
      </c>
      <c r="AH772" s="28">
        <f t="shared" si="211"/>
        <v>15.068257909584224</v>
      </c>
      <c r="AI772" s="28">
        <f t="shared" si="211"/>
        <v>15.087006846462247</v>
      </c>
      <c r="AJ772" s="28">
        <f t="shared" si="211"/>
        <v>15.107346247138357</v>
      </c>
      <c r="AK772" s="28">
        <f t="shared" si="211"/>
        <v>15.128968072240701</v>
      </c>
      <c r="AL772" s="28">
        <f t="shared" si="211"/>
        <v>15.151990680540484</v>
      </c>
      <c r="AM772" s="28">
        <f t="shared" si="211"/>
        <v>15.176521927111235</v>
      </c>
      <c r="AN772" s="28">
        <f t="shared" si="211"/>
        <v>15.190980300785611</v>
      </c>
      <c r="AO772" s="28">
        <f t="shared" si="211"/>
        <v>15.206386028187788</v>
      </c>
      <c r="AP772" s="28">
        <f t="shared" si="211"/>
        <v>15.223010596291525</v>
      </c>
      <c r="AQ772" s="28">
        <f t="shared" si="211"/>
        <v>15.240824678191588</v>
      </c>
      <c r="AR772" s="28">
        <f t="shared" si="211"/>
        <v>15.260019533903467</v>
      </c>
      <c r="AS772" s="28">
        <f t="shared" si="211"/>
        <v>15.268670643370319</v>
      </c>
      <c r="AT772" s="28">
        <f t="shared" si="211"/>
        <v>15.276179697210745</v>
      </c>
      <c r="AU772" s="28">
        <f t="shared" si="211"/>
        <v>15.284469461405354</v>
      </c>
      <c r="AV772" s="28">
        <f t="shared" si="211"/>
        <v>15.293946912475652</v>
      </c>
      <c r="AW772" s="28">
        <f t="shared" si="211"/>
        <v>15.304174181190511</v>
      </c>
      <c r="AY772" s="85"/>
      <c r="AZ772" s="85"/>
    </row>
    <row r="773" spans="1:52" x14ac:dyDescent="0.25">
      <c r="A773" s="102" t="str">
        <f t="shared" si="176"/>
        <v>BD Goats</v>
      </c>
      <c r="B773" s="102" t="s">
        <v>1229</v>
      </c>
      <c r="C773" s="102" t="s">
        <v>153</v>
      </c>
      <c r="D773" t="s">
        <v>15</v>
      </c>
      <c r="E773" t="s">
        <v>16</v>
      </c>
      <c r="F773" t="s">
        <v>19</v>
      </c>
      <c r="G773" t="s">
        <v>122</v>
      </c>
      <c r="H773" t="s">
        <v>1021</v>
      </c>
      <c r="I773" t="s">
        <v>121</v>
      </c>
      <c r="J773" t="s">
        <v>286</v>
      </c>
      <c r="K773" s="28">
        <f t="shared" si="210"/>
        <v>15.11994504352057</v>
      </c>
      <c r="L773" s="28">
        <f t="shared" si="211"/>
        <v>15.159244294711982</v>
      </c>
      <c r="M773" s="28">
        <f t="shared" si="211"/>
        <v>15.212240101283504</v>
      </c>
      <c r="N773" s="28">
        <f t="shared" si="211"/>
        <v>15.276787648225215</v>
      </c>
      <c r="O773" s="28">
        <f t="shared" si="211"/>
        <v>15.354100038796439</v>
      </c>
      <c r="P773" s="28">
        <f t="shared" si="211"/>
        <v>15.445501132757192</v>
      </c>
      <c r="Q773" s="28">
        <f t="shared" si="211"/>
        <v>15.542368253787608</v>
      </c>
      <c r="R773" s="28">
        <f t="shared" si="211"/>
        <v>15.643567978967758</v>
      </c>
      <c r="S773" s="28">
        <f t="shared" si="211"/>
        <v>15.742091989223546</v>
      </c>
      <c r="T773" s="28">
        <f t="shared" si="211"/>
        <v>15.787280907558081</v>
      </c>
      <c r="U773" s="28">
        <f t="shared" si="211"/>
        <v>15.836012504856258</v>
      </c>
      <c r="V773" s="28">
        <f t="shared" si="211"/>
        <v>15.888829637337995</v>
      </c>
      <c r="W773" s="28">
        <f t="shared" si="211"/>
        <v>15.946123298566558</v>
      </c>
      <c r="X773" s="28">
        <f t="shared" si="211"/>
        <v>16.008664249775823</v>
      </c>
      <c r="Y773" s="28">
        <f t="shared" si="211"/>
        <v>16.048917749469023</v>
      </c>
      <c r="Z773" s="28">
        <f t="shared" si="211"/>
        <v>16.092845807842092</v>
      </c>
      <c r="AA773" s="28">
        <f t="shared" si="211"/>
        <v>16.139355719065712</v>
      </c>
      <c r="AB773" s="28">
        <f t="shared" si="211"/>
        <v>16.189504893539258</v>
      </c>
      <c r="AC773" s="28">
        <f t="shared" si="211"/>
        <v>16.243310237377745</v>
      </c>
      <c r="AD773" s="28">
        <f t="shared" si="211"/>
        <v>16.27872559654169</v>
      </c>
      <c r="AE773" s="28">
        <f t="shared" si="211"/>
        <v>16.316901231642056</v>
      </c>
      <c r="AF773" s="28">
        <f t="shared" si="211"/>
        <v>16.357599483637454</v>
      </c>
      <c r="AG773" s="28">
        <f t="shared" si="211"/>
        <v>16.401277791155717</v>
      </c>
      <c r="AH773" s="28">
        <f t="shared" si="211"/>
        <v>16.446379725356415</v>
      </c>
      <c r="AI773" s="28">
        <f t="shared" si="211"/>
        <v>16.474339061625695</v>
      </c>
      <c r="AJ773" s="28">
        <f t="shared" si="211"/>
        <v>16.504371743452488</v>
      </c>
      <c r="AK773" s="28">
        <f t="shared" si="211"/>
        <v>16.53600364177057</v>
      </c>
      <c r="AL773" s="28">
        <f t="shared" si="211"/>
        <v>16.569430654637483</v>
      </c>
      <c r="AM773" s="28">
        <f t="shared" si="211"/>
        <v>16.604829643343088</v>
      </c>
      <c r="AN773" s="28">
        <f t="shared" si="211"/>
        <v>16.624131223085882</v>
      </c>
      <c r="AO773" s="28">
        <f t="shared" si="211"/>
        <v>16.644604707274034</v>
      </c>
      <c r="AP773" s="28">
        <f t="shared" si="211"/>
        <v>16.66667981019215</v>
      </c>
      <c r="AQ773" s="28">
        <f t="shared" si="211"/>
        <v>16.690315463067741</v>
      </c>
      <c r="AR773" s="28">
        <f t="shared" si="211"/>
        <v>16.715812130640956</v>
      </c>
      <c r="AS773" s="28">
        <f t="shared" si="211"/>
        <v>16.724718125544612</v>
      </c>
      <c r="AT773" s="28">
        <f t="shared" si="211"/>
        <v>16.731650898864725</v>
      </c>
      <c r="AU773" s="28">
        <f t="shared" si="211"/>
        <v>16.739594865731469</v>
      </c>
      <c r="AV773" s="28">
        <f t="shared" si="211"/>
        <v>16.749180241295228</v>
      </c>
      <c r="AW773" s="28">
        <f t="shared" si="211"/>
        <v>16.759733790022693</v>
      </c>
      <c r="AY773" s="85"/>
      <c r="AZ773" s="85"/>
    </row>
    <row r="774" spans="1:52" x14ac:dyDescent="0.25">
      <c r="A774" s="102" t="str">
        <f t="shared" si="176"/>
        <v>BD Goats</v>
      </c>
      <c r="B774" s="102" t="s">
        <v>1229</v>
      </c>
      <c r="C774" s="102" t="s">
        <v>153</v>
      </c>
      <c r="D774" t="s">
        <v>15</v>
      </c>
      <c r="E774" t="s">
        <v>16</v>
      </c>
      <c r="F774" t="s">
        <v>19</v>
      </c>
      <c r="G774" t="s">
        <v>123</v>
      </c>
      <c r="H774" t="s">
        <v>1021</v>
      </c>
      <c r="I774" t="s">
        <v>121</v>
      </c>
      <c r="J774" t="s">
        <v>286</v>
      </c>
      <c r="K774" s="28">
        <f t="shared" si="210"/>
        <v>22.375967695369447</v>
      </c>
      <c r="L774" s="28">
        <f t="shared" si="211"/>
        <v>22.434126555906317</v>
      </c>
      <c r="M774" s="28">
        <f t="shared" si="211"/>
        <v>22.512554913444735</v>
      </c>
      <c r="N774" s="28">
        <f t="shared" si="211"/>
        <v>22.60807866178018</v>
      </c>
      <c r="O774" s="28">
        <f t="shared" si="211"/>
        <v>22.722493069299134</v>
      </c>
      <c r="P774" s="28">
        <f t="shared" si="211"/>
        <v>22.85775731264793</v>
      </c>
      <c r="Q774" s="28">
        <f t="shared" si="211"/>
        <v>23.001110715367403</v>
      </c>
      <c r="R774" s="28">
        <f t="shared" si="211"/>
        <v>23.150875927799948</v>
      </c>
      <c r="S774" s="28">
        <f t="shared" si="211"/>
        <v>23.296681356613096</v>
      </c>
      <c r="T774" s="28">
        <f t="shared" si="211"/>
        <v>23.363556320373338</v>
      </c>
      <c r="U774" s="28">
        <f t="shared" si="211"/>
        <v>23.435674085599938</v>
      </c>
      <c r="V774" s="28">
        <f t="shared" si="211"/>
        <v>23.513838023813449</v>
      </c>
      <c r="W774" s="28">
        <f t="shared" si="211"/>
        <v>23.598626765380281</v>
      </c>
      <c r="X774" s="28">
        <f t="shared" si="211"/>
        <v>23.691180957863665</v>
      </c>
      <c r="Y774" s="28">
        <f t="shared" si="211"/>
        <v>23.750752008298576</v>
      </c>
      <c r="Z774" s="28">
        <f t="shared" si="211"/>
        <v>23.815761028651949</v>
      </c>
      <c r="AA774" s="28">
        <f t="shared" si="211"/>
        <v>23.884590926383627</v>
      </c>
      <c r="AB774" s="28">
        <f t="shared" si="211"/>
        <v>23.958806560417987</v>
      </c>
      <c r="AC774" s="28">
        <f t="shared" si="211"/>
        <v>24.038432950071041</v>
      </c>
      <c r="AD774" s="28">
        <f t="shared" si="211"/>
        <v>24.090844048807938</v>
      </c>
      <c r="AE774" s="28">
        <f t="shared" si="211"/>
        <v>24.147340072788001</v>
      </c>
      <c r="AF774" s="28">
        <f t="shared" si="211"/>
        <v>24.207569311008498</v>
      </c>
      <c r="AG774" s="28">
        <f t="shared" si="211"/>
        <v>24.272208725715629</v>
      </c>
      <c r="AH774" s="28">
        <f t="shared" si="211"/>
        <v>24.338954961880422</v>
      </c>
      <c r="AI774" s="28">
        <f t="shared" si="211"/>
        <v>24.380331911554812</v>
      </c>
      <c r="AJ774" s="28">
        <f t="shared" si="211"/>
        <v>24.424777199975328</v>
      </c>
      <c r="AK774" s="28">
        <f t="shared" si="211"/>
        <v>24.471589164759028</v>
      </c>
      <c r="AL774" s="28">
        <f t="shared" si="211"/>
        <v>24.521057714936269</v>
      </c>
      <c r="AM774" s="28">
        <f t="shared" si="211"/>
        <v>24.573444587074068</v>
      </c>
      <c r="AN774" s="28">
        <f t="shared" si="211"/>
        <v>24.602008945181939</v>
      </c>
      <c r="AO774" s="28">
        <f t="shared" si="211"/>
        <v>24.632307601657676</v>
      </c>
      <c r="AP774" s="28">
        <f t="shared" si="211"/>
        <v>24.664976489563418</v>
      </c>
      <c r="AQ774" s="28">
        <f t="shared" si="211"/>
        <v>24.699954831328611</v>
      </c>
      <c r="AR774" s="28">
        <f t="shared" si="211"/>
        <v>24.737687283947693</v>
      </c>
      <c r="AS774" s="28">
        <f t="shared" si="211"/>
        <v>24.75086724284872</v>
      </c>
      <c r="AT774" s="28">
        <f t="shared" si="211"/>
        <v>24.76112703621461</v>
      </c>
      <c r="AU774" s="28">
        <f t="shared" si="211"/>
        <v>24.772883292303622</v>
      </c>
      <c r="AV774" s="28">
        <f t="shared" si="211"/>
        <v>24.787068664892292</v>
      </c>
      <c r="AW774" s="28">
        <f t="shared" si="211"/>
        <v>24.802686834450295</v>
      </c>
      <c r="AY774" s="85"/>
      <c r="AZ774" s="85"/>
    </row>
    <row r="775" spans="1:52" x14ac:dyDescent="0.25">
      <c r="A775" s="102" t="str">
        <f t="shared" si="176"/>
        <v>BD Horses</v>
      </c>
      <c r="B775" s="102" t="s">
        <v>1229</v>
      </c>
      <c r="C775" s="102" t="s">
        <v>3</v>
      </c>
      <c r="D775" t="s">
        <v>15</v>
      </c>
      <c r="E775" t="s">
        <v>16</v>
      </c>
      <c r="F775" t="s">
        <v>20</v>
      </c>
      <c r="G775" t="s">
        <v>3</v>
      </c>
      <c r="H775" t="s">
        <v>1021</v>
      </c>
      <c r="I775" t="s">
        <v>121</v>
      </c>
      <c r="J775" t="s">
        <v>286</v>
      </c>
      <c r="K775" s="28">
        <f t="shared" si="210"/>
        <v>5.5625078668475236</v>
      </c>
      <c r="L775" s="28">
        <f t="shared" si="211"/>
        <v>5.5999708339814545</v>
      </c>
      <c r="M775" s="28">
        <f t="shared" si="211"/>
        <v>5.6226370840776179</v>
      </c>
      <c r="N775" s="28">
        <f t="shared" si="211"/>
        <v>5.5928142970106265</v>
      </c>
      <c r="O775" s="28">
        <f t="shared" si="211"/>
        <v>5.5623376589201499</v>
      </c>
      <c r="P775" s="28">
        <f t="shared" si="211"/>
        <v>5.5812216853376206</v>
      </c>
      <c r="Q775" s="28">
        <f t="shared" si="211"/>
        <v>5.5836612172513842</v>
      </c>
      <c r="R775" s="28">
        <f t="shared" si="211"/>
        <v>5.5315877353552168</v>
      </c>
      <c r="S775" s="28">
        <f t="shared" si="211"/>
        <v>5.2455147526194601</v>
      </c>
      <c r="T775" s="28">
        <f t="shared" si="211"/>
        <v>5.332808287437901</v>
      </c>
      <c r="U775" s="28">
        <f t="shared" si="211"/>
        <v>5.3901753132609427</v>
      </c>
      <c r="V775" s="28">
        <f t="shared" si="211"/>
        <v>5.440230309739654</v>
      </c>
      <c r="W775" s="28">
        <f t="shared" si="211"/>
        <v>5.5003068027462358</v>
      </c>
      <c r="X775" s="28">
        <f t="shared" si="211"/>
        <v>5.5968430891840955</v>
      </c>
      <c r="Y775" s="28">
        <f t="shared" si="211"/>
        <v>5.7072120457799942</v>
      </c>
      <c r="Z775" s="28">
        <f t="shared" si="211"/>
        <v>5.8264820494807026</v>
      </c>
      <c r="AA775" s="28">
        <f t="shared" si="211"/>
        <v>5.9301104930204529</v>
      </c>
      <c r="AB775" s="28">
        <f t="shared" si="211"/>
        <v>6.0502396904604057</v>
      </c>
      <c r="AC775" s="28">
        <f t="shared" si="211"/>
        <v>6.1907930019013007</v>
      </c>
      <c r="AD775" s="28">
        <f t="shared" si="211"/>
        <v>6.3320471664105931</v>
      </c>
      <c r="AE775" s="28">
        <f t="shared" si="211"/>
        <v>6.4794646415598249</v>
      </c>
      <c r="AF775" s="28">
        <f t="shared" si="211"/>
        <v>6.6296689370175557</v>
      </c>
      <c r="AG775" s="28">
        <f t="shared" si="211"/>
        <v>6.7972348352901832</v>
      </c>
      <c r="AH775" s="28">
        <f t="shared" si="211"/>
        <v>6.9438088425470355</v>
      </c>
      <c r="AI775" s="28">
        <f t="shared" si="211"/>
        <v>7.1048815884414847</v>
      </c>
      <c r="AJ775" s="28">
        <f t="shared" si="211"/>
        <v>7.268627225560472</v>
      </c>
      <c r="AK775" s="28">
        <f t="shared" si="211"/>
        <v>7.42471904610154</v>
      </c>
      <c r="AL775" s="28">
        <f t="shared" si="211"/>
        <v>7.5801220888649867</v>
      </c>
      <c r="AM775" s="28">
        <f t="shared" si="211"/>
        <v>7.7411228012577773</v>
      </c>
      <c r="AN775" s="28">
        <f t="shared" si="211"/>
        <v>7.9163247577118536</v>
      </c>
      <c r="AO775" s="28">
        <f t="shared" si="211"/>
        <v>8.0810947340099517</v>
      </c>
      <c r="AP775" s="28">
        <f t="shared" si="211"/>
        <v>8.2480372843312519</v>
      </c>
      <c r="AQ775" s="28">
        <f t="shared" si="211"/>
        <v>8.4174605770969908</v>
      </c>
      <c r="AR775" s="28">
        <f t="shared" si="211"/>
        <v>8.5983802423376101</v>
      </c>
      <c r="AS775" s="28">
        <f t="shared" si="211"/>
        <v>8.7907471853609671</v>
      </c>
      <c r="AT775" s="28">
        <f t="shared" si="211"/>
        <v>8.8991507547228217</v>
      </c>
      <c r="AU775" s="28">
        <f t="shared" si="211"/>
        <v>9.0016825973480952</v>
      </c>
      <c r="AV775" s="28">
        <f t="shared" si="211"/>
        <v>9.1156705075973274</v>
      </c>
      <c r="AW775" s="28">
        <f t="shared" si="211"/>
        <v>9.2247946500114306</v>
      </c>
      <c r="AY775" s="85"/>
      <c r="AZ775" s="85"/>
    </row>
    <row r="776" spans="1:52" x14ac:dyDescent="0.25">
      <c r="A776" s="102" t="str">
        <f t="shared" si="176"/>
        <v>BD Mules&amp;Asses</v>
      </c>
      <c r="B776" s="102" t="s">
        <v>1229</v>
      </c>
      <c r="C776" s="102" t="s">
        <v>1324</v>
      </c>
      <c r="D776" t="s">
        <v>15</v>
      </c>
      <c r="E776" t="s">
        <v>16</v>
      </c>
      <c r="F776" t="s">
        <v>140</v>
      </c>
      <c r="G776" t="s">
        <v>124</v>
      </c>
      <c r="H776" t="s">
        <v>1021</v>
      </c>
      <c r="I776" t="s">
        <v>121</v>
      </c>
      <c r="J776" t="s">
        <v>286</v>
      </c>
      <c r="K776" s="28">
        <f t="shared" si="210"/>
        <v>1.67</v>
      </c>
      <c r="L776" s="28">
        <f t="shared" si="211"/>
        <v>1.67</v>
      </c>
      <c r="M776" s="28">
        <f t="shared" si="211"/>
        <v>1.67</v>
      </c>
      <c r="N776" s="28">
        <f t="shared" si="211"/>
        <v>1.67</v>
      </c>
      <c r="O776" s="28">
        <f t="shared" si="211"/>
        <v>1.67</v>
      </c>
      <c r="P776" s="28">
        <f t="shared" si="211"/>
        <v>1.67</v>
      </c>
      <c r="Q776" s="28">
        <f t="shared" si="211"/>
        <v>1.67</v>
      </c>
      <c r="R776" s="28">
        <f t="shared" si="211"/>
        <v>1.67</v>
      </c>
      <c r="S776" s="28">
        <f t="shared" si="211"/>
        <v>1.67</v>
      </c>
      <c r="T776" s="28">
        <f t="shared" si="211"/>
        <v>1.67</v>
      </c>
      <c r="U776" s="28">
        <f t="shared" si="211"/>
        <v>1.67</v>
      </c>
      <c r="V776" s="28">
        <f t="shared" si="211"/>
        <v>1.67</v>
      </c>
      <c r="W776" s="28">
        <f t="shared" si="211"/>
        <v>1.67</v>
      </c>
      <c r="X776" s="28">
        <f t="shared" si="211"/>
        <v>1.67</v>
      </c>
      <c r="Y776" s="28">
        <f t="shared" si="211"/>
        <v>1.67</v>
      </c>
      <c r="Z776" s="28">
        <f t="shared" si="211"/>
        <v>1.67</v>
      </c>
      <c r="AA776" s="28">
        <f t="shared" si="211"/>
        <v>1.67</v>
      </c>
      <c r="AB776" s="28">
        <f t="shared" si="211"/>
        <v>1.67</v>
      </c>
      <c r="AC776" s="28">
        <f t="shared" si="211"/>
        <v>1.67</v>
      </c>
      <c r="AD776" s="28">
        <f t="shared" si="211"/>
        <v>1.67</v>
      </c>
      <c r="AE776" s="28">
        <f t="shared" si="211"/>
        <v>1.67</v>
      </c>
      <c r="AF776" s="28">
        <f t="shared" si="211"/>
        <v>1.67</v>
      </c>
      <c r="AG776" s="28">
        <f t="shared" si="211"/>
        <v>1.67</v>
      </c>
      <c r="AH776" s="28">
        <f t="shared" si="211"/>
        <v>1.67</v>
      </c>
      <c r="AI776" s="28">
        <f t="shared" si="211"/>
        <v>1.67</v>
      </c>
      <c r="AJ776" s="28">
        <f t="shared" si="211"/>
        <v>1.67</v>
      </c>
      <c r="AK776" s="28">
        <f t="shared" si="211"/>
        <v>1.67</v>
      </c>
      <c r="AL776" s="28">
        <f t="shared" si="211"/>
        <v>1.67</v>
      </c>
      <c r="AM776" s="28">
        <f t="shared" si="211"/>
        <v>1.67</v>
      </c>
      <c r="AN776" s="28">
        <f t="shared" si="211"/>
        <v>1.67</v>
      </c>
      <c r="AO776" s="28">
        <f t="shared" si="211"/>
        <v>1.67</v>
      </c>
      <c r="AP776" s="28">
        <f t="shared" si="211"/>
        <v>1.67</v>
      </c>
      <c r="AQ776" s="28">
        <f t="shared" si="211"/>
        <v>1.67</v>
      </c>
      <c r="AR776" s="28">
        <f t="shared" si="211"/>
        <v>1.67</v>
      </c>
      <c r="AS776" s="28">
        <f t="shared" si="211"/>
        <v>1.67</v>
      </c>
      <c r="AT776" s="28">
        <f t="shared" si="211"/>
        <v>1.67</v>
      </c>
      <c r="AU776" s="28">
        <f t="shared" si="211"/>
        <v>1.67</v>
      </c>
      <c r="AV776" s="28">
        <f t="shared" si="211"/>
        <v>1.67</v>
      </c>
      <c r="AW776" s="28">
        <f t="shared" si="211"/>
        <v>1.67</v>
      </c>
      <c r="AY776" s="85"/>
      <c r="AZ776" s="85"/>
    </row>
    <row r="777" spans="1:52" x14ac:dyDescent="0.25">
      <c r="A777" s="102" t="str">
        <f t="shared" si="176"/>
        <v>BD Swine</v>
      </c>
      <c r="B777" s="102" t="s">
        <v>1229</v>
      </c>
      <c r="C777" s="102" t="s">
        <v>155</v>
      </c>
      <c r="D777" t="s">
        <v>15</v>
      </c>
      <c r="E777" t="s">
        <v>16</v>
      </c>
      <c r="F777" t="s">
        <v>21</v>
      </c>
      <c r="G777" t="s">
        <v>122</v>
      </c>
      <c r="H777" t="s">
        <v>1021</v>
      </c>
      <c r="I777" t="s">
        <v>121</v>
      </c>
      <c r="J777" t="s">
        <v>286</v>
      </c>
      <c r="K777" s="28">
        <f t="shared" si="210"/>
        <v>1.8474255451679995</v>
      </c>
      <c r="L777" s="28">
        <f t="shared" si="211"/>
        <v>1.8441604348292597</v>
      </c>
      <c r="M777" s="28">
        <f t="shared" si="211"/>
        <v>1.8338137298795358</v>
      </c>
      <c r="N777" s="28">
        <f t="shared" si="211"/>
        <v>1.7933482851133742</v>
      </c>
      <c r="O777" s="28">
        <f t="shared" si="211"/>
        <v>1.7550816658957487</v>
      </c>
      <c r="P777" s="28">
        <f t="shared" si="211"/>
        <v>1.7489053520701128</v>
      </c>
      <c r="Q777" s="28">
        <f t="shared" si="211"/>
        <v>1.7339122581424293</v>
      </c>
      <c r="R777" s="28">
        <f t="shared" si="211"/>
        <v>1.6877345539497199</v>
      </c>
      <c r="S777" s="28">
        <f t="shared" si="211"/>
        <v>1.5053811336602128</v>
      </c>
      <c r="T777" s="28">
        <f t="shared" si="211"/>
        <v>1.5377628037868112</v>
      </c>
      <c r="U777" s="28">
        <f t="shared" si="211"/>
        <v>1.552673977291076</v>
      </c>
      <c r="V777" s="28">
        <f t="shared" si="211"/>
        <v>1.5635339108098432</v>
      </c>
      <c r="W777" s="28">
        <f t="shared" si="211"/>
        <v>1.5802068350253002</v>
      </c>
      <c r="X777" s="28">
        <f t="shared" si="211"/>
        <v>1.6172323659778973</v>
      </c>
      <c r="Y777" s="28">
        <f t="shared" si="211"/>
        <v>1.6589025382757046</v>
      </c>
      <c r="Z777" s="28">
        <f t="shared" si="211"/>
        <v>1.7047569121988</v>
      </c>
      <c r="AA777" s="28">
        <f t="shared" si="211"/>
        <v>1.7414239138931573</v>
      </c>
      <c r="AB777" s="28">
        <f t="shared" si="211"/>
        <v>1.7863343967077348</v>
      </c>
      <c r="AC777" s="28">
        <f t="shared" si="211"/>
        <v>1.8412944995472851</v>
      </c>
      <c r="AD777" s="28">
        <f t="shared" si="211"/>
        <v>1.8933168508248233</v>
      </c>
      <c r="AE777" s="28">
        <f t="shared" si="211"/>
        <v>1.9474606383722404</v>
      </c>
      <c r="AF777" s="28">
        <f t="shared" si="211"/>
        <v>2.0019218993391705</v>
      </c>
      <c r="AG777" s="28">
        <f t="shared" si="211"/>
        <v>2.0640337310487364</v>
      </c>
      <c r="AH777" s="28">
        <f t="shared" si="211"/>
        <v>2.1143896915844675</v>
      </c>
      <c r="AI777" s="28">
        <f t="shared" si="211"/>
        <v>2.1683478050489855</v>
      </c>
      <c r="AJ777" s="28">
        <f t="shared" si="211"/>
        <v>2.2223161129731017</v>
      </c>
      <c r="AK777" s="28">
        <f t="shared" si="211"/>
        <v>2.2712974627449407</v>
      </c>
      <c r="AL777" s="28">
        <f t="shared" si="211"/>
        <v>2.3187596234531931</v>
      </c>
      <c r="AM777" s="28">
        <f t="shared" si="211"/>
        <v>2.3676923627976345</v>
      </c>
      <c r="AN777" s="28">
        <f t="shared" si="211"/>
        <v>2.4194242817017155</v>
      </c>
      <c r="AO777" s="28">
        <f t="shared" si="211"/>
        <v>2.4649069844651375</v>
      </c>
      <c r="AP777" s="28">
        <f t="shared" si="211"/>
        <v>2.5100582920146528</v>
      </c>
      <c r="AQ777" s="28">
        <f t="shared" si="211"/>
        <v>2.5549982553333939</v>
      </c>
      <c r="AR777" s="28">
        <f t="shared" si="211"/>
        <v>2.6036946475230054</v>
      </c>
      <c r="AS777" s="28">
        <f t="shared" si="211"/>
        <v>2.653097485519059</v>
      </c>
      <c r="AT777" s="28">
        <f t="shared" si="211"/>
        <v>2.6646485873532106</v>
      </c>
      <c r="AU777" s="28">
        <f t="shared" si="211"/>
        <v>2.6730218901162521</v>
      </c>
      <c r="AV777" s="28">
        <f t="shared" si="211"/>
        <v>2.6855920926795118</v>
      </c>
      <c r="AW777" s="28">
        <f t="shared" si="211"/>
        <v>2.6954069255347832</v>
      </c>
      <c r="AY777" s="85"/>
      <c r="AZ777" s="85"/>
    </row>
    <row r="778" spans="1:52" x14ac:dyDescent="0.25">
      <c r="A778" s="102" t="str">
        <f t="shared" si="176"/>
        <v>BD Swine</v>
      </c>
      <c r="B778" s="102" t="s">
        <v>1229</v>
      </c>
      <c r="C778" s="102" t="s">
        <v>155</v>
      </c>
      <c r="D778" t="s">
        <v>15</v>
      </c>
      <c r="E778" t="s">
        <v>16</v>
      </c>
      <c r="F778" t="s">
        <v>21</v>
      </c>
      <c r="G778" t="s">
        <v>123</v>
      </c>
      <c r="H778" t="s">
        <v>1021</v>
      </c>
      <c r="I778" t="s">
        <v>121</v>
      </c>
      <c r="J778" t="s">
        <v>286</v>
      </c>
      <c r="K778" s="28">
        <f t="shared" si="210"/>
        <v>0.25598228499623599</v>
      </c>
      <c r="L778" s="28">
        <f t="shared" si="211"/>
        <v>0.25552986600297178</v>
      </c>
      <c r="M778" s="28">
        <f t="shared" si="211"/>
        <v>0.2540962097551519</v>
      </c>
      <c r="N778" s="28">
        <f t="shared" si="211"/>
        <v>0.24848925198533875</v>
      </c>
      <c r="O778" s="28">
        <f t="shared" si="211"/>
        <v>0.24318696705589768</v>
      </c>
      <c r="P778" s="28">
        <f t="shared" si="211"/>
        <v>0.24233116697774282</v>
      </c>
      <c r="Q778" s="28">
        <f t="shared" si="211"/>
        <v>0.24025369952428582</v>
      </c>
      <c r="R778" s="28">
        <f t="shared" si="211"/>
        <v>0.23385524180779091</v>
      </c>
      <c r="S778" s="28">
        <f t="shared" si="211"/>
        <v>0.20858805562825686</v>
      </c>
      <c r="T778" s="28">
        <f t="shared" si="211"/>
        <v>0.21307491245054205</v>
      </c>
      <c r="U778" s="28">
        <f t="shared" si="211"/>
        <v>0.21514102887703648</v>
      </c>
      <c r="V778" s="28">
        <f t="shared" si="211"/>
        <v>0.21664579890921035</v>
      </c>
      <c r="W778" s="28">
        <f t="shared" si="211"/>
        <v>0.21895602637651193</v>
      </c>
      <c r="X778" s="28">
        <f t="shared" si="211"/>
        <v>0.22408634409959116</v>
      </c>
      <c r="Y778" s="28">
        <f t="shared" si="211"/>
        <v>0.22986023087347443</v>
      </c>
      <c r="Z778" s="28">
        <f t="shared" si="211"/>
        <v>0.23621388742250649</v>
      </c>
      <c r="AA778" s="28">
        <f t="shared" si="211"/>
        <v>0.24129452674907209</v>
      </c>
      <c r="AB778" s="28">
        <f t="shared" si="211"/>
        <v>0.24751739621259586</v>
      </c>
      <c r="AC778" s="28">
        <f t="shared" si="211"/>
        <v>0.25513275735410096</v>
      </c>
      <c r="AD778" s="28">
        <f t="shared" si="211"/>
        <v>0.26234105886629538</v>
      </c>
      <c r="AE778" s="28">
        <f t="shared" si="211"/>
        <v>0.26984331003467904</v>
      </c>
      <c r="AF778" s="28">
        <f t="shared" si="211"/>
        <v>0.27738955083586025</v>
      </c>
      <c r="AG778" s="28">
        <f t="shared" si="211"/>
        <v>0.28599586714879749</v>
      </c>
      <c r="AH778" s="28">
        <f t="shared" si="211"/>
        <v>0.29297327085247121</v>
      </c>
      <c r="AI778" s="28">
        <f t="shared" si="211"/>
        <v>0.30044979471826921</v>
      </c>
      <c r="AJ778" s="28">
        <f t="shared" si="211"/>
        <v>0.30792773114495187</v>
      </c>
      <c r="AK778" s="28">
        <f t="shared" si="211"/>
        <v>0.31471466654789126</v>
      </c>
      <c r="AL778" s="28">
        <f t="shared" si="211"/>
        <v>0.32129110064599836</v>
      </c>
      <c r="AM778" s="28">
        <f t="shared" si="211"/>
        <v>0.32807130050914157</v>
      </c>
      <c r="AN778" s="28">
        <f t="shared" si="211"/>
        <v>0.33523935923981285</v>
      </c>
      <c r="AO778" s="28">
        <f t="shared" si="211"/>
        <v>0.3415415164291174</v>
      </c>
      <c r="AP778" s="28">
        <f t="shared" si="211"/>
        <v>0.34779775495917498</v>
      </c>
      <c r="AQ778" s="28">
        <f t="shared" ref="AQ778:AW778" si="212">AQ1392</f>
        <v>0.35402470928925173</v>
      </c>
      <c r="AR778" s="28">
        <f t="shared" si="212"/>
        <v>0.36077216050663552</v>
      </c>
      <c r="AS778" s="28">
        <f t="shared" si="212"/>
        <v>0.36761749800270155</v>
      </c>
      <c r="AT778" s="28">
        <f t="shared" si="212"/>
        <v>0.36921803743957582</v>
      </c>
      <c r="AU778" s="28">
        <f t="shared" si="212"/>
        <v>0.37037825587428075</v>
      </c>
      <c r="AV778" s="28">
        <f t="shared" si="212"/>
        <v>0.37212000356388308</v>
      </c>
      <c r="AW778" s="28">
        <f t="shared" si="212"/>
        <v>0.37347996275017875</v>
      </c>
      <c r="AY778" s="85"/>
      <c r="AZ778" s="85"/>
    </row>
    <row r="779" spans="1:52" x14ac:dyDescent="0.25">
      <c r="A779" s="102" t="str">
        <f t="shared" si="176"/>
        <v>BD Cattle MMCH4</v>
      </c>
      <c r="B779" s="102" t="s">
        <v>1229</v>
      </c>
      <c r="C779" s="102" t="s">
        <v>1230</v>
      </c>
      <c r="D779" t="s">
        <v>15</v>
      </c>
      <c r="E779" t="s">
        <v>22</v>
      </c>
      <c r="F779" t="s">
        <v>6</v>
      </c>
      <c r="G779" t="s">
        <v>136</v>
      </c>
      <c r="H779" t="s">
        <v>1228</v>
      </c>
      <c r="I779" t="s">
        <v>121</v>
      </c>
      <c r="J779" t="s">
        <v>286</v>
      </c>
      <c r="K779" s="100">
        <f>IF('Net zero activities &amp; levers'!$C$10="Off",'Activity data'!AD5*EF!$H18*kgtoGg,IF('Net zero activities &amp; levers'!$C$10="On",'Net zero Activity data'!AD5*'Net zero supporting data'!B190*kgtoGg,"ERROR"))</f>
        <v>7.35903078860939</v>
      </c>
      <c r="L779" s="100">
        <f>IF('Net zero activities &amp; levers'!$C$10="Off",'Activity data'!AE5*EF!$H18*kgtoGg,IF('Net zero activities &amp; levers'!$C$10="On",'Net zero Activity data'!AE5*'Net zero supporting data'!C190*kgtoGg,"ERROR"))</f>
        <v>7.4087193776667419</v>
      </c>
      <c r="M779" s="100">
        <f>IF('Net zero activities &amp; levers'!$C$10="Off",'Activity data'!AF5*EF!$H18*kgtoGg,IF('Net zero activities &amp; levers'!$C$10="On",'Net zero Activity data'!AF5*'Net zero supporting data'!D190*kgtoGg,"ERROR"))</f>
        <v>7.4521843066409605</v>
      </c>
      <c r="N779" s="100">
        <f>IF('Net zero activities &amp; levers'!$C$10="Off",'Activity data'!AG5*EF!$H18*kgtoGg,IF('Net zero activities &amp; levers'!$C$10="On",'Net zero Activity data'!AG5*'Net zero supporting data'!E190*kgtoGg,"ERROR"))</f>
        <v>7.457806586311766</v>
      </c>
      <c r="O779" s="100">
        <f>IF('Net zero activities &amp; levers'!$C$10="Off",'Activity data'!AH5*EF!$H18*kgtoGg,IF('Net zero activities &amp; levers'!$C$10="On",'Net zero Activity data'!AH5*'Net zero supporting data'!F190*kgtoGg,"ERROR"))</f>
        <v>7.467490411792209</v>
      </c>
      <c r="P779" s="100">
        <f>IF('Net zero activities &amp; levers'!$C$10="Off",'Activity data'!AI5*EF!$H18*kgtoGg,IF('Net zero activities &amp; levers'!$C$10="On",'Net zero Activity data'!AI5*'Net zero supporting data'!G190*kgtoGg,"ERROR"))</f>
        <v>7.5230544161932738</v>
      </c>
      <c r="Q779" s="100">
        <f>IF('Net zero activities &amp; levers'!$C$10="Off",'Activity data'!AJ5*EF!$H18*kgtoGg,IF('Net zero activities &amp; levers'!$C$10="On",'Net zero Activity data'!AJ5*'Net zero supporting data'!H190*kgtoGg,"ERROR"))</f>
        <v>7.5674852741392948</v>
      </c>
      <c r="R779" s="100">
        <f>IF('Net zero activities &amp; levers'!$C$10="Off",'Activity data'!AK5*EF!$H18*kgtoGg,IF('Net zero activities &amp; levers'!$C$10="On",'Net zero Activity data'!AK5*'Net zero supporting data'!I190*kgtoGg,"ERROR"))</f>
        <v>7.5678748465734289</v>
      </c>
      <c r="S779" s="100">
        <f>IF('Net zero activities &amp; levers'!$C$10="Off",'Activity data'!AL5*EF!$H18*kgtoGg,IF('Net zero activities &amp; levers'!$C$10="On",'Net zero Activity data'!AL5*'Net zero supporting data'!J190*kgtoGg,"ERROR"))</f>
        <v>7.3673734432309503</v>
      </c>
      <c r="T779" s="100">
        <f>IF('Net zero activities &amp; levers'!$C$10="Off",'Activity data'!AM5*EF!$H18*kgtoGg,IF('Net zero activities &amp; levers'!$C$10="On",'Net zero Activity data'!AM5*'Net zero supporting data'!K190*kgtoGg,"ERROR"))</f>
        <v>6.878674316436677</v>
      </c>
      <c r="U779" s="100">
        <f>IF('Net zero activities &amp; levers'!$C$10="Off",'Activity data'!AN5*EF!$H18*kgtoGg,IF('Net zero activities &amp; levers'!$C$10="On",'Net zero Activity data'!AN5*'Net zero supporting data'!L190*kgtoGg,"ERROR"))</f>
        <v>6.3634969031612307</v>
      </c>
      <c r="V779" s="100">
        <f>IF('Net zero activities &amp; levers'!$C$10="Off",'Activity data'!AO5*EF!$H18*kgtoGg,IF('Net zero activities &amp; levers'!$C$10="On",'Net zero Activity data'!AO5*'Net zero supporting data'!M190*kgtoGg,"ERROR"))</f>
        <v>5.842446872730191</v>
      </c>
      <c r="W779" s="100">
        <f>IF('Net zero activities &amp; levers'!$C$10="Off",'Activity data'!AP5*EF!$H18*kgtoGg,IF('Net zero activities &amp; levers'!$C$10="On",'Net zero Activity data'!AP5*'Net zero supporting data'!N190*kgtoGg,"ERROR"))</f>
        <v>5.3272274732310319</v>
      </c>
      <c r="X779" s="100">
        <f>IF('Net zero activities &amp; levers'!$C$10="Off",'Activity data'!AQ5*EF!$H18*kgtoGg,IF('Net zero activities &amp; levers'!$C$10="On",'Net zero Activity data'!AQ5*'Net zero supporting data'!O190*kgtoGg,"ERROR"))</f>
        <v>4.8302912390027526</v>
      </c>
      <c r="Y779" s="100">
        <f>IF('Net zero activities &amp; levers'!$C$10="Off",'Activity data'!AR5*EF!$H18*kgtoGg,IF('Net zero activities &amp; levers'!$C$10="On",'Net zero Activity data'!AR5*'Net zero supporting data'!P190*kgtoGg,"ERROR"))</f>
        <v>4.3279444255669528</v>
      </c>
      <c r="Z779" s="100">
        <f>IF('Net zero activities &amp; levers'!$C$10="Off",'Activity data'!AS5*EF!$H18*kgtoGg,IF('Net zero activities &amp; levers'!$C$10="On",'Net zero Activity data'!AS5*'Net zero supporting data'!Q190*kgtoGg,"ERROR"))</f>
        <v>3.822217976961082</v>
      </c>
      <c r="AA779" s="100">
        <f>IF('Net zero activities &amp; levers'!$C$10="Off",'Activity data'!AT5*EF!$H18*kgtoGg,IF('Net zero activities &amp; levers'!$C$10="On",'Net zero Activity data'!AT5*'Net zero supporting data'!R190*kgtoGg,"ERROR"))</f>
        <v>3.3024067997756252</v>
      </c>
      <c r="AB779" s="100">
        <f>IF('Net zero activities &amp; levers'!$C$10="Off",'Activity data'!AU5*EF!$H18*kgtoGg,IF('Net zero activities &amp; levers'!$C$10="On",'Net zero Activity data'!AU5*'Net zero supporting data'!S190*kgtoGg,"ERROR"))</f>
        <v>2.781117044538902</v>
      </c>
      <c r="AC779" s="100">
        <f>IF('Net zero activities &amp; levers'!$C$10="Off",'Activity data'!AV5*EF!$H18*kgtoGg,IF('Net zero activities &amp; levers'!$C$10="On",'Net zero Activity data'!AV5*'Net zero supporting data'!T190*kgtoGg,"ERROR"))</f>
        <v>2.2562439704481991</v>
      </c>
      <c r="AD779" s="100">
        <f>IF('Net zero activities &amp; levers'!$C$10="Off",'Activity data'!AW5*EF!$H18*kgtoGg,IF('Net zero activities &amp; levers'!$C$10="On",'Net zero Activity data'!AW5*'Net zero supporting data'!U190*kgtoGg,"ERROR"))</f>
        <v>2.1522269198702979</v>
      </c>
      <c r="AE779" s="100">
        <f>IF('Net zero activities &amp; levers'!$C$10="Off",'Activity data'!AX5*EF!$H18*kgtoGg,IF('Net zero activities &amp; levers'!$C$10="On",'Net zero Activity data'!AX5*'Net zero supporting data'!V190*kgtoGg,"ERROR"))</f>
        <v>2.0454639063805415</v>
      </c>
      <c r="AF779" s="100">
        <f>IF('Net zero activities &amp; levers'!$C$10="Off",'Activity data'!AY5*EF!$H18*kgtoGg,IF('Net zero activities &amp; levers'!$C$10="On",'Net zero Activity data'!AY5*'Net zero supporting data'!W190*kgtoGg,"ERROR"))</f>
        <v>1.9349272475422399</v>
      </c>
      <c r="AG779" s="100">
        <f>IF('Net zero activities &amp; levers'!$C$10="Off",'Activity data'!AZ5*EF!$H18*kgtoGg,IF('Net zero activities &amp; levers'!$C$10="On",'Net zero Activity data'!AZ5*'Net zero supporting data'!X190*kgtoGg,"ERROR"))</f>
        <v>1.8231231270200805</v>
      </c>
      <c r="AH779" s="100">
        <f>IF('Net zero activities &amp; levers'!$C$10="Off",'Activity data'!BA5*EF!$H18*kgtoGg,IF('Net zero activities &amp; levers'!$C$10="On",'Net zero Activity data'!BA5*'Net zero supporting data'!Y190*kgtoGg,"ERROR"))</f>
        <v>1.7026328160719277</v>
      </c>
      <c r="AI779" s="100">
        <f>IF('Net zero activities &amp; levers'!$C$10="Off",'Activity data'!BB5*EF!$H18*kgtoGg,IF('Net zero activities &amp; levers'!$C$10="On",'Net zero Activity data'!BB5*'Net zero supporting data'!Z190*kgtoGg,"ERROR"))</f>
        <v>1.5782813048977262</v>
      </c>
      <c r="AJ779" s="100">
        <f>IF('Net zero activities &amp; levers'!$C$10="Off",'Activity data'!BC5*EF!$H18*kgtoGg,IF('Net zero activities &amp; levers'!$C$10="On",'Net zero Activity data'!BC5*'Net zero supporting data'!AA190*kgtoGg,"ERROR"))</f>
        <v>1.4494818168673336</v>
      </c>
      <c r="AK779" s="100">
        <f>IF('Net zero activities &amp; levers'!$C$10="Off",'Activity data'!BD5*EF!$H18*kgtoGg,IF('Net zero activities &amp; levers'!$C$10="On",'Net zero Activity data'!BD5*'Net zero supporting data'!AB190*kgtoGg,"ERROR"))</f>
        <v>1.3147388239769</v>
      </c>
      <c r="AL779" s="100">
        <f>IF('Net zero activities &amp; levers'!$C$10="Off",'Activity data'!BE5*EF!$H18*kgtoGg,IF('Net zero activities &amp; levers'!$C$10="On",'Net zero Activity data'!BE5*'Net zero supporting data'!AC190*kgtoGg,"ERROR"))</f>
        <v>1.1751072631251342</v>
      </c>
      <c r="AM779" s="100">
        <f>IF('Net zero activities &amp; levers'!$C$10="Off",'Activity data'!BF5*EF!$H18*kgtoGg,IF('Net zero activities &amp; levers'!$C$10="On",'Net zero Activity data'!BF5*'Net zero supporting data'!AD190*kgtoGg,"ERROR"))</f>
        <v>1.0311594979529477</v>
      </c>
      <c r="AN779" s="100">
        <f>IF('Net zero activities &amp; levers'!$C$10="Off",'Activity data'!BG5*EF!$H18*kgtoGg,IF('Net zero activities &amp; levers'!$C$10="On",'Net zero Activity data'!BG5*'Net zero supporting data'!AE190*kgtoGg,"ERROR"))</f>
        <v>1.0481850755802307</v>
      </c>
      <c r="AO779" s="100">
        <f>IF('Net zero activities &amp; levers'!$C$10="Off",'Activity data'!BH5*EF!$H18*kgtoGg,IF('Net zero activities &amp; levers'!$C$10="On",'Net zero Activity data'!BH5*'Net zero supporting data'!AF190*kgtoGg,"ERROR"))</f>
        <v>1.064308700744782</v>
      </c>
      <c r="AP779" s="100">
        <f>IF('Net zero activities &amp; levers'!$C$10="Off",'Activity data'!BI5*EF!$H18*kgtoGg,IF('Net zero activities &amp; levers'!$C$10="On",'Net zero Activity data'!BI5*'Net zero supporting data'!AG190*kgtoGg,"ERROR"))</f>
        <v>1.0807496399678884</v>
      </c>
      <c r="AQ779" s="100">
        <f>IF('Net zero activities &amp; levers'!$C$10="Off",'Activity data'!BJ5*EF!$H18*kgtoGg,IF('Net zero activities &amp; levers'!$C$10="On",'Net zero Activity data'!BJ5*'Net zero supporting data'!AH190*kgtoGg,"ERROR"))</f>
        <v>1.0975387761657669</v>
      </c>
      <c r="AR779" s="100">
        <f>IF('Net zero activities &amp; levers'!$C$10="Off",'Activity data'!BK5*EF!$H18*kgtoGg,IF('Net zero activities &amp; levers'!$C$10="On",'Net zero Activity data'!BK5*'Net zero supporting data'!AI190*kgtoGg,"ERROR"))</f>
        <v>1.1155538748522744</v>
      </c>
      <c r="AS779" s="100">
        <f>IF('Net zero activities &amp; levers'!$C$10="Off",'Activity data'!BL5*EF!$H18*kgtoGg,IF('Net zero activities &amp; levers'!$C$10="On",'Net zero Activity data'!BL5*'Net zero supporting data'!AJ190*kgtoGg,"ERROR"))</f>
        <v>1.1337206948911764</v>
      </c>
      <c r="AT779" s="100">
        <f>IF('Net zero activities &amp; levers'!$C$10="Off",'Activity data'!BM5*EF!$H18*kgtoGg,IF('Net zero activities &amp; levers'!$C$10="On",'Net zero Activity data'!BM5*'Net zero supporting data'!AK190*kgtoGg,"ERROR"))</f>
        <v>1.1437916014728937</v>
      </c>
      <c r="AU779" s="100">
        <f>IF('Net zero activities &amp; levers'!$C$10="Off",'Activity data'!BN5*EF!$H18*kgtoGg,IF('Net zero activities &amp; levers'!$C$10="On",'Net zero Activity data'!BN5*'Net zero supporting data'!AL190*kgtoGg,"ERROR"))</f>
        <v>1.1533581295191997</v>
      </c>
      <c r="AV779" s="100">
        <f>IF('Net zero activities &amp; levers'!$C$10="Off",'Activity data'!BO5*EF!$H18*kgtoGg,IF('Net zero activities &amp; levers'!$C$10="On",'Net zero Activity data'!BO5*'Net zero supporting data'!AM190*kgtoGg,"ERROR"))</f>
        <v>1.1641057549280331</v>
      </c>
      <c r="AW779" s="100">
        <f>IF('Net zero activities &amp; levers'!$C$10="Off",'Activity data'!BP5*EF!$H18*kgtoGg,IF('Net zero activities &amp; levers'!$C$10="On",'Net zero Activity data'!BP5*'Net zero supporting data'!AN190*kgtoGg,"ERROR"))</f>
        <v>1.1744457254204785</v>
      </c>
      <c r="AY779" s="85"/>
      <c r="AZ779" s="85"/>
    </row>
    <row r="780" spans="1:52" x14ac:dyDescent="0.25">
      <c r="A780" s="102" t="str">
        <f t="shared" si="176"/>
        <v>BD Cattle MMCH4</v>
      </c>
      <c r="B780" s="102" t="s">
        <v>1229</v>
      </c>
      <c r="C780" s="102" t="s">
        <v>1230</v>
      </c>
      <c r="D780" t="s">
        <v>15</v>
      </c>
      <c r="E780" t="s">
        <v>22</v>
      </c>
      <c r="F780" t="s">
        <v>6</v>
      </c>
      <c r="G780" t="s">
        <v>137</v>
      </c>
      <c r="H780" t="s">
        <v>1228</v>
      </c>
      <c r="I780" t="s">
        <v>121</v>
      </c>
      <c r="J780" t="s">
        <v>286</v>
      </c>
      <c r="K780" s="100">
        <f>IF('Net zero activities &amp; levers'!$C$10="Off",'Activity data'!AD6*EF!$H19*kgtoGg,IF('Net zero activities &amp; levers'!$C$10="On",'Net zero Activity data'!AD6*'Net zero supporting data'!B191*kgtoGg,"ERROR"))</f>
        <v>2.0965571826777873</v>
      </c>
      <c r="L780" s="100">
        <f>IF('Net zero activities &amp; levers'!$C$10="Off",'Activity data'!AE6*EF!$H19*kgtoGg,IF('Net zero activities &amp; levers'!$C$10="On",'Net zero Activity data'!AE6*'Net zero supporting data'!C191*kgtoGg,"ERROR"))</f>
        <v>2.110713254486396</v>
      </c>
      <c r="M780" s="100">
        <f>IF('Net zero activities &amp; levers'!$C$10="Off",'Activity data'!AF6*EF!$H19*kgtoGg,IF('Net zero activities &amp; levers'!$C$10="On",'Net zero Activity data'!AF6*'Net zero supporting data'!D191*kgtoGg,"ERROR"))</f>
        <v>2.1230962314915374</v>
      </c>
      <c r="N780" s="100">
        <f>IF('Net zero activities &amp; levers'!$C$10="Off",'Activity data'!AG6*EF!$H19*kgtoGg,IF('Net zero activities &amp; levers'!$C$10="On",'Net zero Activity data'!AG6*'Net zero supporting data'!E191*kgtoGg,"ERROR"))</f>
        <v>2.1246979955234386</v>
      </c>
      <c r="O780" s="100">
        <f>IF('Net zero activities &amp; levers'!$C$10="Off",'Activity data'!AH6*EF!$H19*kgtoGg,IF('Net zero activities &amp; levers'!$C$10="On",'Net zero Activity data'!AH6*'Net zero supporting data'!F191*kgtoGg,"ERROR"))</f>
        <v>2.1274568770188451</v>
      </c>
      <c r="P780" s="100">
        <f>IF('Net zero activities &amp; levers'!$C$10="Off",'Activity data'!AI6*EF!$H19*kgtoGg,IF('Net zero activities &amp; levers'!$C$10="On",'Net zero Activity data'!AI6*'Net zero supporting data'!G191*kgtoGg,"ERROR"))</f>
        <v>2.1432868301569279</v>
      </c>
      <c r="Q780" s="100">
        <f>IF('Net zero activities &amp; levers'!$C$10="Off",'Activity data'!AJ6*EF!$H19*kgtoGg,IF('Net zero activities &amp; levers'!$C$10="On",'Net zero Activity data'!AJ6*'Net zero supporting data'!H191*kgtoGg,"ERROR"))</f>
        <v>2.1559449962979707</v>
      </c>
      <c r="R780" s="100">
        <f>IF('Net zero activities &amp; levers'!$C$10="Off",'Activity data'!AK6*EF!$H19*kgtoGg,IF('Net zero activities &amp; levers'!$C$10="On",'Net zero Activity data'!AK6*'Net zero supporting data'!I191*kgtoGg,"ERROR"))</f>
        <v>2.1560559838598405</v>
      </c>
      <c r="S780" s="100">
        <f>IF('Net zero activities &amp; levers'!$C$10="Off",'Activity data'!AL6*EF!$H19*kgtoGg,IF('Net zero activities &amp; levers'!$C$10="On",'Net zero Activity data'!AL6*'Net zero supporting data'!J191*kgtoGg,"ERROR"))</f>
        <v>2.0989339701885155</v>
      </c>
      <c r="T780" s="100">
        <f>IF('Net zero activities &amp; levers'!$C$10="Off",'Activity data'!AM6*EF!$H19*kgtoGg,IF('Net zero activities &amp; levers'!$C$10="On",'Net zero Activity data'!AM6*'Net zero supporting data'!K191*kgtoGg,"ERROR"))</f>
        <v>1.9411023693052507</v>
      </c>
      <c r="U780" s="100">
        <f>IF('Net zero activities &amp; levers'!$C$10="Off",'Activity data'!AN6*EF!$H19*kgtoGg,IF('Net zero activities &amp; levers'!$C$10="On",'Net zero Activity data'!AN6*'Net zero supporting data'!L191*kgtoGg,"ERROR"))</f>
        <v>1.7756647303108031</v>
      </c>
      <c r="V780" s="100">
        <f>IF('Net zero activities &amp; levers'!$C$10="Off",'Activity data'!AO6*EF!$H19*kgtoGg,IF('Net zero activities &amp; levers'!$C$10="On",'Net zero Activity data'!AO6*'Net zero supporting data'!M191*kgtoGg,"ERROR"))</f>
        <v>1.6085308528368303</v>
      </c>
      <c r="W780" s="100">
        <f>IF('Net zero activities &amp; levers'!$C$10="Off",'Activity data'!AP6*EF!$H19*kgtoGg,IF('Net zero activities &amp; levers'!$C$10="On",'Net zero Activity data'!AP6*'Net zero supporting data'!N191*kgtoGg,"ERROR"))</f>
        <v>1.4429255986506471</v>
      </c>
      <c r="X780" s="100">
        <f>IF('Net zero activities &amp; levers'!$C$10="Off",'Activity data'!AQ6*EF!$H19*kgtoGg,IF('Net zero activities &amp; levers'!$C$10="On",'Net zero Activity data'!AQ6*'Net zero supporting data'!O191*kgtoGg,"ERROR"))</f>
        <v>1.2820421685275816</v>
      </c>
      <c r="Y780" s="100">
        <f>IF('Net zero activities &amp; levers'!$C$10="Off",'Activity data'!AR6*EF!$H19*kgtoGg,IF('Net zero activities &amp; levers'!$C$10="On",'Net zero Activity data'!AR6*'Net zero supporting data'!P191*kgtoGg,"ERROR"))</f>
        <v>1.1193317719009785</v>
      </c>
      <c r="Z780" s="100">
        <f>IF('Net zero activities &amp; levers'!$C$10="Off",'Activity data'!AS6*EF!$H19*kgtoGg,IF('Net zero activities &amp; levers'!$C$10="On",'Net zero Activity data'!AS6*'Net zero supporting data'!Q191*kgtoGg,"ERROR"))</f>
        <v>0.95526212260126653</v>
      </c>
      <c r="AA780" s="100">
        <f>IF('Net zero activities &amp; levers'!$C$10="Off",'Activity data'!AT6*EF!$H19*kgtoGg,IF('Net zero activities &amp; levers'!$C$10="On",'Net zero Activity data'!AT6*'Net zero supporting data'!R191*kgtoGg,"ERROR"))</f>
        <v>0.78714503326122764</v>
      </c>
      <c r="AB780" s="100">
        <f>IF('Net zero activities &amp; levers'!$C$10="Off",'Activity data'!AU6*EF!$H19*kgtoGg,IF('Net zero activities &amp; levers'!$C$10="On",'Net zero Activity data'!AU6*'Net zero supporting data'!S191*kgtoGg,"ERROR"))</f>
        <v>0.61805567929359728</v>
      </c>
      <c r="AC780" s="100">
        <f>IF('Net zero activities &amp; levers'!$C$10="Off",'Activity data'!AV6*EF!$H19*kgtoGg,IF('Net zero activities &amp; levers'!$C$10="On",'Net zero Activity data'!AV6*'Net zero supporting data'!T191*kgtoGg,"ERROR"))</f>
        <v>0.44721028072970948</v>
      </c>
      <c r="AD780" s="100">
        <f>IF('Net zero activities &amp; levers'!$C$10="Off",'Activity data'!AW6*EF!$H19*kgtoGg,IF('Net zero activities &amp; levers'!$C$10="On",'Net zero Activity data'!AW6*'Net zero supporting data'!U191*kgtoGg,"ERROR"))</f>
        <v>0.40945012856020735</v>
      </c>
      <c r="AE780" s="100">
        <f>IF('Net zero activities &amp; levers'!$C$10="Off",'Activity data'!AX6*EF!$H19*kgtoGg,IF('Net zero activities &amp; levers'!$C$10="On",'Net zero Activity data'!AX6*'Net zero supporting data'!V191*kgtoGg,"ERROR"))</f>
        <v>0.37057171288920127</v>
      </c>
      <c r="AF780" s="100">
        <f>IF('Net zero activities &amp; levers'!$C$10="Off",'Activity data'!AY6*EF!$H19*kgtoGg,IF('Net zero activities &amp; levers'!$C$10="On",'Net zero Activity data'!AY6*'Net zero supporting data'!W191*kgtoGg,"ERROR"))</f>
        <v>0.33034581360814064</v>
      </c>
      <c r="AG780" s="100">
        <f>IF('Net zero activities &amp; levers'!$C$10="Off",'Activity data'!AZ6*EF!$H19*kgtoGg,IF('Net zero activities &amp; levers'!$C$10="On",'Net zero Activity data'!AZ6*'Net zero supporting data'!X191*kgtoGg,"ERROR"))</f>
        <v>0.28913608926649798</v>
      </c>
      <c r="AH780" s="100">
        <f>IF('Net zero activities &amp; levers'!$C$10="Off",'Activity data'!BA6*EF!$H19*kgtoGg,IF('Net zero activities &amp; levers'!$C$10="On",'Net zero Activity data'!BA6*'Net zero supporting data'!Y191*kgtoGg,"ERROR"))</f>
        <v>0.24571880234308446</v>
      </c>
      <c r="AI780" s="100">
        <f>IF('Net zero activities &amp; levers'!$C$10="Off",'Activity data'!BB6*EF!$H19*kgtoGg,IF('Net zero activities &amp; levers'!$C$10="On",'Net zero Activity data'!BB6*'Net zero supporting data'!Z191*kgtoGg,"ERROR"))</f>
        <v>0.20087495192534083</v>
      </c>
      <c r="AJ780" s="100">
        <f>IF('Net zero activities &amp; levers'!$C$10="Off",'Activity data'!BC6*EF!$H19*kgtoGg,IF('Net zero activities &amp; levers'!$C$10="On",'Net zero Activity data'!BC6*'Net zero supporting data'!AA191*kgtoGg,"ERROR"))</f>
        <v>0.15448089740089904</v>
      </c>
      <c r="AK780" s="100">
        <f>IF('Net zero activities &amp; levers'!$C$10="Off",'Activity data'!BD6*EF!$H19*kgtoGg,IF('Net zero activities &amp; levers'!$C$10="On",'Net zero Activity data'!BD6*'Net zero supporting data'!AB191*kgtoGg,"ERROR"))</f>
        <v>0.10637036549339643</v>
      </c>
      <c r="AL780" s="100">
        <f>IF('Net zero activities &amp; levers'!$C$10="Off",'Activity data'!BE6*EF!$H19*kgtoGg,IF('Net zero activities &amp; levers'!$C$10="On",'Net zero Activity data'!BE6*'Net zero supporting data'!AC191*kgtoGg,"ERROR"))</f>
        <v>5.6670851723588593E-2</v>
      </c>
      <c r="AM780" s="100">
        <f>IF('Net zero activities &amp; levers'!$C$10="Off",'Activity data'!BF6*EF!$H19*kgtoGg,IF('Net zero activities &amp; levers'!$C$10="On",'Net zero Activity data'!BF6*'Net zero supporting data'!AD191*kgtoGg,"ERROR"))</f>
        <v>5.374285793476769E-3</v>
      </c>
      <c r="AN780" s="100">
        <f>IF('Net zero activities &amp; levers'!$C$10="Off",'Activity data'!BG6*EF!$H19*kgtoGg,IF('Net zero activities &amp; levers'!$C$10="On",'Net zero Activity data'!BG6*'Net zero supporting data'!AE191*kgtoGg,"ERROR"))</f>
        <v>5.4630211638532124E-3</v>
      </c>
      <c r="AO780" s="100">
        <f>IF('Net zero activities &amp; levers'!$C$10="Off",'Activity data'!BH6*EF!$H19*kgtoGg,IF('Net zero activities &amp; levers'!$C$10="On",'Net zero Activity data'!BH6*'Net zero supporting data'!AF191*kgtoGg,"ERROR"))</f>
        <v>5.547055660779455E-3</v>
      </c>
      <c r="AP780" s="100">
        <f>IF('Net zero activities &amp; levers'!$C$10="Off",'Activity data'!BI6*EF!$H19*kgtoGg,IF('Net zero activities &amp; levers'!$C$10="On",'Net zero Activity data'!BI6*'Net zero supporting data'!AG191*kgtoGg,"ERROR"))</f>
        <v>5.6327439624181096E-3</v>
      </c>
      <c r="AQ780" s="100">
        <f>IF('Net zero activities &amp; levers'!$C$10="Off",'Activity data'!BJ6*EF!$H19*kgtoGg,IF('Net zero activities &amp; levers'!$C$10="On",'Net zero Activity data'!BJ6*'Net zero supporting data'!AH191*kgtoGg,"ERROR"))</f>
        <v>5.720247027009114E-3</v>
      </c>
      <c r="AR780" s="100">
        <f>IF('Net zero activities &amp; levers'!$C$10="Off",'Activity data'!BK6*EF!$H19*kgtoGg,IF('Net zero activities &amp; levers'!$C$10="On",'Net zero Activity data'!BK6*'Net zero supporting data'!AI191*kgtoGg,"ERROR"))</f>
        <v>5.8141396683814564E-3</v>
      </c>
      <c r="AS780" s="100">
        <f>IF('Net zero activities &amp; levers'!$C$10="Off",'Activity data'!BL6*EF!$H19*kgtoGg,IF('Net zero activities &amp; levers'!$C$10="On",'Net zero Activity data'!BL6*'Net zero supporting data'!AJ191*kgtoGg,"ERROR"))</f>
        <v>5.9088230641524695E-3</v>
      </c>
      <c r="AT780" s="100">
        <f>IF('Net zero activities &amp; levers'!$C$10="Off",'Activity data'!BM6*EF!$H19*kgtoGg,IF('Net zero activities &amp; levers'!$C$10="On",'Net zero Activity data'!BM6*'Net zero supporting data'!AK191*kgtoGg,"ERROR"))</f>
        <v>5.9613114815864387E-3</v>
      </c>
      <c r="AU780" s="100">
        <f>IF('Net zero activities &amp; levers'!$C$10="Off",'Activity data'!BN6*EF!$H19*kgtoGg,IF('Net zero activities &amp; levers'!$C$10="On",'Net zero Activity data'!BN6*'Net zero supporting data'!AL191*kgtoGg,"ERROR"))</f>
        <v>6.0111711355722913E-3</v>
      </c>
      <c r="AV780" s="100">
        <f>IF('Net zero activities &amp; levers'!$C$10="Off",'Activity data'!BO6*EF!$H19*kgtoGg,IF('Net zero activities &amp; levers'!$C$10="On",'Net zero Activity data'!BO6*'Net zero supporting data'!AM191*kgtoGg,"ERROR"))</f>
        <v>6.0671865344150205E-3</v>
      </c>
      <c r="AW780" s="100">
        <f>IF('Net zero activities &amp; levers'!$C$10="Off",'Activity data'!BP6*EF!$H19*kgtoGg,IF('Net zero activities &amp; levers'!$C$10="On",'Net zero Activity data'!BP6*'Net zero supporting data'!AN191*kgtoGg,"ERROR"))</f>
        <v>6.1210772822894608E-3</v>
      </c>
      <c r="AY780" s="85"/>
      <c r="AZ780" s="85"/>
    </row>
    <row r="781" spans="1:52" x14ac:dyDescent="0.25">
      <c r="A781" s="102" t="str">
        <f t="shared" si="176"/>
        <v>BD Cattle MMCH4</v>
      </c>
      <c r="B781" s="102" t="s">
        <v>1229</v>
      </c>
      <c r="C781" s="102" t="s">
        <v>1230</v>
      </c>
      <c r="D781" t="s">
        <v>15</v>
      </c>
      <c r="E781" t="s">
        <v>22</v>
      </c>
      <c r="F781" t="s">
        <v>67</v>
      </c>
      <c r="G781" t="s">
        <v>307</v>
      </c>
      <c r="H781" t="s">
        <v>1228</v>
      </c>
      <c r="I781" t="s">
        <v>121</v>
      </c>
      <c r="J781" t="s">
        <v>286</v>
      </c>
      <c r="K781" s="28">
        <f t="shared" ref="K781:AW781" si="213">K1395</f>
        <v>0.43302356896670435</v>
      </c>
      <c r="L781" s="28">
        <f t="shared" si="213"/>
        <v>0.43594736841646864</v>
      </c>
      <c r="M781" s="28">
        <f t="shared" si="213"/>
        <v>0.43850495231711395</v>
      </c>
      <c r="N781" s="28">
        <f t="shared" si="213"/>
        <v>0.43883578115568184</v>
      </c>
      <c r="O781" s="28">
        <f t="shared" si="213"/>
        <v>0.43940560139305368</v>
      </c>
      <c r="P781" s="28">
        <f t="shared" si="213"/>
        <v>0.44267512481033205</v>
      </c>
      <c r="Q781" s="28">
        <f t="shared" si="213"/>
        <v>0.44528954636022133</v>
      </c>
      <c r="R781" s="28">
        <f t="shared" si="213"/>
        <v>0.44531246976557798</v>
      </c>
      <c r="S781" s="28">
        <f t="shared" si="213"/>
        <v>0.43351447139430072</v>
      </c>
      <c r="T781" s="28">
        <f t="shared" si="213"/>
        <v>0.43921401909064739</v>
      </c>
      <c r="U781" s="28">
        <f t="shared" si="213"/>
        <v>0.44352847877046275</v>
      </c>
      <c r="V781" s="28">
        <f t="shared" si="213"/>
        <v>0.44759906938106581</v>
      </c>
      <c r="W781" s="28">
        <f t="shared" si="213"/>
        <v>0.45231903918261634</v>
      </c>
      <c r="X781" s="28">
        <f t="shared" si="213"/>
        <v>0.45908204116035195</v>
      </c>
      <c r="Y781" s="28">
        <f t="shared" si="213"/>
        <v>0.46612311314393218</v>
      </c>
      <c r="Z781" s="28">
        <f t="shared" si="213"/>
        <v>0.47377130673090989</v>
      </c>
      <c r="AA781" s="28">
        <f t="shared" si="213"/>
        <v>0.48072655714050544</v>
      </c>
      <c r="AB781" s="28">
        <f t="shared" si="213"/>
        <v>0.48869557717513923</v>
      </c>
      <c r="AC781" s="28">
        <f t="shared" si="213"/>
        <v>0.4979031156717999</v>
      </c>
      <c r="AD781" s="28">
        <f t="shared" si="213"/>
        <v>0.50676769757090157</v>
      </c>
      <c r="AE781" s="28">
        <f t="shared" si="213"/>
        <v>0.51609442530315108</v>
      </c>
      <c r="AF781" s="28">
        <f t="shared" si="213"/>
        <v>0.52570403883360262</v>
      </c>
      <c r="AG781" s="28">
        <f t="shared" si="213"/>
        <v>0.53639681709328069</v>
      </c>
      <c r="AH781" s="28">
        <f t="shared" si="213"/>
        <v>0.54607776986764511</v>
      </c>
      <c r="AI781" s="28">
        <f t="shared" si="213"/>
        <v>0.55613735582649237</v>
      </c>
      <c r="AJ781" s="28">
        <f t="shared" si="213"/>
        <v>0.5664598798696433</v>
      </c>
      <c r="AK781" s="28">
        <f t="shared" si="213"/>
        <v>0.57647383651643525</v>
      </c>
      <c r="AL781" s="28">
        <f t="shared" si="213"/>
        <v>0.58656368994903785</v>
      </c>
      <c r="AM781" s="28">
        <f t="shared" si="213"/>
        <v>0.5970815529958805</v>
      </c>
      <c r="AN781" s="28">
        <f t="shared" si="213"/>
        <v>0.60794767432807506</v>
      </c>
      <c r="AO781" s="28">
        <f t="shared" si="213"/>
        <v>0.61832593308600126</v>
      </c>
      <c r="AP781" s="28">
        <f t="shared" si="213"/>
        <v>0.62892342221902187</v>
      </c>
      <c r="AQ781" s="28">
        <f t="shared" si="213"/>
        <v>0.63975924085958458</v>
      </c>
      <c r="AR781" s="28">
        <f t="shared" si="213"/>
        <v>0.65134709173199301</v>
      </c>
      <c r="AS781" s="28">
        <f t="shared" si="213"/>
        <v>0.66306247623847858</v>
      </c>
      <c r="AT781" s="28">
        <f t="shared" si="213"/>
        <v>0.67007427473965175</v>
      </c>
      <c r="AU781" s="28">
        <f t="shared" si="213"/>
        <v>0.67681364968865065</v>
      </c>
      <c r="AV781" s="28">
        <f t="shared" si="213"/>
        <v>0.68426996116282568</v>
      </c>
      <c r="AW781" s="28">
        <f t="shared" si="213"/>
        <v>0.6915113798420095</v>
      </c>
      <c r="AY781" s="85"/>
      <c r="AZ781" s="85"/>
    </row>
    <row r="782" spans="1:52" x14ac:dyDescent="0.25">
      <c r="A782" s="102" t="str">
        <f t="shared" si="176"/>
        <v>BD Cattle MMCH4</v>
      </c>
      <c r="B782" s="102" t="s">
        <v>1229</v>
      </c>
      <c r="C782" s="102" t="s">
        <v>1230</v>
      </c>
      <c r="D782" t="s">
        <v>15</v>
      </c>
      <c r="E782" t="s">
        <v>22</v>
      </c>
      <c r="F782" t="s">
        <v>67</v>
      </c>
      <c r="G782" t="s">
        <v>122</v>
      </c>
      <c r="H782" t="s">
        <v>1228</v>
      </c>
      <c r="I782" t="s">
        <v>121</v>
      </c>
      <c r="J782" t="s">
        <v>286</v>
      </c>
      <c r="K782" s="28">
        <f t="shared" ref="K782:AW782" si="214">K1396</f>
        <v>9.5339728940472587E-2</v>
      </c>
      <c r="L782" s="28">
        <f t="shared" si="214"/>
        <v>9.4854333679105063E-2</v>
      </c>
      <c r="M782" s="28">
        <f t="shared" si="214"/>
        <v>9.3968398426833952E-2</v>
      </c>
      <c r="N782" s="28">
        <f t="shared" si="214"/>
        <v>9.1543343324502313E-2</v>
      </c>
      <c r="O782" s="28">
        <f t="shared" si="214"/>
        <v>8.9215062552987667E-2</v>
      </c>
      <c r="P782" s="28">
        <f t="shared" si="214"/>
        <v>8.8452938660310093E-2</v>
      </c>
      <c r="Q782" s="28">
        <f t="shared" si="214"/>
        <v>8.7222027489186615E-2</v>
      </c>
      <c r="R782" s="28">
        <f t="shared" si="214"/>
        <v>8.4456409837201651E-2</v>
      </c>
      <c r="S782" s="28">
        <f t="shared" si="214"/>
        <v>7.5177478598092318E-2</v>
      </c>
      <c r="T782" s="28">
        <f t="shared" si="214"/>
        <v>7.7014428210242056E-2</v>
      </c>
      <c r="U782" s="28">
        <f t="shared" si="214"/>
        <v>7.8006612977093048E-2</v>
      </c>
      <c r="V782" s="28">
        <f t="shared" si="214"/>
        <v>7.8795228292272187E-2</v>
      </c>
      <c r="W782" s="28">
        <f t="shared" si="214"/>
        <v>7.9855076548413395E-2</v>
      </c>
      <c r="X782" s="28">
        <f t="shared" si="214"/>
        <v>8.1889840057722874E-2</v>
      </c>
      <c r="Y782" s="28">
        <f t="shared" si="214"/>
        <v>8.4116841663257197E-2</v>
      </c>
      <c r="Z782" s="28">
        <f t="shared" si="214"/>
        <v>8.6543393580483491E-2</v>
      </c>
      <c r="AA782" s="28">
        <f t="shared" si="214"/>
        <v>8.8521952214014571E-2</v>
      </c>
      <c r="AB782" s="28">
        <f t="shared" si="214"/>
        <v>9.0896953770236252E-2</v>
      </c>
      <c r="AC782" s="28">
        <f t="shared" si="214"/>
        <v>9.3757697259475761E-2</v>
      </c>
      <c r="AD782" s="28">
        <f t="shared" si="214"/>
        <v>9.5642150962380226E-2</v>
      </c>
      <c r="AE782" s="28">
        <f t="shared" si="214"/>
        <v>9.7567055281161469E-2</v>
      </c>
      <c r="AF782" s="28">
        <f t="shared" si="214"/>
        <v>9.9442694820459449E-2</v>
      </c>
      <c r="AG782" s="28">
        <f t="shared" si="214"/>
        <v>0.10161266035579665</v>
      </c>
      <c r="AH782" s="28">
        <f t="shared" si="214"/>
        <v>0.10315899021589392</v>
      </c>
      <c r="AI782" s="28">
        <f t="shared" si="214"/>
        <v>0.10478802467890617</v>
      </c>
      <c r="AJ782" s="28">
        <f t="shared" si="214"/>
        <v>0.10634686421883358</v>
      </c>
      <c r="AK782" s="28">
        <f t="shared" si="214"/>
        <v>0.10760625778708158</v>
      </c>
      <c r="AL782" s="28">
        <f t="shared" si="214"/>
        <v>0.10872705455886196</v>
      </c>
      <c r="AM782" s="28">
        <f t="shared" si="214"/>
        <v>0.10984281909628571</v>
      </c>
      <c r="AN782" s="28">
        <f t="shared" si="214"/>
        <v>0.11156015357830804</v>
      </c>
      <c r="AO782" s="28">
        <f t="shared" si="214"/>
        <v>0.11295872622782972</v>
      </c>
      <c r="AP782" s="28">
        <f t="shared" si="214"/>
        <v>0.11430168694304664</v>
      </c>
      <c r="AQ782" s="28">
        <f t="shared" si="214"/>
        <v>0.11559344303067282</v>
      </c>
      <c r="AR782" s="28">
        <f t="shared" si="214"/>
        <v>0.11700506936438095</v>
      </c>
      <c r="AS782" s="28">
        <f t="shared" si="214"/>
        <v>0.11838774199647999</v>
      </c>
      <c r="AT782" s="28">
        <f t="shared" si="214"/>
        <v>0.11810287074263501</v>
      </c>
      <c r="AU782" s="28">
        <f t="shared" si="214"/>
        <v>0.117655872543239</v>
      </c>
      <c r="AV782" s="28">
        <f t="shared" si="214"/>
        <v>0.11736041307434758</v>
      </c>
      <c r="AW782" s="28">
        <f t="shared" si="214"/>
        <v>0.11692074816946382</v>
      </c>
      <c r="AY782" s="85"/>
      <c r="AZ782" s="85"/>
    </row>
    <row r="783" spans="1:52" x14ac:dyDescent="0.25">
      <c r="A783" s="102" t="str">
        <f t="shared" si="176"/>
        <v>BD Cattle MMCH4</v>
      </c>
      <c r="B783" s="102" t="s">
        <v>1229</v>
      </c>
      <c r="C783" s="102" t="s">
        <v>1230</v>
      </c>
      <c r="D783" t="s">
        <v>15</v>
      </c>
      <c r="E783" t="s">
        <v>22</v>
      </c>
      <c r="F783" t="s">
        <v>67</v>
      </c>
      <c r="G783" t="s">
        <v>123</v>
      </c>
      <c r="H783" t="s">
        <v>1228</v>
      </c>
      <c r="I783" t="s">
        <v>121</v>
      </c>
      <c r="J783" t="s">
        <v>286</v>
      </c>
      <c r="K783" s="28">
        <f t="shared" ref="K783:AW783" si="215">K1397</f>
        <v>7.0033293869835936E-2</v>
      </c>
      <c r="L783" s="28">
        <f t="shared" si="215"/>
        <v>6.9676739164256679E-2</v>
      </c>
      <c r="M783" s="28">
        <f t="shared" si="215"/>
        <v>6.9025961523482296E-2</v>
      </c>
      <c r="N783" s="28">
        <f t="shared" si="215"/>
        <v>6.724459924650146E-2</v>
      </c>
      <c r="O783" s="28">
        <f t="shared" si="215"/>
        <v>6.5534324072709205E-2</v>
      </c>
      <c r="P783" s="28">
        <f t="shared" si="215"/>
        <v>6.4974494008849484E-2</v>
      </c>
      <c r="Q783" s="28">
        <f t="shared" si="215"/>
        <v>6.4070308893861602E-2</v>
      </c>
      <c r="R783" s="28">
        <f t="shared" si="215"/>
        <v>6.2038781052262654E-2</v>
      </c>
      <c r="S783" s="28">
        <f t="shared" si="215"/>
        <v>5.5222796514774769E-2</v>
      </c>
      <c r="T783" s="28">
        <f t="shared" si="215"/>
        <v>5.657215667597356E-2</v>
      </c>
      <c r="U783" s="28">
        <f t="shared" si="215"/>
        <v>5.7300981564844748E-2</v>
      </c>
      <c r="V783" s="28">
        <f t="shared" si="215"/>
        <v>5.7880271318780145E-2</v>
      </c>
      <c r="W783" s="28">
        <f t="shared" si="215"/>
        <v>5.865879948541796E-2</v>
      </c>
      <c r="X783" s="28">
        <f t="shared" si="215"/>
        <v>6.0153466948675183E-2</v>
      </c>
      <c r="Y783" s="28">
        <f t="shared" si="215"/>
        <v>6.1789345921924234E-2</v>
      </c>
      <c r="Z783" s="28">
        <f t="shared" si="215"/>
        <v>6.3571807707772474E-2</v>
      </c>
      <c r="AA783" s="28">
        <f t="shared" si="215"/>
        <v>6.5025188997615446E-2</v>
      </c>
      <c r="AB783" s="28">
        <f t="shared" si="215"/>
        <v>6.6769783656910539E-2</v>
      </c>
      <c r="AC783" s="28">
        <f t="shared" si="215"/>
        <v>6.8871187674885259E-2</v>
      </c>
      <c r="AD783" s="28">
        <f t="shared" si="215"/>
        <v>7.0255442711335062E-2</v>
      </c>
      <c r="AE783" s="28">
        <f t="shared" si="215"/>
        <v>7.1669411382388193E-2</v>
      </c>
      <c r="AF783" s="28">
        <f t="shared" si="215"/>
        <v>7.3047191836657727E-2</v>
      </c>
      <c r="AG783" s="28">
        <f t="shared" si="215"/>
        <v>7.4641174069589936E-2</v>
      </c>
      <c r="AH783" s="28">
        <f t="shared" si="215"/>
        <v>7.5777054931801216E-2</v>
      </c>
      <c r="AI783" s="28">
        <f t="shared" si="215"/>
        <v>7.6973687757802431E-2</v>
      </c>
      <c r="AJ783" s="28">
        <f t="shared" si="215"/>
        <v>7.8118757801622474E-2</v>
      </c>
      <c r="AK783" s="28">
        <f t="shared" si="215"/>
        <v>7.904386510833572E-2</v>
      </c>
      <c r="AL783" s="28">
        <f t="shared" si="215"/>
        <v>7.9867163963480023E-2</v>
      </c>
      <c r="AM783" s="28">
        <f t="shared" si="215"/>
        <v>8.0686766311916805E-2</v>
      </c>
      <c r="AN783" s="28">
        <f t="shared" si="215"/>
        <v>8.1948261302398337E-2</v>
      </c>
      <c r="AO783" s="28">
        <f t="shared" si="215"/>
        <v>8.2975604787121515E-2</v>
      </c>
      <c r="AP783" s="28">
        <f t="shared" si="215"/>
        <v>8.3962097652893697E-2</v>
      </c>
      <c r="AQ783" s="28">
        <f t="shared" si="215"/>
        <v>8.491097735601684E-2</v>
      </c>
      <c r="AR783" s="28">
        <f t="shared" si="215"/>
        <v>8.5947909629284627E-2</v>
      </c>
      <c r="AS783" s="28">
        <f t="shared" si="215"/>
        <v>8.6963573506722666E-2</v>
      </c>
      <c r="AT783" s="28">
        <f t="shared" si="215"/>
        <v>8.6754316857293221E-2</v>
      </c>
      <c r="AU783" s="28">
        <f t="shared" si="215"/>
        <v>8.6425967316073798E-2</v>
      </c>
      <c r="AV783" s="28">
        <f t="shared" si="215"/>
        <v>8.6208932927142212E-2</v>
      </c>
      <c r="AW783" s="28">
        <f t="shared" si="215"/>
        <v>8.5885970172473555E-2</v>
      </c>
      <c r="AY783" s="85"/>
      <c r="AZ783" s="85"/>
    </row>
    <row r="784" spans="1:52" x14ac:dyDescent="0.25">
      <c r="A784" s="102" t="str">
        <f t="shared" si="176"/>
        <v>BD Cattle MMCH4</v>
      </c>
      <c r="B784" s="102" t="s">
        <v>1229</v>
      </c>
      <c r="C784" s="102" t="s">
        <v>1230</v>
      </c>
      <c r="D784" t="s">
        <v>15</v>
      </c>
      <c r="E784" t="s">
        <v>22</v>
      </c>
      <c r="F784" t="s">
        <v>67</v>
      </c>
      <c r="G784" t="s">
        <v>135</v>
      </c>
      <c r="H784" t="s">
        <v>1228</v>
      </c>
      <c r="I784" t="s">
        <v>121</v>
      </c>
      <c r="J784" t="s">
        <v>286</v>
      </c>
      <c r="K784" s="100">
        <f>IF('Net zero activities &amp; levers'!$C$10="Off",'Activity data'!AD10*EF!$H23*kgtoGg,IF('Net zero activities &amp; levers'!$C$10="On",'Net zero Activity data'!AD10*'Net zero supporting data'!B192*kgtoGg,"ERROR"))</f>
        <v>0.47241651785764616</v>
      </c>
      <c r="L784" s="100">
        <f>IF('Net zero activities &amp; levers'!$C$10="Off",'Activity data'!AE10*EF!$H23*kgtoGg,IF('Net zero activities &amp; levers'!$C$10="On",'Net zero Activity data'!AE10*'Net zero supporting data'!C192*kgtoGg,"ERROR"))</f>
        <v>0.49004050540543137</v>
      </c>
      <c r="M784" s="100">
        <f>IF('Net zero activities &amp; levers'!$C$10="Off",'Activity data'!AF10*EF!$H23*kgtoGg,IF('Net zero activities &amp; levers'!$C$10="On",'Net zero Activity data'!AF10*'Net zero supporting data'!D192*kgtoGg,"ERROR"))</f>
        <v>0.50587338709485186</v>
      </c>
      <c r="N784" s="100">
        <f>IF('Net zero activities &amp; levers'!$C$10="Off",'Activity data'!AG10*EF!$H23*kgtoGg,IF('Net zero activities &amp; levers'!$C$10="On",'Net zero Activity data'!AG10*'Net zero supporting data'!E192*kgtoGg,"ERROR"))</f>
        <v>0.51330333017852303</v>
      </c>
      <c r="O784" s="100">
        <f>IF('Net zero activities &amp; levers'!$C$10="Off",'Activity data'!AH10*EF!$H23*kgtoGg,IF('Net zero activities &amp; levers'!$C$10="On",'Net zero Activity data'!AH10*'Net zero supporting data'!F192*kgtoGg,"ERROR"))</f>
        <v>0.52084695794290625</v>
      </c>
      <c r="P784" s="100">
        <f>IF('Net zero activities &amp; levers'!$C$10="Off",'Activity data'!AI10*EF!$H23*kgtoGg,IF('Net zero activities &amp; levers'!$C$10="On",'Net zero Activity data'!AI10*'Net zero supporting data'!G192*kgtoGg,"ERROR"))</f>
        <v>0.53749845878988001</v>
      </c>
      <c r="Q784" s="100">
        <f>IF('Net zero activities &amp; levers'!$C$10="Off",'Activity data'!AJ10*EF!$H23*kgtoGg,IF('Net zero activities &amp; levers'!$C$10="On",'Net zero Activity data'!AJ10*'Net zero supporting data'!H192*kgtoGg,"ERROR"))</f>
        <v>0.55154407690171303</v>
      </c>
      <c r="R784" s="100">
        <f>IF('Net zero activities &amp; levers'!$C$10="Off",'Activity data'!AK10*EF!$H23*kgtoGg,IF('Net zero activities &amp; levers'!$C$10="On",'Net zero Activity data'!AK10*'Net zero supporting data'!I192*kgtoGg,"ERROR"))</f>
        <v>0.55564430469746628</v>
      </c>
      <c r="S784" s="100">
        <f>IF('Net zero activities &amp; levers'!$C$10="Off",'Activity data'!AL10*EF!$H23*kgtoGg,IF('Net zero activities &amp; levers'!$C$10="On",'Net zero Activity data'!AL10*'Net zero supporting data'!J192*kgtoGg,"ERROR"))</f>
        <v>0.51452468218759118</v>
      </c>
      <c r="T784" s="100">
        <f>IF('Net zero activities &amp; levers'!$C$10="Off",'Activity data'!AM10*EF!$H23*kgtoGg,IF('Net zero activities &amp; levers'!$C$10="On",'Net zero Activity data'!AM10*'Net zero supporting data'!K192*kgtoGg,"ERROR"))</f>
        <v>0.51087054718738811</v>
      </c>
      <c r="U784" s="100">
        <f>IF('Net zero activities &amp; levers'!$C$10="Off",'Activity data'!AN10*EF!$H23*kgtoGg,IF('Net zero activities &amp; levers'!$C$10="On",'Net zero Activity data'!AN10*'Net zero supporting data'!L192*kgtoGg,"ERROR"))</f>
        <v>0.50044600370589476</v>
      </c>
      <c r="V784" s="100">
        <f>IF('Net zero activities &amp; levers'!$C$10="Off",'Activity data'!AO10*EF!$H23*kgtoGg,IF('Net zero activities &amp; levers'!$C$10="On",'Net zero Activity data'!AO10*'Net zero supporting data'!M192*kgtoGg,"ERROR"))</f>
        <v>0.48777127425258765</v>
      </c>
      <c r="W784" s="100">
        <f>IF('Net zero activities &amp; levers'!$C$10="Off",'Activity data'!AP10*EF!$H23*kgtoGg,IF('Net zero activities &amp; levers'!$C$10="On",'Net zero Activity data'!AP10*'Net zero supporting data'!N192*kgtoGg,"ERROR"))</f>
        <v>0.4758393545319925</v>
      </c>
      <c r="X784" s="100">
        <f>IF('Net zero activities &amp; levers'!$C$10="Off",'Activity data'!AQ10*EF!$H23*kgtoGg,IF('Net zero activities &amp; levers'!$C$10="On",'Net zero Activity data'!AQ10*'Net zero supporting data'!O192*kgtoGg,"ERROR"))</f>
        <v>0.46853884101200666</v>
      </c>
      <c r="Y784" s="100">
        <f>IF('Net zero activities &amp; levers'!$C$10="Off",'Activity data'!AR10*EF!$H23*kgtoGg,IF('Net zero activities &amp; levers'!$C$10="On",'Net zero Activity data'!AR10*'Net zero supporting data'!P192*kgtoGg,"ERROR"))</f>
        <v>0.46084838723494198</v>
      </c>
      <c r="Z784" s="100">
        <f>IF('Net zero activities &amp; levers'!$C$10="Off",'Activity data'!AS10*EF!$H23*kgtoGg,IF('Net zero activities &amp; levers'!$C$10="On",'Net zero Activity data'!AS10*'Net zero supporting data'!Q192*kgtoGg,"ERROR"))</f>
        <v>0.45265304521221883</v>
      </c>
      <c r="AA784" s="100">
        <f>IF('Net zero activities &amp; levers'!$C$10="Off",'Activity data'!AT10*EF!$H23*kgtoGg,IF('Net zero activities &amp; levers'!$C$10="On",'Net zero Activity data'!AT10*'Net zero supporting data'!R192*kgtoGg,"ERROR"))</f>
        <v>0.44052142838588271</v>
      </c>
      <c r="AB784" s="100">
        <f>IF('Net zero activities &amp; levers'!$C$10="Off",'Activity data'!AU10*EF!$H23*kgtoGg,IF('Net zero activities &amp; levers'!$C$10="On",'Net zero Activity data'!AU10*'Net zero supporting data'!S192*kgtoGg,"ERROR"))</f>
        <v>0.42882636026440724</v>
      </c>
      <c r="AC784" s="100">
        <f>IF('Net zero activities &amp; levers'!$C$10="Off",'Activity data'!AV10*EF!$H23*kgtoGg,IF('Net zero activities &amp; levers'!$C$10="On",'Net zero Activity data'!AV10*'Net zero supporting data'!T192*kgtoGg,"ERROR"))</f>
        <v>0.41765605399183958</v>
      </c>
      <c r="AD784" s="100">
        <f>IF('Net zero activities &amp; levers'!$C$10="Off",'Activity data'!AW10*EF!$H23*kgtoGg,IF('Net zero activities &amp; levers'!$C$10="On",'Net zero Activity data'!AW10*'Net zero supporting data'!U192*kgtoGg,"ERROR"))</f>
        <v>0.42713957545868597</v>
      </c>
      <c r="AE784" s="100">
        <f>IF('Net zero activities &amp; levers'!$C$10="Off",'Activity data'!AX10*EF!$H23*kgtoGg,IF('Net zero activities &amp; levers'!$C$10="On",'Net zero Activity data'!AX10*'Net zero supporting data'!V192*kgtoGg,"ERROR"))</f>
        <v>0.4367209004038819</v>
      </c>
      <c r="AF784" s="100">
        <f>IF('Net zero activities &amp; levers'!$C$10="Off",'Activity data'!AY10*EF!$H23*kgtoGg,IF('Net zero activities &amp; levers'!$C$10="On",'Net zero Activity data'!AY10*'Net zero supporting data'!W192*kgtoGg,"ERROR"))</f>
        <v>0.44598568276773776</v>
      </c>
      <c r="AG784" s="100">
        <f>IF('Net zero activities &amp; levers'!$C$10="Off",'Activity data'!AZ10*EF!$H23*kgtoGg,IF('Net zero activities &amp; levers'!$C$10="On",'Net zero Activity data'!AZ10*'Net zero supporting data'!X192*kgtoGg,"ERROR"))</f>
        <v>0.45649753878223298</v>
      </c>
      <c r="AH784" s="100">
        <f>IF('Net zero activities &amp; levers'!$C$10="Off",'Activity data'!BA10*EF!$H23*kgtoGg,IF('Net zero activities &amp; levers'!$C$10="On",'Net zero Activity data'!BA10*'Net zero supporting data'!Y192*kgtoGg,"ERROR"))</f>
        <v>0.46405185737815613</v>
      </c>
      <c r="AI784" s="100">
        <f>IF('Net zero activities &amp; levers'!$C$10="Off",'Activity data'!BB10*EF!$H23*kgtoGg,IF('Net zero activities &amp; levers'!$C$10="On",'Net zero Activity data'!BB10*'Net zero supporting data'!Z192*kgtoGg,"ERROR"))</f>
        <v>0.47186964190105657</v>
      </c>
      <c r="AJ784" s="100">
        <f>IF('Net zero activities &amp; levers'!$C$10="Off",'Activity data'!BC10*EF!$H23*kgtoGg,IF('Net zero activities &amp; levers'!$C$10="On",'Net zero Activity data'!BC10*'Net zero supporting data'!AA192*kgtoGg,"ERROR"))</f>
        <v>0.47924516074443407</v>
      </c>
      <c r="AK784" s="100">
        <f>IF('Net zero activities &amp; levers'!$C$10="Off",'Activity data'!BD10*EF!$H23*kgtoGg,IF('Net zero activities &amp; levers'!$C$10="On",'Net zero Activity data'!BD10*'Net zero supporting data'!AB192*kgtoGg,"ERROR"))</f>
        <v>0.48511898354993649</v>
      </c>
      <c r="AL784" s="100">
        <f>IF('Net zero activities &amp; levers'!$C$10="Off",'Activity data'!BE10*EF!$H23*kgtoGg,IF('Net zero activities &amp; levers'!$C$10="On",'Net zero Activity data'!BE10*'Net zero supporting data'!AC192*kgtoGg,"ERROR"))</f>
        <v>0.490223944816155</v>
      </c>
      <c r="AM784" s="100">
        <f>IF('Net zero activities &amp; levers'!$C$10="Off",'Activity data'!BF10*EF!$H23*kgtoGg,IF('Net zero activities &amp; levers'!$C$10="On",'Net zero Activity data'!BF10*'Net zero supporting data'!AD192*kgtoGg,"ERROR"))</f>
        <v>0.49517029794844397</v>
      </c>
      <c r="AN784" s="100">
        <f>IF('Net zero activities &amp; levers'!$C$10="Off",'Activity data'!BG10*EF!$H23*kgtoGg,IF('Net zero activities &amp; levers'!$C$10="On",'Net zero Activity data'!BG10*'Net zero supporting data'!AE192*kgtoGg,"ERROR"))</f>
        <v>0.51309855498055734</v>
      </c>
      <c r="AO784" s="100">
        <f>IF('Net zero activities &amp; levers'!$C$10="Off",'Activity data'!BH10*EF!$H23*kgtoGg,IF('Net zero activities &amp; levers'!$C$10="On",'Net zero Activity data'!BH10*'Net zero supporting data'!AF192*kgtoGg,"ERROR"))</f>
        <v>0.53005262877100301</v>
      </c>
      <c r="AP784" s="100">
        <f>IF('Net zero activities &amp; levers'!$C$10="Off",'Activity data'!BI10*EF!$H23*kgtoGg,IF('Net zero activities &amp; levers'!$C$10="On",'Net zero Activity data'!BI10*'Net zero supporting data'!AG192*kgtoGg,"ERROR"))</f>
        <v>0.54724802131036321</v>
      </c>
      <c r="AQ784" s="100">
        <f>IF('Net zero activities &amp; levers'!$C$10="Off",'Activity data'!BJ10*EF!$H23*kgtoGg,IF('Net zero activities &amp; levers'!$C$10="On",'Net zero Activity data'!BJ10*'Net zero supporting data'!AH192*kgtoGg,"ERROR"))</f>
        <v>0.56471274456749021</v>
      </c>
      <c r="AR784" s="100">
        <f>IF('Net zero activities &amp; levers'!$C$10="Off",'Activity data'!BK10*EF!$H23*kgtoGg,IF('Net zero activities &amp; levers'!$C$10="On",'Net zero Activity data'!BK10*'Net zero supporting data'!AI192*kgtoGg,"ERROR"))</f>
        <v>0.5833238317958328</v>
      </c>
      <c r="AS784" s="100">
        <f>IF('Net zero activities &amp; levers'!$C$10="Off",'Activity data'!BL10*EF!$H23*kgtoGg,IF('Net zero activities &amp; levers'!$C$10="On",'Net zero Activity data'!BL10*'Net zero supporting data'!AJ192*kgtoGg,"ERROR"))</f>
        <v>0.6023717583078716</v>
      </c>
      <c r="AT784" s="100">
        <f>IF('Net zero activities &amp; levers'!$C$10="Off",'Activity data'!BM10*EF!$H23*kgtoGg,IF('Net zero activities &amp; levers'!$C$10="On",'Net zero Activity data'!BM10*'Net zero supporting data'!AK192*kgtoGg,"ERROR"))</f>
        <v>0.61320735098737011</v>
      </c>
      <c r="AU784" s="100">
        <f>IF('Net zero activities &amp; levers'!$C$10="Off",'Activity data'!BN10*EF!$H23*kgtoGg,IF('Net zero activities &amp; levers'!$C$10="On",'Net zero Activity data'!BN10*'Net zero supporting data'!AL192*kgtoGg,"ERROR"))</f>
        <v>0.62344090171896205</v>
      </c>
      <c r="AV784" s="100">
        <f>IF('Net zero activities &amp; levers'!$C$10="Off",'Activity data'!BO10*EF!$H23*kgtoGg,IF('Net zero activities &amp; levers'!$C$10="On",'Net zero Activity data'!BO10*'Net zero supporting data'!AM192*kgtoGg,"ERROR"))</f>
        <v>0.63476216268152685</v>
      </c>
      <c r="AW784" s="100">
        <f>IF('Net zero activities &amp; levers'!$C$10="Off",'Activity data'!BP10*EF!$H23*kgtoGg,IF('Net zero activities &amp; levers'!$C$10="On",'Net zero Activity data'!BP10*'Net zero supporting data'!AN192*kgtoGg,"ERROR"))</f>
        <v>0.64557504157844892</v>
      </c>
      <c r="AY784" s="85"/>
      <c r="AZ784" s="85"/>
    </row>
    <row r="785" spans="1:52" x14ac:dyDescent="0.25">
      <c r="A785" s="102" t="str">
        <f t="shared" si="176"/>
        <v>BD Sheep MMCH4</v>
      </c>
      <c r="B785" s="102" t="s">
        <v>1229</v>
      </c>
      <c r="C785" s="102" t="s">
        <v>1325</v>
      </c>
      <c r="D785" t="s">
        <v>15</v>
      </c>
      <c r="E785" t="s">
        <v>22</v>
      </c>
      <c r="F785" t="s">
        <v>18</v>
      </c>
      <c r="G785" t="s">
        <v>122</v>
      </c>
      <c r="H785" t="s">
        <v>1228</v>
      </c>
      <c r="I785" t="s">
        <v>121</v>
      </c>
      <c r="J785" t="s">
        <v>286</v>
      </c>
      <c r="K785" s="28">
        <f t="shared" ref="K785:AW785" si="216">K1399</f>
        <v>3.6049467288640238E-2</v>
      </c>
      <c r="L785" s="28">
        <f t="shared" si="216"/>
        <v>3.6068922498919492E-2</v>
      </c>
      <c r="M785" s="28">
        <f t="shared" si="216"/>
        <v>3.6113648368603188E-2</v>
      </c>
      <c r="N785" s="28">
        <f t="shared" si="216"/>
        <v>3.6180048088995075E-2</v>
      </c>
      <c r="O785" s="28">
        <f t="shared" si="216"/>
        <v>3.6269669615497352E-2</v>
      </c>
      <c r="P785" s="28">
        <f t="shared" si="216"/>
        <v>3.6384314095385159E-2</v>
      </c>
      <c r="Q785" s="28">
        <f t="shared" si="216"/>
        <v>3.6510640385803414E-2</v>
      </c>
      <c r="R785" s="28">
        <f t="shared" si="216"/>
        <v>3.6646686440443228E-2</v>
      </c>
      <c r="S785" s="28">
        <f t="shared" si="216"/>
        <v>3.6781472874538444E-2</v>
      </c>
      <c r="T785" s="28">
        <f t="shared" si="216"/>
        <v>3.6836633496849083E-2</v>
      </c>
      <c r="U785" s="28">
        <f t="shared" si="216"/>
        <v>3.6899270096088746E-2</v>
      </c>
      <c r="V785" s="28">
        <f t="shared" si="216"/>
        <v>3.6970107657697912E-2</v>
      </c>
      <c r="W785" s="28">
        <f t="shared" si="216"/>
        <v>3.7049660029312891E-2</v>
      </c>
      <c r="X785" s="28">
        <f t="shared" si="216"/>
        <v>3.7139051899563943E-2</v>
      </c>
      <c r="Y785" s="28">
        <f t="shared" si="216"/>
        <v>3.7195257613770766E-2</v>
      </c>
      <c r="Z785" s="28">
        <f t="shared" si="216"/>
        <v>3.7258548109316066E-2</v>
      </c>
      <c r="AA785" s="28">
        <f t="shared" si="216"/>
        <v>3.7327161924675951E-2</v>
      </c>
      <c r="AB785" s="28">
        <f t="shared" si="216"/>
        <v>3.740270770234231E-2</v>
      </c>
      <c r="AC785" s="28">
        <f t="shared" si="216"/>
        <v>3.7485176791933403E-2</v>
      </c>
      <c r="AD785" s="28">
        <f t="shared" si="216"/>
        <v>3.7539761469788754E-2</v>
      </c>
      <c r="AE785" s="28">
        <f t="shared" si="216"/>
        <v>3.7599656922957594E-2</v>
      </c>
      <c r="AF785" s="28">
        <f t="shared" si="216"/>
        <v>3.7664460791843352E-2</v>
      </c>
      <c r="AG785" s="28">
        <f t="shared" si="216"/>
        <v>3.7734874583025615E-2</v>
      </c>
      <c r="AH785" s="28">
        <f t="shared" si="216"/>
        <v>3.7808406535422022E-2</v>
      </c>
      <c r="AI785" s="28">
        <f t="shared" si="216"/>
        <v>3.7855450290038166E-2</v>
      </c>
      <c r="AJ785" s="28">
        <f t="shared" si="216"/>
        <v>3.790648474498734E-2</v>
      </c>
      <c r="AK785" s="28">
        <f t="shared" si="216"/>
        <v>3.7960736985585587E-2</v>
      </c>
      <c r="AL785" s="28">
        <f t="shared" si="216"/>
        <v>3.8018503990857662E-2</v>
      </c>
      <c r="AM785" s="28">
        <f t="shared" si="216"/>
        <v>3.8080056384553931E-2</v>
      </c>
      <c r="AN785" s="28">
        <f t="shared" si="216"/>
        <v>3.8116334504626079E-2</v>
      </c>
      <c r="AO785" s="28">
        <f t="shared" si="216"/>
        <v>3.8154989670212594E-2</v>
      </c>
      <c r="AP785" s="28">
        <f t="shared" si="216"/>
        <v>3.8196703080821404E-2</v>
      </c>
      <c r="AQ785" s="28">
        <f t="shared" si="216"/>
        <v>3.8241401151067764E-2</v>
      </c>
      <c r="AR785" s="28">
        <f t="shared" si="216"/>
        <v>3.828956377958781E-2</v>
      </c>
      <c r="AS785" s="28">
        <f t="shared" si="216"/>
        <v>3.8311270646145826E-2</v>
      </c>
      <c r="AT785" s="28">
        <f t="shared" si="216"/>
        <v>3.8330111932378036E-2</v>
      </c>
      <c r="AU785" s="28">
        <f t="shared" si="216"/>
        <v>3.8350912132151166E-2</v>
      </c>
      <c r="AV785" s="28">
        <f t="shared" si="216"/>
        <v>3.8374692407557622E-2</v>
      </c>
      <c r="AW785" s="28">
        <f t="shared" si="216"/>
        <v>3.8400354082293926E-2</v>
      </c>
      <c r="AY785" s="85"/>
      <c r="AZ785" s="85"/>
    </row>
    <row r="786" spans="1:52" x14ac:dyDescent="0.25">
      <c r="A786" s="102" t="str">
        <f t="shared" si="176"/>
        <v>BD Sheep MMCH4</v>
      </c>
      <c r="B786" s="102" t="s">
        <v>1229</v>
      </c>
      <c r="C786" s="102" t="s">
        <v>1325</v>
      </c>
      <c r="D786" t="s">
        <v>15</v>
      </c>
      <c r="E786" t="s">
        <v>22</v>
      </c>
      <c r="F786" t="s">
        <v>18</v>
      </c>
      <c r="G786" t="s">
        <v>123</v>
      </c>
      <c r="H786" t="s">
        <v>1228</v>
      </c>
      <c r="I786" t="s">
        <v>121</v>
      </c>
      <c r="J786" t="s">
        <v>286</v>
      </c>
      <c r="K786" s="28">
        <f t="shared" ref="K786:AW786" si="217">K1400</f>
        <v>4.1170209951421942E-3</v>
      </c>
      <c r="L786" s="28">
        <f t="shared" si="217"/>
        <v>4.1192428728898823E-3</v>
      </c>
      <c r="M786" s="28">
        <f t="shared" si="217"/>
        <v>4.12435078039485E-3</v>
      </c>
      <c r="N786" s="28">
        <f t="shared" si="217"/>
        <v>4.1319339449597016E-3</v>
      </c>
      <c r="O786" s="28">
        <f t="shared" si="217"/>
        <v>4.1421691504697385E-3</v>
      </c>
      <c r="P786" s="28">
        <f t="shared" si="217"/>
        <v>4.1552620965289999E-3</v>
      </c>
      <c r="Q786" s="28">
        <f t="shared" si="217"/>
        <v>4.1696891610325101E-3</v>
      </c>
      <c r="R786" s="28">
        <f t="shared" si="217"/>
        <v>4.1852262689396433E-3</v>
      </c>
      <c r="S786" s="28">
        <f t="shared" si="217"/>
        <v>4.2006195221765729E-3</v>
      </c>
      <c r="T786" s="28">
        <f t="shared" si="217"/>
        <v>4.2069191281690734E-3</v>
      </c>
      <c r="U786" s="28">
        <f t="shared" si="217"/>
        <v>4.2140725263613192E-3</v>
      </c>
      <c r="V786" s="28">
        <f t="shared" si="217"/>
        <v>4.2221625135462756E-3</v>
      </c>
      <c r="W786" s="28">
        <f t="shared" si="217"/>
        <v>4.2312477735732788E-3</v>
      </c>
      <c r="X786" s="28">
        <f t="shared" si="217"/>
        <v>4.2414567512447637E-3</v>
      </c>
      <c r="Y786" s="28">
        <f t="shared" si="217"/>
        <v>4.2478757117132681E-3</v>
      </c>
      <c r="Z786" s="28">
        <f t="shared" si="217"/>
        <v>4.2551037879804332E-3</v>
      </c>
      <c r="AA786" s="28">
        <f t="shared" si="217"/>
        <v>4.2629398127441735E-3</v>
      </c>
      <c r="AB786" s="28">
        <f t="shared" si="217"/>
        <v>4.2715675006447032E-3</v>
      </c>
      <c r="AC786" s="28">
        <f t="shared" si="217"/>
        <v>4.2809858637671951E-3</v>
      </c>
      <c r="AD786" s="28">
        <f t="shared" si="217"/>
        <v>4.2872196941576481E-3</v>
      </c>
      <c r="AE786" s="28">
        <f t="shared" si="217"/>
        <v>4.294060040402857E-3</v>
      </c>
      <c r="AF786" s="28">
        <f t="shared" si="217"/>
        <v>4.3014609511190394E-3</v>
      </c>
      <c r="AG786" s="28">
        <f t="shared" si="217"/>
        <v>4.3095025417013294E-3</v>
      </c>
      <c r="AH786" s="28">
        <f t="shared" si="217"/>
        <v>4.3179002411570773E-3</v>
      </c>
      <c r="AI786" s="28">
        <f t="shared" si="217"/>
        <v>4.3232728621695939E-3</v>
      </c>
      <c r="AJ786" s="28">
        <f t="shared" si="217"/>
        <v>4.3291012401819257E-3</v>
      </c>
      <c r="AK786" s="28">
        <f t="shared" si="217"/>
        <v>4.335297104653045E-3</v>
      </c>
      <c r="AL786" s="28">
        <f t="shared" si="217"/>
        <v>4.3418943720031399E-3</v>
      </c>
      <c r="AM786" s="28">
        <f t="shared" si="217"/>
        <v>4.3489239487544346E-3</v>
      </c>
      <c r="AN786" s="28">
        <f t="shared" si="217"/>
        <v>4.3530670829873327E-3</v>
      </c>
      <c r="AO786" s="28">
        <f t="shared" si="217"/>
        <v>4.3574816871482253E-3</v>
      </c>
      <c r="AP786" s="28">
        <f t="shared" si="217"/>
        <v>4.362245557467872E-3</v>
      </c>
      <c r="AQ786" s="28">
        <f t="shared" si="217"/>
        <v>4.3673502901445905E-3</v>
      </c>
      <c r="AR786" s="28">
        <f t="shared" si="217"/>
        <v>4.3728506918900767E-3</v>
      </c>
      <c r="AS786" s="28">
        <f t="shared" si="217"/>
        <v>4.3753297195173796E-3</v>
      </c>
      <c r="AT786" s="28">
        <f t="shared" si="217"/>
        <v>4.3774814842126074E-3</v>
      </c>
      <c r="AU786" s="28">
        <f t="shared" si="217"/>
        <v>4.3798569661714264E-3</v>
      </c>
      <c r="AV786" s="28">
        <f t="shared" si="217"/>
        <v>4.3825727869721814E-3</v>
      </c>
      <c r="AW786" s="28">
        <f t="shared" si="217"/>
        <v>4.385503472544146E-3</v>
      </c>
      <c r="AY786" s="85"/>
      <c r="AZ786" s="85"/>
    </row>
    <row r="787" spans="1:52" x14ac:dyDescent="0.25">
      <c r="A787" s="102" t="str">
        <f t="shared" si="176"/>
        <v>BD Goats MMCH4</v>
      </c>
      <c r="B787" s="102" t="s">
        <v>1229</v>
      </c>
      <c r="C787" s="102" t="s">
        <v>1326</v>
      </c>
      <c r="D787" t="s">
        <v>15</v>
      </c>
      <c r="E787" t="s">
        <v>22</v>
      </c>
      <c r="F787" t="s">
        <v>19</v>
      </c>
      <c r="G787" t="s">
        <v>122</v>
      </c>
      <c r="H787" t="s">
        <v>1228</v>
      </c>
      <c r="I787" t="s">
        <v>121</v>
      </c>
      <c r="J787" t="s">
        <v>286</v>
      </c>
      <c r="K787" s="28">
        <f t="shared" ref="K787:AW787" si="218">K1401</f>
        <v>1.5786050776084536E-2</v>
      </c>
      <c r="L787" s="28">
        <f t="shared" si="218"/>
        <v>1.5827081346829606E-2</v>
      </c>
      <c r="M787" s="28">
        <f t="shared" si="218"/>
        <v>1.5882411871580165E-2</v>
      </c>
      <c r="N787" s="28">
        <f t="shared" si="218"/>
        <v>1.5949803045989901E-2</v>
      </c>
      <c r="O787" s="28">
        <f t="shared" si="218"/>
        <v>1.6030521416305728E-2</v>
      </c>
      <c r="P787" s="28">
        <f t="shared" si="218"/>
        <v>1.6125949164627635E-2</v>
      </c>
      <c r="Q787" s="28">
        <f t="shared" si="218"/>
        <v>1.6227083744595871E-2</v>
      </c>
      <c r="R787" s="28">
        <f t="shared" si="218"/>
        <v>1.6332741800602117E-2</v>
      </c>
      <c r="S787" s="28">
        <f t="shared" si="218"/>
        <v>1.6435606263672888E-2</v>
      </c>
      <c r="T787" s="28">
        <f t="shared" si="218"/>
        <v>1.6482785969504622E-2</v>
      </c>
      <c r="U787" s="28">
        <f t="shared" si="218"/>
        <v>1.6533664426214255E-2</v>
      </c>
      <c r="V787" s="28">
        <f t="shared" si="218"/>
        <v>1.6588808405428729E-2</v>
      </c>
      <c r="W787" s="28">
        <f t="shared" si="218"/>
        <v>1.6648626125843623E-2</v>
      </c>
      <c r="X787" s="28">
        <f t="shared" si="218"/>
        <v>1.671392230440329E-2</v>
      </c>
      <c r="Y787" s="28">
        <f t="shared" si="218"/>
        <v>1.6755949162850392E-2</v>
      </c>
      <c r="Z787" s="28">
        <f t="shared" si="218"/>
        <v>1.6801812461822448E-2</v>
      </c>
      <c r="AA787" s="28">
        <f t="shared" si="218"/>
        <v>1.6850371356583897E-2</v>
      </c>
      <c r="AB787" s="28">
        <f t="shared" si="218"/>
        <v>1.6902729841508243E-2</v>
      </c>
      <c r="AC787" s="28">
        <f t="shared" si="218"/>
        <v>1.6958905567505546E-2</v>
      </c>
      <c r="AD787" s="28">
        <f t="shared" si="218"/>
        <v>1.6995881142245144E-2</v>
      </c>
      <c r="AE787" s="28">
        <f t="shared" si="218"/>
        <v>1.7035738596248386E-2</v>
      </c>
      <c r="AF787" s="28">
        <f t="shared" si="218"/>
        <v>1.7078229800458981E-2</v>
      </c>
      <c r="AG787" s="28">
        <f t="shared" si="218"/>
        <v>1.7123832345859253E-2</v>
      </c>
      <c r="AH787" s="28">
        <f t="shared" si="218"/>
        <v>1.7170921235490962E-2</v>
      </c>
      <c r="AI787" s="28">
        <f t="shared" si="218"/>
        <v>1.720011231394674E-2</v>
      </c>
      <c r="AJ787" s="28">
        <f t="shared" si="218"/>
        <v>1.7231468078725984E-2</v>
      </c>
      <c r="AK787" s="28">
        <f t="shared" si="218"/>
        <v>1.7264493513114532E-2</v>
      </c>
      <c r="AL787" s="28">
        <f t="shared" si="218"/>
        <v>1.7299393145414187E-2</v>
      </c>
      <c r="AM787" s="28">
        <f t="shared" si="218"/>
        <v>1.7336351628498631E-2</v>
      </c>
      <c r="AN787" s="28">
        <f t="shared" si="218"/>
        <v>1.7356503534937538E-2</v>
      </c>
      <c r="AO787" s="28">
        <f t="shared" si="218"/>
        <v>1.7377878973805026E-2</v>
      </c>
      <c r="AP787" s="28">
        <f t="shared" si="218"/>
        <v>1.7400926590350561E-2</v>
      </c>
      <c r="AQ787" s="28">
        <f t="shared" si="218"/>
        <v>1.7425603506526253E-2</v>
      </c>
      <c r="AR787" s="28">
        <f t="shared" si="218"/>
        <v>1.7452223423977883E-2</v>
      </c>
      <c r="AS787" s="28">
        <f t="shared" si="218"/>
        <v>1.7461521770457056E-2</v>
      </c>
      <c r="AT787" s="28">
        <f t="shared" si="218"/>
        <v>1.7468759965525583E-2</v>
      </c>
      <c r="AU787" s="28">
        <f t="shared" si="218"/>
        <v>1.7477053902041951E-2</v>
      </c>
      <c r="AV787" s="28">
        <f t="shared" si="218"/>
        <v>1.7487061559141349E-2</v>
      </c>
      <c r="AW787" s="28">
        <f t="shared" si="218"/>
        <v>1.7498080042052506E-2</v>
      </c>
      <c r="AY787" s="85"/>
      <c r="AZ787" s="85"/>
    </row>
    <row r="788" spans="1:52" x14ac:dyDescent="0.25">
      <c r="A788" s="102" t="str">
        <f t="shared" si="176"/>
        <v>BD Goats MMCH4</v>
      </c>
      <c r="B788" s="102" t="s">
        <v>1229</v>
      </c>
      <c r="C788" s="102" t="s">
        <v>1326</v>
      </c>
      <c r="D788" t="s">
        <v>15</v>
      </c>
      <c r="E788" t="s">
        <v>22</v>
      </c>
      <c r="F788" t="s">
        <v>19</v>
      </c>
      <c r="G788" t="s">
        <v>123</v>
      </c>
      <c r="H788" t="s">
        <v>1228</v>
      </c>
      <c r="I788" t="s">
        <v>121</v>
      </c>
      <c r="J788" t="s">
        <v>286</v>
      </c>
      <c r="K788" s="28">
        <f t="shared" ref="K788:AW788" si="219">K1402</f>
        <v>2.6586118821625565E-2</v>
      </c>
      <c r="L788" s="28">
        <f t="shared" si="219"/>
        <v>2.6655220564969766E-2</v>
      </c>
      <c r="M788" s="28">
        <f t="shared" si="219"/>
        <v>2.674840561336134E-2</v>
      </c>
      <c r="N788" s="28">
        <f t="shared" si="219"/>
        <v>2.6861902636511708E-2</v>
      </c>
      <c r="O788" s="28">
        <f t="shared" si="219"/>
        <v>2.6997844691604787E-2</v>
      </c>
      <c r="P788" s="28">
        <f t="shared" si="219"/>
        <v>2.7158559584249745E-2</v>
      </c>
      <c r="Q788" s="28">
        <f t="shared" si="219"/>
        <v>2.7328885652380994E-2</v>
      </c>
      <c r="R788" s="28">
        <f t="shared" si="219"/>
        <v>2.7506829944546809E-2</v>
      </c>
      <c r="S788" s="28">
        <f t="shared" si="219"/>
        <v>2.7680069399842709E-2</v>
      </c>
      <c r="T788" s="28">
        <f t="shared" si="219"/>
        <v>2.7759527225172408E-2</v>
      </c>
      <c r="U788" s="28">
        <f t="shared" si="219"/>
        <v>2.7845214311494997E-2</v>
      </c>
      <c r="V788" s="28">
        <f t="shared" si="219"/>
        <v>2.7938085188732656E-2</v>
      </c>
      <c r="W788" s="28">
        <f t="shared" si="219"/>
        <v>2.8038827359472312E-2</v>
      </c>
      <c r="X788" s="28">
        <f t="shared" si="219"/>
        <v>2.814879608986658E-2</v>
      </c>
      <c r="Y788" s="28">
        <f t="shared" si="219"/>
        <v>2.821957573375743E-2</v>
      </c>
      <c r="Z788" s="28">
        <f t="shared" si="219"/>
        <v>2.8296816529021451E-2</v>
      </c>
      <c r="AA788" s="28">
        <f t="shared" si="219"/>
        <v>2.8378597119004759E-2</v>
      </c>
      <c r="AB788" s="28">
        <f t="shared" si="219"/>
        <v>2.8466776798727306E-2</v>
      </c>
      <c r="AC788" s="28">
        <f t="shared" si="219"/>
        <v>2.8561385295015548E-2</v>
      </c>
      <c r="AD788" s="28">
        <f t="shared" si="219"/>
        <v>2.8623657806200815E-2</v>
      </c>
      <c r="AE788" s="28">
        <f t="shared" si="219"/>
        <v>2.8690783841907163E-2</v>
      </c>
      <c r="AF788" s="28">
        <f t="shared" si="219"/>
        <v>2.876234551493359E-2</v>
      </c>
      <c r="AG788" s="28">
        <f t="shared" si="219"/>
        <v>2.8839147161385727E-2</v>
      </c>
      <c r="AH788" s="28">
        <f t="shared" si="219"/>
        <v>2.891845203837394E-2</v>
      </c>
      <c r="AI788" s="28">
        <f t="shared" si="219"/>
        <v>2.8967614269723933E-2</v>
      </c>
      <c r="AJ788" s="28">
        <f t="shared" si="219"/>
        <v>2.9020422163223609E-2</v>
      </c>
      <c r="AK788" s="28">
        <f t="shared" si="219"/>
        <v>2.9076042035175369E-2</v>
      </c>
      <c r="AL788" s="28">
        <f t="shared" si="219"/>
        <v>2.9134818342455165E-2</v>
      </c>
      <c r="AM788" s="28">
        <f t="shared" si="219"/>
        <v>2.9197062068684575E-2</v>
      </c>
      <c r="AN788" s="28">
        <f t="shared" si="219"/>
        <v>2.9231000954772463E-2</v>
      </c>
      <c r="AO788" s="28">
        <f t="shared" si="219"/>
        <v>2.926700045620928E-2</v>
      </c>
      <c r="AP788" s="28">
        <f t="shared" si="219"/>
        <v>2.9305816160068741E-2</v>
      </c>
      <c r="AQ788" s="28">
        <f t="shared" si="219"/>
        <v>2.9347375853174006E-2</v>
      </c>
      <c r="AR788" s="28">
        <f t="shared" si="219"/>
        <v>2.9392207856974665E-2</v>
      </c>
      <c r="AS788" s="28">
        <f t="shared" si="219"/>
        <v>2.9407867691587285E-2</v>
      </c>
      <c r="AT788" s="28">
        <f t="shared" si="219"/>
        <v>2.9420057916797852E-2</v>
      </c>
      <c r="AU788" s="28">
        <f t="shared" si="219"/>
        <v>2.9434026171737036E-2</v>
      </c>
      <c r="AV788" s="28">
        <f t="shared" si="219"/>
        <v>2.9450880593691244E-2</v>
      </c>
      <c r="AW788" s="28">
        <f t="shared" si="219"/>
        <v>2.9469437400587745E-2</v>
      </c>
      <c r="AY788" s="85"/>
      <c r="AZ788" s="85"/>
    </row>
    <row r="789" spans="1:52" x14ac:dyDescent="0.25">
      <c r="A789" s="102" t="str">
        <f t="shared" si="176"/>
        <v>BD Horses MMCH4</v>
      </c>
      <c r="B789" s="102" t="s">
        <v>1229</v>
      </c>
      <c r="C789" s="102" t="s">
        <v>1327</v>
      </c>
      <c r="D789" t="s">
        <v>15</v>
      </c>
      <c r="E789" t="s">
        <v>22</v>
      </c>
      <c r="F789" t="s">
        <v>20</v>
      </c>
      <c r="G789" t="s">
        <v>3</v>
      </c>
      <c r="H789" t="s">
        <v>1228</v>
      </c>
      <c r="I789" t="s">
        <v>121</v>
      </c>
      <c r="J789" t="s">
        <v>286</v>
      </c>
      <c r="K789" s="28">
        <f t="shared" ref="K789:AW789" si="220">K1403</f>
        <v>4.1409780786531561E-3</v>
      </c>
      <c r="L789" s="28">
        <f t="shared" si="220"/>
        <v>4.1688671764084162E-3</v>
      </c>
      <c r="M789" s="28">
        <f t="shared" si="220"/>
        <v>4.1857409403688933E-3</v>
      </c>
      <c r="N789" s="28">
        <f t="shared" si="220"/>
        <v>4.1635395322190223E-3</v>
      </c>
      <c r="O789" s="28">
        <f t="shared" si="220"/>
        <v>4.1408513683072233E-3</v>
      </c>
      <c r="P789" s="28">
        <f t="shared" si="220"/>
        <v>4.1549094768624506E-3</v>
      </c>
      <c r="Q789" s="28">
        <f t="shared" si="220"/>
        <v>4.1567255728426969E-3</v>
      </c>
      <c r="R789" s="28">
        <f t="shared" si="220"/>
        <v>4.1179597585422178E-3</v>
      </c>
      <c r="S789" s="28">
        <f t="shared" si="220"/>
        <v>3.9049943158389311E-3</v>
      </c>
      <c r="T789" s="28">
        <f t="shared" si="220"/>
        <v>3.9699795028704365E-3</v>
      </c>
      <c r="U789" s="28">
        <f t="shared" si="220"/>
        <v>4.0126860665387013E-3</v>
      </c>
      <c r="V789" s="28">
        <f t="shared" si="220"/>
        <v>4.0499492305839649E-3</v>
      </c>
      <c r="W789" s="28">
        <f t="shared" si="220"/>
        <v>4.09467284204442E-3</v>
      </c>
      <c r="X789" s="28">
        <f t="shared" si="220"/>
        <v>4.1665387441703824E-3</v>
      </c>
      <c r="Y789" s="28">
        <f t="shared" si="220"/>
        <v>4.248702300747329E-3</v>
      </c>
      <c r="Z789" s="28">
        <f t="shared" si="220"/>
        <v>4.3374921923911899E-3</v>
      </c>
      <c r="AA789" s="28">
        <f t="shared" si="220"/>
        <v>4.414637811470782E-3</v>
      </c>
      <c r="AB789" s="28">
        <f t="shared" si="220"/>
        <v>4.5040673251205239E-3</v>
      </c>
      <c r="AC789" s="28">
        <f t="shared" si="220"/>
        <v>4.6087014569709678E-3</v>
      </c>
      <c r="AD789" s="28">
        <f t="shared" si="220"/>
        <v>4.7138573349945522E-3</v>
      </c>
      <c r="AE789" s="28">
        <f t="shared" si="220"/>
        <v>4.8236014553834257E-3</v>
      </c>
      <c r="AF789" s="28">
        <f t="shared" si="220"/>
        <v>4.9354202086686252E-3</v>
      </c>
      <c r="AG789" s="28">
        <f t="shared" si="220"/>
        <v>5.0601637107160246E-3</v>
      </c>
      <c r="AH789" s="28">
        <f t="shared" si="220"/>
        <v>5.1692799161183493E-3</v>
      </c>
      <c r="AI789" s="28">
        <f t="shared" si="220"/>
        <v>5.2891896269508833E-3</v>
      </c>
      <c r="AJ789" s="28">
        <f t="shared" si="220"/>
        <v>5.4110891568061297E-3</v>
      </c>
      <c r="AK789" s="28">
        <f t="shared" si="220"/>
        <v>5.5272908454311459E-3</v>
      </c>
      <c r="AL789" s="28">
        <f t="shared" si="220"/>
        <v>5.6429797772661562E-3</v>
      </c>
      <c r="AM789" s="28">
        <f t="shared" si="220"/>
        <v>5.7628358631585681E-3</v>
      </c>
      <c r="AN789" s="28">
        <f t="shared" si="220"/>
        <v>5.8932639862966018E-3</v>
      </c>
      <c r="AO789" s="28">
        <f t="shared" si="220"/>
        <v>6.015926079762964E-3</v>
      </c>
      <c r="AP789" s="28">
        <f t="shared" si="220"/>
        <v>6.1402055338910435E-3</v>
      </c>
      <c r="AQ789" s="28">
        <f t="shared" si="220"/>
        <v>6.266331762949981E-3</v>
      </c>
      <c r="AR789" s="28">
        <f t="shared" si="220"/>
        <v>6.4010164026291104E-3</v>
      </c>
      <c r="AS789" s="28">
        <f t="shared" si="220"/>
        <v>6.544222904657609E-3</v>
      </c>
      <c r="AT789" s="28">
        <f t="shared" si="220"/>
        <v>6.6249233396269902E-3</v>
      </c>
      <c r="AU789" s="28">
        <f t="shared" si="220"/>
        <v>6.7012526002480271E-3</v>
      </c>
      <c r="AV789" s="28">
        <f t="shared" si="220"/>
        <v>6.7861102667668991E-3</v>
      </c>
      <c r="AW789" s="28">
        <f t="shared" si="220"/>
        <v>6.8673471283418426E-3</v>
      </c>
      <c r="AY789" s="85"/>
      <c r="AZ789" s="85"/>
    </row>
    <row r="790" spans="1:52" x14ac:dyDescent="0.25">
      <c r="A790" s="102" t="str">
        <f t="shared" si="176"/>
        <v>BD Mules MMCH4</v>
      </c>
      <c r="B790" s="102" t="s">
        <v>1229</v>
      </c>
      <c r="C790" s="102" t="s">
        <v>1328</v>
      </c>
      <c r="D790" t="s">
        <v>15</v>
      </c>
      <c r="E790" t="s">
        <v>22</v>
      </c>
      <c r="F790" t="s">
        <v>140</v>
      </c>
      <c r="G790" t="s">
        <v>124</v>
      </c>
      <c r="H790" t="s">
        <v>1228</v>
      </c>
      <c r="I790" t="s">
        <v>121</v>
      </c>
      <c r="J790" t="s">
        <v>286</v>
      </c>
      <c r="K790" s="28">
        <f t="shared" ref="K790:AW790" si="221">K1404</f>
        <v>7.515E-4</v>
      </c>
      <c r="L790" s="28">
        <f t="shared" si="221"/>
        <v>7.515E-4</v>
      </c>
      <c r="M790" s="28">
        <f t="shared" si="221"/>
        <v>7.515E-4</v>
      </c>
      <c r="N790" s="28">
        <f t="shared" si="221"/>
        <v>7.515E-4</v>
      </c>
      <c r="O790" s="28">
        <f t="shared" si="221"/>
        <v>7.515E-4</v>
      </c>
      <c r="P790" s="28">
        <f t="shared" si="221"/>
        <v>7.515E-4</v>
      </c>
      <c r="Q790" s="28">
        <f t="shared" si="221"/>
        <v>7.515E-4</v>
      </c>
      <c r="R790" s="28">
        <f t="shared" si="221"/>
        <v>7.515E-4</v>
      </c>
      <c r="S790" s="28">
        <f t="shared" si="221"/>
        <v>7.515E-4</v>
      </c>
      <c r="T790" s="28">
        <f t="shared" si="221"/>
        <v>7.515E-4</v>
      </c>
      <c r="U790" s="28">
        <f t="shared" si="221"/>
        <v>7.515E-4</v>
      </c>
      <c r="V790" s="28">
        <f t="shared" si="221"/>
        <v>7.515E-4</v>
      </c>
      <c r="W790" s="28">
        <f t="shared" si="221"/>
        <v>7.515E-4</v>
      </c>
      <c r="X790" s="28">
        <f t="shared" si="221"/>
        <v>7.515E-4</v>
      </c>
      <c r="Y790" s="28">
        <f t="shared" si="221"/>
        <v>7.515E-4</v>
      </c>
      <c r="Z790" s="28">
        <f t="shared" si="221"/>
        <v>7.515E-4</v>
      </c>
      <c r="AA790" s="28">
        <f t="shared" si="221"/>
        <v>7.515E-4</v>
      </c>
      <c r="AB790" s="28">
        <f t="shared" si="221"/>
        <v>7.515E-4</v>
      </c>
      <c r="AC790" s="28">
        <f t="shared" si="221"/>
        <v>7.515E-4</v>
      </c>
      <c r="AD790" s="28">
        <f t="shared" si="221"/>
        <v>7.515E-4</v>
      </c>
      <c r="AE790" s="28">
        <f t="shared" si="221"/>
        <v>7.515E-4</v>
      </c>
      <c r="AF790" s="28">
        <f t="shared" si="221"/>
        <v>7.515E-4</v>
      </c>
      <c r="AG790" s="28">
        <f t="shared" si="221"/>
        <v>7.515E-4</v>
      </c>
      <c r="AH790" s="28">
        <f t="shared" si="221"/>
        <v>7.515E-4</v>
      </c>
      <c r="AI790" s="28">
        <f t="shared" si="221"/>
        <v>7.515E-4</v>
      </c>
      <c r="AJ790" s="28">
        <f t="shared" si="221"/>
        <v>7.515E-4</v>
      </c>
      <c r="AK790" s="28">
        <f t="shared" si="221"/>
        <v>7.515E-4</v>
      </c>
      <c r="AL790" s="28">
        <f t="shared" si="221"/>
        <v>7.515E-4</v>
      </c>
      <c r="AM790" s="28">
        <f t="shared" si="221"/>
        <v>7.515E-4</v>
      </c>
      <c r="AN790" s="28">
        <f t="shared" si="221"/>
        <v>7.515E-4</v>
      </c>
      <c r="AO790" s="28">
        <f t="shared" si="221"/>
        <v>7.515E-4</v>
      </c>
      <c r="AP790" s="28">
        <f t="shared" si="221"/>
        <v>7.515E-4</v>
      </c>
      <c r="AQ790" s="28">
        <f t="shared" si="221"/>
        <v>7.515E-4</v>
      </c>
      <c r="AR790" s="28">
        <f t="shared" si="221"/>
        <v>7.515E-4</v>
      </c>
      <c r="AS790" s="28">
        <f t="shared" si="221"/>
        <v>7.515E-4</v>
      </c>
      <c r="AT790" s="28">
        <f t="shared" si="221"/>
        <v>7.515E-4</v>
      </c>
      <c r="AU790" s="28">
        <f t="shared" si="221"/>
        <v>7.515E-4</v>
      </c>
      <c r="AV790" s="28">
        <f t="shared" si="221"/>
        <v>7.515E-4</v>
      </c>
      <c r="AW790" s="28">
        <f t="shared" si="221"/>
        <v>7.515E-4</v>
      </c>
      <c r="AY790" s="85"/>
      <c r="AZ790" s="85"/>
    </row>
    <row r="791" spans="1:52" x14ac:dyDescent="0.25">
      <c r="A791" s="102" t="str">
        <f t="shared" si="176"/>
        <v>BD Swine MMCH4</v>
      </c>
      <c r="B791" s="102" t="s">
        <v>1229</v>
      </c>
      <c r="C791" s="102" t="s">
        <v>1231</v>
      </c>
      <c r="D791" t="s">
        <v>15</v>
      </c>
      <c r="E791" t="s">
        <v>22</v>
      </c>
      <c r="F791" t="s">
        <v>21</v>
      </c>
      <c r="G791" t="s">
        <v>122</v>
      </c>
      <c r="H791" t="s">
        <v>1228</v>
      </c>
      <c r="I791" t="s">
        <v>121</v>
      </c>
      <c r="J791" t="s">
        <v>286</v>
      </c>
      <c r="K791" s="100">
        <f>IF('Net zero activities &amp; levers'!$C$10="Off",'Activity data'!AD17*EF!$H30*kgtoGg,IF('Net zero activities &amp; levers'!$C$10="On",'Net zero Activity data'!AD17*'Net zero supporting data'!B193*kgtoGg,"ERROR"))</f>
        <v>23.371727134678405</v>
      </c>
      <c r="L791" s="100">
        <f>IF('Net zero activities &amp; levers'!$C$10="Off",'Activity data'!AE17*EF!$H30*kgtoGg,IF('Net zero activities &amp; levers'!$C$10="On",'Net zero Activity data'!AE17*'Net zero supporting data'!C193*kgtoGg,"ERROR"))</f>
        <v>23.330420318227134</v>
      </c>
      <c r="M791" s="100">
        <f>IF('Net zero activities &amp; levers'!$C$10="Off",'Activity data'!AF17*EF!$H30*kgtoGg,IF('Net zero activities &amp; levers'!$C$10="On",'Net zero Activity data'!AF17*'Net zero supporting data'!D193*kgtoGg,"ERROR"))</f>
        <v>23.199524453189184</v>
      </c>
      <c r="N791" s="100">
        <f>IF('Net zero activities &amp; levers'!$C$10="Off",'Activity data'!AG17*EF!$H30*kgtoGg,IF('Net zero activities &amp; levers'!$C$10="On",'Net zero Activity data'!AG17*'Net zero supporting data'!E193*kgtoGg,"ERROR"))</f>
        <v>22.687597281925498</v>
      </c>
      <c r="O791" s="100">
        <f>IF('Net zero activities &amp; levers'!$C$10="Off",'Activity data'!AH17*EF!$H30*kgtoGg,IF('Net zero activities &amp; levers'!$C$10="On",'Net zero Activity data'!AH17*'Net zero supporting data'!F193*kgtoGg,"ERROR"))</f>
        <v>22.203487389074763</v>
      </c>
      <c r="P791" s="100">
        <f>IF('Net zero activities &amp; levers'!$C$10="Off",'Activity data'!AI17*EF!$H30*kgtoGg,IF('Net zero activities &amp; levers'!$C$10="On",'Net zero Activity data'!AI17*'Net zero supporting data'!G193*kgtoGg,"ERROR"))</f>
        <v>22.125351021518053</v>
      </c>
      <c r="Q791" s="100">
        <f>IF('Net zero activities &amp; levers'!$C$10="Off",'Activity data'!AJ17*EF!$H30*kgtoGg,IF('Net zero activities &amp; levers'!$C$10="On",'Net zero Activity data'!AJ17*'Net zero supporting data'!H193*kgtoGg,"ERROR"))</f>
        <v>21.935673823917892</v>
      </c>
      <c r="R791" s="100">
        <f>IF('Net zero activities &amp; levers'!$C$10="Off",'Activity data'!AK17*EF!$H30*kgtoGg,IF('Net zero activities &amp; levers'!$C$10="On",'Net zero Activity data'!AK17*'Net zero supporting data'!I193*kgtoGg,"ERROR"))</f>
        <v>21.351481023877469</v>
      </c>
      <c r="S791" s="100">
        <f>IF('Net zero activities &amp; levers'!$C$10="Off",'Activity data'!AL17*EF!$H30*kgtoGg,IF('Net zero activities &amp; levers'!$C$10="On",'Net zero Activity data'!AL17*'Net zero supporting data'!J193*kgtoGg,"ERROR"))</f>
        <v>19.044533178412809</v>
      </c>
      <c r="T791" s="100">
        <f>IF('Net zero activities &amp; levers'!$C$10="Off",'Activity data'!AM17*EF!$H30*kgtoGg,IF('Net zero activities &amp; levers'!$C$10="On",'Net zero Activity data'!AM17*'Net zero supporting data'!K193*kgtoGg,"ERROR"))</f>
        <v>17.901030086930405</v>
      </c>
      <c r="U791" s="100">
        <f>IF('Net zero activities &amp; levers'!$C$10="Off",'Activity data'!AN17*EF!$H30*kgtoGg,IF('Net zero activities &amp; levers'!$C$10="On",'Net zero Activity data'!AN17*'Net zero supporting data'!L193*kgtoGg,"ERROR"))</f>
        <v>16.507013089398018</v>
      </c>
      <c r="V791" s="100">
        <f>IF('Net zero activities &amp; levers'!$C$10="Off",'Activity data'!AO17*EF!$H30*kgtoGg,IF('Net zero activities &amp; levers'!$C$10="On",'Net zero Activity data'!AO17*'Net zero supporting data'!M193*kgtoGg,"ERROR"))</f>
        <v>15.044537378319003</v>
      </c>
      <c r="W791" s="100">
        <f>IF('Net zero activities &amp; levers'!$C$10="Off",'Activity data'!AP17*EF!$H30*kgtoGg,IF('Net zero activities &amp; levers'!$C$10="On",'Net zero Activity data'!AP17*'Net zero supporting data'!N193*kgtoGg,"ERROR"))</f>
        <v>13.610845611684482</v>
      </c>
      <c r="X791" s="100">
        <f>IF('Net zero activities &amp; levers'!$C$10="Off",'Activity data'!AQ17*EF!$H30*kgtoGg,IF('Net zero activities &amp; levers'!$C$10="On",'Net zero Activity data'!AQ17*'Net zero supporting data'!O193*kgtoGg,"ERROR"))</f>
        <v>12.298938179860123</v>
      </c>
      <c r="Y791" s="100">
        <f>IF('Net zero activities &amp; levers'!$C$10="Off",'Activity data'!AR17*EF!$H30*kgtoGg,IF('Net zero activities &amp; levers'!$C$10="On",'Net zero Activity data'!AR17*'Net zero supporting data'!P193*kgtoGg,"ERROR"))</f>
        <v>10.943664662043387</v>
      </c>
      <c r="Z791" s="100">
        <f>IF('Net zero activities &amp; levers'!$C$10="Off",'Activity data'!AS17*EF!$H30*kgtoGg,IF('Net zero activities &amp; levers'!$C$10="On",'Net zero Activity data'!AS17*'Net zero supporting data'!Q193*kgtoGg,"ERROR"))</f>
        <v>9.5284565124945431</v>
      </c>
      <c r="AA791" s="100">
        <f>IF('Net zero activities &amp; levers'!$C$10="Off",'Activity data'!AT17*EF!$H30*kgtoGg,IF('Net zero activities &amp; levers'!$C$10="On",'Net zero Activity data'!AT17*'Net zero supporting data'!R193*kgtoGg,"ERROR"))</f>
        <v>7.9794507813219342</v>
      </c>
      <c r="AB791" s="100">
        <f>IF('Net zero activities &amp; levers'!$C$10="Off",'Activity data'!AU17*EF!$H30*kgtoGg,IF('Net zero activities &amp; levers'!$C$10="On",'Net zero Activity data'!AU17*'Net zero supporting data'!S193*kgtoGg,"ERROR"))</f>
        <v>6.3867736063856873</v>
      </c>
      <c r="AC791" s="100">
        <f>IF('Net zero activities &amp; levers'!$C$10="Off",'Activity data'!AV17*EF!$H30*kgtoGg,IF('Net zero activities &amp; levers'!$C$10="On",'Net zero Activity data'!AV17*'Net zero supporting data'!T193*kgtoGg,"ERROR"))</f>
        <v>4.7302208421530425</v>
      </c>
      <c r="AD791" s="100">
        <f>IF('Net zero activities &amp; levers'!$C$10="Off",'Activity data'!AW17*EF!$H30*kgtoGg,IF('Net zero activities &amp; levers'!$C$10="On",'Net zero Activity data'!AW17*'Net zero supporting data'!U193*kgtoGg,"ERROR"))</f>
        <v>4.3874115771893676</v>
      </c>
      <c r="AE791" s="100">
        <f>IF('Net zero activities &amp; levers'!$C$10="Off",'Activity data'!AX17*EF!$H30*kgtoGg,IF('Net zero activities &amp; levers'!$C$10="On",'Net zero Activity data'!AX17*'Net zero supporting data'!V193*kgtoGg,"ERROR"))</f>
        <v>4.0228997793860133</v>
      </c>
      <c r="AF791" s="100">
        <f>IF('Net zero activities &amp; levers'!$C$10="Off",'Activity data'!AY17*EF!$H30*kgtoGg,IF('Net zero activities &amp; levers'!$C$10="On",'Net zero Activity data'!AY17*'Net zero supporting data'!W193*kgtoGg,"ERROR"))</f>
        <v>3.6318196871785187</v>
      </c>
      <c r="AG791" s="100">
        <f>IF('Net zero activities &amp; levers'!$C$10="Off",'Activity data'!AZ17*EF!$H30*kgtoGg,IF('Net zero activities &amp; levers'!$C$10="On",'Net zero Activity data'!AZ17*'Net zero supporting data'!X193*kgtoGg,"ERROR"))</f>
        <v>3.2253991475331523</v>
      </c>
      <c r="AH791" s="100">
        <f>IF('Net zero activities &amp; levers'!$C$10="Off",'Activity data'!BA17*EF!$H30*kgtoGg,IF('Net zero activities &amp; levers'!$C$10="On",'Net zero Activity data'!BA17*'Net zero supporting data'!Y193*kgtoGg,"ERROR"))</f>
        <v>2.7724291174554483</v>
      </c>
      <c r="AI791" s="100">
        <f>IF('Net zero activities &amp; levers'!$C$10="Off",'Activity data'!BB17*EF!$H30*kgtoGg,IF('Net zero activities &amp; levers'!$C$10="On",'Net zero Activity data'!BB17*'Net zero supporting data'!Z193*kgtoGg,"ERROR"))</f>
        <v>2.2980619559735223</v>
      </c>
      <c r="AJ791" s="100">
        <f>IF('Net zero activities &amp; levers'!$C$10="Off",'Activity data'!BC17*EF!$H30*kgtoGg,IF('Net zero activities &amp; levers'!$C$10="On",'Net zero Activity data'!BC17*'Net zero supporting data'!AA193*kgtoGg,"ERROR"))</f>
        <v>1.7966850924046103</v>
      </c>
      <c r="AK791" s="100">
        <f>IF('Net zero activities &amp; levers'!$C$10="Off",'Activity data'!BD17*EF!$H30*kgtoGg,IF('Net zero activities &amp; levers'!$C$10="On",'Net zero Activity data'!BD17*'Net zero supporting data'!AB193*kgtoGg,"ERROR"))</f>
        <v>1.2655146986730799</v>
      </c>
      <c r="AL791" s="100">
        <f>IF('Net zero activities &amp; levers'!$C$10="Off",'Activity data'!BE17*EF!$H30*kgtoGg,IF('Net zero activities &amp; levers'!$C$10="On",'Net zero Activity data'!BE17*'Net zero supporting data'!AC193*kgtoGg,"ERROR"))</f>
        <v>0.70937869880326088</v>
      </c>
      <c r="AM791" s="100">
        <f>IF('Net zero activities &amp; levers'!$C$10="Off",'Activity data'!BF17*EF!$H30*kgtoGg,IF('Net zero activities &amp; levers'!$C$10="On",'Net zero Activity data'!BF17*'Net zero supporting data'!AD193*kgtoGg,"ERROR"))</f>
        <v>0.12959298236789565</v>
      </c>
      <c r="AN791" s="100">
        <f>IF('Net zero activities &amp; levers'!$C$10="Off",'Activity data'!BG17*EF!$H30*kgtoGg,IF('Net zero activities &amp; levers'!$C$10="On",'Net zero Activity data'!BG17*'Net zero supporting data'!AE193*kgtoGg,"ERROR"))</f>
        <v>0.13241118855601877</v>
      </c>
      <c r="AO791" s="100">
        <f>IF('Net zero activities &amp; levers'!$C$10="Off",'Activity data'!BH17*EF!$H30*kgtoGg,IF('Net zero activities &amp; levers'!$C$10="On",'Net zero Activity data'!BH17*'Net zero supporting data'!AF193*kgtoGg,"ERROR"))</f>
        <v>0.1348868515299653</v>
      </c>
      <c r="AP791" s="100">
        <f>IF('Net zero activities &amp; levers'!$C$10="Off",'Activity data'!BI17*EF!$H30*kgtoGg,IF('Net zero activities &amp; levers'!$C$10="On",'Net zero Activity data'!BI17*'Net zero supporting data'!AG193*kgtoGg,"ERROR"))</f>
        <v>0.13734388202990719</v>
      </c>
      <c r="AQ791" s="100">
        <f>IF('Net zero activities &amp; levers'!$C$10="Off",'Activity data'!BJ17*EF!$H30*kgtoGg,IF('Net zero activities &amp; levers'!$C$10="On",'Net zero Activity data'!BJ17*'Net zero supporting data'!AH193*kgtoGg,"ERROR"))</f>
        <v>0.13978885373326558</v>
      </c>
      <c r="AR791" s="100">
        <f>IF('Net zero activities &amp; levers'!$C$10="Off",'Activity data'!BK17*EF!$H30*kgtoGg,IF('Net zero activities &amp; levers'!$C$10="On",'Net zero Activity data'!BK17*'Net zero supporting data'!AI193*kgtoGg,"ERROR"))</f>
        <v>0.14243883281283815</v>
      </c>
      <c r="AS791" s="100">
        <f>IF('Net zero activities &amp; levers'!$C$10="Off",'Activity data'!BL17*EF!$H30*kgtoGg,IF('Net zero activities &amp; levers'!$C$10="On",'Net zero Activity data'!BL17*'Net zero supporting data'!AJ193*kgtoGg,"ERROR"))</f>
        <v>0.145126920468026</v>
      </c>
      <c r="AT791" s="100">
        <f>IF('Net zero activities &amp; levers'!$C$10="Off",'Activity data'!BM17*EF!$H30*kgtoGg,IF('Net zero activities &amp; levers'!$C$10="On",'Net zero Activity data'!BM17*'Net zero supporting data'!AK193*kgtoGg,"ERROR"))</f>
        <v>0.14574414803029323</v>
      </c>
      <c r="AU791" s="100">
        <f>IF('Net zero activities &amp; levers'!$C$10="Off",'Activity data'!BN17*EF!$H30*kgtoGg,IF('Net zero activities &amp; levers'!$C$10="On",'Net zero Activity data'!BN17*'Net zero supporting data'!AL193*kgtoGg,"ERROR"))</f>
        <v>0.14618745506683431</v>
      </c>
      <c r="AV791" s="100">
        <f>IF('Net zero activities &amp; levers'!$C$10="Off",'Activity data'!BO17*EF!$H30*kgtoGg,IF('Net zero activities &amp; levers'!$C$10="On",'Net zero Activity data'!BO17*'Net zero supporting data'!AM193*kgtoGg,"ERROR"))</f>
        <v>0.14686017540058099</v>
      </c>
      <c r="AW791" s="100">
        <f>IF('Net zero activities &amp; levers'!$C$10="Off",'Activity data'!BP17*EF!$H30*kgtoGg,IF('Net zero activities &amp; levers'!$C$10="On",'Net zero Activity data'!BP17*'Net zero supporting data'!AN193*kgtoGg,"ERROR"))</f>
        <v>0.14738209691649218</v>
      </c>
      <c r="AY791" s="85"/>
      <c r="AZ791" s="85"/>
    </row>
    <row r="792" spans="1:52" x14ac:dyDescent="0.25">
      <c r="A792" s="102" t="str">
        <f t="shared" si="176"/>
        <v>BD Swine MMCH4</v>
      </c>
      <c r="B792" s="102" t="s">
        <v>1229</v>
      </c>
      <c r="C792" s="102" t="s">
        <v>1231</v>
      </c>
      <c r="D792" t="s">
        <v>15</v>
      </c>
      <c r="E792" t="s">
        <v>22</v>
      </c>
      <c r="F792" t="s">
        <v>21</v>
      </c>
      <c r="G792" t="s">
        <v>123</v>
      </c>
      <c r="H792" t="s">
        <v>1228</v>
      </c>
      <c r="I792" t="s">
        <v>121</v>
      </c>
      <c r="J792" t="s">
        <v>286</v>
      </c>
      <c r="K792" s="100">
        <f>IF('Net zero activities &amp; levers'!$C$10="Off",'Activity data'!AD18*EF!$H31*kgtoGg,IF('Net zero activities &amp; levers'!$C$10="On",'Net zero Activity data'!AD18*'Net zero supporting data'!B194*kgtoGg,"ERROR"))</f>
        <v>7.8242315709845467E-2</v>
      </c>
      <c r="L792" s="100">
        <f>IF('Net zero activities &amp; levers'!$C$10="Off",'Activity data'!AE18*EF!$H31*kgtoGg,IF('Net zero activities &amp; levers'!$C$10="On",'Net zero Activity data'!AE18*'Net zero supporting data'!C194*kgtoGg,"ERROR"))</f>
        <v>7.8104031493402018E-2</v>
      </c>
      <c r="M792" s="100">
        <f>IF('Net zero activities &amp; levers'!$C$10="Off",'Activity data'!AF18*EF!$H31*kgtoGg,IF('Net zero activities &amp; levers'!$C$10="On",'Net zero Activity data'!AF18*'Net zero supporting data'!D194*kgtoGg,"ERROR"))</f>
        <v>7.7665827010763855E-2</v>
      </c>
      <c r="N792" s="100">
        <f>IF('Net zero activities &amp; levers'!$C$10="Off",'Activity data'!AG18*EF!$H31*kgtoGg,IF('Net zero activities &amp; levers'!$C$10="On",'Net zero Activity data'!AG18*'Net zero supporting data'!E194*kgtoGg,"ERROR"))</f>
        <v>7.5952031229919309E-2</v>
      </c>
      <c r="O792" s="100">
        <f>IF('Net zero activities &amp; levers'!$C$10="Off",'Activity data'!AH18*EF!$H31*kgtoGg,IF('Net zero activities &amp; levers'!$C$10="On",'Net zero Activity data'!AH18*'Net zero supporting data'!F194*kgtoGg,"ERROR"))</f>
        <v>7.4331360286072623E-2</v>
      </c>
      <c r="P792" s="100">
        <f>IF('Net zero activities &amp; levers'!$C$10="Off",'Activity data'!AI18*EF!$H31*kgtoGg,IF('Net zero activities &amp; levers'!$C$10="On",'Net zero Activity data'!AI18*'Net zero supporting data'!G194*kgtoGg,"ERROR"))</f>
        <v>7.4069780544722588E-2</v>
      </c>
      <c r="Q792" s="100">
        <f>IF('Net zero activities &amp; levers'!$C$10="Off",'Activity data'!AJ18*EF!$H31*kgtoGg,IF('Net zero activities &amp; levers'!$C$10="On",'Net zero Activity data'!AJ18*'Net zero supporting data'!H194*kgtoGg,"ERROR"))</f>
        <v>7.3434791821293158E-2</v>
      </c>
      <c r="R792" s="100">
        <f>IF('Net zero activities &amp; levers'!$C$10="Off",'Activity data'!AK18*EF!$H31*kgtoGg,IF('Net zero activities &amp; levers'!$C$10="On",'Net zero Activity data'!AK18*'Net zero supporting data'!I194*kgtoGg,"ERROR"))</f>
        <v>7.1479069968441278E-2</v>
      </c>
      <c r="S792" s="100">
        <f>IF('Net zero activities &amp; levers'!$C$10="Off",'Activity data'!AL18*EF!$H31*kgtoGg,IF('Net zero activities &amp; levers'!$C$10="On",'Net zero Activity data'!AL18*'Net zero supporting data'!J194*kgtoGg,"ERROR"))</f>
        <v>6.3756023202968359E-2</v>
      </c>
      <c r="T792" s="100">
        <f>IF('Net zero activities &amp; levers'!$C$10="Off",'Activity data'!AM18*EF!$H31*kgtoGg,IF('Net zero activities &amp; levers'!$C$10="On",'Net zero Activity data'!AM18*'Net zero supporting data'!K194*kgtoGg,"ERROR"))</f>
        <v>6.0065277512935354E-2</v>
      </c>
      <c r="U792" s="100">
        <f>IF('Net zero activities &amp; levers'!$C$10="Off",'Activity data'!AN18*EF!$H31*kgtoGg,IF('Net zero activities &amp; levers'!$C$10="On",'Net zero Activity data'!AN18*'Net zero supporting data'!L194*kgtoGg,"ERROR"))</f>
        <v>5.5538487109947576E-2</v>
      </c>
      <c r="V792" s="100">
        <f>IF('Net zero activities &amp; levers'!$C$10="Off",'Activity data'!AO18*EF!$H31*kgtoGg,IF('Net zero activities &amp; levers'!$C$10="On",'Net zero Activity data'!AO18*'Net zero supporting data'!M194*kgtoGg,"ERROR"))</f>
        <v>5.0784037184231696E-2</v>
      </c>
      <c r="W792" s="100">
        <f>IF('Net zero activities &amp; levers'!$C$10="Off",'Activity data'!AP18*EF!$H31*kgtoGg,IF('Net zero activities &amp; levers'!$C$10="On",'Net zero Activity data'!AP18*'Net zero supporting data'!N194*kgtoGg,"ERROR"))</f>
        <v>4.6129907357407608E-2</v>
      </c>
      <c r="X792" s="100">
        <f>IF('Net zero activities &amp; levers'!$C$10="Off",'Activity data'!AQ18*EF!$H31*kgtoGg,IF('Net zero activities &amp; levers'!$C$10="On",'Net zero Activity data'!AQ18*'Net zero supporting data'!O194*kgtoGg,"ERROR"))</f>
        <v>4.1895482984575849E-2</v>
      </c>
      <c r="Y792" s="100">
        <f>IF('Net zero activities &amp; levers'!$C$10="Off",'Activity data'!AR18*EF!$H31*kgtoGg,IF('Net zero activities &amp; levers'!$C$10="On",'Net zero Activity data'!AR18*'Net zero supporting data'!P194*kgtoGg,"ERROR"))</f>
        <v>3.7524914677812764E-2</v>
      </c>
      <c r="Z792" s="100">
        <f>IF('Net zero activities &amp; levers'!$C$10="Off",'Activity data'!AS18*EF!$H31*kgtoGg,IF('Net zero activities &amp; levers'!$C$10="On",'Net zero Activity data'!AS18*'Net zero supporting data'!Q194*kgtoGg,"ERROR"))</f>
        <v>3.2963685753068975E-2</v>
      </c>
      <c r="AA792" s="100">
        <f>IF('Net zero activities &amp; levers'!$C$10="Off",'Activity data'!AT18*EF!$H31*kgtoGg,IF('Net zero activities &amp; levers'!$C$10="On",'Net zero Activity data'!AT18*'Net zero supporting data'!R194*kgtoGg,"ERROR"))</f>
        <v>2.7956092148648828E-2</v>
      </c>
      <c r="AB792" s="100">
        <f>IF('Net zero activities &amp; levers'!$C$10="Off",'Activity data'!AU18*EF!$H31*kgtoGg,IF('Net zero activities &amp; levers'!$C$10="On",'Net zero Activity data'!AU18*'Net zero supporting data'!S194*kgtoGg,"ERROR"))</f>
        <v>2.2815386948685019E-2</v>
      </c>
      <c r="AC792" s="100">
        <f>IF('Net zero activities &amp; levers'!$C$10="Off",'Activity data'!AV18*EF!$H31*kgtoGg,IF('Net zero activities &amp; levers'!$C$10="On",'Net zero Activity data'!AV18*'Net zero supporting data'!T194*kgtoGg,"ERROR"))</f>
        <v>1.7477740682479023E-2</v>
      </c>
      <c r="AD792" s="100">
        <f>IF('Net zero activities &amp; levers'!$C$10="Off",'Activity data'!AW18*EF!$H31*kgtoGg,IF('Net zero activities &amp; levers'!$C$10="On",'Net zero Activity data'!AW18*'Net zero supporting data'!U194*kgtoGg,"ERROR"))</f>
        <v>1.6418546566164378E-2</v>
      </c>
      <c r="AE792" s="100">
        <f>IF('Net zero activities &amp; levers'!$C$10="Off",'Activity data'!AX18*EF!$H31*kgtoGg,IF('Net zero activities &amp; levers'!$C$10="On",'Net zero Activity data'!AX18*'Net zero supporting data'!V194*kgtoGg,"ERROR"))</f>
        <v>1.5290986105785285E-2</v>
      </c>
      <c r="AF792" s="100">
        <f>IF('Net zero activities &amp; levers'!$C$10="Off",'Activity data'!AY18*EF!$H31*kgtoGg,IF('Net zero activities &amp; levers'!$C$10="On",'Net zero Activity data'!AY18*'Net zero supporting data'!W194*kgtoGg,"ERROR"))</f>
        <v>1.4077181520856552E-2</v>
      </c>
      <c r="AG792" s="100">
        <f>IF('Net zero activities &amp; levers'!$C$10="Off",'Activity data'!AZ18*EF!$H31*kgtoGg,IF('Net zero activities &amp; levers'!$C$10="On",'Net zero Activity data'!AZ18*'Net zero supporting data'!X194*kgtoGg,"ERROR"))</f>
        <v>1.282193247988314E-2</v>
      </c>
      <c r="AH792" s="100">
        <f>IF('Net zero activities &amp; levers'!$C$10="Off",'Activity data'!BA18*EF!$H31*kgtoGg,IF('Net zero activities &amp; levers'!$C$10="On",'Net zero Activity data'!BA18*'Net zero supporting data'!Y194*kgtoGg,"ERROR"))</f>
        <v>1.1401805854124017E-2</v>
      </c>
      <c r="AI792" s="100">
        <f>IF('Net zero activities &amp; levers'!$C$10="Off",'Activity data'!BB18*EF!$H31*kgtoGg,IF('Net zero activities &amp; levers'!$C$10="On",'Net zero Activity data'!BB18*'Net zero supporting data'!Z194*kgtoGg,"ERROR"))</f>
        <v>9.9159646068949746E-3</v>
      </c>
      <c r="AJ792" s="100">
        <f>IF('Net zero activities &amp; levers'!$C$10="Off",'Activity data'!BC18*EF!$H31*kgtoGg,IF('Net zero activities &amp; levers'!$C$10="On",'Net zero Activity data'!BC18*'Net zero supporting data'!AA194*kgtoGg,"ERROR"))</f>
        <v>8.342096742152489E-3</v>
      </c>
      <c r="AK792" s="100">
        <f>IF('Net zero activities &amp; levers'!$C$10="Off",'Activity data'!BD18*EF!$H31*kgtoGg,IF('Net zero activities &amp; levers'!$C$10="On",'Net zero Activity data'!BD18*'Net zero supporting data'!AB194*kgtoGg,"ERROR"))</f>
        <v>6.6655387292393811E-3</v>
      </c>
      <c r="AL792" s="100">
        <f>IF('Net zero activities &amp; levers'!$C$10="Off",'Activity data'!BE18*EF!$H31*kgtoGg,IF('Net zero activities &amp; levers'!$C$10="On",'Net zero Activity data'!BE18*'Net zero supporting data'!AC194*kgtoGg,"ERROR"))</f>
        <v>4.90590609192843E-3</v>
      </c>
      <c r="AM792" s="100">
        <f>IF('Net zero activities &amp; levers'!$C$10="Off",'Activity data'!BF18*EF!$H31*kgtoGg,IF('Net zero activities &amp; levers'!$C$10="On",'Net zero Activity data'!BF18*'Net zero supporting data'!AD194*kgtoGg,"ERROR"))</f>
        <v>3.0708322200440272E-3</v>
      </c>
      <c r="AN792" s="100">
        <f>IF('Net zero activities &amp; levers'!$C$10="Off",'Activity data'!BG18*EF!$H31*kgtoGg,IF('Net zero activities &amp; levers'!$C$10="On",'Net zero Activity data'!BG18*'Net zero supporting data'!AE194*kgtoGg,"ERROR"))</f>
        <v>3.137612366677645E-3</v>
      </c>
      <c r="AO792" s="100">
        <f>IF('Net zero activities &amp; levers'!$C$10="Off",'Activity data'!BH18*EF!$H31*kgtoGg,IF('Net zero activities &amp; levers'!$C$10="On",'Net zero Activity data'!BH18*'Net zero supporting data'!AF194*kgtoGg,"ERROR"))</f>
        <v>3.1962756174760795E-3</v>
      </c>
      <c r="AP792" s="100">
        <f>IF('Net zero activities &amp; levers'!$C$10="Off",'Activity data'!BI18*EF!$H31*kgtoGg,IF('Net zero activities &amp; levers'!$C$10="On",'Net zero Activity data'!BI18*'Net zero supporting data'!AG194*kgtoGg,"ERROR"))</f>
        <v>3.2544973536147931E-3</v>
      </c>
      <c r="AQ792" s="100">
        <f>IF('Net zero activities &amp; levers'!$C$10="Off",'Activity data'!BJ18*EF!$H31*kgtoGg,IF('Net zero activities &amp; levers'!$C$10="On",'Net zero Activity data'!BJ18*'Net zero supporting data'!AH194*kgtoGg,"ERROR"))</f>
        <v>3.3124333447972047E-3</v>
      </c>
      <c r="AR792" s="100">
        <f>IF('Net zero activities &amp; levers'!$C$10="Off",'Activity data'!BK18*EF!$H31*kgtoGg,IF('Net zero activities &amp; levers'!$C$10="On",'Net zero Activity data'!BK18*'Net zero supporting data'!AI194*kgtoGg,"ERROR"))</f>
        <v>3.3752271858779851E-3</v>
      </c>
      <c r="AS792" s="100">
        <f>IF('Net zero activities &amp; levers'!$C$10="Off",'Activity data'!BL18*EF!$H31*kgtoGg,IF('Net zero activities &amp; levers'!$C$10="On",'Net zero Activity data'!BL18*'Net zero supporting data'!AJ194*kgtoGg,"ERROR"))</f>
        <v>3.4389240468578469E-3</v>
      </c>
      <c r="AT792" s="100">
        <f>IF('Net zero activities &amp; levers'!$C$10="Off",'Activity data'!BM18*EF!$H31*kgtoGg,IF('Net zero activities &amp; levers'!$C$10="On",'Net zero Activity data'!BM18*'Net zero supporting data'!AK194*kgtoGg,"ERROR"))</f>
        <v>3.4535498564555347E-3</v>
      </c>
      <c r="AU792" s="100">
        <f>IF('Net zero activities &amp; levers'!$C$10="Off",'Activity data'!BN18*EF!$H31*kgtoGg,IF('Net zero activities &amp; levers'!$C$10="On",'Net zero Activity data'!BN18*'Net zero supporting data'!AL194*kgtoGg,"ERROR"))</f>
        <v>3.4640544494227528E-3</v>
      </c>
      <c r="AV792" s="100">
        <f>IF('Net zero activities &amp; levers'!$C$10="Off",'Activity data'!BO18*EF!$H31*kgtoGg,IF('Net zero activities &amp; levers'!$C$10="On",'Net zero Activity data'!BO18*'Net zero supporting data'!AM194*kgtoGg,"ERROR"))</f>
        <v>3.4799952144101932E-3</v>
      </c>
      <c r="AW792" s="100">
        <f>IF('Net zero activities &amp; levers'!$C$10="Off",'Activity data'!BP18*EF!$H31*kgtoGg,IF('Net zero activities &amp; levers'!$C$10="On",'Net zero Activity data'!BP18*'Net zero supporting data'!AN194*kgtoGg,"ERROR"))</f>
        <v>3.4923626542060016E-3</v>
      </c>
      <c r="AY792" s="85"/>
      <c r="AZ792" s="85"/>
    </row>
    <row r="793" spans="1:52" x14ac:dyDescent="0.25">
      <c r="A793" s="102" t="str">
        <f t="shared" si="176"/>
        <v>BD Poultry MMCH4</v>
      </c>
      <c r="B793" s="102" t="s">
        <v>1229</v>
      </c>
      <c r="C793" s="102" t="s">
        <v>1232</v>
      </c>
      <c r="D793" t="s">
        <v>15</v>
      </c>
      <c r="E793" t="s">
        <v>22</v>
      </c>
      <c r="F793" t="s">
        <v>28</v>
      </c>
      <c r="G793" t="s">
        <v>131</v>
      </c>
      <c r="H793" t="s">
        <v>1228</v>
      </c>
      <c r="I793" t="s">
        <v>121</v>
      </c>
      <c r="J793" t="s">
        <v>286</v>
      </c>
      <c r="K793" s="100">
        <f>IF('Net zero activities &amp; levers'!$C$10="Off",'Activity data'!AD19*EF!$H32*kgtoGg,IF('Net zero activities &amp; levers'!$C$10="On",'Net zero Activity data'!AD19*'Net zero supporting data'!B195*kgtoGg,"ERROR"))</f>
        <v>0.55747442882718667</v>
      </c>
      <c r="L793" s="100">
        <f>IF('Net zero activities &amp; levers'!$C$10="Off",'Activity data'!AE19*EF!$H32*kgtoGg,IF('Net zero activities &amp; levers'!$C$10="On",'Net zero Activity data'!AE19*'Net zero supporting data'!C195*kgtoGg,"ERROR"))</f>
        <v>0.57000466235661118</v>
      </c>
      <c r="M793" s="100">
        <f>IF('Net zero activities &amp; levers'!$C$10="Off",'Activity data'!AF19*EF!$H32*kgtoGg,IF('Net zero activities &amp; levers'!$C$10="On",'Net zero Activity data'!AF19*'Net zero supporting data'!D195*kgtoGg,"ERROR"))</f>
        <v>0.58133812133078289</v>
      </c>
      <c r="N793" s="100">
        <f>IF('Net zero activities &amp; levers'!$C$10="Off",'Activity data'!AG19*EF!$H32*kgtoGg,IF('Net zero activities &amp; levers'!$C$10="On",'Net zero Activity data'!AG19*'Net zero supporting data'!E195*kgtoGg,"ERROR"))</f>
        <v>0.58718909348293968</v>
      </c>
      <c r="O793" s="100">
        <f>IF('Net zero activities &amp; levers'!$C$10="Off",'Activity data'!AH19*EF!$H32*kgtoGg,IF('Net zero activities &amp; levers'!$C$10="On",'Net zero Activity data'!AH19*'Net zero supporting data'!F195*kgtoGg,"ERROR"))</f>
        <v>0.59320136752099994</v>
      </c>
      <c r="P793" s="100">
        <f>IF('Net zero activities &amp; levers'!$C$10="Off",'Activity data'!AI19*EF!$H32*kgtoGg,IF('Net zero activities &amp; levers'!$C$10="On",'Net zero Activity data'!AI19*'Net zero supporting data'!G195*kgtoGg,"ERROR"))</f>
        <v>0.60517178839490071</v>
      </c>
      <c r="Q793" s="100">
        <f>IF('Net zero activities &amp; levers'!$C$10="Off",'Activity data'!AJ19*EF!$H32*kgtoGg,IF('Net zero activities &amp; levers'!$C$10="On",'Net zero Activity data'!AJ19*'Net zero supporting data'!H195*kgtoGg,"ERROR"))</f>
        <v>0.61540759790167998</v>
      </c>
      <c r="R793" s="100">
        <f>IF('Net zero activities &amp; levers'!$C$10="Off",'Activity data'!AK19*EF!$H32*kgtoGg,IF('Net zero activities &amp; levers'!$C$10="On",'Net zero Activity data'!AK19*'Net zero supporting data'!I195*kgtoGg,"ERROR"))</f>
        <v>0.61929285714109983</v>
      </c>
      <c r="S793" s="100">
        <f>IF('Net zero activities &amp; levers'!$C$10="Off",'Activity data'!AL19*EF!$H32*kgtoGg,IF('Net zero activities &amp; levers'!$C$10="On",'Net zero Activity data'!AL19*'Net zero supporting data'!J195*kgtoGg,"ERROR"))</f>
        <v>0.59469792033381752</v>
      </c>
      <c r="T793" s="100">
        <f>IF('Net zero activities &amp; levers'!$C$10="Off",'Activity data'!AM19*EF!$H32*kgtoGg,IF('Net zero activities &amp; levers'!$C$10="On",'Net zero Activity data'!AM19*'Net zero supporting data'!K195*kgtoGg,"ERROR"))</f>
        <v>0.58654523170022987</v>
      </c>
      <c r="U793" s="100">
        <f>IF('Net zero activities &amp; levers'!$C$10="Off",'Activity data'!AN19*EF!$H32*kgtoGg,IF('Net zero activities &amp; levers'!$C$10="On",'Net zero Activity data'!AN19*'Net zero supporting data'!L195*kgtoGg,"ERROR"))</f>
        <v>0.57379052111307172</v>
      </c>
      <c r="V793" s="100">
        <f>IF('Net zero activities &amp; levers'!$C$10="Off",'Activity data'!AO19*EF!$H32*kgtoGg,IF('Net zero activities &amp; levers'!$C$10="On",'Net zero Activity data'!AO19*'Net zero supporting data'!M195*kgtoGg,"ERROR"))</f>
        <v>0.55924032784626487</v>
      </c>
      <c r="W793" s="100">
        <f>IF('Net zero activities &amp; levers'!$C$10="Off",'Activity data'!AP19*EF!$H32*kgtoGg,IF('Net zero activities &amp; levers'!$C$10="On",'Net zero Activity data'!AP19*'Net zero supporting data'!N195*kgtoGg,"ERROR"))</f>
        <v>0.54478990549429729</v>
      </c>
      <c r="X793" s="100">
        <f>IF('Net zero activities &amp; levers'!$C$10="Off",'Activity data'!AQ19*EF!$H32*kgtoGg,IF('Net zero activities &amp; levers'!$C$10="On",'Net zero Activity data'!AQ19*'Net zero supporting data'!O195*kgtoGg,"ERROR"))</f>
        <v>0.53297120556470479</v>
      </c>
      <c r="Y793" s="100">
        <f>IF('Net zero activities &amp; levers'!$C$10="Off",'Activity data'!AR19*EF!$H32*kgtoGg,IF('Net zero activities &amp; levers'!$C$10="On",'Net zero Activity data'!AR19*'Net zero supporting data'!P195*kgtoGg,"ERROR"))</f>
        <v>0.52021108470342414</v>
      </c>
      <c r="Z793" s="100">
        <f>IF('Net zero activities &amp; levers'!$C$10="Off",'Activity data'!AS19*EF!$H32*kgtoGg,IF('Net zero activities &amp; levers'!$C$10="On",'Net zero Activity data'!AS19*'Net zero supporting data'!Q195*kgtoGg,"ERROR"))</f>
        <v>0.5067387686963446</v>
      </c>
      <c r="AA793" s="100">
        <f>IF('Net zero activities &amp; levers'!$C$10="Off",'Activity data'!AT19*EF!$H32*kgtoGg,IF('Net zero activities &amp; levers'!$C$10="On",'Net zero Activity data'!AT19*'Net zero supporting data'!R195*kgtoGg,"ERROR"))</f>
        <v>0.49023328050694764</v>
      </c>
      <c r="AB793" s="100">
        <f>IF('Net zero activities &amp; levers'!$C$10="Off",'Activity data'!AU19*EF!$H32*kgtoGg,IF('Net zero activities &amp; levers'!$C$10="On",'Net zero Activity data'!AU19*'Net zero supporting data'!S195*kgtoGg,"ERROR"))</f>
        <v>0.47354297811259438</v>
      </c>
      <c r="AC793" s="100">
        <f>IF('Net zero activities &amp; levers'!$C$10="Off",'Activity data'!AV19*EF!$H32*kgtoGg,IF('Net zero activities &amp; levers'!$C$10="On",'Net zero Activity data'!AV19*'Net zero supporting data'!T195*kgtoGg,"ERROR"))</f>
        <v>0.45669188660474191</v>
      </c>
      <c r="AD793" s="100">
        <f>IF('Net zero activities &amp; levers'!$C$10="Off",'Activity data'!AW19*EF!$H32*kgtoGg,IF('Net zero activities &amp; levers'!$C$10="On",'Net zero Activity data'!AW19*'Net zero supporting data'!U195*kgtoGg,"ERROR"))</f>
        <v>0.46315679489141742</v>
      </c>
      <c r="AE793" s="100">
        <f>IF('Net zero activities &amp; levers'!$C$10="Off",'Activity data'!AX19*EF!$H32*kgtoGg,IF('Net zero activities &amp; levers'!$C$10="On",'Net zero Activity data'!AX19*'Net zero supporting data'!V195*kgtoGg,"ERROR"))</f>
        <v>0.46975857521244502</v>
      </c>
      <c r="AF793" s="100">
        <f>IF('Net zero activities &amp; levers'!$C$10="Off",'Activity data'!AY19*EF!$H32*kgtoGg,IF('Net zero activities &amp; levers'!$C$10="On",'Net zero Activity data'!AY19*'Net zero supporting data'!W195*kgtoGg,"ERROR"))</f>
        <v>0.47621677538576956</v>
      </c>
      <c r="AG793" s="100">
        <f>IF('Net zero activities &amp; levers'!$C$10="Off",'Activity data'!AZ19*EF!$H32*kgtoGg,IF('Net zero activities &amp; levers'!$C$10="On",'Net zero Activity data'!AZ19*'Net zero supporting data'!X195*kgtoGg,"ERROR"))</f>
        <v>0.48360635154202397</v>
      </c>
      <c r="AH793" s="100">
        <f>IF('Net zero activities &amp; levers'!$C$10="Off",'Activity data'!BA19*EF!$H32*kgtoGg,IF('Net zero activities &amp; levers'!$C$10="On",'Net zero Activity data'!BA19*'Net zero supporting data'!Y195*kgtoGg,"ERROR"))</f>
        <v>0.48903120880766382</v>
      </c>
      <c r="AI793" s="100">
        <f>IF('Net zero activities &amp; levers'!$C$10="Off",'Activity data'!BB19*EF!$H32*kgtoGg,IF('Net zero activities &amp; levers'!$C$10="On",'Net zero Activity data'!BB19*'Net zero supporting data'!Z195*kgtoGg,"ERROR"))</f>
        <v>0.49453167191418512</v>
      </c>
      <c r="AJ793" s="100">
        <f>IF('Net zero activities &amp; levers'!$C$10="Off",'Activity data'!BC19*EF!$H32*kgtoGg,IF('Net zero activities &amp; levers'!$C$10="On",'Net zero Activity data'!BC19*'Net zero supporting data'!AA195*kgtoGg,"ERROR"))</f>
        <v>0.49979086498251596</v>
      </c>
      <c r="AK793" s="100">
        <f>IF('Net zero activities &amp; levers'!$C$10="Off",'Activity data'!BD19*EF!$H32*kgtoGg,IF('Net zero activities &amp; levers'!$C$10="On",'Net zero Activity data'!BD19*'Net zero supporting data'!AB195*kgtoGg,"ERROR"))</f>
        <v>0.50405574823892896</v>
      </c>
      <c r="AL793" s="100">
        <f>IF('Net zero activities &amp; levers'!$C$10="Off",'Activity data'!BE19*EF!$H32*kgtoGg,IF('Net zero activities &amp; levers'!$C$10="On",'Net zero Activity data'!BE19*'Net zero supporting data'!AC195*kgtoGg,"ERROR"))</f>
        <v>0.50782760160099283</v>
      </c>
      <c r="AM793" s="100">
        <f>IF('Net zero activities &amp; levers'!$C$10="Off",'Activity data'!BF19*EF!$H32*kgtoGg,IF('Net zero activities &amp; levers'!$C$10="On",'Net zero Activity data'!BF19*'Net zero supporting data'!AD195*kgtoGg,"ERROR"))</f>
        <v>0.51153281783038473</v>
      </c>
      <c r="AN793" s="100">
        <f>IF('Net zero activities &amp; levers'!$C$10="Off",'Activity data'!BG19*EF!$H32*kgtoGg,IF('Net zero activities &amp; levers'!$C$10="On",'Net zero Activity data'!BG19*'Net zero supporting data'!AE195*kgtoGg,"ERROR"))</f>
        <v>0.52692903252431134</v>
      </c>
      <c r="AO793" s="100">
        <f>IF('Net zero activities &amp; levers'!$C$10="Off",'Activity data'!BH19*EF!$H32*kgtoGg,IF('Net zero activities &amp; levers'!$C$10="On",'Net zero Activity data'!BH19*'Net zero supporting data'!AF195*kgtoGg,"ERROR"))</f>
        <v>0.54176673051724522</v>
      </c>
      <c r="AP793" s="100">
        <f>IF('Net zero activities &amp; levers'!$C$10="Off",'Activity data'!BI19*EF!$H32*kgtoGg,IF('Net zero activities &amp; levers'!$C$10="On",'Net zero Activity data'!BI19*'Net zero supporting data'!AG195*kgtoGg,"ERROR"))</f>
        <v>0.55692141271715589</v>
      </c>
      <c r="AQ793" s="100">
        <f>IF('Net zero activities &amp; levers'!$C$10="Off",'Activity data'!BJ19*EF!$H32*kgtoGg,IF('Net zero activities &amp; levers'!$C$10="On",'Net zero Activity data'!BJ19*'Net zero supporting data'!AH195*kgtoGg,"ERROR"))</f>
        <v>0.57241923483577473</v>
      </c>
      <c r="AR793" s="100">
        <f>IF('Net zero activities &amp; levers'!$C$10="Off",'Activity data'!BK19*EF!$H32*kgtoGg,IF('Net zero activities &amp; levers'!$C$10="On",'Net zero Activity data'!BK19*'Net zero supporting data'!AI195*kgtoGg,"ERROR"))</f>
        <v>0.58890777464913047</v>
      </c>
      <c r="AS793" s="100">
        <f>IF('Net zero activities &amp; levers'!$C$10="Off",'Activity data'!BL19*EF!$H32*kgtoGg,IF('Net zero activities &amp; levers'!$C$10="On",'Net zero Activity data'!BL19*'Net zero supporting data'!AJ195*kgtoGg,"ERROR"))</f>
        <v>0.6057291960623753</v>
      </c>
      <c r="AT793" s="100">
        <f>IF('Net zero activities &amp; levers'!$C$10="Off",'Activity data'!BM19*EF!$H32*kgtoGg,IF('Net zero activities &amp; levers'!$C$10="On",'Net zero Activity data'!BM19*'Net zero supporting data'!AK195*kgtoGg,"ERROR"))</f>
        <v>0.61665918977010759</v>
      </c>
      <c r="AU793" s="100">
        <f>IF('Net zero activities &amp; levers'!$C$10="Off",'Activity data'!BN19*EF!$H32*kgtoGg,IF('Net zero activities &amp; levers'!$C$10="On",'Net zero Activity data'!BN19*'Net zero supporting data'!AL195*kgtoGg,"ERROR"))</f>
        <v>0.6272598192757145</v>
      </c>
      <c r="AV793" s="100">
        <f>IF('Net zero activities &amp; levers'!$C$10="Off",'Activity data'!BO19*EF!$H32*kgtoGg,IF('Net zero activities &amp; levers'!$C$10="On",'Net zero Activity data'!BO19*'Net zero supporting data'!AM195*kgtoGg,"ERROR"))</f>
        <v>0.63878618988964853</v>
      </c>
      <c r="AW793" s="100">
        <f>IF('Net zero activities &amp; levers'!$C$10="Off",'Activity data'!BP19*EF!$H32*kgtoGg,IF('Net zero activities &amp; levers'!$C$10="On",'Net zero Activity data'!BP19*'Net zero supporting data'!AN195*kgtoGg,"ERROR"))</f>
        <v>0.65005809749586496</v>
      </c>
      <c r="AY793" s="85"/>
      <c r="AZ793" s="85"/>
    </row>
    <row r="794" spans="1:52" x14ac:dyDescent="0.25">
      <c r="A794" s="102" t="str">
        <f t="shared" si="176"/>
        <v>BD Poultry MMCH4</v>
      </c>
      <c r="B794" s="102" t="s">
        <v>1229</v>
      </c>
      <c r="C794" s="102" t="s">
        <v>1232</v>
      </c>
      <c r="D794" t="s">
        <v>15</v>
      </c>
      <c r="E794" t="s">
        <v>22</v>
      </c>
      <c r="F794" t="s">
        <v>28</v>
      </c>
      <c r="G794" t="s">
        <v>132</v>
      </c>
      <c r="H794" t="s">
        <v>1228</v>
      </c>
      <c r="I794" t="s">
        <v>121</v>
      </c>
      <c r="J794" t="s">
        <v>286</v>
      </c>
      <c r="K794" s="28">
        <f t="shared" ref="K794:AW794" si="222">K1408</f>
        <v>2.2247786627421906</v>
      </c>
      <c r="L794" s="28">
        <f t="shared" si="222"/>
        <v>2.2660704090846675</v>
      </c>
      <c r="M794" s="28">
        <f t="shared" si="222"/>
        <v>2.2931151480493956</v>
      </c>
      <c r="N794" s="28">
        <f t="shared" si="222"/>
        <v>2.263369089113628</v>
      </c>
      <c r="O794" s="28">
        <f t="shared" si="222"/>
        <v>2.2345214699411633</v>
      </c>
      <c r="P794" s="28">
        <f t="shared" si="222"/>
        <v>2.2631068961220624</v>
      </c>
      <c r="Q794" s="28">
        <f t="shared" si="222"/>
        <v>2.2741216722530595</v>
      </c>
      <c r="R794" s="28">
        <f t="shared" si="222"/>
        <v>2.2236230251769533</v>
      </c>
      <c r="S794" s="28">
        <f t="shared" si="222"/>
        <v>1.9032751826814061</v>
      </c>
      <c r="T794" s="28">
        <f t="shared" si="222"/>
        <v>2.0050045794652438</v>
      </c>
      <c r="U794" s="28">
        <f t="shared" si="222"/>
        <v>2.0731097774643854</v>
      </c>
      <c r="V794" s="28">
        <f t="shared" si="222"/>
        <v>2.1336466102427849</v>
      </c>
      <c r="W794" s="28">
        <f t="shared" si="222"/>
        <v>2.2067504039451395</v>
      </c>
      <c r="X794" s="28">
        <f t="shared" si="222"/>
        <v>2.3234221592291906</v>
      </c>
      <c r="Y794" s="28">
        <f t="shared" si="222"/>
        <v>2.453906612866656</v>
      </c>
      <c r="Z794" s="28">
        <f t="shared" si="222"/>
        <v>2.5958043881375255</v>
      </c>
      <c r="AA794" s="28">
        <f t="shared" si="222"/>
        <v>2.7204030410253512</v>
      </c>
      <c r="AB794" s="28">
        <f t="shared" si="222"/>
        <v>2.8654695762209732</v>
      </c>
      <c r="AC794" s="28">
        <f t="shared" si="222"/>
        <v>3.0358111573505431</v>
      </c>
      <c r="AD794" s="28">
        <f t="shared" si="222"/>
        <v>3.2044547295521539</v>
      </c>
      <c r="AE794" s="28">
        <f t="shared" si="222"/>
        <v>3.3813518114103016</v>
      </c>
      <c r="AF794" s="28">
        <f t="shared" si="222"/>
        <v>3.5625886999419771</v>
      </c>
      <c r="AG794" s="28">
        <f t="shared" si="222"/>
        <v>3.7655312365602969</v>
      </c>
      <c r="AH794" s="28">
        <f t="shared" si="222"/>
        <v>3.9447479907962553</v>
      </c>
      <c r="AI794" s="28">
        <f t="shared" si="222"/>
        <v>4.137705183266208</v>
      </c>
      <c r="AJ794" s="28">
        <f t="shared" si="222"/>
        <v>4.3346785117208917</v>
      </c>
      <c r="AK794" s="28">
        <f t="shared" si="222"/>
        <v>4.5234159579201654</v>
      </c>
      <c r="AL794" s="28">
        <f t="shared" si="222"/>
        <v>4.7122444809677875</v>
      </c>
      <c r="AM794" s="28">
        <f t="shared" si="222"/>
        <v>4.9087124214298683</v>
      </c>
      <c r="AN794" s="28">
        <f t="shared" si="222"/>
        <v>5.1177627309781579</v>
      </c>
      <c r="AO794" s="28">
        <f t="shared" si="222"/>
        <v>5.3149689082675069</v>
      </c>
      <c r="AP794" s="28">
        <f t="shared" si="222"/>
        <v>5.5154282999919104</v>
      </c>
      <c r="AQ794" s="28">
        <f t="shared" si="222"/>
        <v>5.7195487127572893</v>
      </c>
      <c r="AR794" s="28">
        <f t="shared" si="222"/>
        <v>5.93816190134776</v>
      </c>
      <c r="AS794" s="28">
        <f t="shared" si="222"/>
        <v>6.1647117891186287</v>
      </c>
      <c r="AT794" s="28">
        <f t="shared" si="222"/>
        <v>6.2911645282791966</v>
      </c>
      <c r="AU794" s="28">
        <f t="shared" si="222"/>
        <v>6.4110178863707459</v>
      </c>
      <c r="AV794" s="28">
        <f t="shared" si="222"/>
        <v>6.5450035893341036</v>
      </c>
      <c r="AW794" s="28">
        <f t="shared" si="222"/>
        <v>6.6736178617827129</v>
      </c>
      <c r="AY794" s="85"/>
      <c r="AZ794" s="85"/>
    </row>
    <row r="795" spans="1:52" x14ac:dyDescent="0.25">
      <c r="A795" s="102" t="str">
        <f t="shared" si="176"/>
        <v>BD Poultry MMCH4</v>
      </c>
      <c r="B795" s="102" t="s">
        <v>1229</v>
      </c>
      <c r="C795" s="102" t="s">
        <v>1232</v>
      </c>
      <c r="D795" t="s">
        <v>15</v>
      </c>
      <c r="E795" t="s">
        <v>22</v>
      </c>
      <c r="F795" t="s">
        <v>28</v>
      </c>
      <c r="G795" t="s">
        <v>134</v>
      </c>
      <c r="H795" t="s">
        <v>1228</v>
      </c>
      <c r="I795" t="s">
        <v>121</v>
      </c>
      <c r="J795" t="s">
        <v>286</v>
      </c>
      <c r="K795" s="28">
        <f t="shared" ref="K795:AW795" si="223">K1409</f>
        <v>2.3228101201132799E-2</v>
      </c>
      <c r="L795" s="28">
        <f t="shared" si="223"/>
        <v>2.3750194264858821E-2</v>
      </c>
      <c r="M795" s="28">
        <f t="shared" si="223"/>
        <v>2.4222421722115972E-2</v>
      </c>
      <c r="N795" s="28">
        <f t="shared" si="223"/>
        <v>2.4466212228455842E-2</v>
      </c>
      <c r="O795" s="28">
        <f t="shared" si="223"/>
        <v>2.4716723646708353E-2</v>
      </c>
      <c r="P795" s="28">
        <f t="shared" si="223"/>
        <v>2.5215491183120883E-2</v>
      </c>
      <c r="Q795" s="28">
        <f t="shared" si="223"/>
        <v>2.564198324590336E-2</v>
      </c>
      <c r="R795" s="28">
        <f t="shared" si="223"/>
        <v>2.5803869047545849E-2</v>
      </c>
      <c r="S795" s="28">
        <f t="shared" si="223"/>
        <v>2.4779080013909088E-2</v>
      </c>
      <c r="T795" s="28">
        <f t="shared" si="223"/>
        <v>2.5516506991875881E-2</v>
      </c>
      <c r="U795" s="28">
        <f t="shared" si="223"/>
        <v>2.6112500089385413E-2</v>
      </c>
      <c r="V795" s="28">
        <f t="shared" si="223"/>
        <v>2.6680446681095382E-2</v>
      </c>
      <c r="W795" s="28">
        <f t="shared" si="223"/>
        <v>2.7311085183109759E-2</v>
      </c>
      <c r="X795" s="28">
        <f t="shared" si="223"/>
        <v>2.8148200581559191E-2</v>
      </c>
      <c r="Y795" s="28">
        <f t="shared" si="223"/>
        <v>2.9027430691366724E-2</v>
      </c>
      <c r="Z795" s="28">
        <f t="shared" si="223"/>
        <v>2.9969902815605892E-2</v>
      </c>
      <c r="AA795" s="28">
        <f t="shared" si="223"/>
        <v>3.0841691542216221E-2</v>
      </c>
      <c r="AB795" s="28">
        <f t="shared" si="223"/>
        <v>3.1819757027306869E-2</v>
      </c>
      <c r="AC795" s="28">
        <f t="shared" si="223"/>
        <v>3.292912167161096E-2</v>
      </c>
      <c r="AD795" s="28">
        <f t="shared" si="223"/>
        <v>3.4016478772715769E-2</v>
      </c>
      <c r="AE795" s="28">
        <f t="shared" si="223"/>
        <v>3.5155299467200612E-2</v>
      </c>
      <c r="AF795" s="28">
        <f t="shared" si="223"/>
        <v>3.6327172995110089E-2</v>
      </c>
      <c r="AG795" s="28">
        <f t="shared" si="223"/>
        <v>3.7617669146666054E-2</v>
      </c>
      <c r="AH795" s="28">
        <f t="shared" si="223"/>
        <v>3.8804137651877735E-2</v>
      </c>
      <c r="AI795" s="28">
        <f t="shared" si="223"/>
        <v>4.0045396026241048E-2</v>
      </c>
      <c r="AJ795" s="28">
        <f t="shared" si="223"/>
        <v>4.1318689234665709E-2</v>
      </c>
      <c r="AK795" s="28">
        <f t="shared" si="223"/>
        <v>4.2562485927672068E-2</v>
      </c>
      <c r="AL795" s="28">
        <f t="shared" si="223"/>
        <v>4.3818105384294391E-2</v>
      </c>
      <c r="AM795" s="28">
        <f t="shared" si="223"/>
        <v>4.5123953524827516E-2</v>
      </c>
      <c r="AN795" s="28">
        <f t="shared" si="223"/>
        <v>4.6482103094299274E-2</v>
      </c>
      <c r="AO795" s="28">
        <f t="shared" si="223"/>
        <v>4.7790984110943228E-2</v>
      </c>
      <c r="AP795" s="28">
        <f t="shared" si="223"/>
        <v>4.912782732302242E-2</v>
      </c>
      <c r="AQ795" s="28">
        <f t="shared" si="223"/>
        <v>5.0494940009912614E-2</v>
      </c>
      <c r="AR795" s="28">
        <f t="shared" si="223"/>
        <v>5.1949447088042722E-2</v>
      </c>
      <c r="AS795" s="28">
        <f t="shared" si="223"/>
        <v>5.3433318721718588E-2</v>
      </c>
      <c r="AT795" s="28">
        <f t="shared" si="223"/>
        <v>5.4397488587077859E-2</v>
      </c>
      <c r="AU795" s="28">
        <f t="shared" si="223"/>
        <v>5.5332604177850256E-2</v>
      </c>
      <c r="AV795" s="28">
        <f t="shared" si="223"/>
        <v>5.6349382366391719E-2</v>
      </c>
      <c r="AW795" s="28">
        <f t="shared" si="223"/>
        <v>5.7343713555378532E-2</v>
      </c>
      <c r="AY795" s="85"/>
      <c r="AZ795" s="85"/>
    </row>
    <row r="796" spans="1:52" x14ac:dyDescent="0.25">
      <c r="A796" s="102" t="str">
        <f t="shared" ref="A796:A859" si="224">B796&amp;" "&amp;C796</f>
        <v>BD Poultry MMCH4</v>
      </c>
      <c r="B796" s="102" t="s">
        <v>1229</v>
      </c>
      <c r="C796" s="102" t="s">
        <v>1232</v>
      </c>
      <c r="D796" t="s">
        <v>15</v>
      </c>
      <c r="E796" t="s">
        <v>22</v>
      </c>
      <c r="F796" t="s">
        <v>28</v>
      </c>
      <c r="G796" t="s">
        <v>133</v>
      </c>
      <c r="H796" t="s">
        <v>1228</v>
      </c>
      <c r="I796" t="s">
        <v>121</v>
      </c>
      <c r="J796" t="s">
        <v>286</v>
      </c>
      <c r="K796" s="28">
        <f t="shared" ref="K796:AW796" si="225">K1410</f>
        <v>9.2699110947591354E-2</v>
      </c>
      <c r="L796" s="28">
        <f t="shared" si="225"/>
        <v>9.4419600378527896E-2</v>
      </c>
      <c r="M796" s="28">
        <f t="shared" si="225"/>
        <v>9.554646450205824E-2</v>
      </c>
      <c r="N796" s="28">
        <f t="shared" si="225"/>
        <v>9.4307045379734583E-2</v>
      </c>
      <c r="O796" s="28">
        <f t="shared" si="225"/>
        <v>9.3105061247548568E-2</v>
      </c>
      <c r="P796" s="28">
        <f t="shared" si="225"/>
        <v>9.4296120671752692E-2</v>
      </c>
      <c r="Q796" s="28">
        <f t="shared" si="225"/>
        <v>9.4755069677210882E-2</v>
      </c>
      <c r="R796" s="28">
        <f t="shared" si="225"/>
        <v>9.2650959382373138E-2</v>
      </c>
      <c r="S796" s="28">
        <f t="shared" si="225"/>
        <v>7.9303132611725335E-2</v>
      </c>
      <c r="T796" s="28">
        <f t="shared" si="225"/>
        <v>8.354185747771857E-2</v>
      </c>
      <c r="U796" s="28">
        <f t="shared" si="225"/>
        <v>8.6379574061016151E-2</v>
      </c>
      <c r="V796" s="28">
        <f t="shared" si="225"/>
        <v>8.8901942093449454E-2</v>
      </c>
      <c r="W796" s="28">
        <f t="shared" si="225"/>
        <v>9.1947933497714227E-2</v>
      </c>
      <c r="X796" s="28">
        <f t="shared" si="225"/>
        <v>9.6809256634549701E-2</v>
      </c>
      <c r="Y796" s="28">
        <f t="shared" si="225"/>
        <v>0.10224610886944407</v>
      </c>
      <c r="Z796" s="28">
        <f t="shared" si="225"/>
        <v>0.108158516172397</v>
      </c>
      <c r="AA796" s="28">
        <f t="shared" si="225"/>
        <v>0.11335012670938974</v>
      </c>
      <c r="AB796" s="28">
        <f t="shared" si="225"/>
        <v>0.11939456567587402</v>
      </c>
      <c r="AC796" s="28">
        <f t="shared" si="225"/>
        <v>0.12649213155627276</v>
      </c>
      <c r="AD796" s="28">
        <f t="shared" si="225"/>
        <v>0.13351894706467321</v>
      </c>
      <c r="AE796" s="28">
        <f t="shared" si="225"/>
        <v>0.14088965880876272</v>
      </c>
      <c r="AF796" s="28">
        <f t="shared" si="225"/>
        <v>0.14844119583091583</v>
      </c>
      <c r="AG796" s="28">
        <f t="shared" si="225"/>
        <v>0.15689713485667917</v>
      </c>
      <c r="AH796" s="28">
        <f t="shared" si="225"/>
        <v>0.16436449961651078</v>
      </c>
      <c r="AI796" s="28">
        <f t="shared" si="225"/>
        <v>0.1724043826360922</v>
      </c>
      <c r="AJ796" s="28">
        <f t="shared" si="225"/>
        <v>0.18061160465503734</v>
      </c>
      <c r="AK796" s="28">
        <f t="shared" si="225"/>
        <v>0.18847566491334045</v>
      </c>
      <c r="AL796" s="28">
        <f t="shared" si="225"/>
        <v>0.19634352004032468</v>
      </c>
      <c r="AM796" s="28">
        <f t="shared" si="225"/>
        <v>0.20452968422624468</v>
      </c>
      <c r="AN796" s="28">
        <f t="shared" si="225"/>
        <v>0.21324011379075677</v>
      </c>
      <c r="AO796" s="28">
        <f t="shared" si="225"/>
        <v>0.22145703784447965</v>
      </c>
      <c r="AP796" s="28">
        <f t="shared" si="225"/>
        <v>0.22980951249966317</v>
      </c>
      <c r="AQ796" s="28">
        <f t="shared" si="225"/>
        <v>0.23831452969822062</v>
      </c>
      <c r="AR796" s="28">
        <f t="shared" si="225"/>
        <v>0.24742341255615688</v>
      </c>
      <c r="AS796" s="28">
        <f t="shared" si="225"/>
        <v>0.25686299121327644</v>
      </c>
      <c r="AT796" s="28">
        <f t="shared" si="225"/>
        <v>0.26213185534496675</v>
      </c>
      <c r="AU796" s="28">
        <f t="shared" si="225"/>
        <v>0.26712574526544797</v>
      </c>
      <c r="AV796" s="28">
        <f t="shared" si="225"/>
        <v>0.27270848288892124</v>
      </c>
      <c r="AW796" s="28">
        <f t="shared" si="225"/>
        <v>0.27806741090761328</v>
      </c>
      <c r="AY796" s="85"/>
      <c r="AZ796" s="85"/>
    </row>
    <row r="797" spans="1:52" x14ac:dyDescent="0.25">
      <c r="A797" s="102" t="str">
        <f t="shared" si="224"/>
        <v>BD Cattle MMN2O</v>
      </c>
      <c r="B797" s="102" t="s">
        <v>1229</v>
      </c>
      <c r="C797" s="102" t="s">
        <v>1233</v>
      </c>
      <c r="D797" t="s">
        <v>15</v>
      </c>
      <c r="E797" t="s">
        <v>657</v>
      </c>
      <c r="F797" t="s">
        <v>6</v>
      </c>
      <c r="G797" t="s">
        <v>136</v>
      </c>
      <c r="H797" t="s">
        <v>1228</v>
      </c>
      <c r="I797" t="s">
        <v>139</v>
      </c>
      <c r="J797" t="s">
        <v>287</v>
      </c>
      <c r="K797" s="28">
        <f t="shared" ref="K797:AW797" si="226">K1411</f>
        <v>5.9534544879771355E-2</v>
      </c>
      <c r="L797" s="28">
        <f t="shared" si="226"/>
        <v>5.9936525469365599E-2</v>
      </c>
      <c r="M797" s="28">
        <f t="shared" si="226"/>
        <v>6.0288156660896548E-2</v>
      </c>
      <c r="N797" s="28">
        <f t="shared" si="226"/>
        <v>6.0333640892584528E-2</v>
      </c>
      <c r="O797" s="28">
        <f t="shared" si="226"/>
        <v>6.0411983022035293E-2</v>
      </c>
      <c r="P797" s="28">
        <f t="shared" si="226"/>
        <v>6.086149571042291E-2</v>
      </c>
      <c r="Q797" s="28">
        <f t="shared" si="226"/>
        <v>6.1220941265471868E-2</v>
      </c>
      <c r="R797" s="28">
        <f t="shared" si="226"/>
        <v>6.1224092905712291E-2</v>
      </c>
      <c r="S797" s="28">
        <f t="shared" si="226"/>
        <v>5.9602036939561669E-2</v>
      </c>
      <c r="T797" s="28">
        <f t="shared" si="226"/>
        <v>6.0385643196681223E-2</v>
      </c>
      <c r="U797" s="28">
        <f t="shared" si="226"/>
        <v>6.0978819669853017E-2</v>
      </c>
      <c r="V797" s="28">
        <f t="shared" si="226"/>
        <v>6.1538467635372317E-2</v>
      </c>
      <c r="W797" s="28">
        <f t="shared" si="226"/>
        <v>6.2187395948101611E-2</v>
      </c>
      <c r="X797" s="28">
        <f t="shared" si="226"/>
        <v>6.3117211952635158E-2</v>
      </c>
      <c r="Y797" s="28">
        <f t="shared" si="226"/>
        <v>6.4085258604249157E-2</v>
      </c>
      <c r="Z797" s="28">
        <f t="shared" si="226"/>
        <v>6.5136775789421397E-2</v>
      </c>
      <c r="AA797" s="28">
        <f t="shared" si="226"/>
        <v>6.6093023202577678E-2</v>
      </c>
      <c r="AB797" s="28">
        <f t="shared" si="226"/>
        <v>6.7188649433805245E-2</v>
      </c>
      <c r="AC797" s="28">
        <f t="shared" si="226"/>
        <v>6.8454554232404832E-2</v>
      </c>
      <c r="AD797" s="28">
        <f t="shared" si="226"/>
        <v>6.9673307405983362E-2</v>
      </c>
      <c r="AE797" s="28">
        <f t="shared" si="226"/>
        <v>7.0955599019075E-2</v>
      </c>
      <c r="AF797" s="28">
        <f t="shared" si="226"/>
        <v>7.2276783381790194E-2</v>
      </c>
      <c r="AG797" s="28">
        <f t="shared" si="226"/>
        <v>7.3746887396473032E-2</v>
      </c>
      <c r="AH797" s="28">
        <f t="shared" si="226"/>
        <v>7.5077879884479282E-2</v>
      </c>
      <c r="AI797" s="28">
        <f t="shared" si="226"/>
        <v>7.6460929017735491E-2</v>
      </c>
      <c r="AJ797" s="28">
        <f t="shared" si="226"/>
        <v>7.7880128375373087E-2</v>
      </c>
      <c r="AK797" s="28">
        <f t="shared" si="226"/>
        <v>7.925690413110191E-2</v>
      </c>
      <c r="AL797" s="28">
        <f t="shared" si="226"/>
        <v>8.0644114608921846E-2</v>
      </c>
      <c r="AM797" s="28">
        <f t="shared" si="226"/>
        <v>8.2090170284588052E-2</v>
      </c>
      <c r="AN797" s="28">
        <f t="shared" si="226"/>
        <v>8.3584106491488411E-2</v>
      </c>
      <c r="AO797" s="28">
        <f t="shared" si="226"/>
        <v>8.5010968574935772E-2</v>
      </c>
      <c r="AP797" s="28">
        <f t="shared" si="226"/>
        <v>8.6467971698133472E-2</v>
      </c>
      <c r="AQ797" s="28">
        <f t="shared" si="226"/>
        <v>8.7957741718516017E-2</v>
      </c>
      <c r="AR797" s="28">
        <f t="shared" si="226"/>
        <v>8.9550905410436282E-2</v>
      </c>
      <c r="AS797" s="28">
        <f t="shared" si="226"/>
        <v>9.1161603152246209E-2</v>
      </c>
      <c r="AT797" s="28">
        <f t="shared" si="226"/>
        <v>9.2125625118884502E-2</v>
      </c>
      <c r="AU797" s="28">
        <f t="shared" si="226"/>
        <v>9.3052192745030571E-2</v>
      </c>
      <c r="AV797" s="28">
        <f t="shared" si="226"/>
        <v>9.4077328885209005E-2</v>
      </c>
      <c r="AW797" s="28">
        <f t="shared" si="226"/>
        <v>9.5072920340837683E-2</v>
      </c>
      <c r="AY797" s="85"/>
      <c r="AZ797" s="85"/>
    </row>
    <row r="798" spans="1:52" x14ac:dyDescent="0.25">
      <c r="A798" s="102" t="str">
        <f t="shared" si="224"/>
        <v>BD Cattle MMN2O</v>
      </c>
      <c r="B798" s="102" t="s">
        <v>1229</v>
      </c>
      <c r="C798" s="102" t="s">
        <v>1233</v>
      </c>
      <c r="D798" t="s">
        <v>15</v>
      </c>
      <c r="E798" t="s">
        <v>657</v>
      </c>
      <c r="F798" t="s">
        <v>6</v>
      </c>
      <c r="G798" t="s">
        <v>137</v>
      </c>
      <c r="H798" t="s">
        <v>1228</v>
      </c>
      <c r="I798" t="s">
        <v>139</v>
      </c>
      <c r="J798" t="s">
        <v>287</v>
      </c>
      <c r="K798" s="28">
        <f t="shared" ref="K798:AW798" si="227">K1412</f>
        <v>0.26067987133037912</v>
      </c>
      <c r="L798" s="28">
        <f t="shared" si="227"/>
        <v>0.2624399964574689</v>
      </c>
      <c r="M798" s="28">
        <f t="shared" si="227"/>
        <v>0.26397966009224005</v>
      </c>
      <c r="N798" s="28">
        <f t="shared" si="227"/>
        <v>0.26417881881072747</v>
      </c>
      <c r="O798" s="28">
        <f t="shared" si="227"/>
        <v>0.26452185017623492</v>
      </c>
      <c r="P798" s="28">
        <f t="shared" si="227"/>
        <v>0.26649010087852709</v>
      </c>
      <c r="Q798" s="28">
        <f t="shared" si="227"/>
        <v>0.26806398073650983</v>
      </c>
      <c r="R798" s="28">
        <f t="shared" si="227"/>
        <v>0.26807778060974324</v>
      </c>
      <c r="S798" s="28">
        <f t="shared" si="227"/>
        <v>0.26097539423220861</v>
      </c>
      <c r="T798" s="28">
        <f t="shared" si="227"/>
        <v>0.26440651777051938</v>
      </c>
      <c r="U798" s="28">
        <f t="shared" si="227"/>
        <v>0.26700381933744832</v>
      </c>
      <c r="V798" s="28">
        <f t="shared" si="227"/>
        <v>0.26945431190334429</v>
      </c>
      <c r="W798" s="28">
        <f t="shared" si="227"/>
        <v>0.27229573026652365</v>
      </c>
      <c r="X798" s="28">
        <f t="shared" si="227"/>
        <v>0.27636705250325572</v>
      </c>
      <c r="Y798" s="28">
        <f t="shared" si="227"/>
        <v>0.28060577267982134</v>
      </c>
      <c r="Z798" s="28">
        <f t="shared" si="227"/>
        <v>0.28520997961691874</v>
      </c>
      <c r="AA798" s="28">
        <f t="shared" si="227"/>
        <v>0.2893970352688095</v>
      </c>
      <c r="AB798" s="28">
        <f t="shared" si="227"/>
        <v>0.29419437949239208</v>
      </c>
      <c r="AC798" s="28">
        <f t="shared" si="227"/>
        <v>0.2997373109229064</v>
      </c>
      <c r="AD798" s="28">
        <f t="shared" si="227"/>
        <v>0.3050737827329042</v>
      </c>
      <c r="AE798" s="28">
        <f t="shared" si="227"/>
        <v>0.31068846599593736</v>
      </c>
      <c r="AF798" s="28">
        <f t="shared" si="227"/>
        <v>0.31647344630227597</v>
      </c>
      <c r="AG798" s="28">
        <f t="shared" si="227"/>
        <v>0.32291049098219599</v>
      </c>
      <c r="AH798" s="28">
        <f t="shared" si="227"/>
        <v>0.32873841746111437</v>
      </c>
      <c r="AI798" s="28">
        <f t="shared" si="227"/>
        <v>0.33479428083974455</v>
      </c>
      <c r="AJ798" s="28">
        <f t="shared" si="227"/>
        <v>0.34100843275252468</v>
      </c>
      <c r="AK798" s="28">
        <f t="shared" si="227"/>
        <v>0.34703682731872076</v>
      </c>
      <c r="AL798" s="28">
        <f t="shared" si="227"/>
        <v>0.35311091169438086</v>
      </c>
      <c r="AM798" s="28">
        <f t="shared" si="227"/>
        <v>0.35944265754429855</v>
      </c>
      <c r="AN798" s="28">
        <f t="shared" si="227"/>
        <v>0.3659840546269007</v>
      </c>
      <c r="AO798" s="28">
        <f t="shared" si="227"/>
        <v>0.3722317587971502</v>
      </c>
      <c r="AP798" s="28">
        <f t="shared" si="227"/>
        <v>0.37861143949262133</v>
      </c>
      <c r="AQ798" s="28">
        <f t="shared" si="227"/>
        <v>0.38513459437705777</v>
      </c>
      <c r="AR798" s="28">
        <f t="shared" si="227"/>
        <v>0.39211047211420524</v>
      </c>
      <c r="AS798" s="28">
        <f t="shared" si="227"/>
        <v>0.3991631250056496</v>
      </c>
      <c r="AT798" s="28">
        <f t="shared" si="227"/>
        <v>0.40338422256724893</v>
      </c>
      <c r="AU798" s="28">
        <f t="shared" si="227"/>
        <v>0.40744132134998817</v>
      </c>
      <c r="AV798" s="28">
        <f t="shared" si="227"/>
        <v>0.41193001539573099</v>
      </c>
      <c r="AW798" s="28">
        <f t="shared" si="227"/>
        <v>0.41628934413629709</v>
      </c>
      <c r="AY798" s="85"/>
      <c r="AZ798" s="85"/>
    </row>
    <row r="799" spans="1:52" x14ac:dyDescent="0.25">
      <c r="A799" s="102" t="str">
        <f t="shared" si="224"/>
        <v>BD Cattle MMN2O</v>
      </c>
      <c r="B799" s="102" t="s">
        <v>1229</v>
      </c>
      <c r="C799" s="102" t="s">
        <v>1233</v>
      </c>
      <c r="D799" t="s">
        <v>15</v>
      </c>
      <c r="E799" t="s">
        <v>657</v>
      </c>
      <c r="F799" t="s">
        <v>67</v>
      </c>
      <c r="G799" t="s">
        <v>307</v>
      </c>
      <c r="H799" t="s">
        <v>1228</v>
      </c>
      <c r="I799" t="s">
        <v>139</v>
      </c>
      <c r="J799" t="s">
        <v>287</v>
      </c>
      <c r="K799" s="28">
        <f t="shared" ref="K799:AW799" si="228">K1413</f>
        <v>1.1598714945443948E-2</v>
      </c>
      <c r="L799" s="28">
        <f t="shared" si="228"/>
        <v>1.1677030119965246E-2</v>
      </c>
      <c r="M799" s="28">
        <f t="shared" si="228"/>
        <v>1.1745536059915416E-2</v>
      </c>
      <c r="N799" s="28">
        <f t="shared" si="228"/>
        <v>1.1754397446845087E-2</v>
      </c>
      <c r="O799" s="28">
        <f t="shared" si="228"/>
        <v>1.1769660316991377E-2</v>
      </c>
      <c r="P799" s="28">
        <f t="shared" si="228"/>
        <v>1.1857235850616387E-2</v>
      </c>
      <c r="Q799" s="28">
        <f t="shared" si="228"/>
        <v>1.1927264210450818E-2</v>
      </c>
      <c r="R799" s="28">
        <f t="shared" si="228"/>
        <v>1.1927878223320707E-2</v>
      </c>
      <c r="S799" s="28">
        <f t="shared" si="228"/>
        <v>1.1611863969496622E-2</v>
      </c>
      <c r="T799" s="28">
        <f t="shared" si="228"/>
        <v>1.1764528705981136E-2</v>
      </c>
      <c r="U799" s="28">
        <f t="shared" si="228"/>
        <v>1.1880093288503061E-2</v>
      </c>
      <c r="V799" s="28">
        <f t="shared" si="228"/>
        <v>1.1989125737394114E-2</v>
      </c>
      <c r="W799" s="28">
        <f t="shared" si="228"/>
        <v>1.2115552075826281E-2</v>
      </c>
      <c r="X799" s="28">
        <f t="shared" si="228"/>
        <v>1.2296701873982557E-2</v>
      </c>
      <c r="Y799" s="28">
        <f t="shared" si="228"/>
        <v>1.2485299891967528E-2</v>
      </c>
      <c r="Z799" s="28">
        <f t="shared" si="228"/>
        <v>1.2690159912577046E-2</v>
      </c>
      <c r="AA799" s="28">
        <f t="shared" si="228"/>
        <v>1.2876459164295801E-2</v>
      </c>
      <c r="AB799" s="28">
        <f t="shared" si="228"/>
        <v>1.3089912653667775E-2</v>
      </c>
      <c r="AC799" s="28">
        <f t="shared" si="228"/>
        <v>1.3336540371015372E-2</v>
      </c>
      <c r="AD799" s="28">
        <f t="shared" si="228"/>
        <v>1.3573981854405228E-2</v>
      </c>
      <c r="AE799" s="28">
        <f t="shared" si="228"/>
        <v>1.3823802104601461E-2</v>
      </c>
      <c r="AF799" s="28">
        <f t="shared" si="228"/>
        <v>1.4081199567611519E-2</v>
      </c>
      <c r="AG799" s="28">
        <f t="shared" si="228"/>
        <v>1.4367610044770513E-2</v>
      </c>
      <c r="AH799" s="28">
        <f t="shared" si="228"/>
        <v>1.4626918358860899E-2</v>
      </c>
      <c r="AI799" s="28">
        <f t="shared" si="228"/>
        <v>1.4896368519008723E-2</v>
      </c>
      <c r="AJ799" s="28">
        <f t="shared" si="228"/>
        <v>1.5172861584223856E-2</v>
      </c>
      <c r="AK799" s="28">
        <f t="shared" si="228"/>
        <v>1.5441089544423183E-2</v>
      </c>
      <c r="AL799" s="28">
        <f t="shared" si="228"/>
        <v>1.5711350431342863E-2</v>
      </c>
      <c r="AM799" s="28">
        <f t="shared" si="228"/>
        <v>1.5993075732362048E-2</v>
      </c>
      <c r="AN799" s="28">
        <f t="shared" si="228"/>
        <v>1.6284129275233806E-2</v>
      </c>
      <c r="AO799" s="28">
        <f t="shared" si="228"/>
        <v>1.6562115217778419E-2</v>
      </c>
      <c r="AP799" s="28">
        <f t="shared" si="228"/>
        <v>1.6845973336366879E-2</v>
      </c>
      <c r="AQ799" s="28">
        <f t="shared" si="228"/>
        <v>1.7136215209141423E-2</v>
      </c>
      <c r="AR799" s="28">
        <f t="shared" si="228"/>
        <v>1.7446600575508658E-2</v>
      </c>
      <c r="AS799" s="28">
        <f t="shared" si="228"/>
        <v>1.7760401982880657E-2</v>
      </c>
      <c r="AT799" s="28">
        <f t="shared" si="228"/>
        <v>1.7948215898562121E-2</v>
      </c>
      <c r="AU799" s="28">
        <f t="shared" si="228"/>
        <v>1.8128732837005983E-2</v>
      </c>
      <c r="AV799" s="28">
        <f t="shared" si="228"/>
        <v>1.8328453216060109E-2</v>
      </c>
      <c r="AW799" s="28">
        <f t="shared" si="228"/>
        <v>1.852241760294299E-2</v>
      </c>
      <c r="AY799" s="85"/>
      <c r="AZ799" s="85"/>
    </row>
    <row r="800" spans="1:52" x14ac:dyDescent="0.25">
      <c r="A800" s="102" t="str">
        <f t="shared" si="224"/>
        <v>BD Cattle MMN2O</v>
      </c>
      <c r="B800" s="102" t="s">
        <v>1229</v>
      </c>
      <c r="C800" s="102" t="s">
        <v>1233</v>
      </c>
      <c r="D800" t="s">
        <v>15</v>
      </c>
      <c r="E800" t="s">
        <v>657</v>
      </c>
      <c r="F800" t="s">
        <v>67</v>
      </c>
      <c r="G800" t="s">
        <v>122</v>
      </c>
      <c r="H800" t="s">
        <v>1228</v>
      </c>
      <c r="I800" t="s">
        <v>139</v>
      </c>
      <c r="J800" t="s">
        <v>287</v>
      </c>
      <c r="K800" s="28">
        <f t="shared" ref="K800:AW800" si="229">K1414</f>
        <v>0.52784381686908488</v>
      </c>
      <c r="L800" s="28">
        <f t="shared" si="229"/>
        <v>0.52515644938547934</v>
      </c>
      <c r="M800" s="28">
        <f t="shared" si="229"/>
        <v>0.52025151153580673</v>
      </c>
      <c r="N800" s="28">
        <f t="shared" si="229"/>
        <v>0.50682531077398352</v>
      </c>
      <c r="O800" s="28">
        <f t="shared" si="229"/>
        <v>0.4939348964332157</v>
      </c>
      <c r="P800" s="28">
        <f t="shared" si="229"/>
        <v>0.48971543421207564</v>
      </c>
      <c r="Q800" s="28">
        <f t="shared" si="229"/>
        <v>0.48290055380478719</v>
      </c>
      <c r="R800" s="28">
        <f t="shared" si="229"/>
        <v>0.46758884489133185</v>
      </c>
      <c r="S800" s="28">
        <f t="shared" si="229"/>
        <v>0.41621648904191116</v>
      </c>
      <c r="T800" s="28">
        <f t="shared" si="229"/>
        <v>0.42638667208573666</v>
      </c>
      <c r="U800" s="28">
        <f t="shared" si="229"/>
        <v>0.43187985525495859</v>
      </c>
      <c r="V800" s="28">
        <f t="shared" si="229"/>
        <v>0.4362459859607159</v>
      </c>
      <c r="W800" s="28">
        <f t="shared" si="229"/>
        <v>0.44211378477911739</v>
      </c>
      <c r="X800" s="28">
        <f t="shared" si="229"/>
        <v>0.45337915493608988</v>
      </c>
      <c r="Y800" s="28">
        <f t="shared" si="229"/>
        <v>0.46570884205291363</v>
      </c>
      <c r="Z800" s="28">
        <f t="shared" si="229"/>
        <v>0.47914332985830105</v>
      </c>
      <c r="AA800" s="28">
        <f t="shared" si="229"/>
        <v>0.49009752442785343</v>
      </c>
      <c r="AB800" s="28">
        <f t="shared" si="229"/>
        <v>0.50324660614266314</v>
      </c>
      <c r="AC800" s="28">
        <f t="shared" si="229"/>
        <v>0.51908497467197146</v>
      </c>
      <c r="AD800" s="28">
        <f t="shared" si="229"/>
        <v>0.52951816182604061</v>
      </c>
      <c r="AE800" s="28">
        <f t="shared" si="229"/>
        <v>0.54017530186644991</v>
      </c>
      <c r="AF800" s="28">
        <f t="shared" si="229"/>
        <v>0.55055968982828007</v>
      </c>
      <c r="AG800" s="28">
        <f t="shared" si="229"/>
        <v>0.56257359948982233</v>
      </c>
      <c r="AH800" s="28">
        <f t="shared" si="229"/>
        <v>0.571134780275243</v>
      </c>
      <c r="AI800" s="28">
        <f t="shared" si="229"/>
        <v>0.58015385111091267</v>
      </c>
      <c r="AJ800" s="28">
        <f t="shared" si="229"/>
        <v>0.58878429113613517</v>
      </c>
      <c r="AK800" s="28">
        <f t="shared" si="229"/>
        <v>0.5957568629631379</v>
      </c>
      <c r="AL800" s="28">
        <f t="shared" si="229"/>
        <v>0.60196210030255271</v>
      </c>
      <c r="AM800" s="28">
        <f t="shared" si="229"/>
        <v>0.60813947691884929</v>
      </c>
      <c r="AN800" s="28">
        <f t="shared" si="229"/>
        <v>0.61764741655645328</v>
      </c>
      <c r="AO800" s="28">
        <f t="shared" si="229"/>
        <v>0.62539054666282456</v>
      </c>
      <c r="AP800" s="28">
        <f t="shared" si="229"/>
        <v>0.63282578397368294</v>
      </c>
      <c r="AQ800" s="28">
        <f t="shared" si="229"/>
        <v>0.6399775293303559</v>
      </c>
      <c r="AR800" s="28">
        <f t="shared" si="229"/>
        <v>0.64779293053044351</v>
      </c>
      <c r="AS800" s="28">
        <f t="shared" si="229"/>
        <v>0.6554480309562406</v>
      </c>
      <c r="AT800" s="28">
        <f t="shared" si="229"/>
        <v>0.65387085498126252</v>
      </c>
      <c r="AU800" s="28">
        <f t="shared" si="229"/>
        <v>0.65139607098171814</v>
      </c>
      <c r="AV800" s="28">
        <f t="shared" si="229"/>
        <v>0.64976027386415824</v>
      </c>
      <c r="AW800" s="28">
        <f t="shared" si="229"/>
        <v>0.64732609029644417</v>
      </c>
      <c r="AY800" s="85"/>
      <c r="AZ800" s="85"/>
    </row>
    <row r="801" spans="1:52" x14ac:dyDescent="0.25">
      <c r="A801" s="102" t="str">
        <f t="shared" si="224"/>
        <v>BD Cattle MMN2O</v>
      </c>
      <c r="B801" s="102" t="s">
        <v>1229</v>
      </c>
      <c r="C801" s="102" t="s">
        <v>1233</v>
      </c>
      <c r="D801" t="s">
        <v>15</v>
      </c>
      <c r="E801" t="s">
        <v>657</v>
      </c>
      <c r="F801" t="s">
        <v>67</v>
      </c>
      <c r="G801" t="s">
        <v>123</v>
      </c>
      <c r="H801" t="s">
        <v>1228</v>
      </c>
      <c r="I801" t="s">
        <v>139</v>
      </c>
      <c r="J801" t="s">
        <v>287</v>
      </c>
      <c r="K801" s="28">
        <f t="shared" ref="K801:AW801" si="230">K1415</f>
        <v>0.80849535264982253</v>
      </c>
      <c r="L801" s="28">
        <f t="shared" si="230"/>
        <v>0.80437912725905281</v>
      </c>
      <c r="M801" s="28">
        <f t="shared" si="230"/>
        <v>0.79686626203308752</v>
      </c>
      <c r="N801" s="28">
        <f t="shared" si="230"/>
        <v>0.77630142718465789</v>
      </c>
      <c r="O801" s="28">
        <f t="shared" si="230"/>
        <v>0.75655725333024249</v>
      </c>
      <c r="P801" s="28">
        <f t="shared" si="230"/>
        <v>0.75009432720048652</v>
      </c>
      <c r="Q801" s="28">
        <f t="shared" si="230"/>
        <v>0.73965601389251134</v>
      </c>
      <c r="R801" s="28">
        <f t="shared" si="230"/>
        <v>0.71620315700184167</v>
      </c>
      <c r="S801" s="28">
        <f t="shared" si="230"/>
        <v>0.63751641362897982</v>
      </c>
      <c r="T801" s="28">
        <f t="shared" si="230"/>
        <v>0.65309402477786682</v>
      </c>
      <c r="U801" s="28">
        <f t="shared" si="230"/>
        <v>0.66150790199236797</v>
      </c>
      <c r="V801" s="28">
        <f t="shared" si="230"/>
        <v>0.66819547940040647</v>
      </c>
      <c r="W801" s="28">
        <f t="shared" si="230"/>
        <v>0.67718315326026413</v>
      </c>
      <c r="X801" s="28">
        <f t="shared" si="230"/>
        <v>0.69443825624094591</v>
      </c>
      <c r="Y801" s="28">
        <f t="shared" si="230"/>
        <v>0.7133235674163364</v>
      </c>
      <c r="Z801" s="28">
        <f t="shared" si="230"/>
        <v>0.73390109548195415</v>
      </c>
      <c r="AA801" s="28">
        <f t="shared" si="230"/>
        <v>0.75067957259671325</v>
      </c>
      <c r="AB801" s="28">
        <f t="shared" si="230"/>
        <v>0.7708199457872037</v>
      </c>
      <c r="AC801" s="28">
        <f t="shared" si="230"/>
        <v>0.79507948419660579</v>
      </c>
      <c r="AD801" s="28">
        <f t="shared" si="230"/>
        <v>0.81105993723558278</v>
      </c>
      <c r="AE801" s="28">
        <f t="shared" si="230"/>
        <v>0.82738341762854573</v>
      </c>
      <c r="AF801" s="28">
        <f t="shared" si="230"/>
        <v>0.84328912522412203</v>
      </c>
      <c r="AG801" s="28">
        <f t="shared" si="230"/>
        <v>0.86169076187892979</v>
      </c>
      <c r="AH801" s="28">
        <f t="shared" si="230"/>
        <v>0.8748038734793715</v>
      </c>
      <c r="AI801" s="28">
        <f t="shared" si="230"/>
        <v>0.88861833264858248</v>
      </c>
      <c r="AJ801" s="28">
        <f t="shared" si="230"/>
        <v>0.90183752823015395</v>
      </c>
      <c r="AK801" s="28">
        <f t="shared" si="230"/>
        <v>0.9125173765829987</v>
      </c>
      <c r="AL801" s="28">
        <f t="shared" si="230"/>
        <v>0.92202190309382137</v>
      </c>
      <c r="AM801" s="28">
        <f t="shared" si="230"/>
        <v>0.93148375549453255</v>
      </c>
      <c r="AN801" s="28">
        <f t="shared" si="230"/>
        <v>0.94604701220913134</v>
      </c>
      <c r="AO801" s="28">
        <f t="shared" si="230"/>
        <v>0.95790712026741442</v>
      </c>
      <c r="AP801" s="28">
        <f t="shared" si="230"/>
        <v>0.96929563069334712</v>
      </c>
      <c r="AQ801" s="28">
        <f t="shared" si="230"/>
        <v>0.98024991811590712</v>
      </c>
      <c r="AR801" s="28">
        <f t="shared" si="230"/>
        <v>0.99222072339471901</v>
      </c>
      <c r="AS801" s="28">
        <f t="shared" si="230"/>
        <v>1.0039459968951938</v>
      </c>
      <c r="AT801" s="28">
        <f t="shared" si="230"/>
        <v>1.0015302454828838</v>
      </c>
      <c r="AU801" s="28">
        <f t="shared" si="230"/>
        <v>0.99773963299771362</v>
      </c>
      <c r="AV801" s="28">
        <f t="shared" si="230"/>
        <v>0.99523409191688805</v>
      </c>
      <c r="AW801" s="28">
        <f t="shared" si="230"/>
        <v>0.99150566688073472</v>
      </c>
      <c r="AY801" s="85"/>
      <c r="AZ801" s="85"/>
    </row>
    <row r="802" spans="1:52" x14ac:dyDescent="0.25">
      <c r="A802" s="102" t="str">
        <f t="shared" si="224"/>
        <v>BD Cattle MMN2O</v>
      </c>
      <c r="B802" s="102" t="s">
        <v>1229</v>
      </c>
      <c r="C802" s="102" t="s">
        <v>1233</v>
      </c>
      <c r="D802" t="s">
        <v>15</v>
      </c>
      <c r="E802" t="s">
        <v>657</v>
      </c>
      <c r="F802" t="s">
        <v>67</v>
      </c>
      <c r="G802" t="s">
        <v>135</v>
      </c>
      <c r="H802" t="s">
        <v>1228</v>
      </c>
      <c r="I802" t="s">
        <v>139</v>
      </c>
      <c r="J802" t="s">
        <v>287</v>
      </c>
      <c r="K802" s="28">
        <f t="shared" ref="K802:AW802" si="231">K1416</f>
        <v>0.98205986457809369</v>
      </c>
      <c r="L802" s="28">
        <f t="shared" si="231"/>
        <v>1.0186966250855221</v>
      </c>
      <c r="M802" s="28">
        <f t="shared" si="231"/>
        <v>1.0516100331905254</v>
      </c>
      <c r="N802" s="28">
        <f t="shared" si="231"/>
        <v>1.0670554052779846</v>
      </c>
      <c r="O802" s="28">
        <f t="shared" si="231"/>
        <v>1.0827371051777117</v>
      </c>
      <c r="P802" s="28">
        <f t="shared" si="231"/>
        <v>1.1173522594931429</v>
      </c>
      <c r="Q802" s="28">
        <f t="shared" si="231"/>
        <v>1.1465503025323129</v>
      </c>
      <c r="R802" s="28">
        <f t="shared" si="231"/>
        <v>1.1550738596088039</v>
      </c>
      <c r="S802" s="28">
        <f t="shared" si="231"/>
        <v>1.0695943528873249</v>
      </c>
      <c r="T802" s="28">
        <f t="shared" si="231"/>
        <v>1.1219950081899948</v>
      </c>
      <c r="U802" s="28">
        <f t="shared" si="231"/>
        <v>1.1633173415255618</v>
      </c>
      <c r="V802" s="28">
        <f t="shared" si="231"/>
        <v>1.2025059899255817</v>
      </c>
      <c r="W802" s="28">
        <f t="shared" si="231"/>
        <v>1.2467916832467774</v>
      </c>
      <c r="X802" s="28">
        <f t="shared" si="231"/>
        <v>1.3077319490194745</v>
      </c>
      <c r="Y802" s="28">
        <f t="shared" si="231"/>
        <v>1.3736346071286145</v>
      </c>
      <c r="Z802" s="28">
        <f t="shared" si="231"/>
        <v>1.444880911122689</v>
      </c>
      <c r="AA802" s="28">
        <f t="shared" si="231"/>
        <v>1.5106946759567434</v>
      </c>
      <c r="AB802" s="28">
        <f t="shared" si="231"/>
        <v>1.5853572340052999</v>
      </c>
      <c r="AC802" s="28">
        <f t="shared" si="231"/>
        <v>1.6709659686150751</v>
      </c>
      <c r="AD802" s="28">
        <f t="shared" si="231"/>
        <v>1.7608921819876218</v>
      </c>
      <c r="AE802" s="28">
        <f t="shared" si="231"/>
        <v>1.8558227828840355</v>
      </c>
      <c r="AF802" s="28">
        <f t="shared" si="231"/>
        <v>1.9543039033617708</v>
      </c>
      <c r="AG802" s="28">
        <f t="shared" si="231"/>
        <v>2.0634682331223644</v>
      </c>
      <c r="AH802" s="28">
        <f t="shared" si="231"/>
        <v>2.1649176431538755</v>
      </c>
      <c r="AI802" s="28">
        <f t="shared" si="231"/>
        <v>2.2729641706273069</v>
      </c>
      <c r="AJ802" s="28">
        <f t="shared" si="231"/>
        <v>2.3846427633469691</v>
      </c>
      <c r="AK802" s="28">
        <f t="shared" si="231"/>
        <v>2.4947887072389494</v>
      </c>
      <c r="AL802" s="28">
        <f t="shared" si="231"/>
        <v>2.6068756949224299</v>
      </c>
      <c r="AM802" s="28">
        <f t="shared" si="231"/>
        <v>2.7241988792314307</v>
      </c>
      <c r="AN802" s="28">
        <f t="shared" si="231"/>
        <v>2.844574694525166</v>
      </c>
      <c r="AO802" s="28">
        <f t="shared" si="231"/>
        <v>2.9614918045068643</v>
      </c>
      <c r="AP802" s="28">
        <f t="shared" si="231"/>
        <v>3.0815745118174522</v>
      </c>
      <c r="AQ802" s="28">
        <f t="shared" si="231"/>
        <v>3.2050489971777192</v>
      </c>
      <c r="AR802" s="28">
        <f t="shared" si="231"/>
        <v>3.3369151668424974</v>
      </c>
      <c r="AS802" s="28">
        <f t="shared" si="231"/>
        <v>3.4733559158161165</v>
      </c>
      <c r="AT802" s="28">
        <f t="shared" si="231"/>
        <v>3.5651160309626517</v>
      </c>
      <c r="AU802" s="28">
        <f t="shared" si="231"/>
        <v>3.6548683550042269</v>
      </c>
      <c r="AV802" s="28">
        <f t="shared" si="231"/>
        <v>3.7523616710832552</v>
      </c>
      <c r="AW802" s="28">
        <f t="shared" si="231"/>
        <v>3.8484469226935669</v>
      </c>
      <c r="AY802" s="85"/>
      <c r="AZ802" s="85"/>
    </row>
    <row r="803" spans="1:52" x14ac:dyDescent="0.25">
      <c r="A803" s="102" t="str">
        <f t="shared" si="224"/>
        <v>BD Sheep MMN2O</v>
      </c>
      <c r="B803" s="102" t="s">
        <v>1229</v>
      </c>
      <c r="C803" s="102" t="s">
        <v>1329</v>
      </c>
      <c r="D803" t="s">
        <v>15</v>
      </c>
      <c r="E803" t="s">
        <v>657</v>
      </c>
      <c r="F803" t="s">
        <v>18</v>
      </c>
      <c r="G803" t="s">
        <v>122</v>
      </c>
      <c r="H803" t="s">
        <v>1228</v>
      </c>
      <c r="I803" t="s">
        <v>139</v>
      </c>
      <c r="J803" t="s">
        <v>287</v>
      </c>
      <c r="K803" s="28">
        <f t="shared" ref="K803:AW803" si="232">K1417</f>
        <v>0.11717139101759612</v>
      </c>
      <c r="L803" s="28">
        <f t="shared" si="232"/>
        <v>0.11723462618367245</v>
      </c>
      <c r="M803" s="28">
        <f t="shared" si="232"/>
        <v>0.11737999843906115</v>
      </c>
      <c r="N803" s="28">
        <f t="shared" si="232"/>
        <v>0.1175958170956644</v>
      </c>
      <c r="O803" s="28">
        <f t="shared" si="232"/>
        <v>0.1178871134646596</v>
      </c>
      <c r="P803" s="28">
        <f t="shared" si="232"/>
        <v>0.11825974180541671</v>
      </c>
      <c r="Q803" s="28">
        <f t="shared" si="232"/>
        <v>0.11867033947255794</v>
      </c>
      <c r="R803" s="28">
        <f t="shared" si="232"/>
        <v>0.11911252923744317</v>
      </c>
      <c r="S803" s="28">
        <f t="shared" si="232"/>
        <v>0.11955062486439895</v>
      </c>
      <c r="T803" s="28">
        <f t="shared" si="232"/>
        <v>0.11972991314052749</v>
      </c>
      <c r="U803" s="28">
        <f t="shared" si="232"/>
        <v>0.11993350054454542</v>
      </c>
      <c r="V803" s="28">
        <f t="shared" si="232"/>
        <v>0.12016374349275831</v>
      </c>
      <c r="W803" s="28">
        <f t="shared" si="232"/>
        <v>0.12042231214139444</v>
      </c>
      <c r="X803" s="28">
        <f t="shared" si="232"/>
        <v>0.12071286205990268</v>
      </c>
      <c r="Y803" s="28">
        <f t="shared" si="232"/>
        <v>0.12089554719264045</v>
      </c>
      <c r="Z803" s="28">
        <f t="shared" si="232"/>
        <v>0.12110125995232866</v>
      </c>
      <c r="AA803" s="28">
        <f t="shared" si="232"/>
        <v>0.12132427506998271</v>
      </c>
      <c r="AB803" s="28">
        <f t="shared" si="232"/>
        <v>0.12156982110770359</v>
      </c>
      <c r="AC803" s="28">
        <f t="shared" si="232"/>
        <v>0.12183786994920162</v>
      </c>
      <c r="AD803" s="28">
        <f t="shared" si="232"/>
        <v>0.12201528623614287</v>
      </c>
      <c r="AE803" s="28">
        <f t="shared" si="232"/>
        <v>0.12220996410772501</v>
      </c>
      <c r="AF803" s="28">
        <f t="shared" si="232"/>
        <v>0.1224205957767</v>
      </c>
      <c r="AG803" s="28">
        <f t="shared" si="232"/>
        <v>0.12264946134615734</v>
      </c>
      <c r="AH803" s="28">
        <f t="shared" si="232"/>
        <v>0.12288846185835746</v>
      </c>
      <c r="AI803" s="28">
        <f t="shared" si="232"/>
        <v>0.12304136792276418</v>
      </c>
      <c r="AJ803" s="28">
        <f t="shared" si="232"/>
        <v>0.12320724493915225</v>
      </c>
      <c r="AK803" s="28">
        <f t="shared" si="232"/>
        <v>0.12338358070705197</v>
      </c>
      <c r="AL803" s="28">
        <f t="shared" si="232"/>
        <v>0.12357134049580157</v>
      </c>
      <c r="AM803" s="28">
        <f t="shared" si="232"/>
        <v>0.12377140391233164</v>
      </c>
      <c r="AN803" s="28">
        <f t="shared" si="232"/>
        <v>0.1238893184922704</v>
      </c>
      <c r="AO803" s="28">
        <f t="shared" si="232"/>
        <v>0.12401495917055069</v>
      </c>
      <c r="AP803" s="28">
        <f t="shared" si="232"/>
        <v>0.12415054004629532</v>
      </c>
      <c r="AQ803" s="28">
        <f t="shared" si="232"/>
        <v>0.12429582194532131</v>
      </c>
      <c r="AR803" s="28">
        <f t="shared" si="232"/>
        <v>0.12445236467960287</v>
      </c>
      <c r="AS803" s="28">
        <f t="shared" si="232"/>
        <v>0.12452291839205781</v>
      </c>
      <c r="AT803" s="28">
        <f t="shared" si="232"/>
        <v>0.12458415812408247</v>
      </c>
      <c r="AU803" s="28">
        <f t="shared" si="232"/>
        <v>0.12465176490232828</v>
      </c>
      <c r="AV803" s="28">
        <f t="shared" si="232"/>
        <v>0.12472905780449089</v>
      </c>
      <c r="AW803" s="28">
        <f t="shared" si="232"/>
        <v>0.12481246580884831</v>
      </c>
      <c r="AY803" s="85"/>
      <c r="AZ803" s="85"/>
    </row>
    <row r="804" spans="1:52" x14ac:dyDescent="0.25">
      <c r="A804" s="102" t="str">
        <f t="shared" si="224"/>
        <v>BD Sheep MMN2O</v>
      </c>
      <c r="B804" s="102" t="s">
        <v>1229</v>
      </c>
      <c r="C804" s="102" t="s">
        <v>1329</v>
      </c>
      <c r="D804" t="s">
        <v>15</v>
      </c>
      <c r="E804" t="s">
        <v>657</v>
      </c>
      <c r="F804" t="s">
        <v>18</v>
      </c>
      <c r="G804" t="s">
        <v>123</v>
      </c>
      <c r="H804" t="s">
        <v>1228</v>
      </c>
      <c r="I804" t="s">
        <v>139</v>
      </c>
      <c r="J804" t="s">
        <v>287</v>
      </c>
      <c r="K804" s="28">
        <f t="shared" ref="K804:AW804" si="233">K1418</f>
        <v>6.2656398763200921E-2</v>
      </c>
      <c r="L804" s="28">
        <f t="shared" si="233"/>
        <v>6.2690213227185057E-2</v>
      </c>
      <c r="M804" s="28">
        <f t="shared" si="233"/>
        <v>6.276794979686845E-2</v>
      </c>
      <c r="N804" s="28">
        <f t="shared" si="233"/>
        <v>6.2883356976822818E-2</v>
      </c>
      <c r="O804" s="28">
        <f t="shared" si="233"/>
        <v>6.303912521764958E-2</v>
      </c>
      <c r="P804" s="28">
        <f t="shared" si="233"/>
        <v>6.3238385034454531E-2</v>
      </c>
      <c r="Q804" s="28">
        <f t="shared" si="233"/>
        <v>6.3457948623656765E-2</v>
      </c>
      <c r="R804" s="28">
        <f t="shared" si="233"/>
        <v>6.3694405816808061E-2</v>
      </c>
      <c r="S804" s="28">
        <f t="shared" si="233"/>
        <v>6.3928673704733319E-2</v>
      </c>
      <c r="T804" s="28">
        <f t="shared" si="233"/>
        <v>6.4024546576303062E-2</v>
      </c>
      <c r="U804" s="28">
        <f t="shared" si="233"/>
        <v>6.4133413198594794E-2</v>
      </c>
      <c r="V804" s="28">
        <f t="shared" si="233"/>
        <v>6.4256533645065173E-2</v>
      </c>
      <c r="W804" s="28">
        <f t="shared" si="233"/>
        <v>6.4394801017466488E-2</v>
      </c>
      <c r="X804" s="28">
        <f t="shared" si="233"/>
        <v>6.4550170100282397E-2</v>
      </c>
      <c r="Y804" s="28">
        <f t="shared" si="233"/>
        <v>6.4647859411858508E-2</v>
      </c>
      <c r="Z804" s="28">
        <f t="shared" si="233"/>
        <v>6.4757862549909215E-2</v>
      </c>
      <c r="AA804" s="28">
        <f t="shared" si="233"/>
        <v>6.4877117975833593E-2</v>
      </c>
      <c r="AB804" s="28">
        <f t="shared" si="233"/>
        <v>6.5008421618476642E-2</v>
      </c>
      <c r="AC804" s="28">
        <f t="shared" si="233"/>
        <v>6.5151758442893073E-2</v>
      </c>
      <c r="AD804" s="28">
        <f t="shared" si="233"/>
        <v>6.5246630284262655E-2</v>
      </c>
      <c r="AE804" s="28">
        <f t="shared" si="233"/>
        <v>6.5350732610319262E-2</v>
      </c>
      <c r="AF804" s="28">
        <f t="shared" si="233"/>
        <v>6.5463366093022182E-2</v>
      </c>
      <c r="AG804" s="28">
        <f t="shared" si="233"/>
        <v>6.5585749997988649E-2</v>
      </c>
      <c r="AH804" s="28">
        <f t="shared" si="233"/>
        <v>6.571355347686661E-2</v>
      </c>
      <c r="AI804" s="28">
        <f t="shared" si="233"/>
        <v>6.5795318686458951E-2</v>
      </c>
      <c r="AJ804" s="28">
        <f t="shared" si="233"/>
        <v>6.5884020001636651E-2</v>
      </c>
      <c r="AK804" s="28">
        <f t="shared" si="233"/>
        <v>6.5978314044694314E-2</v>
      </c>
      <c r="AL804" s="28">
        <f t="shared" si="233"/>
        <v>6.6078716985151179E-2</v>
      </c>
      <c r="AM804" s="28">
        <f t="shared" si="233"/>
        <v>6.6185699185286995E-2</v>
      </c>
      <c r="AN804" s="28">
        <f t="shared" si="233"/>
        <v>6.6248752997966662E-2</v>
      </c>
      <c r="AO804" s="28">
        <f t="shared" si="233"/>
        <v>6.6315938275625666E-2</v>
      </c>
      <c r="AP804" s="28">
        <f t="shared" si="233"/>
        <v>6.6388438988824877E-2</v>
      </c>
      <c r="AQ804" s="28">
        <f t="shared" si="233"/>
        <v>6.6466127241216463E-2</v>
      </c>
      <c r="AR804" s="28">
        <f t="shared" si="233"/>
        <v>6.6549837128906997E-2</v>
      </c>
      <c r="AS804" s="28">
        <f t="shared" si="233"/>
        <v>6.658756512294553E-2</v>
      </c>
      <c r="AT804" s="28">
        <f t="shared" si="233"/>
        <v>6.66203125456446E-2</v>
      </c>
      <c r="AU804" s="28">
        <f t="shared" si="233"/>
        <v>6.6656464691830439E-2</v>
      </c>
      <c r="AV804" s="28">
        <f t="shared" si="233"/>
        <v>6.6697796409900922E-2</v>
      </c>
      <c r="AW804" s="28">
        <f t="shared" si="233"/>
        <v>6.6742398126545865E-2</v>
      </c>
      <c r="AY804" s="85"/>
      <c r="AZ804" s="85"/>
    </row>
    <row r="805" spans="1:52" x14ac:dyDescent="0.25">
      <c r="A805" s="102" t="str">
        <f t="shared" si="224"/>
        <v>BD Goats MMN2O</v>
      </c>
      <c r="B805" s="102" t="s">
        <v>1229</v>
      </c>
      <c r="C805" s="102" t="s">
        <v>1330</v>
      </c>
      <c r="D805" t="s">
        <v>15</v>
      </c>
      <c r="E805" t="s">
        <v>657</v>
      </c>
      <c r="F805" t="s">
        <v>19</v>
      </c>
      <c r="G805" t="s">
        <v>122</v>
      </c>
      <c r="H805" t="s">
        <v>1228</v>
      </c>
      <c r="I805" t="s">
        <v>139</v>
      </c>
      <c r="J805" t="s">
        <v>287</v>
      </c>
      <c r="K805" s="28">
        <f t="shared" ref="K805:AW805" si="234">K1419</f>
        <v>1.4482807028187926E-2</v>
      </c>
      <c r="L805" s="28">
        <f t="shared" si="234"/>
        <v>1.4520450251739283E-2</v>
      </c>
      <c r="M805" s="28">
        <f t="shared" si="234"/>
        <v>1.4571212872745463E-2</v>
      </c>
      <c r="N805" s="28">
        <f t="shared" si="234"/>
        <v>1.4633040456364911E-2</v>
      </c>
      <c r="O805" s="28">
        <f t="shared" si="234"/>
        <v>1.4707094987006923E-2</v>
      </c>
      <c r="P805" s="28">
        <f t="shared" si="234"/>
        <v>1.4794644538423191E-2</v>
      </c>
      <c r="Q805" s="28">
        <f t="shared" si="234"/>
        <v>1.4887429784482062E-2</v>
      </c>
      <c r="R805" s="28">
        <f t="shared" si="234"/>
        <v>1.4984365063470912E-2</v>
      </c>
      <c r="S805" s="28">
        <f t="shared" si="234"/>
        <v>1.5078737379247895E-2</v>
      </c>
      <c r="T805" s="28">
        <f t="shared" si="234"/>
        <v>1.5122022085784054E-2</v>
      </c>
      <c r="U805" s="28">
        <f t="shared" si="234"/>
        <v>1.5168700186651049E-2</v>
      </c>
      <c r="V805" s="28">
        <f t="shared" si="234"/>
        <v>1.5219291662698977E-2</v>
      </c>
      <c r="W805" s="28">
        <f t="shared" si="234"/>
        <v>1.5274171031448219E-2</v>
      </c>
      <c r="X805" s="28">
        <f t="shared" si="234"/>
        <v>1.5334076575093777E-2</v>
      </c>
      <c r="Y805" s="28">
        <f t="shared" si="234"/>
        <v>1.5372633836154437E-2</v>
      </c>
      <c r="Z805" s="28">
        <f t="shared" si="234"/>
        <v>1.5414710813994566E-2</v>
      </c>
      <c r="AA805" s="28">
        <f t="shared" si="234"/>
        <v>1.5459260848218298E-2</v>
      </c>
      <c r="AB805" s="28">
        <f t="shared" si="234"/>
        <v>1.5507296791102529E-2</v>
      </c>
      <c r="AC805" s="28">
        <f t="shared" si="234"/>
        <v>1.5558834836357003E-2</v>
      </c>
      <c r="AD805" s="28">
        <f t="shared" si="234"/>
        <v>1.5592757830860556E-2</v>
      </c>
      <c r="AE805" s="28">
        <f t="shared" si="234"/>
        <v>1.562932478627909E-2</v>
      </c>
      <c r="AF805" s="28">
        <f t="shared" si="234"/>
        <v>1.5668308058264361E-2</v>
      </c>
      <c r="AG805" s="28">
        <f t="shared" si="234"/>
        <v>1.5710145809478677E-2</v>
      </c>
      <c r="AH805" s="28">
        <f t="shared" si="234"/>
        <v>1.5753347197297651E-2</v>
      </c>
      <c r="AI805" s="28">
        <f t="shared" si="234"/>
        <v>1.5780128357590142E-2</v>
      </c>
      <c r="AJ805" s="28">
        <f t="shared" si="234"/>
        <v>1.5808895494916663E-2</v>
      </c>
      <c r="AK805" s="28">
        <f t="shared" si="234"/>
        <v>1.5839194459493416E-2</v>
      </c>
      <c r="AL805" s="28">
        <f t="shared" si="234"/>
        <v>1.5871212894447165E-2</v>
      </c>
      <c r="AM805" s="28">
        <f t="shared" si="234"/>
        <v>1.5905120208325661E-2</v>
      </c>
      <c r="AN805" s="28">
        <f t="shared" si="234"/>
        <v>1.5923608440521576E-2</v>
      </c>
      <c r="AO805" s="28">
        <f t="shared" si="234"/>
        <v>1.5943219194385971E-2</v>
      </c>
      <c r="AP805" s="28">
        <f t="shared" si="234"/>
        <v>1.5964364076511545E-2</v>
      </c>
      <c r="AQ805" s="28">
        <f t="shared" si="234"/>
        <v>1.5987003748719163E-2</v>
      </c>
      <c r="AR805" s="28">
        <f t="shared" si="234"/>
        <v>1.6011426014492076E-2</v>
      </c>
      <c r="AS805" s="28">
        <f t="shared" si="234"/>
        <v>1.6019956720470994E-2</v>
      </c>
      <c r="AT805" s="28">
        <f t="shared" si="234"/>
        <v>1.6026597354274651E-2</v>
      </c>
      <c r="AU805" s="28">
        <f t="shared" si="234"/>
        <v>1.6034206571030277E-2</v>
      </c>
      <c r="AV805" s="28">
        <f t="shared" si="234"/>
        <v>1.6043388029308273E-2</v>
      </c>
      <c r="AW805" s="28">
        <f t="shared" si="234"/>
        <v>1.6053496862987397E-2</v>
      </c>
      <c r="AY805" s="85"/>
      <c r="AZ805" s="85"/>
    </row>
    <row r="806" spans="1:52" x14ac:dyDescent="0.25">
      <c r="A806" s="102" t="str">
        <f t="shared" si="224"/>
        <v>BD Goats MMN2O</v>
      </c>
      <c r="B806" s="102" t="s">
        <v>1229</v>
      </c>
      <c r="C806" s="102" t="s">
        <v>1330</v>
      </c>
      <c r="D806" t="s">
        <v>15</v>
      </c>
      <c r="E806" t="s">
        <v>657</v>
      </c>
      <c r="F806" t="s">
        <v>19</v>
      </c>
      <c r="G806" t="s">
        <v>123</v>
      </c>
      <c r="H806" t="s">
        <v>1228</v>
      </c>
      <c r="I806" t="s">
        <v>139</v>
      </c>
      <c r="J806" t="s">
        <v>287</v>
      </c>
      <c r="K806" s="28">
        <f t="shared" ref="K806:AW806" si="235">K1420</f>
        <v>0.11481805129047286</v>
      </c>
      <c r="L806" s="28">
        <f t="shared" si="235"/>
        <v>0.11511648249680231</v>
      </c>
      <c r="M806" s="28">
        <f t="shared" si="235"/>
        <v>0.11551892279798029</v>
      </c>
      <c r="N806" s="28">
        <f t="shared" si="235"/>
        <v>0.11600908486762376</v>
      </c>
      <c r="O806" s="28">
        <f t="shared" si="235"/>
        <v>0.11659618078632224</v>
      </c>
      <c r="P806" s="28">
        <f t="shared" si="235"/>
        <v>0.11729026369893758</v>
      </c>
      <c r="Q806" s="28">
        <f t="shared" si="235"/>
        <v>0.1180258546047787</v>
      </c>
      <c r="R806" s="28">
        <f t="shared" si="235"/>
        <v>0.11879434650093773</v>
      </c>
      <c r="S806" s="28">
        <f t="shared" si="235"/>
        <v>0.1195425195154779</v>
      </c>
      <c r="T806" s="28">
        <f t="shared" si="235"/>
        <v>0.1198856757589802</v>
      </c>
      <c r="U806" s="28">
        <f t="shared" si="235"/>
        <v>0.1202557344478143</v>
      </c>
      <c r="V806" s="28">
        <f t="shared" si="235"/>
        <v>0.1206568179311767</v>
      </c>
      <c r="W806" s="28">
        <f t="shared" si="235"/>
        <v>0.12109189534148641</v>
      </c>
      <c r="X806" s="28">
        <f t="shared" si="235"/>
        <v>0.12156681969623982</v>
      </c>
      <c r="Y806" s="28">
        <f t="shared" si="235"/>
        <v>0.12187249728826091</v>
      </c>
      <c r="Z806" s="28">
        <f t="shared" si="235"/>
        <v>0.12220607879565744</v>
      </c>
      <c r="AA806" s="28">
        <f t="shared" si="235"/>
        <v>0.12255926641353683</v>
      </c>
      <c r="AB806" s="28">
        <f t="shared" si="235"/>
        <v>0.12294008991985945</v>
      </c>
      <c r="AC806" s="28">
        <f t="shared" si="235"/>
        <v>0.12334867769651912</v>
      </c>
      <c r="AD806" s="28">
        <f t="shared" si="235"/>
        <v>0.12361761534895452</v>
      </c>
      <c r="AE806" s="28">
        <f t="shared" si="235"/>
        <v>0.12390751402361132</v>
      </c>
      <c r="AF806" s="28">
        <f t="shared" si="235"/>
        <v>0.124216568981919</v>
      </c>
      <c r="AG806" s="28">
        <f t="shared" si="235"/>
        <v>0.12454825392776228</v>
      </c>
      <c r="AH806" s="28">
        <f t="shared" si="235"/>
        <v>0.12489074962992587</v>
      </c>
      <c r="AI806" s="28">
        <f t="shared" si="235"/>
        <v>0.12510306763085599</v>
      </c>
      <c r="AJ806" s="28">
        <f t="shared" si="235"/>
        <v>0.12533113023243647</v>
      </c>
      <c r="AK806" s="28">
        <f t="shared" si="235"/>
        <v>0.12557133698669695</v>
      </c>
      <c r="AL806" s="28">
        <f t="shared" si="235"/>
        <v>0.12582517550706146</v>
      </c>
      <c r="AM806" s="28">
        <f t="shared" si="235"/>
        <v>0.12609398884528009</v>
      </c>
      <c r="AN806" s="28">
        <f t="shared" si="235"/>
        <v>0.1262405614529527</v>
      </c>
      <c r="AO806" s="28">
        <f t="shared" si="235"/>
        <v>0.12639603328508198</v>
      </c>
      <c r="AP806" s="28">
        <f t="shared" si="235"/>
        <v>0.12656366751204504</v>
      </c>
      <c r="AQ806" s="28">
        <f t="shared" si="235"/>
        <v>0.1267431522652199</v>
      </c>
      <c r="AR806" s="28">
        <f t="shared" si="235"/>
        <v>0.12693676921797539</v>
      </c>
      <c r="AS806" s="28">
        <f t="shared" si="235"/>
        <v>0.12700439968731225</v>
      </c>
      <c r="AT806" s="28">
        <f t="shared" si="235"/>
        <v>0.12705704587884023</v>
      </c>
      <c r="AU806" s="28">
        <f t="shared" si="235"/>
        <v>0.12711737088614225</v>
      </c>
      <c r="AV806" s="28">
        <f t="shared" si="235"/>
        <v>0.12719016044588929</v>
      </c>
      <c r="AW806" s="28">
        <f t="shared" si="235"/>
        <v>0.12727030213262158</v>
      </c>
      <c r="AY806" s="85"/>
      <c r="AZ806" s="85"/>
    </row>
    <row r="807" spans="1:52" x14ac:dyDescent="0.25">
      <c r="A807" s="102" t="str">
        <f t="shared" si="224"/>
        <v>BD Horses MMN2O</v>
      </c>
      <c r="B807" s="102" t="s">
        <v>1229</v>
      </c>
      <c r="C807" s="102" t="s">
        <v>1331</v>
      </c>
      <c r="D807" t="s">
        <v>15</v>
      </c>
      <c r="E807" t="s">
        <v>657</v>
      </c>
      <c r="F807" t="s">
        <v>20</v>
      </c>
      <c r="G807" t="s">
        <v>3</v>
      </c>
      <c r="H807" t="s">
        <v>1228</v>
      </c>
      <c r="I807" t="s">
        <v>139</v>
      </c>
      <c r="J807" t="s">
        <v>287</v>
      </c>
      <c r="K807" s="28" t="str">
        <f t="shared" ref="K807:AW807" si="236">K1421</f>
        <v>NO</v>
      </c>
      <c r="L807" s="28" t="str">
        <f t="shared" si="236"/>
        <v>NO</v>
      </c>
      <c r="M807" s="28" t="str">
        <f t="shared" si="236"/>
        <v>NO</v>
      </c>
      <c r="N807" s="28" t="str">
        <f t="shared" si="236"/>
        <v>NO</v>
      </c>
      <c r="O807" s="28" t="str">
        <f t="shared" si="236"/>
        <v>NO</v>
      </c>
      <c r="P807" s="28" t="str">
        <f t="shared" si="236"/>
        <v>NO</v>
      </c>
      <c r="Q807" s="28" t="str">
        <f t="shared" si="236"/>
        <v>NO</v>
      </c>
      <c r="R807" s="28" t="str">
        <f t="shared" si="236"/>
        <v>NO</v>
      </c>
      <c r="S807" s="28" t="str">
        <f t="shared" si="236"/>
        <v>NO</v>
      </c>
      <c r="T807" s="28" t="str">
        <f t="shared" si="236"/>
        <v>NO</v>
      </c>
      <c r="U807" s="28" t="str">
        <f t="shared" si="236"/>
        <v>NO</v>
      </c>
      <c r="V807" s="28" t="str">
        <f t="shared" si="236"/>
        <v>NO</v>
      </c>
      <c r="W807" s="28" t="str">
        <f t="shared" si="236"/>
        <v>NO</v>
      </c>
      <c r="X807" s="28" t="str">
        <f t="shared" si="236"/>
        <v>NO</v>
      </c>
      <c r="Y807" s="28" t="str">
        <f t="shared" si="236"/>
        <v>NO</v>
      </c>
      <c r="Z807" s="28" t="str">
        <f t="shared" si="236"/>
        <v>NO</v>
      </c>
      <c r="AA807" s="28" t="str">
        <f t="shared" si="236"/>
        <v>NO</v>
      </c>
      <c r="AB807" s="28" t="str">
        <f t="shared" si="236"/>
        <v>NO</v>
      </c>
      <c r="AC807" s="28" t="str">
        <f t="shared" si="236"/>
        <v>NO</v>
      </c>
      <c r="AD807" s="28" t="str">
        <f t="shared" si="236"/>
        <v>NO</v>
      </c>
      <c r="AE807" s="28" t="str">
        <f t="shared" si="236"/>
        <v>NO</v>
      </c>
      <c r="AF807" s="28" t="str">
        <f t="shared" si="236"/>
        <v>NO</v>
      </c>
      <c r="AG807" s="28" t="str">
        <f t="shared" si="236"/>
        <v>NO</v>
      </c>
      <c r="AH807" s="28" t="str">
        <f t="shared" si="236"/>
        <v>NO</v>
      </c>
      <c r="AI807" s="28" t="str">
        <f t="shared" si="236"/>
        <v>NO</v>
      </c>
      <c r="AJ807" s="28" t="str">
        <f t="shared" si="236"/>
        <v>NO</v>
      </c>
      <c r="AK807" s="28" t="str">
        <f t="shared" si="236"/>
        <v>NO</v>
      </c>
      <c r="AL807" s="28" t="str">
        <f t="shared" si="236"/>
        <v>NO</v>
      </c>
      <c r="AM807" s="28" t="str">
        <f t="shared" si="236"/>
        <v>NO</v>
      </c>
      <c r="AN807" s="28" t="str">
        <f t="shared" si="236"/>
        <v>NO</v>
      </c>
      <c r="AO807" s="28" t="str">
        <f t="shared" si="236"/>
        <v>NO</v>
      </c>
      <c r="AP807" s="28" t="str">
        <f t="shared" si="236"/>
        <v>NO</v>
      </c>
      <c r="AQ807" s="28" t="str">
        <f t="shared" si="236"/>
        <v>NO</v>
      </c>
      <c r="AR807" s="28" t="str">
        <f t="shared" si="236"/>
        <v>NO</v>
      </c>
      <c r="AS807" s="28" t="str">
        <f t="shared" si="236"/>
        <v>NO</v>
      </c>
      <c r="AT807" s="28" t="str">
        <f t="shared" si="236"/>
        <v>NO</v>
      </c>
      <c r="AU807" s="28" t="str">
        <f t="shared" si="236"/>
        <v>NO</v>
      </c>
      <c r="AV807" s="28" t="str">
        <f t="shared" si="236"/>
        <v>NO</v>
      </c>
      <c r="AW807" s="28" t="str">
        <f t="shared" si="236"/>
        <v>NO</v>
      </c>
      <c r="AY807" s="85"/>
      <c r="AZ807" s="85"/>
    </row>
    <row r="808" spans="1:52" x14ac:dyDescent="0.25">
      <c r="A808" s="102" t="str">
        <f t="shared" si="224"/>
        <v>BD Mules MMN2O</v>
      </c>
      <c r="B808" s="102" t="s">
        <v>1229</v>
      </c>
      <c r="C808" s="102" t="s">
        <v>1332</v>
      </c>
      <c r="D808" t="s">
        <v>15</v>
      </c>
      <c r="E808" t="s">
        <v>657</v>
      </c>
      <c r="F808" t="s">
        <v>140</v>
      </c>
      <c r="G808" t="s">
        <v>124</v>
      </c>
      <c r="H808" t="s">
        <v>1228</v>
      </c>
      <c r="I808" t="s">
        <v>139</v>
      </c>
      <c r="J808" t="s">
        <v>287</v>
      </c>
      <c r="K808" s="28" t="str">
        <f t="shared" ref="K808:AW808" si="237">K1422</f>
        <v>NO</v>
      </c>
      <c r="L808" s="28" t="str">
        <f t="shared" si="237"/>
        <v>NO</v>
      </c>
      <c r="M808" s="28" t="str">
        <f t="shared" si="237"/>
        <v>NO</v>
      </c>
      <c r="N808" s="28" t="str">
        <f t="shared" si="237"/>
        <v>NO</v>
      </c>
      <c r="O808" s="28" t="str">
        <f t="shared" si="237"/>
        <v>NO</v>
      </c>
      <c r="P808" s="28" t="str">
        <f t="shared" si="237"/>
        <v>NO</v>
      </c>
      <c r="Q808" s="28" t="str">
        <f t="shared" si="237"/>
        <v>NO</v>
      </c>
      <c r="R808" s="28" t="str">
        <f t="shared" si="237"/>
        <v>NO</v>
      </c>
      <c r="S808" s="28" t="str">
        <f t="shared" si="237"/>
        <v>NO</v>
      </c>
      <c r="T808" s="28" t="str">
        <f t="shared" si="237"/>
        <v>NO</v>
      </c>
      <c r="U808" s="28" t="str">
        <f t="shared" si="237"/>
        <v>NO</v>
      </c>
      <c r="V808" s="28" t="str">
        <f t="shared" si="237"/>
        <v>NO</v>
      </c>
      <c r="W808" s="28" t="str">
        <f t="shared" si="237"/>
        <v>NO</v>
      </c>
      <c r="X808" s="28" t="str">
        <f t="shared" si="237"/>
        <v>NO</v>
      </c>
      <c r="Y808" s="28" t="str">
        <f t="shared" si="237"/>
        <v>NO</v>
      </c>
      <c r="Z808" s="28" t="str">
        <f t="shared" si="237"/>
        <v>NO</v>
      </c>
      <c r="AA808" s="28" t="str">
        <f t="shared" si="237"/>
        <v>NO</v>
      </c>
      <c r="AB808" s="28" t="str">
        <f t="shared" si="237"/>
        <v>NO</v>
      </c>
      <c r="AC808" s="28" t="str">
        <f t="shared" si="237"/>
        <v>NO</v>
      </c>
      <c r="AD808" s="28" t="str">
        <f t="shared" si="237"/>
        <v>NO</v>
      </c>
      <c r="AE808" s="28" t="str">
        <f t="shared" si="237"/>
        <v>NO</v>
      </c>
      <c r="AF808" s="28" t="str">
        <f t="shared" si="237"/>
        <v>NO</v>
      </c>
      <c r="AG808" s="28" t="str">
        <f t="shared" si="237"/>
        <v>NO</v>
      </c>
      <c r="AH808" s="28" t="str">
        <f t="shared" si="237"/>
        <v>NO</v>
      </c>
      <c r="AI808" s="28" t="str">
        <f t="shared" si="237"/>
        <v>NO</v>
      </c>
      <c r="AJ808" s="28" t="str">
        <f t="shared" si="237"/>
        <v>NO</v>
      </c>
      <c r="AK808" s="28" t="str">
        <f t="shared" si="237"/>
        <v>NO</v>
      </c>
      <c r="AL808" s="28" t="str">
        <f t="shared" si="237"/>
        <v>NO</v>
      </c>
      <c r="AM808" s="28" t="str">
        <f t="shared" si="237"/>
        <v>NO</v>
      </c>
      <c r="AN808" s="28" t="str">
        <f t="shared" si="237"/>
        <v>NO</v>
      </c>
      <c r="AO808" s="28" t="str">
        <f t="shared" si="237"/>
        <v>NO</v>
      </c>
      <c r="AP808" s="28" t="str">
        <f t="shared" si="237"/>
        <v>NO</v>
      </c>
      <c r="AQ808" s="28" t="str">
        <f t="shared" si="237"/>
        <v>NO</v>
      </c>
      <c r="AR808" s="28" t="str">
        <f t="shared" si="237"/>
        <v>NO</v>
      </c>
      <c r="AS808" s="28" t="str">
        <f t="shared" si="237"/>
        <v>NO</v>
      </c>
      <c r="AT808" s="28" t="str">
        <f t="shared" si="237"/>
        <v>NO</v>
      </c>
      <c r="AU808" s="28" t="str">
        <f t="shared" si="237"/>
        <v>NO</v>
      </c>
      <c r="AV808" s="28" t="str">
        <f t="shared" si="237"/>
        <v>NO</v>
      </c>
      <c r="AW808" s="28" t="str">
        <f t="shared" si="237"/>
        <v>NO</v>
      </c>
      <c r="AY808" s="85"/>
      <c r="AZ808" s="85"/>
    </row>
    <row r="809" spans="1:52" x14ac:dyDescent="0.25">
      <c r="A809" s="102" t="str">
        <f t="shared" si="224"/>
        <v>BD Swine MMN2O</v>
      </c>
      <c r="B809" s="102" t="s">
        <v>1229</v>
      </c>
      <c r="C809" s="102" t="s">
        <v>1234</v>
      </c>
      <c r="D809" t="s">
        <v>15</v>
      </c>
      <c r="E809" t="s">
        <v>657</v>
      </c>
      <c r="F809" t="s">
        <v>21</v>
      </c>
      <c r="G809" t="s">
        <v>122</v>
      </c>
      <c r="H809" t="s">
        <v>1228</v>
      </c>
      <c r="I809" t="s">
        <v>139</v>
      </c>
      <c r="J809" t="s">
        <v>287</v>
      </c>
      <c r="K809" s="28">
        <f t="shared" ref="K809:AW809" si="238">K1423</f>
        <v>9.7855003322124628E-2</v>
      </c>
      <c r="L809" s="28">
        <f t="shared" si="238"/>
        <v>9.768205595551481E-2</v>
      </c>
      <c r="M809" s="28">
        <f t="shared" si="238"/>
        <v>9.7134008511937764E-2</v>
      </c>
      <c r="N809" s="28">
        <f t="shared" si="238"/>
        <v>9.4990622413168677E-2</v>
      </c>
      <c r="O809" s="28">
        <f t="shared" si="238"/>
        <v>9.2963704380958218E-2</v>
      </c>
      <c r="P809" s="28">
        <f t="shared" si="238"/>
        <v>9.2636555494494649E-2</v>
      </c>
      <c r="Q809" s="28">
        <f t="shared" si="238"/>
        <v>9.1842396693378264E-2</v>
      </c>
      <c r="R809" s="28">
        <f t="shared" si="238"/>
        <v>8.9396441883992581E-2</v>
      </c>
      <c r="S809" s="28">
        <f t="shared" si="238"/>
        <v>7.973748994684815E-2</v>
      </c>
      <c r="T809" s="28">
        <f t="shared" si="238"/>
        <v>8.1452692189288772E-2</v>
      </c>
      <c r="U809" s="28">
        <f t="shared" si="238"/>
        <v>8.2242511804273E-2</v>
      </c>
      <c r="V809" s="28">
        <f t="shared" si="238"/>
        <v>8.2817744096224652E-2</v>
      </c>
      <c r="W809" s="28">
        <f t="shared" si="238"/>
        <v>8.3700880663628088E-2</v>
      </c>
      <c r="X809" s="28">
        <f t="shared" si="238"/>
        <v>8.5662060351678962E-2</v>
      </c>
      <c r="Y809" s="28">
        <f t="shared" si="238"/>
        <v>8.7869258828121299E-2</v>
      </c>
      <c r="Z809" s="28">
        <f t="shared" si="238"/>
        <v>9.0298087380543637E-2</v>
      </c>
      <c r="AA809" s="28">
        <f t="shared" si="238"/>
        <v>9.2240276380797723E-2</v>
      </c>
      <c r="AB809" s="28">
        <f t="shared" si="238"/>
        <v>9.4619108619267742E-2</v>
      </c>
      <c r="AC809" s="28">
        <f t="shared" si="238"/>
        <v>9.7530252215833863E-2</v>
      </c>
      <c r="AD809" s="28">
        <f t="shared" si="238"/>
        <v>0.10028578808595486</v>
      </c>
      <c r="AE809" s="28">
        <f t="shared" si="238"/>
        <v>0.10315369284356883</v>
      </c>
      <c r="AF809" s="28">
        <f t="shared" si="238"/>
        <v>0.10603841363071233</v>
      </c>
      <c r="AG809" s="28">
        <f t="shared" si="238"/>
        <v>0.10932837219720498</v>
      </c>
      <c r="AH809" s="28">
        <f t="shared" si="238"/>
        <v>0.11199564217103479</v>
      </c>
      <c r="AI809" s="28">
        <f t="shared" si="238"/>
        <v>0.11485371208683526</v>
      </c>
      <c r="AJ809" s="28">
        <f t="shared" si="238"/>
        <v>0.11771232198590084</v>
      </c>
      <c r="AK809" s="28">
        <f t="shared" si="238"/>
        <v>0.12030678115486812</v>
      </c>
      <c r="AL809" s="28">
        <f t="shared" si="238"/>
        <v>0.12282077145121797</v>
      </c>
      <c r="AM809" s="28">
        <f t="shared" si="238"/>
        <v>0.12541265580814645</v>
      </c>
      <c r="AN809" s="28">
        <f t="shared" si="238"/>
        <v>0.12815280796716533</v>
      </c>
      <c r="AO809" s="28">
        <f t="shared" si="238"/>
        <v>0.13056194972752197</v>
      </c>
      <c r="AP809" s="28">
        <f t="shared" si="238"/>
        <v>0.13295353804447049</v>
      </c>
      <c r="AQ809" s="28">
        <f t="shared" si="238"/>
        <v>0.13533393181533376</v>
      </c>
      <c r="AR809" s="28">
        <f t="shared" si="238"/>
        <v>0.1379132972636212</v>
      </c>
      <c r="AS809" s="28">
        <f t="shared" si="238"/>
        <v>0.14053008195021952</v>
      </c>
      <c r="AT809" s="28">
        <f t="shared" si="238"/>
        <v>0.14114192425764652</v>
      </c>
      <c r="AU809" s="28">
        <f t="shared" si="238"/>
        <v>0.14158544392848668</v>
      </c>
      <c r="AV809" s="28">
        <f t="shared" si="238"/>
        <v>0.14225126627613405</v>
      </c>
      <c r="AW809" s="28">
        <f t="shared" si="238"/>
        <v>0.14277114135536023</v>
      </c>
      <c r="AY809" s="85"/>
      <c r="AZ809" s="85"/>
    </row>
    <row r="810" spans="1:52" x14ac:dyDescent="0.25">
      <c r="A810" s="102" t="str">
        <f t="shared" si="224"/>
        <v>BD Swine MMN2O</v>
      </c>
      <c r="B810" s="102" t="s">
        <v>1229</v>
      </c>
      <c r="C810" s="102" t="s">
        <v>1234</v>
      </c>
      <c r="D810" t="s">
        <v>15</v>
      </c>
      <c r="E810" t="s">
        <v>657</v>
      </c>
      <c r="F810" t="s">
        <v>21</v>
      </c>
      <c r="G810" t="s">
        <v>123</v>
      </c>
      <c r="H810" t="s">
        <v>1228</v>
      </c>
      <c r="I810" t="s">
        <v>139</v>
      </c>
      <c r="J810" t="s">
        <v>287</v>
      </c>
      <c r="K810" s="28">
        <f t="shared" ref="K810:AW810" si="239">K1424</f>
        <v>3.8282858549039588E-2</v>
      </c>
      <c r="L810" s="28">
        <f t="shared" si="239"/>
        <v>3.8215198037593316E-2</v>
      </c>
      <c r="M810" s="28">
        <f t="shared" si="239"/>
        <v>3.8000790781466037E-2</v>
      </c>
      <c r="N810" s="28">
        <f t="shared" si="239"/>
        <v>3.7162254742945426E-2</v>
      </c>
      <c r="O810" s="28">
        <f t="shared" si="239"/>
        <v>3.6369283370166726E-2</v>
      </c>
      <c r="P810" s="28">
        <f t="shared" si="239"/>
        <v>3.6241296102068297E-2</v>
      </c>
      <c r="Q810" s="28">
        <f t="shared" si="239"/>
        <v>3.5930605099907358E-2</v>
      </c>
      <c r="R810" s="28">
        <f t="shared" si="239"/>
        <v>3.497369805574925E-2</v>
      </c>
      <c r="S810" s="28">
        <f t="shared" si="239"/>
        <v>3.1194920495194334E-2</v>
      </c>
      <c r="T810" s="28">
        <f t="shared" si="239"/>
        <v>3.1865942339771837E-2</v>
      </c>
      <c r="U810" s="28">
        <f t="shared" si="239"/>
        <v>3.21749357644633E-2</v>
      </c>
      <c r="V810" s="28">
        <f t="shared" si="239"/>
        <v>3.2399978283680568E-2</v>
      </c>
      <c r="W810" s="28">
        <f t="shared" si="239"/>
        <v>3.2745479189526895E-2</v>
      </c>
      <c r="X810" s="28">
        <f t="shared" si="239"/>
        <v>3.3512732391080123E-2</v>
      </c>
      <c r="Y810" s="28">
        <f t="shared" si="239"/>
        <v>3.4376233123742127E-2</v>
      </c>
      <c r="Z810" s="28">
        <f t="shared" si="239"/>
        <v>3.5326440029424484E-2</v>
      </c>
      <c r="AA810" s="28">
        <f t="shared" si="239"/>
        <v>3.6086263689411195E-2</v>
      </c>
      <c r="AB810" s="28">
        <f t="shared" si="239"/>
        <v>3.7016911024810674E-2</v>
      </c>
      <c r="AC810" s="28">
        <f t="shared" si="239"/>
        <v>3.8155809341092126E-2</v>
      </c>
      <c r="AD810" s="28">
        <f t="shared" si="239"/>
        <v>3.9233830764231724E-2</v>
      </c>
      <c r="AE810" s="28">
        <f t="shared" si="239"/>
        <v>4.0355813171267518E-2</v>
      </c>
      <c r="AF810" s="28">
        <f t="shared" si="239"/>
        <v>4.1484374349525836E-2</v>
      </c>
      <c r="AG810" s="28">
        <f t="shared" si="239"/>
        <v>4.2771472751828604E-2</v>
      </c>
      <c r="AH810" s="28">
        <f t="shared" si="239"/>
        <v>4.3814962769238276E-2</v>
      </c>
      <c r="AI810" s="28">
        <f t="shared" si="239"/>
        <v>4.4933097587032685E-2</v>
      </c>
      <c r="AJ810" s="28">
        <f t="shared" si="239"/>
        <v>4.605144365721333E-2</v>
      </c>
      <c r="AK810" s="28">
        <f t="shared" si="239"/>
        <v>4.7066448613575902E-2</v>
      </c>
      <c r="AL810" s="28">
        <f t="shared" si="239"/>
        <v>4.8049972517734428E-2</v>
      </c>
      <c r="AM810" s="28">
        <f t="shared" si="239"/>
        <v>4.906397015549574E-2</v>
      </c>
      <c r="AN810" s="28">
        <f t="shared" si="239"/>
        <v>5.0135973159381467E-2</v>
      </c>
      <c r="AO810" s="28">
        <f t="shared" si="239"/>
        <v>5.1078478193413449E-2</v>
      </c>
      <c r="AP810" s="28">
        <f t="shared" si="239"/>
        <v>5.2014115964983336E-2</v>
      </c>
      <c r="AQ810" s="28">
        <f t="shared" si="239"/>
        <v>5.2945374203471063E-2</v>
      </c>
      <c r="AR810" s="28">
        <f t="shared" si="239"/>
        <v>5.395447419070433E-2</v>
      </c>
      <c r="AS810" s="28">
        <f t="shared" si="239"/>
        <v>5.4978213341584196E-2</v>
      </c>
      <c r="AT810" s="28">
        <f t="shared" si="239"/>
        <v>5.5217578440090585E-2</v>
      </c>
      <c r="AU810" s="28">
        <f t="shared" si="239"/>
        <v>5.5391092315171642E-2</v>
      </c>
      <c r="AV810" s="28">
        <f t="shared" si="239"/>
        <v>5.5651575498334646E-2</v>
      </c>
      <c r="AW810" s="28">
        <f t="shared" si="239"/>
        <v>5.5854961155128016E-2</v>
      </c>
      <c r="AY810" s="85"/>
      <c r="AZ810" s="85"/>
    </row>
    <row r="811" spans="1:52" x14ac:dyDescent="0.25">
      <c r="A811" s="102" t="str">
        <f t="shared" si="224"/>
        <v>BD Poultry MMN2O</v>
      </c>
      <c r="B811" s="102" t="s">
        <v>1229</v>
      </c>
      <c r="C811" s="102" t="s">
        <v>1235</v>
      </c>
      <c r="D811" t="s">
        <v>15</v>
      </c>
      <c r="E811" t="s">
        <v>657</v>
      </c>
      <c r="F811" t="s">
        <v>28</v>
      </c>
      <c r="G811" t="s">
        <v>131</v>
      </c>
      <c r="H811" t="s">
        <v>1228</v>
      </c>
      <c r="I811" t="s">
        <v>139</v>
      </c>
      <c r="J811" t="s">
        <v>287</v>
      </c>
      <c r="K811" s="28">
        <f t="shared" ref="K811:AW811" si="240">K1425</f>
        <v>0.32879130142743862</v>
      </c>
      <c r="L811" s="28">
        <f t="shared" si="240"/>
        <v>0.33618147320266517</v>
      </c>
      <c r="M811" s="28">
        <f t="shared" si="240"/>
        <v>0.34286580262317662</v>
      </c>
      <c r="N811" s="28">
        <f t="shared" si="240"/>
        <v>0.34631663130525719</v>
      </c>
      <c r="O811" s="28">
        <f t="shared" si="240"/>
        <v>0.34986259378047058</v>
      </c>
      <c r="P811" s="28">
        <f t="shared" si="240"/>
        <v>0.35692259519801384</v>
      </c>
      <c r="Q811" s="28">
        <f t="shared" si="240"/>
        <v>0.36295954497520366</v>
      </c>
      <c r="R811" s="28">
        <f t="shared" si="240"/>
        <v>0.36525102127555931</v>
      </c>
      <c r="S811" s="28">
        <f t="shared" si="240"/>
        <v>0.35074524152454095</v>
      </c>
      <c r="T811" s="28">
        <f t="shared" si="240"/>
        <v>0.36118344194798235</v>
      </c>
      <c r="U811" s="28">
        <f t="shared" si="240"/>
        <v>0.36961966083970876</v>
      </c>
      <c r="V811" s="28">
        <f t="shared" si="240"/>
        <v>0.37765888442551321</v>
      </c>
      <c r="W811" s="28">
        <f t="shared" si="240"/>
        <v>0.38658550533232433</v>
      </c>
      <c r="X811" s="28">
        <f t="shared" si="240"/>
        <v>0.39843478474254634</v>
      </c>
      <c r="Y811" s="28">
        <f t="shared" si="240"/>
        <v>0.41088019341175391</v>
      </c>
      <c r="Z811" s="28">
        <f t="shared" si="240"/>
        <v>0.42422078606736746</v>
      </c>
      <c r="AA811" s="28">
        <f t="shared" si="240"/>
        <v>0.4365608627490552</v>
      </c>
      <c r="AB811" s="28">
        <f t="shared" si="240"/>
        <v>0.45040527564099359</v>
      </c>
      <c r="AC811" s="28">
        <f t="shared" si="240"/>
        <v>0.46610821416360254</v>
      </c>
      <c r="AD811" s="28">
        <f t="shared" si="240"/>
        <v>0.48149963825345377</v>
      </c>
      <c r="AE811" s="28">
        <f t="shared" si="240"/>
        <v>0.49761952403274901</v>
      </c>
      <c r="AF811" s="28">
        <f t="shared" si="240"/>
        <v>0.51420726915291115</v>
      </c>
      <c r="AG811" s="28">
        <f t="shared" si="240"/>
        <v>0.53247410489136104</v>
      </c>
      <c r="AH811" s="28">
        <f t="shared" si="240"/>
        <v>0.5492684403625786</v>
      </c>
      <c r="AI811" s="28">
        <f t="shared" si="240"/>
        <v>0.56683832060292816</v>
      </c>
      <c r="AJ811" s="28">
        <f t="shared" si="240"/>
        <v>0.584861650511455</v>
      </c>
      <c r="AK811" s="28">
        <f t="shared" si="240"/>
        <v>0.60246746038216259</v>
      </c>
      <c r="AL811" s="28">
        <f t="shared" si="240"/>
        <v>0.62024062021411375</v>
      </c>
      <c r="AM811" s="28">
        <f t="shared" si="240"/>
        <v>0.63872476172334525</v>
      </c>
      <c r="AN811" s="28">
        <f t="shared" si="240"/>
        <v>0.65794922439522119</v>
      </c>
      <c r="AO811" s="28">
        <f t="shared" si="240"/>
        <v>0.67647629594315495</v>
      </c>
      <c r="AP811" s="28">
        <f t="shared" si="240"/>
        <v>0.69539916939277291</v>
      </c>
      <c r="AQ811" s="28">
        <f t="shared" si="240"/>
        <v>0.71475050403818352</v>
      </c>
      <c r="AR811" s="28">
        <f t="shared" si="240"/>
        <v>0.73533889699431976</v>
      </c>
      <c r="AS811" s="28">
        <f t="shared" si="240"/>
        <v>0.75634294211031738</v>
      </c>
      <c r="AT811" s="28">
        <f t="shared" si="240"/>
        <v>0.76999066398321547</v>
      </c>
      <c r="AU811" s="28">
        <f t="shared" si="240"/>
        <v>0.78322712569021657</v>
      </c>
      <c r="AV811" s="28">
        <f t="shared" si="240"/>
        <v>0.79761951278112875</v>
      </c>
      <c r="AW811" s="28">
        <f t="shared" si="240"/>
        <v>0.8116941649813233</v>
      </c>
      <c r="AY811" s="85"/>
      <c r="AZ811" s="85"/>
    </row>
    <row r="812" spans="1:52" x14ac:dyDescent="0.25">
      <c r="A812" s="102" t="str">
        <f t="shared" si="224"/>
        <v>BD Poultry MMN2O</v>
      </c>
      <c r="B812" s="102" t="s">
        <v>1229</v>
      </c>
      <c r="C812" s="102" t="s">
        <v>1235</v>
      </c>
      <c r="D812" t="s">
        <v>15</v>
      </c>
      <c r="E812" t="s">
        <v>657</v>
      </c>
      <c r="F812" t="s">
        <v>28</v>
      </c>
      <c r="G812" t="s">
        <v>132</v>
      </c>
      <c r="H812" t="s">
        <v>1228</v>
      </c>
      <c r="I812" t="s">
        <v>139</v>
      </c>
      <c r="J812" t="s">
        <v>287</v>
      </c>
      <c r="K812" s="28">
        <f t="shared" ref="K812:AW812" si="241">K1426</f>
        <v>1.7130795703114865</v>
      </c>
      <c r="L812" s="28">
        <f t="shared" si="241"/>
        <v>1.7448742149951937</v>
      </c>
      <c r="M812" s="28">
        <f t="shared" si="241"/>
        <v>1.7656986639980343</v>
      </c>
      <c r="N812" s="28">
        <f t="shared" si="241"/>
        <v>1.7427941986174933</v>
      </c>
      <c r="O812" s="28">
        <f t="shared" si="241"/>
        <v>1.7205815318546955</v>
      </c>
      <c r="P812" s="28">
        <f t="shared" si="241"/>
        <v>1.7425923100139877</v>
      </c>
      <c r="Q812" s="28">
        <f t="shared" si="241"/>
        <v>1.7510736876348556</v>
      </c>
      <c r="R812" s="28">
        <f t="shared" si="241"/>
        <v>1.7121897293862536</v>
      </c>
      <c r="S812" s="28">
        <f t="shared" si="241"/>
        <v>1.4655218906646825</v>
      </c>
      <c r="T812" s="28">
        <f t="shared" si="241"/>
        <v>1.5438535261882376</v>
      </c>
      <c r="U812" s="28">
        <f t="shared" si="241"/>
        <v>1.5962945286475767</v>
      </c>
      <c r="V812" s="28">
        <f t="shared" si="241"/>
        <v>1.642907889886944</v>
      </c>
      <c r="W812" s="28">
        <f t="shared" si="241"/>
        <v>1.6991978110377575</v>
      </c>
      <c r="X812" s="28">
        <f t="shared" si="241"/>
        <v>1.7890350626064766</v>
      </c>
      <c r="Y812" s="28">
        <f t="shared" si="241"/>
        <v>1.8895080919073246</v>
      </c>
      <c r="Z812" s="28">
        <f t="shared" si="241"/>
        <v>1.9987693788658938</v>
      </c>
      <c r="AA812" s="28">
        <f t="shared" si="241"/>
        <v>2.0947103415895203</v>
      </c>
      <c r="AB812" s="28">
        <f t="shared" si="241"/>
        <v>2.2064115736901493</v>
      </c>
      <c r="AC812" s="28">
        <f t="shared" si="241"/>
        <v>2.3375745911599179</v>
      </c>
      <c r="AD812" s="28">
        <f t="shared" si="241"/>
        <v>2.4674301417551581</v>
      </c>
      <c r="AE812" s="28">
        <f t="shared" si="241"/>
        <v>2.6036408947859315</v>
      </c>
      <c r="AF812" s="28">
        <f t="shared" si="241"/>
        <v>2.7431932989553216</v>
      </c>
      <c r="AG812" s="28">
        <f t="shared" si="241"/>
        <v>2.8994590521514279</v>
      </c>
      <c r="AH812" s="28">
        <f t="shared" si="241"/>
        <v>3.037455952913116</v>
      </c>
      <c r="AI812" s="28">
        <f t="shared" si="241"/>
        <v>3.1860329911149803</v>
      </c>
      <c r="AJ812" s="28">
        <f t="shared" si="241"/>
        <v>3.3377024540250857</v>
      </c>
      <c r="AK812" s="28">
        <f t="shared" si="241"/>
        <v>3.4830302875985271</v>
      </c>
      <c r="AL812" s="28">
        <f t="shared" si="241"/>
        <v>3.6284282503451957</v>
      </c>
      <c r="AM812" s="28">
        <f t="shared" si="241"/>
        <v>3.7797085645009982</v>
      </c>
      <c r="AN812" s="28">
        <f t="shared" si="241"/>
        <v>3.9406773028531807</v>
      </c>
      <c r="AO812" s="28">
        <f t="shared" si="241"/>
        <v>4.09252605936598</v>
      </c>
      <c r="AP812" s="28">
        <f t="shared" si="241"/>
        <v>4.2468797909937708</v>
      </c>
      <c r="AQ812" s="28">
        <f t="shared" si="241"/>
        <v>4.4040525088231126</v>
      </c>
      <c r="AR812" s="28">
        <f t="shared" si="241"/>
        <v>4.5723846640377745</v>
      </c>
      <c r="AS812" s="28">
        <f t="shared" si="241"/>
        <v>4.746828077621343</v>
      </c>
      <c r="AT812" s="28">
        <f t="shared" si="241"/>
        <v>4.8441966867749811</v>
      </c>
      <c r="AU812" s="28">
        <f t="shared" si="241"/>
        <v>4.9364837725054729</v>
      </c>
      <c r="AV812" s="28">
        <f t="shared" si="241"/>
        <v>5.0396527637872595</v>
      </c>
      <c r="AW812" s="28">
        <f t="shared" si="241"/>
        <v>5.1386857535726884</v>
      </c>
      <c r="AY812" s="85"/>
      <c r="AZ812" s="85"/>
    </row>
    <row r="813" spans="1:52" x14ac:dyDescent="0.25">
      <c r="A813" s="102" t="str">
        <f t="shared" si="224"/>
        <v>BD Poultry MMN2O</v>
      </c>
      <c r="B813" s="102" t="s">
        <v>1229</v>
      </c>
      <c r="C813" s="102" t="s">
        <v>1235</v>
      </c>
      <c r="D813" t="s">
        <v>15</v>
      </c>
      <c r="E813" t="s">
        <v>657</v>
      </c>
      <c r="F813" t="s">
        <v>28</v>
      </c>
      <c r="G813" t="s">
        <v>134</v>
      </c>
      <c r="H813" t="s">
        <v>1228</v>
      </c>
      <c r="I813" t="s">
        <v>139</v>
      </c>
      <c r="J813" t="s">
        <v>287</v>
      </c>
      <c r="K813" s="28">
        <f t="shared" ref="K813:AW813" si="242">K1427</f>
        <v>1.3699637559476618E-2</v>
      </c>
      <c r="L813" s="28">
        <f t="shared" si="242"/>
        <v>1.4007561383444394E-2</v>
      </c>
      <c r="M813" s="28">
        <f t="shared" si="242"/>
        <v>1.4286075109299039E-2</v>
      </c>
      <c r="N813" s="28">
        <f t="shared" si="242"/>
        <v>1.4429859637719061E-2</v>
      </c>
      <c r="O813" s="28">
        <f t="shared" si="242"/>
        <v>1.4577608074186288E-2</v>
      </c>
      <c r="P813" s="28">
        <f t="shared" si="242"/>
        <v>1.4871774799917255E-2</v>
      </c>
      <c r="Q813" s="28">
        <f t="shared" si="242"/>
        <v>1.5123314373966834E-2</v>
      </c>
      <c r="R813" s="28">
        <f t="shared" si="242"/>
        <v>1.5218792553148319E-2</v>
      </c>
      <c r="S813" s="28">
        <f t="shared" si="242"/>
        <v>1.4614385063522554E-2</v>
      </c>
      <c r="T813" s="28">
        <f t="shared" si="242"/>
        <v>1.5049310081165945E-2</v>
      </c>
      <c r="U813" s="28">
        <f t="shared" si="242"/>
        <v>1.5400819201654545E-2</v>
      </c>
      <c r="V813" s="28">
        <f t="shared" si="242"/>
        <v>1.5735786851063062E-2</v>
      </c>
      <c r="W813" s="28">
        <f t="shared" si="242"/>
        <v>1.6107729388846862E-2</v>
      </c>
      <c r="X813" s="28">
        <f t="shared" si="242"/>
        <v>1.6601449364272783E-2</v>
      </c>
      <c r="Y813" s="28">
        <f t="shared" si="242"/>
        <v>1.7120008058823098E-2</v>
      </c>
      <c r="Z813" s="28">
        <f t="shared" si="242"/>
        <v>1.7675866086140329E-2</v>
      </c>
      <c r="AA813" s="28">
        <f t="shared" si="242"/>
        <v>1.8190035947877312E-2</v>
      </c>
      <c r="AB813" s="28">
        <f t="shared" si="242"/>
        <v>1.8766886485041417E-2</v>
      </c>
      <c r="AC813" s="28">
        <f t="shared" si="242"/>
        <v>1.9421175590150126E-2</v>
      </c>
      <c r="AD813" s="28">
        <f t="shared" si="242"/>
        <v>2.0062484927227259E-2</v>
      </c>
      <c r="AE813" s="28">
        <f t="shared" si="242"/>
        <v>2.0734146834697896E-2</v>
      </c>
      <c r="AF813" s="28">
        <f t="shared" si="242"/>
        <v>2.1425302881371316E-2</v>
      </c>
      <c r="AG813" s="28">
        <f t="shared" si="242"/>
        <v>2.2186421037140063E-2</v>
      </c>
      <c r="AH813" s="28">
        <f t="shared" si="242"/>
        <v>2.2886185015107467E-2</v>
      </c>
      <c r="AI813" s="28">
        <f t="shared" si="242"/>
        <v>2.3618263358455356E-2</v>
      </c>
      <c r="AJ813" s="28">
        <f t="shared" si="242"/>
        <v>2.436923543797731E-2</v>
      </c>
      <c r="AK813" s="28">
        <f t="shared" si="242"/>
        <v>2.5102810849256797E-2</v>
      </c>
      <c r="AL813" s="28">
        <f t="shared" si="242"/>
        <v>2.5843359175588099E-2</v>
      </c>
      <c r="AM813" s="28">
        <f t="shared" si="242"/>
        <v>2.6613531738472741E-2</v>
      </c>
      <c r="AN813" s="28">
        <f t="shared" si="242"/>
        <v>2.7414551016467576E-2</v>
      </c>
      <c r="AO813" s="28">
        <f t="shared" si="242"/>
        <v>2.8186512330964811E-2</v>
      </c>
      <c r="AP813" s="28">
        <f t="shared" si="242"/>
        <v>2.8974965391365567E-2</v>
      </c>
      <c r="AQ813" s="28">
        <f t="shared" si="242"/>
        <v>2.978127100159101E-2</v>
      </c>
      <c r="AR813" s="28">
        <f t="shared" si="242"/>
        <v>3.0639120708096691E-2</v>
      </c>
      <c r="AS813" s="28">
        <f t="shared" si="242"/>
        <v>3.1514289254596581E-2</v>
      </c>
      <c r="AT813" s="28">
        <f t="shared" si="242"/>
        <v>3.2082944332634006E-2</v>
      </c>
      <c r="AU813" s="28">
        <f t="shared" si="242"/>
        <v>3.2634463570425723E-2</v>
      </c>
      <c r="AV813" s="28">
        <f t="shared" si="242"/>
        <v>3.3234146365880395E-2</v>
      </c>
      <c r="AW813" s="28">
        <f t="shared" si="242"/>
        <v>3.3820590207555172E-2</v>
      </c>
      <c r="AY813" s="85"/>
      <c r="AZ813" s="85"/>
    </row>
    <row r="814" spans="1:52" x14ac:dyDescent="0.25">
      <c r="A814" s="102" t="str">
        <f t="shared" si="224"/>
        <v>BD Poultry MMN2O</v>
      </c>
      <c r="B814" s="102" t="s">
        <v>1229</v>
      </c>
      <c r="C814" s="102" t="s">
        <v>1235</v>
      </c>
      <c r="D814" t="s">
        <v>15</v>
      </c>
      <c r="E814" t="s">
        <v>657</v>
      </c>
      <c r="F814" t="s">
        <v>28</v>
      </c>
      <c r="G814" t="s">
        <v>133</v>
      </c>
      <c r="H814" t="s">
        <v>1228</v>
      </c>
      <c r="I814" t="s">
        <v>139</v>
      </c>
      <c r="J814" t="s">
        <v>287</v>
      </c>
      <c r="K814" s="28">
        <f t="shared" ref="K814:AW814" si="243">K1428</f>
        <v>7.1378315429645331E-2</v>
      </c>
      <c r="L814" s="28">
        <f t="shared" si="243"/>
        <v>7.2703092291466473E-2</v>
      </c>
      <c r="M814" s="28">
        <f t="shared" si="243"/>
        <v>7.3570777666584833E-2</v>
      </c>
      <c r="N814" s="28">
        <f t="shared" si="243"/>
        <v>7.2616424942395619E-2</v>
      </c>
      <c r="O814" s="28">
        <f t="shared" si="243"/>
        <v>7.1690897160612388E-2</v>
      </c>
      <c r="P814" s="28">
        <f t="shared" si="243"/>
        <v>7.2608012917249581E-2</v>
      </c>
      <c r="Q814" s="28">
        <f t="shared" si="243"/>
        <v>7.2961403651452372E-2</v>
      </c>
      <c r="R814" s="28">
        <f t="shared" si="243"/>
        <v>7.1341238724427325E-2</v>
      </c>
      <c r="S814" s="28">
        <f t="shared" si="243"/>
        <v>6.1063412111028503E-2</v>
      </c>
      <c r="T814" s="28">
        <f t="shared" si="243"/>
        <v>6.4327230257843288E-2</v>
      </c>
      <c r="U814" s="28">
        <f t="shared" si="243"/>
        <v>6.6512272026982414E-2</v>
      </c>
      <c r="V814" s="28">
        <f t="shared" si="243"/>
        <v>6.8454495411956071E-2</v>
      </c>
      <c r="W814" s="28">
        <f t="shared" si="243"/>
        <v>7.0799908793239955E-2</v>
      </c>
      <c r="X814" s="28">
        <f t="shared" si="243"/>
        <v>7.4543127608603252E-2</v>
      </c>
      <c r="Y814" s="28">
        <f t="shared" si="243"/>
        <v>7.8729503829471928E-2</v>
      </c>
      <c r="Z814" s="28">
        <f t="shared" si="243"/>
        <v>8.3282057452745667E-2</v>
      </c>
      <c r="AA814" s="28">
        <f t="shared" si="243"/>
        <v>8.7279597566230077E-2</v>
      </c>
      <c r="AB814" s="28">
        <f t="shared" si="243"/>
        <v>9.1933815570422989E-2</v>
      </c>
      <c r="AC814" s="28">
        <f t="shared" si="243"/>
        <v>9.7398941298330002E-2</v>
      </c>
      <c r="AD814" s="28">
        <f t="shared" si="243"/>
        <v>0.10280958923979837</v>
      </c>
      <c r="AE814" s="28">
        <f t="shared" si="243"/>
        <v>0.10848503728274725</v>
      </c>
      <c r="AF814" s="28">
        <f t="shared" si="243"/>
        <v>0.11429972078980519</v>
      </c>
      <c r="AG814" s="28">
        <f t="shared" si="243"/>
        <v>0.12081079383964298</v>
      </c>
      <c r="AH814" s="28">
        <f t="shared" si="243"/>
        <v>0.12656066470471328</v>
      </c>
      <c r="AI814" s="28">
        <f t="shared" si="243"/>
        <v>0.13275137462979095</v>
      </c>
      <c r="AJ814" s="28">
        <f t="shared" si="243"/>
        <v>0.13907093558437875</v>
      </c>
      <c r="AK814" s="28">
        <f t="shared" si="243"/>
        <v>0.14512626198327211</v>
      </c>
      <c r="AL814" s="28">
        <f t="shared" si="243"/>
        <v>0.15118451043105</v>
      </c>
      <c r="AM814" s="28">
        <f t="shared" si="243"/>
        <v>0.15748785685420838</v>
      </c>
      <c r="AN814" s="28">
        <f t="shared" si="243"/>
        <v>0.16419488761888268</v>
      </c>
      <c r="AO814" s="28">
        <f t="shared" si="243"/>
        <v>0.17052191914024933</v>
      </c>
      <c r="AP814" s="28">
        <f t="shared" si="243"/>
        <v>0.17695332462474059</v>
      </c>
      <c r="AQ814" s="28">
        <f t="shared" si="243"/>
        <v>0.18350218786762987</v>
      </c>
      <c r="AR814" s="28">
        <f t="shared" si="243"/>
        <v>0.1905160276682408</v>
      </c>
      <c r="AS814" s="28">
        <f t="shared" si="243"/>
        <v>0.19778450323422284</v>
      </c>
      <c r="AT814" s="28">
        <f t="shared" si="243"/>
        <v>0.20184152861562438</v>
      </c>
      <c r="AU814" s="28">
        <f t="shared" si="243"/>
        <v>0.20568682385439491</v>
      </c>
      <c r="AV814" s="28">
        <f t="shared" si="243"/>
        <v>0.20998553182446936</v>
      </c>
      <c r="AW814" s="28">
        <f t="shared" si="243"/>
        <v>0.21411190639886218</v>
      </c>
      <c r="AY814" s="85"/>
      <c r="AZ814" s="85"/>
    </row>
    <row r="815" spans="1:52" x14ac:dyDescent="0.25">
      <c r="A815" s="102" t="str">
        <f t="shared" si="224"/>
        <v>BD Synthetic</v>
      </c>
      <c r="B815" s="102" t="s">
        <v>1229</v>
      </c>
      <c r="C815" s="102" t="s">
        <v>1127</v>
      </c>
      <c r="D815" t="s">
        <v>369</v>
      </c>
      <c r="E815" t="s">
        <v>55</v>
      </c>
      <c r="H815" t="s">
        <v>419</v>
      </c>
      <c r="I815" t="s">
        <v>139</v>
      </c>
      <c r="J815" t="s">
        <v>287</v>
      </c>
      <c r="K815" s="28">
        <f>K1463</f>
        <v>6.6064812063358538</v>
      </c>
      <c r="L815" s="28">
        <f t="shared" ref="L815:AW822" si="244">L1463</f>
        <v>6.6056660352543144</v>
      </c>
      <c r="M815" s="28">
        <f t="shared" si="244"/>
        <v>6.6042995522505379</v>
      </c>
      <c r="N815" s="28">
        <f t="shared" si="244"/>
        <v>6.6031365898338095</v>
      </c>
      <c r="O815" s="28">
        <f t="shared" si="244"/>
        <v>6.6027560568732087</v>
      </c>
      <c r="P815" s="28">
        <f t="shared" si="244"/>
        <v>6.6023708971175274</v>
      </c>
      <c r="Q815" s="28">
        <f t="shared" si="244"/>
        <v>6.6011966991986881</v>
      </c>
      <c r="R815" s="28">
        <f t="shared" si="244"/>
        <v>6.6002765167075461</v>
      </c>
      <c r="S815" s="28">
        <f t="shared" si="244"/>
        <v>6.6002145648060502</v>
      </c>
      <c r="T815" s="28">
        <f t="shared" si="244"/>
        <v>6.6040420720172728</v>
      </c>
      <c r="U815" s="28">
        <f t="shared" si="244"/>
        <v>6.6019485697997204</v>
      </c>
      <c r="V815" s="28">
        <f t="shared" si="244"/>
        <v>6.6003652312909882</v>
      </c>
      <c r="W815" s="28">
        <f t="shared" si="244"/>
        <v>6.5989054673114653</v>
      </c>
      <c r="X815" s="28">
        <f t="shared" si="244"/>
        <v>6.5972835879321101</v>
      </c>
      <c r="Y815" s="28">
        <f t="shared" si="244"/>
        <v>6.5950794659321978</v>
      </c>
      <c r="Z815" s="28">
        <f t="shared" si="244"/>
        <v>6.5927714888243178</v>
      </c>
      <c r="AA815" s="28">
        <f t="shared" si="244"/>
        <v>6.5903551292141982</v>
      </c>
      <c r="AB815" s="28">
        <f t="shared" si="244"/>
        <v>6.5882075529961197</v>
      </c>
      <c r="AC815" s="28">
        <f t="shared" si="244"/>
        <v>6.5858383398788654</v>
      </c>
      <c r="AD815" s="28">
        <f t="shared" si="244"/>
        <v>6.5832049506454569</v>
      </c>
      <c r="AE815" s="28">
        <f t="shared" si="244"/>
        <v>6.5806825645343991</v>
      </c>
      <c r="AF815" s="28">
        <f t="shared" si="244"/>
        <v>6.5781181226611025</v>
      </c>
      <c r="AG815" s="28">
        <f t="shared" si="244"/>
        <v>6.5755610222279151</v>
      </c>
      <c r="AH815" s="28">
        <f t="shared" si="244"/>
        <v>6.5728213410220508</v>
      </c>
      <c r="AI815" s="28">
        <f t="shared" si="244"/>
        <v>6.5704025946446434</v>
      </c>
      <c r="AJ815" s="28">
        <f t="shared" si="244"/>
        <v>6.5679167627959911</v>
      </c>
      <c r="AK815" s="28">
        <f t="shared" si="244"/>
        <v>6.5654442966296829</v>
      </c>
      <c r="AL815" s="28">
        <f t="shared" si="244"/>
        <v>6.5631078462466625</v>
      </c>
      <c r="AM815" s="28">
        <f t="shared" si="244"/>
        <v>6.5608183818668682</v>
      </c>
      <c r="AN815" s="28">
        <f t="shared" si="244"/>
        <v>6.5585023260560664</v>
      </c>
      <c r="AO815" s="28">
        <f t="shared" si="244"/>
        <v>6.5561383844940604</v>
      </c>
      <c r="AP815" s="28">
        <f t="shared" si="244"/>
        <v>6.5539317250053788</v>
      </c>
      <c r="AQ815" s="28">
        <f t="shared" si="244"/>
        <v>6.5517393492300551</v>
      </c>
      <c r="AR815" s="28">
        <f t="shared" si="244"/>
        <v>6.5495579618392012</v>
      </c>
      <c r="AS815" s="28">
        <f t="shared" si="244"/>
        <v>6.5472963164045943</v>
      </c>
      <c r="AT815" s="28">
        <f t="shared" si="244"/>
        <v>6.5450342769214798</v>
      </c>
      <c r="AU815" s="28">
        <f t="shared" si="244"/>
        <v>6.5436308710087152</v>
      </c>
      <c r="AV815" s="28">
        <f t="shared" si="244"/>
        <v>6.5422967735758233</v>
      </c>
      <c r="AW815" s="28">
        <f t="shared" si="244"/>
        <v>6.5408646829531705</v>
      </c>
      <c r="AY815" s="85"/>
      <c r="AZ815" s="85"/>
    </row>
    <row r="816" spans="1:52" x14ac:dyDescent="0.25">
      <c r="A816" s="102" t="str">
        <f t="shared" si="224"/>
        <v>BD Organic</v>
      </c>
      <c r="B816" s="102" t="s">
        <v>1229</v>
      </c>
      <c r="C816" s="102" t="s">
        <v>1128</v>
      </c>
      <c r="D816" t="s">
        <v>369</v>
      </c>
      <c r="E816" t="s">
        <v>55</v>
      </c>
      <c r="H816" t="s">
        <v>420</v>
      </c>
      <c r="I816" t="s">
        <v>139</v>
      </c>
      <c r="J816" t="s">
        <v>287</v>
      </c>
      <c r="K816" s="28">
        <f t="shared" ref="K816:Z839" si="245">K1464</f>
        <v>4.3602775961816637E-2</v>
      </c>
      <c r="L816" s="28">
        <f t="shared" si="245"/>
        <v>4.3597395832678479E-2</v>
      </c>
      <c r="M816" s="28">
        <f t="shared" si="245"/>
        <v>4.3588377044853563E-2</v>
      </c>
      <c r="N816" s="28">
        <f t="shared" si="245"/>
        <v>4.3580701492903162E-2</v>
      </c>
      <c r="O816" s="28">
        <f t="shared" si="245"/>
        <v>4.3578189975363169E-2</v>
      </c>
      <c r="P816" s="28">
        <f t="shared" si="245"/>
        <v>4.3575647920975694E-2</v>
      </c>
      <c r="Q816" s="28">
        <f t="shared" si="245"/>
        <v>4.3567898214711354E-2</v>
      </c>
      <c r="R816" s="28">
        <f t="shared" si="245"/>
        <v>4.3561825010269811E-2</v>
      </c>
      <c r="S816" s="28">
        <f t="shared" si="245"/>
        <v>4.3561416127719944E-2</v>
      </c>
      <c r="T816" s="28">
        <f t="shared" si="245"/>
        <v>4.358667767531401E-2</v>
      </c>
      <c r="U816" s="28">
        <f t="shared" si="245"/>
        <v>4.3572860560678155E-2</v>
      </c>
      <c r="V816" s="28">
        <f t="shared" si="245"/>
        <v>4.3562410526520524E-2</v>
      </c>
      <c r="W816" s="28">
        <f t="shared" si="245"/>
        <v>4.3552776084255673E-2</v>
      </c>
      <c r="X816" s="28">
        <f t="shared" si="245"/>
        <v>4.3542071680351936E-2</v>
      </c>
      <c r="Y816" s="28">
        <f t="shared" si="245"/>
        <v>4.3527524475152499E-2</v>
      </c>
      <c r="Z816" s="28">
        <f t="shared" si="245"/>
        <v>4.3512291826240515E-2</v>
      </c>
      <c r="AA816" s="28">
        <f t="shared" si="244"/>
        <v>4.3496343852813708E-2</v>
      </c>
      <c r="AB816" s="28">
        <f t="shared" si="244"/>
        <v>4.3482169849774405E-2</v>
      </c>
      <c r="AC816" s="28">
        <f t="shared" si="244"/>
        <v>4.3466533043200514E-2</v>
      </c>
      <c r="AD816" s="28">
        <f t="shared" si="244"/>
        <v>4.3449152674260021E-2</v>
      </c>
      <c r="AE816" s="28">
        <f t="shared" si="244"/>
        <v>4.3432504925927033E-2</v>
      </c>
      <c r="AF816" s="28">
        <f t="shared" si="244"/>
        <v>4.3415579609563271E-2</v>
      </c>
      <c r="AG816" s="28">
        <f t="shared" si="244"/>
        <v>4.3398702746704231E-2</v>
      </c>
      <c r="AH816" s="28">
        <f t="shared" si="244"/>
        <v>4.3380620850745545E-2</v>
      </c>
      <c r="AI816" s="28">
        <f t="shared" si="244"/>
        <v>4.3364657124654649E-2</v>
      </c>
      <c r="AJ816" s="28">
        <f t="shared" si="244"/>
        <v>4.3348250634453557E-2</v>
      </c>
      <c r="AK816" s="28">
        <f t="shared" si="244"/>
        <v>4.3331932357755919E-2</v>
      </c>
      <c r="AL816" s="28">
        <f t="shared" si="244"/>
        <v>4.3316511785227982E-2</v>
      </c>
      <c r="AM816" s="28">
        <f t="shared" si="244"/>
        <v>4.3301401320321335E-2</v>
      </c>
      <c r="AN816" s="28">
        <f t="shared" si="244"/>
        <v>4.328611535197005E-2</v>
      </c>
      <c r="AO816" s="28">
        <f t="shared" si="244"/>
        <v>4.3270513337660813E-2</v>
      </c>
      <c r="AP816" s="28">
        <f t="shared" si="244"/>
        <v>4.3255949385035505E-2</v>
      </c>
      <c r="AQ816" s="28">
        <f t="shared" si="244"/>
        <v>4.3241479704918373E-2</v>
      </c>
      <c r="AR816" s="28">
        <f t="shared" si="244"/>
        <v>4.3227082548138743E-2</v>
      </c>
      <c r="AS816" s="28">
        <f t="shared" si="244"/>
        <v>4.3212155688270325E-2</v>
      </c>
      <c r="AT816" s="28">
        <f t="shared" si="244"/>
        <v>4.3197226227681768E-2</v>
      </c>
      <c r="AU816" s="28">
        <f t="shared" si="244"/>
        <v>4.3187963748657528E-2</v>
      </c>
      <c r="AV816" s="28">
        <f t="shared" si="244"/>
        <v>4.3179158705600441E-2</v>
      </c>
      <c r="AW816" s="28">
        <f t="shared" si="244"/>
        <v>4.3169706907490939E-2</v>
      </c>
      <c r="AY816" s="85"/>
      <c r="AZ816" s="85"/>
    </row>
    <row r="817" spans="1:52" x14ac:dyDescent="0.25">
      <c r="A817" s="102" t="str">
        <f t="shared" si="224"/>
        <v>BD Crop residues</v>
      </c>
      <c r="B817" s="102" t="s">
        <v>1229</v>
      </c>
      <c r="C817" s="102" t="s">
        <v>58</v>
      </c>
      <c r="D817" t="s">
        <v>369</v>
      </c>
      <c r="E817" t="s">
        <v>55</v>
      </c>
      <c r="H817" t="s">
        <v>58</v>
      </c>
      <c r="I817" t="s">
        <v>139</v>
      </c>
      <c r="J817" t="s">
        <v>287</v>
      </c>
      <c r="K817" s="28">
        <f t="shared" si="245"/>
        <v>2.94930909510781</v>
      </c>
      <c r="L817" s="28">
        <f t="shared" si="244"/>
        <v>2.9553948259346963</v>
      </c>
      <c r="M817" s="28">
        <f t="shared" si="244"/>
        <v>2.9655964240149095</v>
      </c>
      <c r="N817" s="28">
        <f t="shared" si="244"/>
        <v>2.9742786213968655</v>
      </c>
      <c r="O817" s="28">
        <f t="shared" si="244"/>
        <v>2.9771195234129291</v>
      </c>
      <c r="P817" s="28">
        <f t="shared" si="244"/>
        <v>2.9799949671713049</v>
      </c>
      <c r="Q817" s="28">
        <f t="shared" si="244"/>
        <v>2.9887610441744785</v>
      </c>
      <c r="R817" s="28">
        <f t="shared" si="244"/>
        <v>2.9956307468412153</v>
      </c>
      <c r="S817" s="28">
        <f t="shared" si="244"/>
        <v>2.9960932541666816</v>
      </c>
      <c r="T817" s="28">
        <f t="shared" si="244"/>
        <v>2.9675186651595986</v>
      </c>
      <c r="U817" s="28">
        <f t="shared" si="244"/>
        <v>2.9831478886073279</v>
      </c>
      <c r="V817" s="28">
        <f t="shared" si="244"/>
        <v>2.9949684403788361</v>
      </c>
      <c r="W817" s="28">
        <f t="shared" si="244"/>
        <v>3.0058664357215821</v>
      </c>
      <c r="X817" s="28">
        <f t="shared" si="244"/>
        <v>3.0179747177251275</v>
      </c>
      <c r="Y817" s="28">
        <f t="shared" si="244"/>
        <v>3.0344297828088291</v>
      </c>
      <c r="Z817" s="28">
        <f t="shared" si="244"/>
        <v>3.051660187261632</v>
      </c>
      <c r="AA817" s="28">
        <f t="shared" si="244"/>
        <v>3.0696997307404872</v>
      </c>
      <c r="AB817" s="28">
        <f t="shared" si="244"/>
        <v>3.0857326483566894</v>
      </c>
      <c r="AC817" s="28">
        <f t="shared" si="244"/>
        <v>3.1034202155798769</v>
      </c>
      <c r="AD817" s="28">
        <f t="shared" si="244"/>
        <v>3.1230800126456195</v>
      </c>
      <c r="AE817" s="28">
        <f t="shared" si="244"/>
        <v>3.1419111062172522</v>
      </c>
      <c r="AF817" s="28">
        <f t="shared" si="244"/>
        <v>3.1610561707509404</v>
      </c>
      <c r="AG817" s="28">
        <f t="shared" si="244"/>
        <v>3.1801464271230016</v>
      </c>
      <c r="AH817" s="28">
        <f t="shared" si="244"/>
        <v>3.2005997561822985</v>
      </c>
      <c r="AI817" s="28">
        <f t="shared" si="244"/>
        <v>3.2186571182805661</v>
      </c>
      <c r="AJ817" s="28">
        <f t="shared" si="244"/>
        <v>3.2372153128171188</v>
      </c>
      <c r="AK817" s="28">
        <f t="shared" si="244"/>
        <v>3.2556737246860838</v>
      </c>
      <c r="AL817" s="28">
        <f t="shared" si="244"/>
        <v>3.2731166988585363</v>
      </c>
      <c r="AM817" s="28">
        <f t="shared" si="244"/>
        <v>3.2902088949247208</v>
      </c>
      <c r="AN817" s="28">
        <f t="shared" si="244"/>
        <v>3.3074996116389994</v>
      </c>
      <c r="AO817" s="28">
        <f t="shared" si="244"/>
        <v>3.3251478236065783</v>
      </c>
      <c r="AP817" s="28">
        <f t="shared" si="244"/>
        <v>3.3416218325340545</v>
      </c>
      <c r="AQ817" s="28">
        <f t="shared" si="244"/>
        <v>3.3579892051532951</v>
      </c>
      <c r="AR817" s="28">
        <f t="shared" si="244"/>
        <v>3.3742745430296259</v>
      </c>
      <c r="AS817" s="28">
        <f t="shared" si="244"/>
        <v>3.391159054333535</v>
      </c>
      <c r="AT817" s="28">
        <f t="shared" si="244"/>
        <v>3.4080465074409378</v>
      </c>
      <c r="AU817" s="28">
        <f t="shared" si="244"/>
        <v>3.4185237567194666</v>
      </c>
      <c r="AV817" s="28">
        <f t="shared" si="244"/>
        <v>3.4284835774948501</v>
      </c>
      <c r="AW817" s="28">
        <f t="shared" si="244"/>
        <v>3.439174974977584</v>
      </c>
      <c r="AY817" s="85"/>
      <c r="AZ817" s="85"/>
    </row>
    <row r="818" spans="1:52" x14ac:dyDescent="0.25">
      <c r="A818" s="102" t="str">
        <f t="shared" si="224"/>
        <v>BD Organic</v>
      </c>
      <c r="B818" s="102" t="s">
        <v>1229</v>
      </c>
      <c r="C818" s="102" t="s">
        <v>1128</v>
      </c>
      <c r="D818" t="s">
        <v>369</v>
      </c>
      <c r="E818" t="s">
        <v>55</v>
      </c>
      <c r="F818" t="s">
        <v>421</v>
      </c>
      <c r="G818" t="s">
        <v>1153</v>
      </c>
      <c r="H818" t="s">
        <v>1154</v>
      </c>
      <c r="I818" t="s">
        <v>139</v>
      </c>
      <c r="J818" t="s">
        <v>287</v>
      </c>
      <c r="K818" s="28">
        <f t="shared" si="245"/>
        <v>0.31910516055557447</v>
      </c>
      <c r="L818" s="28">
        <f t="shared" si="244"/>
        <v>0.32125977651579962</v>
      </c>
      <c r="M818" s="28">
        <f t="shared" si="244"/>
        <v>0.32314451970240549</v>
      </c>
      <c r="N818" s="28">
        <f t="shared" si="244"/>
        <v>0.32338831518425315</v>
      </c>
      <c r="O818" s="28">
        <f t="shared" si="244"/>
        <v>0.32380822899810918</v>
      </c>
      <c r="P818" s="28">
        <f t="shared" si="244"/>
        <v>0.32621761700786678</v>
      </c>
      <c r="Q818" s="28">
        <f t="shared" si="244"/>
        <v>0.32814424518292917</v>
      </c>
      <c r="R818" s="28">
        <f t="shared" si="244"/>
        <v>0.32816113797461788</v>
      </c>
      <c r="S818" s="28">
        <f t="shared" si="244"/>
        <v>0.31946691799605059</v>
      </c>
      <c r="T818" s="28">
        <f t="shared" si="244"/>
        <v>0.32366704753421133</v>
      </c>
      <c r="U818" s="28">
        <f t="shared" si="244"/>
        <v>0.32684647343041223</v>
      </c>
      <c r="V818" s="28">
        <f t="shared" si="244"/>
        <v>0.32984618652559566</v>
      </c>
      <c r="W818" s="28">
        <f t="shared" si="244"/>
        <v>0.33332444228182462</v>
      </c>
      <c r="X818" s="28">
        <f t="shared" si="244"/>
        <v>0.33830825606612447</v>
      </c>
      <c r="Y818" s="28">
        <f t="shared" si="244"/>
        <v>0.34349698611877544</v>
      </c>
      <c r="Z818" s="28">
        <f t="shared" si="244"/>
        <v>0.34913311823129872</v>
      </c>
      <c r="AA818" s="28">
        <f t="shared" si="244"/>
        <v>0.3542586043658163</v>
      </c>
      <c r="AB818" s="28">
        <f t="shared" si="244"/>
        <v>0.36013116096519615</v>
      </c>
      <c r="AC818" s="28">
        <f t="shared" si="244"/>
        <v>0.36691641068568986</v>
      </c>
      <c r="AD818" s="28">
        <f t="shared" si="244"/>
        <v>0.3734489276960708</v>
      </c>
      <c r="AE818" s="28">
        <f t="shared" si="244"/>
        <v>0.38032201074224209</v>
      </c>
      <c r="AF818" s="28">
        <f t="shared" si="244"/>
        <v>0.3874035589263955</v>
      </c>
      <c r="AG818" s="28">
        <f t="shared" si="244"/>
        <v>0.39528331644509546</v>
      </c>
      <c r="AH818" s="28">
        <f t="shared" si="244"/>
        <v>0.402417436180809</v>
      </c>
      <c r="AI818" s="28">
        <f t="shared" si="244"/>
        <v>0.40983057953506236</v>
      </c>
      <c r="AJ818" s="28">
        <f t="shared" si="244"/>
        <v>0.41743748809199982</v>
      </c>
      <c r="AK818" s="28">
        <f t="shared" si="244"/>
        <v>0.42481700614270618</v>
      </c>
      <c r="AL818" s="28">
        <f t="shared" si="244"/>
        <v>0.4322524543038212</v>
      </c>
      <c r="AM818" s="28">
        <f t="shared" si="244"/>
        <v>0.44000331272539195</v>
      </c>
      <c r="AN818" s="28">
        <f t="shared" si="244"/>
        <v>0.44801081079437804</v>
      </c>
      <c r="AO818" s="28">
        <f t="shared" si="244"/>
        <v>0.45565879156165573</v>
      </c>
      <c r="AP818" s="28">
        <f t="shared" si="244"/>
        <v>0.46346832830199552</v>
      </c>
      <c r="AQ818" s="28">
        <f t="shared" si="244"/>
        <v>0.47145349561124583</v>
      </c>
      <c r="AR818" s="28">
        <f t="shared" si="244"/>
        <v>0.47999285299993844</v>
      </c>
      <c r="AS818" s="28">
        <f t="shared" si="244"/>
        <v>0.4886261928960397</v>
      </c>
      <c r="AT818" s="28">
        <f t="shared" si="244"/>
        <v>0.49379335063722096</v>
      </c>
      <c r="AU818" s="28">
        <f t="shared" si="244"/>
        <v>0.4987597531133639</v>
      </c>
      <c r="AV818" s="28">
        <f t="shared" si="244"/>
        <v>0.5042544828247203</v>
      </c>
      <c r="AW818" s="28">
        <f t="shared" si="244"/>
        <v>0.50959085302689011</v>
      </c>
      <c r="AY818" s="85"/>
      <c r="AZ818" s="85"/>
    </row>
    <row r="819" spans="1:52" x14ac:dyDescent="0.25">
      <c r="A819" s="102" t="str">
        <f t="shared" si="224"/>
        <v>BD Organic</v>
      </c>
      <c r="B819" s="102" t="s">
        <v>1229</v>
      </c>
      <c r="C819" s="102" t="s">
        <v>1128</v>
      </c>
      <c r="D819" t="s">
        <v>369</v>
      </c>
      <c r="E819" t="s">
        <v>55</v>
      </c>
      <c r="F819" t="s">
        <v>421</v>
      </c>
      <c r="G819" t="s">
        <v>1155</v>
      </c>
      <c r="H819" t="s">
        <v>1156</v>
      </c>
      <c r="I819" t="s">
        <v>139</v>
      </c>
      <c r="J819" t="s">
        <v>287</v>
      </c>
      <c r="K819" s="28">
        <f t="shared" si="245"/>
        <v>0.93305416014115006</v>
      </c>
      <c r="L819" s="28">
        <f t="shared" si="244"/>
        <v>0.93935419421673338</v>
      </c>
      <c r="M819" s="28">
        <f t="shared" si="244"/>
        <v>0.94486512819222468</v>
      </c>
      <c r="N819" s="28">
        <f t="shared" si="244"/>
        <v>0.94557797905356933</v>
      </c>
      <c r="O819" s="28">
        <f t="shared" si="244"/>
        <v>0.94680579476873028</v>
      </c>
      <c r="P819" s="28">
        <f t="shared" si="244"/>
        <v>0.9538507748686591</v>
      </c>
      <c r="Q819" s="28">
        <f t="shared" si="244"/>
        <v>0.95948417932585228</v>
      </c>
      <c r="R819" s="28">
        <f t="shared" si="244"/>
        <v>0.95953357335487388</v>
      </c>
      <c r="S819" s="28">
        <f t="shared" si="244"/>
        <v>0.9341119283208017</v>
      </c>
      <c r="T819" s="28">
        <f t="shared" si="244"/>
        <v>0.94639298429585894</v>
      </c>
      <c r="U819" s="28">
        <f t="shared" si="244"/>
        <v>0.95568953266300471</v>
      </c>
      <c r="V819" s="28">
        <f t="shared" si="244"/>
        <v>0.96446060605403905</v>
      </c>
      <c r="W819" s="28">
        <f t="shared" si="244"/>
        <v>0.97463092419535036</v>
      </c>
      <c r="X819" s="28">
        <f t="shared" si="244"/>
        <v>0.98920344999441168</v>
      </c>
      <c r="Y819" s="28">
        <f t="shared" si="244"/>
        <v>1.0043751449712224</v>
      </c>
      <c r="Z819" s="28">
        <f t="shared" si="244"/>
        <v>1.0208550304909023</v>
      </c>
      <c r="AA819" s="28">
        <f t="shared" si="244"/>
        <v>1.0358418021000837</v>
      </c>
      <c r="AB819" s="28">
        <f t="shared" si="244"/>
        <v>1.0530129859072517</v>
      </c>
      <c r="AC819" s="28">
        <f t="shared" si="244"/>
        <v>1.0728528577171612</v>
      </c>
      <c r="AD819" s="28">
        <f t="shared" si="244"/>
        <v>1.0919537464715672</v>
      </c>
      <c r="AE819" s="28">
        <f t="shared" si="244"/>
        <v>1.1120504403578721</v>
      </c>
      <c r="AF819" s="28">
        <f t="shared" si="244"/>
        <v>1.1327566802129738</v>
      </c>
      <c r="AG819" s="28">
        <f t="shared" si="244"/>
        <v>1.1557968608259288</v>
      </c>
      <c r="AH819" s="28">
        <f t="shared" si="244"/>
        <v>1.1766568183608164</v>
      </c>
      <c r="AI819" s="28">
        <f t="shared" si="244"/>
        <v>1.1983326327988097</v>
      </c>
      <c r="AJ819" s="28">
        <f t="shared" si="244"/>
        <v>1.2205750110245537</v>
      </c>
      <c r="AK819" s="28">
        <f t="shared" si="244"/>
        <v>1.2421525060580416</v>
      </c>
      <c r="AL819" s="28">
        <f t="shared" si="244"/>
        <v>1.2638935390991974</v>
      </c>
      <c r="AM819" s="28">
        <f t="shared" si="244"/>
        <v>1.2865568225206274</v>
      </c>
      <c r="AN819" s="28">
        <f t="shared" si="244"/>
        <v>1.3099705127680101</v>
      </c>
      <c r="AO819" s="28">
        <f t="shared" si="244"/>
        <v>1.3323329849360066</v>
      </c>
      <c r="AP819" s="28">
        <f t="shared" si="244"/>
        <v>1.3551678420460032</v>
      </c>
      <c r="AQ819" s="28">
        <f t="shared" si="244"/>
        <v>1.3785162378047791</v>
      </c>
      <c r="AR819" s="28">
        <f t="shared" si="244"/>
        <v>1.4034850691536036</v>
      </c>
      <c r="AS819" s="28">
        <f t="shared" si="244"/>
        <v>1.4287287026064286</v>
      </c>
      <c r="AT819" s="28">
        <f t="shared" si="244"/>
        <v>1.4438373207751876</v>
      </c>
      <c r="AU819" s="28">
        <f t="shared" si="244"/>
        <v>1.4583589364182332</v>
      </c>
      <c r="AV819" s="28">
        <f t="shared" si="244"/>
        <v>1.4744253654509265</v>
      </c>
      <c r="AW819" s="28">
        <f t="shared" si="244"/>
        <v>1.490028755908539</v>
      </c>
      <c r="AY819" s="85"/>
      <c r="AZ819" s="85"/>
    </row>
    <row r="820" spans="1:52" x14ac:dyDescent="0.25">
      <c r="A820" s="102" t="str">
        <f t="shared" si="224"/>
        <v>BD Organic</v>
      </c>
      <c r="B820" s="102" t="s">
        <v>1229</v>
      </c>
      <c r="C820" s="102" t="s">
        <v>1128</v>
      </c>
      <c r="D820" t="s">
        <v>369</v>
      </c>
      <c r="E820" t="s">
        <v>55</v>
      </c>
      <c r="F820" t="s">
        <v>421</v>
      </c>
      <c r="G820" t="s">
        <v>1157</v>
      </c>
      <c r="H820" t="s">
        <v>1158</v>
      </c>
      <c r="I820" t="s">
        <v>139</v>
      </c>
      <c r="J820" t="s">
        <v>287</v>
      </c>
      <c r="K820" s="28">
        <f t="shared" si="245"/>
        <v>4.9913136648560473E-2</v>
      </c>
      <c r="L820" s="28">
        <f t="shared" si="244"/>
        <v>5.0250152949583772E-2</v>
      </c>
      <c r="M820" s="28">
        <f t="shared" si="244"/>
        <v>5.0544956844502678E-2</v>
      </c>
      <c r="N820" s="28">
        <f t="shared" si="244"/>
        <v>5.0583090346256708E-2</v>
      </c>
      <c r="O820" s="28">
        <f t="shared" si="244"/>
        <v>5.0648771564119566E-2</v>
      </c>
      <c r="P820" s="28">
        <f t="shared" si="244"/>
        <v>5.1025638277152528E-2</v>
      </c>
      <c r="Q820" s="28">
        <f t="shared" si="244"/>
        <v>5.1326993652306703E-2</v>
      </c>
      <c r="R820" s="28">
        <f t="shared" si="244"/>
        <v>5.1329635954356786E-2</v>
      </c>
      <c r="S820" s="28">
        <f t="shared" si="244"/>
        <v>4.9969721282067128E-2</v>
      </c>
      <c r="T820" s="28">
        <f t="shared" si="244"/>
        <v>5.0626688531405499E-2</v>
      </c>
      <c r="U820" s="28">
        <f t="shared" si="244"/>
        <v>5.1124001451524841E-2</v>
      </c>
      <c r="V820" s="28">
        <f t="shared" si="244"/>
        <v>5.1593204423252687E-2</v>
      </c>
      <c r="W820" s="28">
        <f t="shared" si="244"/>
        <v>5.2137259099639094E-2</v>
      </c>
      <c r="X820" s="28">
        <f t="shared" si="244"/>
        <v>5.2916807064371608E-2</v>
      </c>
      <c r="Y820" s="28">
        <f t="shared" si="244"/>
        <v>5.3728407201766935E-2</v>
      </c>
      <c r="Z820" s="28">
        <f t="shared" si="244"/>
        <v>5.4609988157123229E-2</v>
      </c>
      <c r="AA820" s="28">
        <f t="shared" si="244"/>
        <v>5.5411695937019619E-2</v>
      </c>
      <c r="AB820" s="28">
        <f t="shared" si="244"/>
        <v>5.6330257452950339E-2</v>
      </c>
      <c r="AC820" s="28">
        <f t="shared" si="244"/>
        <v>5.7391578729936159E-2</v>
      </c>
      <c r="AD820" s="28">
        <f t="shared" si="244"/>
        <v>5.8413368580123831E-2</v>
      </c>
      <c r="AE820" s="28">
        <f t="shared" si="244"/>
        <v>5.9488428390134962E-2</v>
      </c>
      <c r="AF820" s="28">
        <f t="shared" si="244"/>
        <v>6.0596095472621583E-2</v>
      </c>
      <c r="AG820" s="28">
        <f t="shared" si="244"/>
        <v>6.1828615225995781E-2</v>
      </c>
      <c r="AH820" s="28">
        <f t="shared" si="244"/>
        <v>6.2944505337631407E-2</v>
      </c>
      <c r="AI820" s="28">
        <f t="shared" si="244"/>
        <v>6.4104039193467549E-2</v>
      </c>
      <c r="AJ820" s="28">
        <f t="shared" si="244"/>
        <v>6.5293881017443309E-2</v>
      </c>
      <c r="AK820" s="28">
        <f t="shared" si="244"/>
        <v>6.6448155339501103E-2</v>
      </c>
      <c r="AL820" s="28">
        <f t="shared" si="244"/>
        <v>6.7611178022878776E-2</v>
      </c>
      <c r="AM820" s="28">
        <f t="shared" si="244"/>
        <v>6.8823535901598024E-2</v>
      </c>
      <c r="AN820" s="28">
        <f t="shared" si="244"/>
        <v>7.0076036314422829E-2</v>
      </c>
      <c r="AO820" s="28">
        <f t="shared" si="244"/>
        <v>7.1272302487173145E-2</v>
      </c>
      <c r="AP820" s="28">
        <f t="shared" si="244"/>
        <v>7.2493838590832138E-2</v>
      </c>
      <c r="AQ820" s="28">
        <f t="shared" si="244"/>
        <v>7.3742846116671951E-2</v>
      </c>
      <c r="AR820" s="28">
        <f t="shared" si="244"/>
        <v>7.507853780993895E-2</v>
      </c>
      <c r="AS820" s="28">
        <f t="shared" si="244"/>
        <v>7.6428929866329778E-2</v>
      </c>
      <c r="AT820" s="28">
        <f t="shared" si="244"/>
        <v>7.7237155750145656E-2</v>
      </c>
      <c r="AU820" s="28">
        <f t="shared" si="244"/>
        <v>7.8013980308582434E-2</v>
      </c>
      <c r="AV820" s="28">
        <f t="shared" si="244"/>
        <v>7.8873443673111984E-2</v>
      </c>
      <c r="AW820" s="28">
        <f t="shared" si="244"/>
        <v>7.970813708466469E-2</v>
      </c>
      <c r="AY820" s="85"/>
      <c r="AZ820" s="85"/>
    </row>
    <row r="821" spans="1:52" x14ac:dyDescent="0.25">
      <c r="A821" s="102" t="str">
        <f t="shared" si="224"/>
        <v>BD Organic</v>
      </c>
      <c r="B821" s="102" t="s">
        <v>1229</v>
      </c>
      <c r="C821" s="102" t="s">
        <v>1128</v>
      </c>
      <c r="D821" t="s">
        <v>369</v>
      </c>
      <c r="E821" t="s">
        <v>55</v>
      </c>
      <c r="F821" t="s">
        <v>421</v>
      </c>
      <c r="G821" t="s">
        <v>1159</v>
      </c>
      <c r="H821" t="s">
        <v>1160</v>
      </c>
      <c r="I821" t="s">
        <v>139</v>
      </c>
      <c r="J821" t="s">
        <v>287</v>
      </c>
      <c r="K821" s="28">
        <f t="shared" si="245"/>
        <v>0.40197336823107255</v>
      </c>
      <c r="L821" s="28">
        <f t="shared" si="244"/>
        <v>0.39992683453201888</v>
      </c>
      <c r="M821" s="28">
        <f t="shared" si="244"/>
        <v>0.39619153570803745</v>
      </c>
      <c r="N821" s="28">
        <f t="shared" si="244"/>
        <v>0.38596696743557218</v>
      </c>
      <c r="O821" s="28">
        <f t="shared" si="244"/>
        <v>0.37615042112991043</v>
      </c>
      <c r="P821" s="28">
        <f t="shared" si="244"/>
        <v>0.37293713836150383</v>
      </c>
      <c r="Q821" s="28">
        <f t="shared" si="244"/>
        <v>0.36774734482056881</v>
      </c>
      <c r="R821" s="28">
        <f t="shared" si="244"/>
        <v>0.35608688957109119</v>
      </c>
      <c r="S821" s="28">
        <f t="shared" si="244"/>
        <v>0.31696486473191704</v>
      </c>
      <c r="T821" s="28">
        <f t="shared" si="244"/>
        <v>0.32470985028067645</v>
      </c>
      <c r="U821" s="28">
        <f t="shared" si="244"/>
        <v>0.32889312054031467</v>
      </c>
      <c r="V821" s="28">
        <f t="shared" si="244"/>
        <v>0.33221809700085297</v>
      </c>
      <c r="W821" s="28">
        <f t="shared" si="244"/>
        <v>0.33668665148563554</v>
      </c>
      <c r="X821" s="28">
        <f t="shared" si="244"/>
        <v>0.34526566414363768</v>
      </c>
      <c r="Y821" s="28">
        <f t="shared" si="244"/>
        <v>0.3546551951018343</v>
      </c>
      <c r="Z821" s="28">
        <f t="shared" si="244"/>
        <v>0.36488607427670622</v>
      </c>
      <c r="AA821" s="28">
        <f t="shared" si="244"/>
        <v>0.37322811475659617</v>
      </c>
      <c r="AB821" s="28">
        <f t="shared" si="244"/>
        <v>0.38324164621633577</v>
      </c>
      <c r="AC821" s="28">
        <f t="shared" si="244"/>
        <v>0.39530317301942447</v>
      </c>
      <c r="AD821" s="28">
        <f t="shared" si="244"/>
        <v>0.40324844631367707</v>
      </c>
      <c r="AE821" s="28">
        <f t="shared" si="244"/>
        <v>0.41136426834445033</v>
      </c>
      <c r="AF821" s="28">
        <f t="shared" si="244"/>
        <v>0.41927237917692112</v>
      </c>
      <c r="AG821" s="28">
        <f t="shared" si="244"/>
        <v>0.428421433457634</v>
      </c>
      <c r="AH821" s="28">
        <f t="shared" si="244"/>
        <v>0.43494110190191582</v>
      </c>
      <c r="AI821" s="28">
        <f t="shared" si="244"/>
        <v>0.44180947123061814</v>
      </c>
      <c r="AJ821" s="28">
        <f t="shared" si="244"/>
        <v>0.4483818832498262</v>
      </c>
      <c r="AK821" s="28">
        <f t="shared" si="244"/>
        <v>0.45369176487192819</v>
      </c>
      <c r="AL821" s="28">
        <f t="shared" si="244"/>
        <v>0.45841729176886709</v>
      </c>
      <c r="AM821" s="28">
        <f t="shared" si="244"/>
        <v>0.46312160165358524</v>
      </c>
      <c r="AN821" s="28">
        <f t="shared" si="244"/>
        <v>0.47036226337760684</v>
      </c>
      <c r="AO821" s="28">
        <f t="shared" si="244"/>
        <v>0.47625895476630487</v>
      </c>
      <c r="AP821" s="28">
        <f t="shared" si="244"/>
        <v>0.48192117394918943</v>
      </c>
      <c r="AQ821" s="28">
        <f t="shared" si="244"/>
        <v>0.48736750310542487</v>
      </c>
      <c r="AR821" s="28">
        <f t="shared" si="244"/>
        <v>0.49331923171164554</v>
      </c>
      <c r="AS821" s="28">
        <f t="shared" si="244"/>
        <v>0.49914888511282934</v>
      </c>
      <c r="AT821" s="28">
        <f t="shared" si="244"/>
        <v>0.49794780494726931</v>
      </c>
      <c r="AU821" s="28">
        <f t="shared" si="244"/>
        <v>0.49606316174761622</v>
      </c>
      <c r="AV821" s="28">
        <f t="shared" si="244"/>
        <v>0.49481743932732059</v>
      </c>
      <c r="AW821" s="28">
        <f t="shared" si="244"/>
        <v>0.49296371491806151</v>
      </c>
      <c r="AY821" s="85"/>
      <c r="AZ821" s="85"/>
    </row>
    <row r="822" spans="1:52" x14ac:dyDescent="0.25">
      <c r="A822" s="102" t="str">
        <f t="shared" si="224"/>
        <v>BD Organic</v>
      </c>
      <c r="B822" s="102" t="s">
        <v>1229</v>
      </c>
      <c r="C822" s="102" t="s">
        <v>1128</v>
      </c>
      <c r="D822" t="s">
        <v>369</v>
      </c>
      <c r="E822" t="s">
        <v>55</v>
      </c>
      <c r="F822" t="s">
        <v>421</v>
      </c>
      <c r="G822" t="s">
        <v>1161</v>
      </c>
      <c r="H822" t="s">
        <v>1162</v>
      </c>
      <c r="I822" t="s">
        <v>139</v>
      </c>
      <c r="J822" t="s">
        <v>287</v>
      </c>
      <c r="K822" s="28">
        <f t="shared" si="245"/>
        <v>2.6734246327620794</v>
      </c>
      <c r="L822" s="28">
        <f t="shared" si="244"/>
        <v>2.6598136474699339</v>
      </c>
      <c r="M822" s="28">
        <f t="shared" si="244"/>
        <v>2.6349711064560761</v>
      </c>
      <c r="N822" s="28">
        <f t="shared" si="244"/>
        <v>2.5669700525572687</v>
      </c>
      <c r="O822" s="28">
        <f t="shared" si="244"/>
        <v>2.5016826510120014</v>
      </c>
      <c r="P822" s="28">
        <f t="shared" ref="L822:AW828" si="246">P1470</f>
        <v>2.4803119086096084</v>
      </c>
      <c r="Q822" s="28">
        <f t="shared" si="246"/>
        <v>2.4457958859379039</v>
      </c>
      <c r="R822" s="28">
        <f t="shared" si="246"/>
        <v>2.3682451058194229</v>
      </c>
      <c r="S822" s="28">
        <f t="shared" si="246"/>
        <v>2.1080542743998265</v>
      </c>
      <c r="T822" s="28">
        <f t="shared" si="246"/>
        <v>2.1595642419321464</v>
      </c>
      <c r="U822" s="28">
        <f t="shared" si="246"/>
        <v>2.1873861292547638</v>
      </c>
      <c r="V822" s="28">
        <f t="shared" si="246"/>
        <v>2.2094997185506768</v>
      </c>
      <c r="W822" s="28">
        <f t="shared" si="246"/>
        <v>2.2392189601139396</v>
      </c>
      <c r="X822" s="28">
        <f t="shared" si="246"/>
        <v>2.2962758339700611</v>
      </c>
      <c r="Y822" s="28">
        <f t="shared" si="246"/>
        <v>2.3587232629233519</v>
      </c>
      <c r="Z822" s="28">
        <f t="shared" si="246"/>
        <v>2.4267662890603274</v>
      </c>
      <c r="AA822" s="28">
        <f t="shared" si="246"/>
        <v>2.482247120053132</v>
      </c>
      <c r="AB822" s="28">
        <f t="shared" si="246"/>
        <v>2.5488446207363533</v>
      </c>
      <c r="AC822" s="28">
        <f t="shared" si="246"/>
        <v>2.6290628277434434</v>
      </c>
      <c r="AD822" s="28">
        <f t="shared" si="246"/>
        <v>2.6819048591256602</v>
      </c>
      <c r="AE822" s="28">
        <f t="shared" si="246"/>
        <v>2.7358811676250578</v>
      </c>
      <c r="AF822" s="28">
        <f t="shared" si="246"/>
        <v>2.7884760407410969</v>
      </c>
      <c r="AG822" s="28">
        <f t="shared" si="246"/>
        <v>2.8493241192796606</v>
      </c>
      <c r="AH822" s="28">
        <f t="shared" si="246"/>
        <v>2.8926848083051211</v>
      </c>
      <c r="AI822" s="28">
        <f t="shared" si="246"/>
        <v>2.9383646199579787</v>
      </c>
      <c r="AJ822" s="28">
        <f t="shared" si="246"/>
        <v>2.9820760933477084</v>
      </c>
      <c r="AK822" s="28">
        <f t="shared" si="246"/>
        <v>3.0173907919011151</v>
      </c>
      <c r="AL822" s="28">
        <f t="shared" si="246"/>
        <v>3.0488190928969017</v>
      </c>
      <c r="AM822" s="28">
        <f t="shared" si="246"/>
        <v>3.0801062848352543</v>
      </c>
      <c r="AN822" s="28">
        <f t="shared" si="246"/>
        <v>3.1282621203715273</v>
      </c>
      <c r="AO822" s="28">
        <f t="shared" si="246"/>
        <v>3.1674795443509169</v>
      </c>
      <c r="AP822" s="28">
        <f t="shared" si="246"/>
        <v>3.2051375521593344</v>
      </c>
      <c r="AQ822" s="28">
        <f t="shared" si="246"/>
        <v>3.2413597292365988</v>
      </c>
      <c r="AR822" s="28">
        <f t="shared" si="246"/>
        <v>3.2809431920252043</v>
      </c>
      <c r="AS822" s="28">
        <f t="shared" si="246"/>
        <v>3.319714763066774</v>
      </c>
      <c r="AT822" s="28">
        <f t="shared" si="246"/>
        <v>3.3117266783967354</v>
      </c>
      <c r="AU822" s="28">
        <f t="shared" si="246"/>
        <v>3.2991923864457724</v>
      </c>
      <c r="AV822" s="28">
        <f t="shared" si="246"/>
        <v>3.2909073972718437</v>
      </c>
      <c r="AW822" s="28">
        <f t="shared" si="246"/>
        <v>3.2785787384856291</v>
      </c>
      <c r="AY822" s="85"/>
      <c r="AZ822" s="85"/>
    </row>
    <row r="823" spans="1:52" x14ac:dyDescent="0.25">
      <c r="A823" s="102" t="str">
        <f t="shared" si="224"/>
        <v>BD Organic</v>
      </c>
      <c r="B823" s="102" t="s">
        <v>1229</v>
      </c>
      <c r="C823" s="102" t="s">
        <v>1128</v>
      </c>
      <c r="D823" t="s">
        <v>369</v>
      </c>
      <c r="E823" t="s">
        <v>55</v>
      </c>
      <c r="F823" t="s">
        <v>421</v>
      </c>
      <c r="G823" t="s">
        <v>1163</v>
      </c>
      <c r="H823" t="s">
        <v>1164</v>
      </c>
      <c r="I823" t="s">
        <v>139</v>
      </c>
      <c r="J823" t="s">
        <v>287</v>
      </c>
      <c r="K823" s="28">
        <f t="shared" si="245"/>
        <v>0.34456271820054257</v>
      </c>
      <c r="L823" s="28">
        <f t="shared" si="246"/>
        <v>0.35741698731572036</v>
      </c>
      <c r="M823" s="28">
        <f t="shared" si="246"/>
        <v>0.36896489164513291</v>
      </c>
      <c r="N823" s="28">
        <f t="shared" si="246"/>
        <v>0.37438401076610434</v>
      </c>
      <c r="O823" s="28">
        <f t="shared" si="246"/>
        <v>0.37988604718806568</v>
      </c>
      <c r="P823" s="28">
        <f t="shared" si="246"/>
        <v>0.39203102133073692</v>
      </c>
      <c r="Q823" s="28">
        <f t="shared" si="246"/>
        <v>0.40227536328848007</v>
      </c>
      <c r="R823" s="28">
        <f t="shared" si="246"/>
        <v>0.40526591417131741</v>
      </c>
      <c r="S823" s="28">
        <f t="shared" si="246"/>
        <v>0.37527481867018142</v>
      </c>
      <c r="T823" s="28">
        <f t="shared" si="246"/>
        <v>0.39365996287351818</v>
      </c>
      <c r="U823" s="28">
        <f t="shared" si="246"/>
        <v>0.40815819868382563</v>
      </c>
      <c r="V823" s="28">
        <f t="shared" si="246"/>
        <v>0.42190781589388981</v>
      </c>
      <c r="W823" s="28">
        <f t="shared" si="246"/>
        <v>0.4374457677220121</v>
      </c>
      <c r="X823" s="28">
        <f t="shared" si="246"/>
        <v>0.45882709525597559</v>
      </c>
      <c r="Y823" s="28">
        <f t="shared" si="246"/>
        <v>0.48194951358683946</v>
      </c>
      <c r="Z823" s="28">
        <f t="shared" si="246"/>
        <v>0.5069467882453319</v>
      </c>
      <c r="AA823" s="28">
        <f t="shared" si="246"/>
        <v>0.53003801773568016</v>
      </c>
      <c r="AB823" s="28">
        <f t="shared" si="246"/>
        <v>0.55623390953100238</v>
      </c>
      <c r="AC823" s="28">
        <f t="shared" si="246"/>
        <v>0.58627034555980351</v>
      </c>
      <c r="AD823" s="28">
        <f t="shared" si="246"/>
        <v>0.61782159985165686</v>
      </c>
      <c r="AE823" s="28">
        <f t="shared" si="246"/>
        <v>0.65112867925188422</v>
      </c>
      <c r="AF823" s="28">
        <f t="shared" si="246"/>
        <v>0.68568148380807281</v>
      </c>
      <c r="AG823" s="28">
        <f t="shared" si="246"/>
        <v>0.72398256864978949</v>
      </c>
      <c r="AH823" s="28">
        <f t="shared" si="246"/>
        <v>0.75957681879798822</v>
      </c>
      <c r="AI823" s="28">
        <f t="shared" si="246"/>
        <v>0.79748571472295215</v>
      </c>
      <c r="AJ823" s="28">
        <f t="shared" si="246"/>
        <v>0.83666894668287939</v>
      </c>
      <c r="AK823" s="28">
        <f t="shared" si="246"/>
        <v>0.87531443785412277</v>
      </c>
      <c r="AL823" s="28">
        <f t="shared" si="246"/>
        <v>0.91464095810421253</v>
      </c>
      <c r="AM823" s="28">
        <f t="shared" si="246"/>
        <v>0.95580463534177018</v>
      </c>
      <c r="AN823" s="28">
        <f t="shared" si="246"/>
        <v>0.99803934996482946</v>
      </c>
      <c r="AO823" s="28">
        <f t="shared" si="246"/>
        <v>1.0390605531241226</v>
      </c>
      <c r="AP823" s="28">
        <f t="shared" si="246"/>
        <v>1.0811924287176657</v>
      </c>
      <c r="AQ823" s="28">
        <f t="shared" si="246"/>
        <v>1.1245143338669252</v>
      </c>
      <c r="AR823" s="28">
        <f t="shared" si="246"/>
        <v>1.1707805213950246</v>
      </c>
      <c r="AS823" s="28">
        <f t="shared" si="246"/>
        <v>1.2186517327491972</v>
      </c>
      <c r="AT823" s="28">
        <f t="shared" si="246"/>
        <v>1.2508464245777533</v>
      </c>
      <c r="AU823" s="28">
        <f t="shared" si="246"/>
        <v>1.2823366685557687</v>
      </c>
      <c r="AV823" s="28">
        <f t="shared" si="246"/>
        <v>1.3165428948829248</v>
      </c>
      <c r="AW823" s="28">
        <f t="shared" si="246"/>
        <v>1.3502550917336287</v>
      </c>
      <c r="AY823" s="85"/>
      <c r="AZ823" s="85"/>
    </row>
    <row r="824" spans="1:52" x14ac:dyDescent="0.25">
      <c r="A824" s="102" t="str">
        <f t="shared" si="224"/>
        <v>BD Organic</v>
      </c>
      <c r="B824" s="102" t="s">
        <v>1229</v>
      </c>
      <c r="C824" s="102" t="s">
        <v>1128</v>
      </c>
      <c r="D824" t="s">
        <v>369</v>
      </c>
      <c r="E824" t="s">
        <v>55</v>
      </c>
      <c r="F824" t="s">
        <v>421</v>
      </c>
      <c r="G824" t="s">
        <v>1165</v>
      </c>
      <c r="H824" t="s">
        <v>1166</v>
      </c>
      <c r="I824" t="s">
        <v>139</v>
      </c>
      <c r="J824" t="s">
        <v>287</v>
      </c>
      <c r="K824" s="28">
        <f t="shared" si="245"/>
        <v>5.8351352726762881E-2</v>
      </c>
      <c r="L824" s="28">
        <f t="shared" si="246"/>
        <v>5.838284383946888E-2</v>
      </c>
      <c r="M824" s="28">
        <f t="shared" si="246"/>
        <v>5.8455239222652444E-2</v>
      </c>
      <c r="N824" s="28">
        <f t="shared" si="246"/>
        <v>5.8562716913640872E-2</v>
      </c>
      <c r="O824" s="28">
        <f t="shared" si="246"/>
        <v>5.8707782505400478E-2</v>
      </c>
      <c r="P824" s="28">
        <f t="shared" si="246"/>
        <v>5.8893351419097517E-2</v>
      </c>
      <c r="Q824" s="28">
        <f t="shared" si="246"/>
        <v>5.909782905733385E-2</v>
      </c>
      <c r="R824" s="28">
        <f t="shared" si="246"/>
        <v>5.9318039560246685E-2</v>
      </c>
      <c r="S824" s="28">
        <f t="shared" si="246"/>
        <v>5.9536211182470676E-2</v>
      </c>
      <c r="T824" s="28">
        <f t="shared" si="246"/>
        <v>5.9625496743982688E-2</v>
      </c>
      <c r="U824" s="28">
        <f t="shared" si="246"/>
        <v>5.9726883271183619E-2</v>
      </c>
      <c r="V824" s="28">
        <f t="shared" si="246"/>
        <v>5.9841544259393621E-2</v>
      </c>
      <c r="W824" s="28">
        <f t="shared" si="246"/>
        <v>5.9970311446414445E-2</v>
      </c>
      <c r="X824" s="28">
        <f t="shared" si="246"/>
        <v>6.0115005305831533E-2</v>
      </c>
      <c r="Y824" s="28">
        <f t="shared" si="246"/>
        <v>6.0205982501934943E-2</v>
      </c>
      <c r="Z824" s="28">
        <f t="shared" si="246"/>
        <v>6.0308427456259674E-2</v>
      </c>
      <c r="AA824" s="28">
        <f t="shared" si="246"/>
        <v>6.0419488984851388E-2</v>
      </c>
      <c r="AB824" s="28">
        <f t="shared" si="246"/>
        <v>6.0541770911636386E-2</v>
      </c>
      <c r="AC824" s="28">
        <f t="shared" si="246"/>
        <v>6.0675259234702413E-2</v>
      </c>
      <c r="AD824" s="28">
        <f t="shared" si="246"/>
        <v>6.0763612545599144E-2</v>
      </c>
      <c r="AE824" s="28">
        <f t="shared" si="246"/>
        <v>6.0860562125647062E-2</v>
      </c>
      <c r="AF824" s="28">
        <f t="shared" si="246"/>
        <v>6.0965456696796608E-2</v>
      </c>
      <c r="AG824" s="28">
        <f t="shared" si="246"/>
        <v>6.1079431750386354E-2</v>
      </c>
      <c r="AH824" s="28">
        <f t="shared" si="246"/>
        <v>6.1198454005462005E-2</v>
      </c>
      <c r="AI824" s="28">
        <f t="shared" si="246"/>
        <v>6.1274601225536553E-2</v>
      </c>
      <c r="AJ824" s="28">
        <f t="shared" si="246"/>
        <v>6.1357207979697827E-2</v>
      </c>
      <c r="AK824" s="28">
        <f t="shared" si="246"/>
        <v>6.1445023192111883E-2</v>
      </c>
      <c r="AL824" s="28">
        <f t="shared" si="246"/>
        <v>6.1538527566909175E-2</v>
      </c>
      <c r="AM824" s="28">
        <f t="shared" si="246"/>
        <v>6.163815914834115E-2</v>
      </c>
      <c r="AN824" s="28">
        <f t="shared" si="246"/>
        <v>6.1696880609150663E-2</v>
      </c>
      <c r="AO824" s="28">
        <f t="shared" si="246"/>
        <v>6.1759449666934245E-2</v>
      </c>
      <c r="AP824" s="28">
        <f t="shared" si="246"/>
        <v>6.1826968943055068E-2</v>
      </c>
      <c r="AQ824" s="28">
        <f t="shared" si="246"/>
        <v>6.1899319328770012E-2</v>
      </c>
      <c r="AR824" s="28">
        <f t="shared" si="246"/>
        <v>6.1977277610442229E-2</v>
      </c>
      <c r="AS824" s="28">
        <f t="shared" si="246"/>
        <v>6.2012413359244796E-2</v>
      </c>
      <c r="AT824" s="28">
        <f t="shared" si="246"/>
        <v>6.2042910745793073E-2</v>
      </c>
      <c r="AU824" s="28">
        <f t="shared" si="246"/>
        <v>6.2076578921359475E-2</v>
      </c>
      <c r="AV824" s="28">
        <f t="shared" si="246"/>
        <v>6.2115070786636459E-2</v>
      </c>
      <c r="AW824" s="28">
        <f t="shared" si="246"/>
        <v>6.2156607972806463E-2</v>
      </c>
      <c r="AY824" s="85"/>
      <c r="AZ824" s="85"/>
    </row>
    <row r="825" spans="1:52" x14ac:dyDescent="0.25">
      <c r="A825" s="102" t="str">
        <f t="shared" si="224"/>
        <v>BD Organic</v>
      </c>
      <c r="B825" s="102" t="s">
        <v>1229</v>
      </c>
      <c r="C825" s="102" t="s">
        <v>1128</v>
      </c>
      <c r="D825" t="s">
        <v>369</v>
      </c>
      <c r="E825" t="s">
        <v>55</v>
      </c>
      <c r="F825" t="s">
        <v>421</v>
      </c>
      <c r="G825" t="s">
        <v>1167</v>
      </c>
      <c r="H825" t="s">
        <v>1168</v>
      </c>
      <c r="I825" t="s">
        <v>139</v>
      </c>
      <c r="J825" t="s">
        <v>287</v>
      </c>
      <c r="K825" s="28">
        <f t="shared" si="245"/>
        <v>4.7490069351463909E-2</v>
      </c>
      <c r="L825" s="28">
        <f t="shared" si="246"/>
        <v>4.7515698836582541E-2</v>
      </c>
      <c r="M825" s="28">
        <f t="shared" si="246"/>
        <v>4.7574618837704238E-2</v>
      </c>
      <c r="N825" s="28">
        <f t="shared" si="246"/>
        <v>4.7662091068599664E-2</v>
      </c>
      <c r="O825" s="28">
        <f t="shared" si="246"/>
        <v>4.7780154741355184E-2</v>
      </c>
      <c r="P825" s="28">
        <f t="shared" si="246"/>
        <v>4.7931182612503523E-2</v>
      </c>
      <c r="Q825" s="28">
        <f t="shared" si="246"/>
        <v>4.809759961514163E-2</v>
      </c>
      <c r="R825" s="28">
        <f t="shared" si="246"/>
        <v>4.8276821031039585E-2</v>
      </c>
      <c r="S825" s="28">
        <f t="shared" si="246"/>
        <v>4.845438307520427E-2</v>
      </c>
      <c r="T825" s="28">
        <f t="shared" si="246"/>
        <v>4.8527049385583491E-2</v>
      </c>
      <c r="U825" s="28">
        <f t="shared" si="246"/>
        <v>4.8609564237134945E-2</v>
      </c>
      <c r="V825" s="28">
        <f t="shared" si="246"/>
        <v>4.8702882695534688E-2</v>
      </c>
      <c r="W825" s="28">
        <f t="shared" si="246"/>
        <v>4.8807681682294192E-2</v>
      </c>
      <c r="X825" s="28">
        <f t="shared" si="246"/>
        <v>4.8925442815452934E-2</v>
      </c>
      <c r="Y825" s="28">
        <f t="shared" si="246"/>
        <v>4.899948588644365E-2</v>
      </c>
      <c r="Z825" s="28">
        <f t="shared" si="246"/>
        <v>4.9082862153800644E-2</v>
      </c>
      <c r="AA825" s="28">
        <f t="shared" si="246"/>
        <v>4.9173251141349877E-2</v>
      </c>
      <c r="AB825" s="28">
        <f t="shared" si="246"/>
        <v>4.9272772007826496E-2</v>
      </c>
      <c r="AC825" s="28">
        <f t="shared" si="246"/>
        <v>4.9381413357577224E-2</v>
      </c>
      <c r="AD825" s="28">
        <f t="shared" si="246"/>
        <v>4.9453320942677535E-2</v>
      </c>
      <c r="AE825" s="28">
        <f t="shared" si="246"/>
        <v>4.9532224722365882E-2</v>
      </c>
      <c r="AF825" s="28">
        <f t="shared" si="246"/>
        <v>4.9617594644838996E-2</v>
      </c>
      <c r="AG825" s="28">
        <f t="shared" si="246"/>
        <v>4.9710354845697732E-2</v>
      </c>
      <c r="AH825" s="28">
        <f t="shared" si="246"/>
        <v>4.9807222782493964E-2</v>
      </c>
      <c r="AI825" s="28">
        <f t="shared" si="246"/>
        <v>4.9869196268853305E-2</v>
      </c>
      <c r="AJ825" s="28">
        <f t="shared" si="246"/>
        <v>4.9936426937907168E-2</v>
      </c>
      <c r="AK825" s="28">
        <f t="shared" si="246"/>
        <v>5.0007896583986924E-2</v>
      </c>
      <c r="AL825" s="28">
        <f t="shared" si="246"/>
        <v>5.0083996434912091E-2</v>
      </c>
      <c r="AM825" s="28">
        <f t="shared" si="246"/>
        <v>5.0165082999159477E-2</v>
      </c>
      <c r="AN825" s="28">
        <f t="shared" si="246"/>
        <v>5.0212874286181063E-2</v>
      </c>
      <c r="AO825" s="28">
        <f t="shared" si="246"/>
        <v>5.0263796994131166E-2</v>
      </c>
      <c r="AP825" s="28">
        <f t="shared" si="246"/>
        <v>5.0318748506918774E-2</v>
      </c>
      <c r="AQ825" s="28">
        <f t="shared" si="246"/>
        <v>5.0377631886217578E-2</v>
      </c>
      <c r="AR825" s="28">
        <f t="shared" si="246"/>
        <v>5.0441079330537687E-2</v>
      </c>
      <c r="AS825" s="28">
        <f t="shared" si="246"/>
        <v>5.0469675054019239E-2</v>
      </c>
      <c r="AT825" s="28">
        <f t="shared" si="246"/>
        <v>5.049449578112386E-2</v>
      </c>
      <c r="AU825" s="28">
        <f t="shared" si="246"/>
        <v>5.0521897099480149E-2</v>
      </c>
      <c r="AV825" s="28">
        <f t="shared" si="246"/>
        <v>5.055322424557103E-2</v>
      </c>
      <c r="AW825" s="28">
        <f t="shared" si="246"/>
        <v>5.0587029868914744E-2</v>
      </c>
      <c r="AY825" s="85"/>
      <c r="AZ825" s="85"/>
    </row>
    <row r="826" spans="1:52" x14ac:dyDescent="0.25">
      <c r="A826" s="102" t="str">
        <f t="shared" si="224"/>
        <v>BD Organic</v>
      </c>
      <c r="B826" s="102" t="s">
        <v>1229</v>
      </c>
      <c r="C826" s="102" t="s">
        <v>1128</v>
      </c>
      <c r="D826" t="s">
        <v>369</v>
      </c>
      <c r="E826" t="s">
        <v>55</v>
      </c>
      <c r="F826" t="s">
        <v>421</v>
      </c>
      <c r="G826" t="s">
        <v>1169</v>
      </c>
      <c r="H826" t="s">
        <v>1170</v>
      </c>
      <c r="I826" t="s">
        <v>139</v>
      </c>
      <c r="J826" t="s">
        <v>287</v>
      </c>
      <c r="K826" s="28">
        <f t="shared" si="245"/>
        <v>7.2124379000375856E-3</v>
      </c>
      <c r="L826" s="28">
        <f t="shared" si="246"/>
        <v>7.2311842253661622E-3</v>
      </c>
      <c r="M826" s="28">
        <f t="shared" si="246"/>
        <v>7.2564640106272402E-3</v>
      </c>
      <c r="N826" s="28">
        <f t="shared" si="246"/>
        <v>7.287254147269725E-3</v>
      </c>
      <c r="O826" s="28">
        <f t="shared" si="246"/>
        <v>7.3241333035294473E-3</v>
      </c>
      <c r="P826" s="28">
        <f t="shared" si="246"/>
        <v>7.3677329801347495E-3</v>
      </c>
      <c r="Q826" s="28">
        <f t="shared" si="246"/>
        <v>7.4139400326720672E-3</v>
      </c>
      <c r="R826" s="28">
        <f t="shared" si="246"/>
        <v>7.4622138016085145E-3</v>
      </c>
      <c r="S826" s="28">
        <f t="shared" si="246"/>
        <v>7.509211214865451E-3</v>
      </c>
      <c r="T826" s="28">
        <f t="shared" si="246"/>
        <v>7.5307669987204583E-3</v>
      </c>
      <c r="U826" s="28">
        <f t="shared" si="246"/>
        <v>7.5540126929522231E-3</v>
      </c>
      <c r="V826" s="28">
        <f t="shared" si="246"/>
        <v>7.5792072480240892E-3</v>
      </c>
      <c r="W826" s="28">
        <f t="shared" si="246"/>
        <v>7.6065371736612122E-3</v>
      </c>
      <c r="X826" s="28">
        <f t="shared" si="246"/>
        <v>7.6363701343967012E-3</v>
      </c>
      <c r="Y826" s="28">
        <f t="shared" si="246"/>
        <v>7.6555716504049104E-3</v>
      </c>
      <c r="Z826" s="28">
        <f t="shared" si="246"/>
        <v>7.6765259853692923E-3</v>
      </c>
      <c r="AA826" s="28">
        <f t="shared" si="246"/>
        <v>7.6987119024127136E-3</v>
      </c>
      <c r="AB826" s="28">
        <f t="shared" si="246"/>
        <v>7.7226338019690602E-3</v>
      </c>
      <c r="AC826" s="28">
        <f t="shared" si="246"/>
        <v>7.7482997485057862E-3</v>
      </c>
      <c r="AD826" s="28">
        <f t="shared" si="246"/>
        <v>7.7651933997685552E-3</v>
      </c>
      <c r="AE826" s="28">
        <f t="shared" si="246"/>
        <v>7.7834037435669879E-3</v>
      </c>
      <c r="AF826" s="28">
        <f t="shared" si="246"/>
        <v>7.802817413015653E-3</v>
      </c>
      <c r="AG826" s="28">
        <f t="shared" si="246"/>
        <v>7.8236526131203795E-3</v>
      </c>
      <c r="AH826" s="28">
        <f t="shared" si="246"/>
        <v>7.8451669042542294E-3</v>
      </c>
      <c r="AI826" s="28">
        <f t="shared" si="246"/>
        <v>7.8585039220798909E-3</v>
      </c>
      <c r="AJ826" s="28">
        <f t="shared" si="246"/>
        <v>7.8728299564684995E-3</v>
      </c>
      <c r="AK826" s="28">
        <f t="shared" si="246"/>
        <v>7.8879188408277207E-3</v>
      </c>
      <c r="AL826" s="28">
        <f t="shared" si="246"/>
        <v>7.9038640214346874E-3</v>
      </c>
      <c r="AM826" s="28">
        <f t="shared" si="246"/>
        <v>7.9207498637461782E-3</v>
      </c>
      <c r="AN826" s="28">
        <f t="shared" si="246"/>
        <v>7.9299570033797458E-3</v>
      </c>
      <c r="AO826" s="28">
        <f t="shared" si="246"/>
        <v>7.9397231588042138E-3</v>
      </c>
      <c r="AP826" s="28">
        <f t="shared" si="246"/>
        <v>7.9502533101027516E-3</v>
      </c>
      <c r="AQ826" s="28">
        <f t="shared" si="246"/>
        <v>7.9615278668621423E-3</v>
      </c>
      <c r="AR826" s="28">
        <f t="shared" si="246"/>
        <v>7.9736901552170548E-3</v>
      </c>
      <c r="AS826" s="28">
        <f t="shared" si="246"/>
        <v>7.9779384467945549E-3</v>
      </c>
      <c r="AT826" s="28">
        <f t="shared" si="246"/>
        <v>7.9812454824287754E-3</v>
      </c>
      <c r="AU826" s="28">
        <f t="shared" si="246"/>
        <v>7.9850348723730785E-3</v>
      </c>
      <c r="AV826" s="28">
        <f t="shared" si="246"/>
        <v>7.9896072385955193E-3</v>
      </c>
      <c r="AW826" s="28">
        <f t="shared" si="246"/>
        <v>7.9946414377677251E-3</v>
      </c>
      <c r="AY826" s="85"/>
      <c r="AZ826" s="85"/>
    </row>
    <row r="827" spans="1:52" x14ac:dyDescent="0.25">
      <c r="A827" s="102" t="str">
        <f t="shared" si="224"/>
        <v>BD Organic</v>
      </c>
      <c r="B827" s="102" t="s">
        <v>1229</v>
      </c>
      <c r="C827" s="102" t="s">
        <v>1128</v>
      </c>
      <c r="D827" t="s">
        <v>369</v>
      </c>
      <c r="E827" t="s">
        <v>55</v>
      </c>
      <c r="F827" t="s">
        <v>421</v>
      </c>
      <c r="G827" t="s">
        <v>1171</v>
      </c>
      <c r="H827" t="s">
        <v>1172</v>
      </c>
      <c r="I827" t="s">
        <v>139</v>
      </c>
      <c r="J827" t="s">
        <v>287</v>
      </c>
      <c r="K827" s="28">
        <f t="shared" si="245"/>
        <v>8.7025704097551199E-2</v>
      </c>
      <c r="L827" s="28">
        <f t="shared" si="246"/>
        <v>8.7251898372437478E-2</v>
      </c>
      <c r="M827" s="28">
        <f t="shared" si="246"/>
        <v>8.7556925762935861E-2</v>
      </c>
      <c r="N827" s="28">
        <f t="shared" si="246"/>
        <v>8.7928441380499503E-2</v>
      </c>
      <c r="O827" s="28">
        <f t="shared" si="246"/>
        <v>8.8373427470433044E-2</v>
      </c>
      <c r="P827" s="28">
        <f t="shared" si="246"/>
        <v>8.8899503758033641E-2</v>
      </c>
      <c r="Q827" s="28">
        <f t="shared" si="246"/>
        <v>8.9457040798499768E-2</v>
      </c>
      <c r="R827" s="28">
        <f t="shared" si="246"/>
        <v>9.0039514961794118E-2</v>
      </c>
      <c r="S827" s="28">
        <f t="shared" si="246"/>
        <v>9.0606588541648075E-2</v>
      </c>
      <c r="T827" s="28">
        <f t="shared" si="246"/>
        <v>9.0866681909987077E-2</v>
      </c>
      <c r="U827" s="28">
        <f t="shared" si="246"/>
        <v>9.1147165837307267E-2</v>
      </c>
      <c r="V827" s="28">
        <f t="shared" si="246"/>
        <v>9.1451164835280221E-2</v>
      </c>
      <c r="W827" s="28">
        <f t="shared" si="246"/>
        <v>9.1780929341327769E-2</v>
      </c>
      <c r="X827" s="28">
        <f t="shared" si="246"/>
        <v>9.2140895617544447E-2</v>
      </c>
      <c r="Y827" s="28">
        <f t="shared" si="246"/>
        <v>9.2372582250207988E-2</v>
      </c>
      <c r="Z827" s="28">
        <f t="shared" si="246"/>
        <v>9.2625418500508608E-2</v>
      </c>
      <c r="AA827" s="28">
        <f t="shared" si="246"/>
        <v>9.2893115093326858E-2</v>
      </c>
      <c r="AB827" s="28">
        <f t="shared" si="246"/>
        <v>9.3181758154257929E-2</v>
      </c>
      <c r="AC827" s="28">
        <f t="shared" si="246"/>
        <v>9.3491444989645012E-2</v>
      </c>
      <c r="AD827" s="28">
        <f t="shared" si="246"/>
        <v>9.3695284789210367E-2</v>
      </c>
      <c r="AE827" s="28">
        <f t="shared" si="246"/>
        <v>9.3915011879118299E-2</v>
      </c>
      <c r="AF827" s="28">
        <f t="shared" si="246"/>
        <v>9.4149258367795627E-2</v>
      </c>
      <c r="AG827" s="28">
        <f t="shared" si="246"/>
        <v>9.4400657129803389E-2</v>
      </c>
      <c r="AH827" s="28">
        <f t="shared" si="246"/>
        <v>9.4660249844504385E-2</v>
      </c>
      <c r="AI827" s="28">
        <f t="shared" si="246"/>
        <v>9.4821175093764906E-2</v>
      </c>
      <c r="AJ827" s="28">
        <f t="shared" si="246"/>
        <v>9.4994033875618389E-2</v>
      </c>
      <c r="AK827" s="28">
        <f t="shared" si="246"/>
        <v>9.5176097250528169E-2</v>
      </c>
      <c r="AL827" s="28">
        <f t="shared" si="246"/>
        <v>9.5368492746824421E-2</v>
      </c>
      <c r="AM827" s="28">
        <f t="shared" si="246"/>
        <v>9.5572238323119812E-2</v>
      </c>
      <c r="AN827" s="28">
        <f t="shared" si="246"/>
        <v>9.5683332216812994E-2</v>
      </c>
      <c r="AO827" s="28">
        <f t="shared" si="246"/>
        <v>9.5801171228242971E-2</v>
      </c>
      <c r="AP827" s="28">
        <f t="shared" si="246"/>
        <v>9.5928228659268394E-2</v>
      </c>
      <c r="AQ827" s="28">
        <f t="shared" si="246"/>
        <v>9.6064268130799754E-2</v>
      </c>
      <c r="AR827" s="28">
        <f t="shared" si="246"/>
        <v>9.6211019024491043E-2</v>
      </c>
      <c r="AS827" s="28">
        <f t="shared" si="246"/>
        <v>9.6262279163000078E-2</v>
      </c>
      <c r="AT827" s="28">
        <f t="shared" si="246"/>
        <v>9.6302182051389879E-2</v>
      </c>
      <c r="AU827" s="28">
        <f t="shared" si="246"/>
        <v>9.634790505553549E-2</v>
      </c>
      <c r="AV827" s="28">
        <f t="shared" si="246"/>
        <v>9.6403075497959345E-2</v>
      </c>
      <c r="AW827" s="28">
        <f t="shared" si="246"/>
        <v>9.6463818444186472E-2</v>
      </c>
      <c r="AY827" s="85"/>
      <c r="AZ827" s="85"/>
    </row>
    <row r="828" spans="1:52" x14ac:dyDescent="0.25">
      <c r="A828" s="102" t="str">
        <f t="shared" si="224"/>
        <v>BD Organic</v>
      </c>
      <c r="B828" s="102" t="s">
        <v>1229</v>
      </c>
      <c r="C828" s="102" t="s">
        <v>1128</v>
      </c>
      <c r="D828" t="s">
        <v>369</v>
      </c>
      <c r="E828" t="s">
        <v>55</v>
      </c>
      <c r="F828" t="s">
        <v>421</v>
      </c>
      <c r="G828" t="s">
        <v>1173</v>
      </c>
      <c r="H828" t="s">
        <v>1174</v>
      </c>
      <c r="I828" t="s">
        <v>139</v>
      </c>
      <c r="J828" t="s">
        <v>287</v>
      </c>
      <c r="K828" s="28">
        <f t="shared" si="245"/>
        <v>0</v>
      </c>
      <c r="L828" s="28">
        <f t="shared" si="246"/>
        <v>0</v>
      </c>
      <c r="M828" s="28">
        <f t="shared" si="246"/>
        <v>0</v>
      </c>
      <c r="N828" s="28">
        <f t="shared" si="246"/>
        <v>0</v>
      </c>
      <c r="O828" s="28">
        <f t="shared" si="246"/>
        <v>0</v>
      </c>
      <c r="P828" s="28">
        <f t="shared" si="246"/>
        <v>0</v>
      </c>
      <c r="Q828" s="28">
        <f t="shared" si="246"/>
        <v>0</v>
      </c>
      <c r="R828" s="28">
        <f t="shared" si="246"/>
        <v>0</v>
      </c>
      <c r="S828" s="28">
        <f t="shared" si="246"/>
        <v>0</v>
      </c>
      <c r="T828" s="28">
        <f t="shared" si="246"/>
        <v>0</v>
      </c>
      <c r="U828" s="28">
        <f t="shared" si="246"/>
        <v>0</v>
      </c>
      <c r="V828" s="28">
        <f t="shared" si="246"/>
        <v>0</v>
      </c>
      <c r="W828" s="28">
        <f t="shared" si="246"/>
        <v>0</v>
      </c>
      <c r="X828" s="28">
        <f t="shared" si="246"/>
        <v>0</v>
      </c>
      <c r="Y828" s="28">
        <f t="shared" si="246"/>
        <v>0</v>
      </c>
      <c r="Z828" s="28">
        <f t="shared" si="246"/>
        <v>0</v>
      </c>
      <c r="AA828" s="28">
        <f t="shared" si="246"/>
        <v>0</v>
      </c>
      <c r="AB828" s="28">
        <f t="shared" si="246"/>
        <v>0</v>
      </c>
      <c r="AC828" s="28">
        <f t="shared" si="246"/>
        <v>0</v>
      </c>
      <c r="AD828" s="28">
        <f t="shared" si="246"/>
        <v>0</v>
      </c>
      <c r="AE828" s="28">
        <f t="shared" si="246"/>
        <v>0</v>
      </c>
      <c r="AF828" s="28">
        <f t="shared" si="246"/>
        <v>0</v>
      </c>
      <c r="AG828" s="28">
        <f t="shared" si="246"/>
        <v>0</v>
      </c>
      <c r="AH828" s="28">
        <f t="shared" si="246"/>
        <v>0</v>
      </c>
      <c r="AI828" s="28">
        <f t="shared" si="246"/>
        <v>0</v>
      </c>
      <c r="AJ828" s="28">
        <f t="shared" si="246"/>
        <v>0</v>
      </c>
      <c r="AK828" s="28">
        <f t="shared" si="246"/>
        <v>0</v>
      </c>
      <c r="AL828" s="28">
        <f t="shared" si="246"/>
        <v>0</v>
      </c>
      <c r="AM828" s="28">
        <f t="shared" si="246"/>
        <v>0</v>
      </c>
      <c r="AN828" s="28">
        <f t="shared" si="246"/>
        <v>0</v>
      </c>
      <c r="AO828" s="28">
        <f t="shared" si="246"/>
        <v>0</v>
      </c>
      <c r="AP828" s="28">
        <f t="shared" si="246"/>
        <v>0</v>
      </c>
      <c r="AQ828" s="28">
        <f t="shared" ref="L828:AW835" si="247">AQ1476</f>
        <v>0</v>
      </c>
      <c r="AR828" s="28">
        <f t="shared" si="247"/>
        <v>0</v>
      </c>
      <c r="AS828" s="28">
        <f t="shared" si="247"/>
        <v>0</v>
      </c>
      <c r="AT828" s="28">
        <f t="shared" si="247"/>
        <v>0</v>
      </c>
      <c r="AU828" s="28">
        <f t="shared" si="247"/>
        <v>0</v>
      </c>
      <c r="AV828" s="28">
        <f t="shared" si="247"/>
        <v>0</v>
      </c>
      <c r="AW828" s="28">
        <f t="shared" si="247"/>
        <v>0</v>
      </c>
      <c r="AY828" s="85"/>
      <c r="AZ828" s="85"/>
    </row>
    <row r="829" spans="1:52" x14ac:dyDescent="0.25">
      <c r="A829" s="102" t="str">
        <f t="shared" si="224"/>
        <v>BD Organic</v>
      </c>
      <c r="B829" s="102" t="s">
        <v>1229</v>
      </c>
      <c r="C829" s="102" t="s">
        <v>1128</v>
      </c>
      <c r="D829" t="s">
        <v>369</v>
      </c>
      <c r="E829" t="s">
        <v>55</v>
      </c>
      <c r="F829" t="s">
        <v>421</v>
      </c>
      <c r="G829" t="s">
        <v>1175</v>
      </c>
      <c r="H829" t="s">
        <v>1176</v>
      </c>
      <c r="I829" t="s">
        <v>139</v>
      </c>
      <c r="J829" t="s">
        <v>287</v>
      </c>
      <c r="K829" s="28">
        <f t="shared" si="245"/>
        <v>0</v>
      </c>
      <c r="L829" s="28">
        <f t="shared" si="247"/>
        <v>0</v>
      </c>
      <c r="M829" s="28">
        <f t="shared" si="247"/>
        <v>0</v>
      </c>
      <c r="N829" s="28">
        <f t="shared" si="247"/>
        <v>0</v>
      </c>
      <c r="O829" s="28">
        <f t="shared" si="247"/>
        <v>0</v>
      </c>
      <c r="P829" s="28">
        <f t="shared" si="247"/>
        <v>0</v>
      </c>
      <c r="Q829" s="28">
        <f t="shared" si="247"/>
        <v>0</v>
      </c>
      <c r="R829" s="28">
        <f t="shared" si="247"/>
        <v>0</v>
      </c>
      <c r="S829" s="28">
        <f t="shared" si="247"/>
        <v>0</v>
      </c>
      <c r="T829" s="28">
        <f t="shared" si="247"/>
        <v>0</v>
      </c>
      <c r="U829" s="28">
        <f t="shared" si="247"/>
        <v>0</v>
      </c>
      <c r="V829" s="28">
        <f t="shared" si="247"/>
        <v>0</v>
      </c>
      <c r="W829" s="28">
        <f t="shared" si="247"/>
        <v>0</v>
      </c>
      <c r="X829" s="28">
        <f t="shared" si="247"/>
        <v>0</v>
      </c>
      <c r="Y829" s="28">
        <f t="shared" si="247"/>
        <v>0</v>
      </c>
      <c r="Z829" s="28">
        <f t="shared" si="247"/>
        <v>0</v>
      </c>
      <c r="AA829" s="28">
        <f t="shared" si="247"/>
        <v>0</v>
      </c>
      <c r="AB829" s="28">
        <f t="shared" si="247"/>
        <v>0</v>
      </c>
      <c r="AC829" s="28">
        <f t="shared" si="247"/>
        <v>0</v>
      </c>
      <c r="AD829" s="28">
        <f t="shared" si="247"/>
        <v>0</v>
      </c>
      <c r="AE829" s="28">
        <f t="shared" si="247"/>
        <v>0</v>
      </c>
      <c r="AF829" s="28">
        <f t="shared" si="247"/>
        <v>0</v>
      </c>
      <c r="AG829" s="28">
        <f t="shared" si="247"/>
        <v>0</v>
      </c>
      <c r="AH829" s="28">
        <f t="shared" si="247"/>
        <v>0</v>
      </c>
      <c r="AI829" s="28">
        <f t="shared" si="247"/>
        <v>0</v>
      </c>
      <c r="AJ829" s="28">
        <f t="shared" si="247"/>
        <v>0</v>
      </c>
      <c r="AK829" s="28">
        <f t="shared" si="247"/>
        <v>0</v>
      </c>
      <c r="AL829" s="28">
        <f t="shared" si="247"/>
        <v>0</v>
      </c>
      <c r="AM829" s="28">
        <f t="shared" si="247"/>
        <v>0</v>
      </c>
      <c r="AN829" s="28">
        <f t="shared" si="247"/>
        <v>0</v>
      </c>
      <c r="AO829" s="28">
        <f t="shared" si="247"/>
        <v>0</v>
      </c>
      <c r="AP829" s="28">
        <f t="shared" si="247"/>
        <v>0</v>
      </c>
      <c r="AQ829" s="28">
        <f t="shared" si="247"/>
        <v>0</v>
      </c>
      <c r="AR829" s="28">
        <f t="shared" si="247"/>
        <v>0</v>
      </c>
      <c r="AS829" s="28">
        <f t="shared" si="247"/>
        <v>0</v>
      </c>
      <c r="AT829" s="28">
        <f t="shared" si="247"/>
        <v>0</v>
      </c>
      <c r="AU829" s="28">
        <f t="shared" si="247"/>
        <v>0</v>
      </c>
      <c r="AV829" s="28">
        <f t="shared" si="247"/>
        <v>0</v>
      </c>
      <c r="AW829" s="28">
        <f t="shared" si="247"/>
        <v>0</v>
      </c>
      <c r="AY829" s="85"/>
      <c r="AZ829" s="85"/>
    </row>
    <row r="830" spans="1:52" x14ac:dyDescent="0.25">
      <c r="A830" s="102" t="str">
        <f t="shared" si="224"/>
        <v>BD Organic</v>
      </c>
      <c r="B830" s="102" t="s">
        <v>1229</v>
      </c>
      <c r="C830" s="102" t="s">
        <v>1128</v>
      </c>
      <c r="D830" t="s">
        <v>369</v>
      </c>
      <c r="E830" t="s">
        <v>55</v>
      </c>
      <c r="F830" t="s">
        <v>421</v>
      </c>
      <c r="G830" t="s">
        <v>1177</v>
      </c>
      <c r="H830" t="s">
        <v>1178</v>
      </c>
      <c r="I830" t="s">
        <v>139</v>
      </c>
      <c r="J830" t="s">
        <v>287</v>
      </c>
      <c r="K830" s="28">
        <f t="shared" si="245"/>
        <v>0.12512489027733434</v>
      </c>
      <c r="L830" s="28">
        <f t="shared" si="247"/>
        <v>0.1249037465490002</v>
      </c>
      <c r="M830" s="28">
        <f t="shared" si="247"/>
        <v>0.12420297117813216</v>
      </c>
      <c r="N830" s="28">
        <f t="shared" si="247"/>
        <v>0.12146227380625023</v>
      </c>
      <c r="O830" s="28">
        <f t="shared" si="247"/>
        <v>0.11887050141065171</v>
      </c>
      <c r="P830" s="28">
        <f t="shared" si="247"/>
        <v>0.11845218382715161</v>
      </c>
      <c r="Q830" s="28">
        <f t="shared" si="247"/>
        <v>0.11743671165425351</v>
      </c>
      <c r="R830" s="28">
        <f t="shared" si="247"/>
        <v>0.11430912679136991</v>
      </c>
      <c r="S830" s="28">
        <f t="shared" si="247"/>
        <v>0.1019584522188007</v>
      </c>
      <c r="T830" s="28">
        <f t="shared" si="247"/>
        <v>0.10415164096850968</v>
      </c>
      <c r="U830" s="28">
        <f t="shared" si="247"/>
        <v>0.10516156472619907</v>
      </c>
      <c r="V830" s="28">
        <f t="shared" si="247"/>
        <v>0.10589710072304019</v>
      </c>
      <c r="W830" s="28">
        <f t="shared" si="247"/>
        <v>0.10702634667209501</v>
      </c>
      <c r="X830" s="28">
        <f t="shared" si="247"/>
        <v>0.10953406099380125</v>
      </c>
      <c r="Y830" s="28">
        <f t="shared" si="247"/>
        <v>0.11235635375154626</v>
      </c>
      <c r="Z830" s="28">
        <f t="shared" si="247"/>
        <v>0.11546203967262161</v>
      </c>
      <c r="AA830" s="28">
        <f t="shared" si="247"/>
        <v>0.11794547104868178</v>
      </c>
      <c r="AB830" s="28">
        <f t="shared" si="247"/>
        <v>0.12098722785949015</v>
      </c>
      <c r="AC830" s="28">
        <f t="shared" si="247"/>
        <v>0.12470963867892285</v>
      </c>
      <c r="AD830" s="28">
        <f t="shared" si="247"/>
        <v>0.12823307755990843</v>
      </c>
      <c r="AE830" s="28">
        <f t="shared" si="247"/>
        <v>0.13190019989335749</v>
      </c>
      <c r="AF830" s="28">
        <f t="shared" si="247"/>
        <v>0.13558882448809464</v>
      </c>
      <c r="AG830" s="28">
        <f t="shared" si="247"/>
        <v>0.139795617096279</v>
      </c>
      <c r="AH830" s="28">
        <f t="shared" si="247"/>
        <v>0.14320619245252167</v>
      </c>
      <c r="AI830" s="28">
        <f t="shared" si="247"/>
        <v>0.14686073920515186</v>
      </c>
      <c r="AJ830" s="28">
        <f t="shared" si="247"/>
        <v>0.15051597642167761</v>
      </c>
      <c r="AK830" s="28">
        <f t="shared" si="247"/>
        <v>0.15383345031493795</v>
      </c>
      <c r="AL830" s="28">
        <f t="shared" si="247"/>
        <v>0.15704803055416769</v>
      </c>
      <c r="AM830" s="28">
        <f t="shared" si="247"/>
        <v>0.16036221209585783</v>
      </c>
      <c r="AN830" s="28">
        <f t="shared" si="247"/>
        <v>0.16386598018742685</v>
      </c>
      <c r="AO830" s="28">
        <f t="shared" si="247"/>
        <v>0.16694649307070639</v>
      </c>
      <c r="AP830" s="28">
        <f t="shared" si="247"/>
        <v>0.17000456077892223</v>
      </c>
      <c r="AQ830" s="28">
        <f t="shared" si="247"/>
        <v>0.17304831428445985</v>
      </c>
      <c r="AR830" s="28">
        <f t="shared" si="247"/>
        <v>0.17634648819223331</v>
      </c>
      <c r="AS830" s="28">
        <f t="shared" si="247"/>
        <v>0.17969250919958218</v>
      </c>
      <c r="AT830" s="28">
        <f t="shared" si="247"/>
        <v>0.18047485756179946</v>
      </c>
      <c r="AU830" s="28">
        <f t="shared" si="247"/>
        <v>0.18104197572914582</v>
      </c>
      <c r="AV830" s="28">
        <f t="shared" si="247"/>
        <v>0.18189334709867436</v>
      </c>
      <c r="AW830" s="28">
        <f t="shared" si="247"/>
        <v>0.18255809913012605</v>
      </c>
      <c r="AY830" s="85"/>
      <c r="AZ830" s="85"/>
    </row>
    <row r="831" spans="1:52" x14ac:dyDescent="0.25">
      <c r="A831" s="102" t="str">
        <f t="shared" si="224"/>
        <v>BD Organic</v>
      </c>
      <c r="B831" s="102" t="s">
        <v>1229</v>
      </c>
      <c r="C831" s="102" t="s">
        <v>1128</v>
      </c>
      <c r="D831" t="s">
        <v>369</v>
      </c>
      <c r="E831" t="s">
        <v>55</v>
      </c>
      <c r="F831" t="s">
        <v>421</v>
      </c>
      <c r="G831" t="s">
        <v>1179</v>
      </c>
      <c r="H831" t="s">
        <v>1180</v>
      </c>
      <c r="I831" t="s">
        <v>139</v>
      </c>
      <c r="J831" t="s">
        <v>287</v>
      </c>
      <c r="K831" s="28">
        <f t="shared" si="245"/>
        <v>3.1744662482237319E-2</v>
      </c>
      <c r="L831" s="28">
        <f t="shared" si="247"/>
        <v>3.1688557473869519E-2</v>
      </c>
      <c r="M831" s="28">
        <f t="shared" si="247"/>
        <v>3.151076808620442E-2</v>
      </c>
      <c r="N831" s="28">
        <f t="shared" si="247"/>
        <v>3.0815442696959246E-2</v>
      </c>
      <c r="O831" s="28">
        <f t="shared" si="247"/>
        <v>3.0157900142902292E-2</v>
      </c>
      <c r="P831" s="28">
        <f t="shared" si="247"/>
        <v>3.0051771374524052E-2</v>
      </c>
      <c r="Q831" s="28">
        <f t="shared" si="247"/>
        <v>2.9794142206440031E-2</v>
      </c>
      <c r="R831" s="28">
        <f t="shared" si="247"/>
        <v>2.9000661983306687E-2</v>
      </c>
      <c r="S831" s="28">
        <f t="shared" si="247"/>
        <v>2.5867248680284741E-2</v>
      </c>
      <c r="T831" s="28">
        <f t="shared" si="247"/>
        <v>2.6423669041293948E-2</v>
      </c>
      <c r="U831" s="28">
        <f t="shared" si="247"/>
        <v>2.6679890555251589E-2</v>
      </c>
      <c r="V831" s="28">
        <f t="shared" si="247"/>
        <v>2.6866498846467711E-2</v>
      </c>
      <c r="W831" s="28">
        <f t="shared" si="247"/>
        <v>2.7152992856034661E-2</v>
      </c>
      <c r="X831" s="28">
        <f t="shared" si="247"/>
        <v>2.7789209555749587E-2</v>
      </c>
      <c r="Y831" s="28">
        <f t="shared" si="247"/>
        <v>2.8505236005979432E-2</v>
      </c>
      <c r="Z831" s="28">
        <f t="shared" si="247"/>
        <v>2.9293160383949742E-2</v>
      </c>
      <c r="AA831" s="28">
        <f t="shared" si="247"/>
        <v>2.9923216407624114E-2</v>
      </c>
      <c r="AB831" s="28">
        <f t="shared" si="247"/>
        <v>3.0694921726191319E-2</v>
      </c>
      <c r="AC831" s="28">
        <f t="shared" si="247"/>
        <v>3.1639311565984256E-2</v>
      </c>
      <c r="AD831" s="28">
        <f t="shared" si="247"/>
        <v>3.2533221465171916E-2</v>
      </c>
      <c r="AE831" s="28">
        <f t="shared" si="247"/>
        <v>3.3463584404938677E-2</v>
      </c>
      <c r="AF831" s="28">
        <f t="shared" si="247"/>
        <v>3.4399402550505692E-2</v>
      </c>
      <c r="AG831" s="28">
        <f t="shared" si="247"/>
        <v>3.5466681899830918E-2</v>
      </c>
      <c r="AH831" s="28">
        <f t="shared" si="247"/>
        <v>3.633195789179533E-2</v>
      </c>
      <c r="AI831" s="28">
        <f t="shared" si="247"/>
        <v>3.7259130358685527E-2</v>
      </c>
      <c r="AJ831" s="28">
        <f t="shared" si="247"/>
        <v>3.8186477998902742E-2</v>
      </c>
      <c r="AK831" s="28">
        <f t="shared" si="247"/>
        <v>3.9028133794178674E-2</v>
      </c>
      <c r="AL831" s="28">
        <f t="shared" si="247"/>
        <v>3.984368507650337E-2</v>
      </c>
      <c r="AM831" s="28">
        <f t="shared" si="247"/>
        <v>4.0684505589613319E-2</v>
      </c>
      <c r="AN831" s="28">
        <f t="shared" si="247"/>
        <v>4.1573424934408458E-2</v>
      </c>
      <c r="AO831" s="28">
        <f t="shared" si="247"/>
        <v>4.2354962816560815E-2</v>
      </c>
      <c r="AP831" s="28">
        <f t="shared" si="247"/>
        <v>4.3130806272087305E-2</v>
      </c>
      <c r="AQ831" s="28">
        <f t="shared" si="247"/>
        <v>4.3903018159732181E-2</v>
      </c>
      <c r="AR831" s="28">
        <f t="shared" si="247"/>
        <v>4.4739777474988543E-2</v>
      </c>
      <c r="AS831" s="28">
        <f t="shared" si="247"/>
        <v>4.5588675782122633E-2</v>
      </c>
      <c r="AT831" s="28">
        <f t="shared" si="247"/>
        <v>4.5787160549198715E-2</v>
      </c>
      <c r="AU831" s="28">
        <f t="shared" si="247"/>
        <v>4.5931040593928836E-2</v>
      </c>
      <c r="AV831" s="28">
        <f t="shared" si="247"/>
        <v>4.6147036761540416E-2</v>
      </c>
      <c r="AW831" s="28">
        <f t="shared" si="247"/>
        <v>4.6315686890432001E-2</v>
      </c>
      <c r="AY831" s="85"/>
      <c r="AZ831" s="85"/>
    </row>
    <row r="832" spans="1:52" x14ac:dyDescent="0.25">
      <c r="A832" s="102" t="str">
        <f t="shared" si="224"/>
        <v>BD Organic</v>
      </c>
      <c r="B832" s="102" t="s">
        <v>1229</v>
      </c>
      <c r="C832" s="102" t="s">
        <v>1128</v>
      </c>
      <c r="D832" t="s">
        <v>369</v>
      </c>
      <c r="E832" t="s">
        <v>55</v>
      </c>
      <c r="F832" t="s">
        <v>421</v>
      </c>
      <c r="G832" t="s">
        <v>1181</v>
      </c>
      <c r="H832" t="s">
        <v>1182</v>
      </c>
      <c r="I832" t="s">
        <v>139</v>
      </c>
      <c r="J832" t="s">
        <v>287</v>
      </c>
      <c r="K832" s="28">
        <f t="shared" si="245"/>
        <v>0.1574619566019842</v>
      </c>
      <c r="L832" s="28">
        <f t="shared" si="247"/>
        <v>0.16100119532971174</v>
      </c>
      <c r="M832" s="28">
        <f t="shared" si="247"/>
        <v>0.16420239799096348</v>
      </c>
      <c r="N832" s="28">
        <f t="shared" si="247"/>
        <v>0.16585503975435448</v>
      </c>
      <c r="O832" s="28">
        <f t="shared" si="247"/>
        <v>0.16755324219146345</v>
      </c>
      <c r="P832" s="28">
        <f t="shared" si="247"/>
        <v>0.1709343585165998</v>
      </c>
      <c r="Q832" s="28">
        <f t="shared" si="247"/>
        <v>0.17382552357996145</v>
      </c>
      <c r="R832" s="28">
        <f t="shared" si="247"/>
        <v>0.17492293808026785</v>
      </c>
      <c r="S832" s="28">
        <f t="shared" si="247"/>
        <v>0.16797595240358967</v>
      </c>
      <c r="T832" s="28">
        <f t="shared" si="247"/>
        <v>0.17297492730025818</v>
      </c>
      <c r="U832" s="28">
        <f t="shared" si="247"/>
        <v>0.17701513008922104</v>
      </c>
      <c r="V832" s="28">
        <f t="shared" si="247"/>
        <v>0.18086520723507568</v>
      </c>
      <c r="W832" s="28">
        <f t="shared" si="247"/>
        <v>0.18514026922037843</v>
      </c>
      <c r="X832" s="28">
        <f t="shared" si="247"/>
        <v>0.19081502616241675</v>
      </c>
      <c r="Y832" s="28">
        <f t="shared" si="247"/>
        <v>0.19677527630059505</v>
      </c>
      <c r="Z832" s="28">
        <f t="shared" si="247"/>
        <v>0.20316424040233105</v>
      </c>
      <c r="AA832" s="28">
        <f t="shared" si="247"/>
        <v>0.2090740458335611</v>
      </c>
      <c r="AB832" s="28">
        <f t="shared" si="247"/>
        <v>0.21570429527296558</v>
      </c>
      <c r="AC832" s="28">
        <f t="shared" si="247"/>
        <v>0.22322461413005179</v>
      </c>
      <c r="AD832" s="28">
        <f t="shared" si="247"/>
        <v>0.23059574512274245</v>
      </c>
      <c r="AE832" s="28">
        <f t="shared" si="247"/>
        <v>0.23831574484289472</v>
      </c>
      <c r="AF832" s="28">
        <f t="shared" si="247"/>
        <v>0.24625980781200643</v>
      </c>
      <c r="AG832" s="28">
        <f t="shared" si="247"/>
        <v>0.25500800669627088</v>
      </c>
      <c r="AH832" s="28">
        <f t="shared" si="247"/>
        <v>0.26305100817364307</v>
      </c>
      <c r="AI832" s="28">
        <f t="shared" si="247"/>
        <v>0.27146542700983761</v>
      </c>
      <c r="AJ832" s="28">
        <f t="shared" si="247"/>
        <v>0.28009700813609817</v>
      </c>
      <c r="AK832" s="28">
        <f t="shared" si="247"/>
        <v>0.28852863408778395</v>
      </c>
      <c r="AL832" s="28">
        <f t="shared" si="247"/>
        <v>0.29704040587124897</v>
      </c>
      <c r="AM832" s="28">
        <f t="shared" si="247"/>
        <v>0.30589267500220069</v>
      </c>
      <c r="AN832" s="28">
        <f t="shared" si="247"/>
        <v>0.31509949249948005</v>
      </c>
      <c r="AO832" s="28">
        <f t="shared" si="247"/>
        <v>0.32397232132243609</v>
      </c>
      <c r="AP832" s="28">
        <f t="shared" si="247"/>
        <v>0.33303470425340953</v>
      </c>
      <c r="AQ832" s="28">
        <f t="shared" si="247"/>
        <v>0.34230228220604159</v>
      </c>
      <c r="AR832" s="28">
        <f t="shared" si="247"/>
        <v>0.35216230168979662</v>
      </c>
      <c r="AS832" s="28">
        <f t="shared" si="247"/>
        <v>0.36222138179977098</v>
      </c>
      <c r="AT832" s="28">
        <f t="shared" si="247"/>
        <v>0.36875743363549901</v>
      </c>
      <c r="AU832" s="28">
        <f t="shared" si="247"/>
        <v>0.37509652822170919</v>
      </c>
      <c r="AV832" s="28">
        <f t="shared" si="247"/>
        <v>0.38198920884211868</v>
      </c>
      <c r="AW832" s="28">
        <f t="shared" si="247"/>
        <v>0.3887297225488785</v>
      </c>
      <c r="AY832" s="85"/>
      <c r="AZ832" s="85"/>
    </row>
    <row r="833" spans="1:52" x14ac:dyDescent="0.25">
      <c r="A833" s="102" t="str">
        <f t="shared" si="224"/>
        <v>BD Organic</v>
      </c>
      <c r="B833" s="102" t="s">
        <v>1229</v>
      </c>
      <c r="C833" s="102" t="s">
        <v>1128</v>
      </c>
      <c r="D833" t="s">
        <v>369</v>
      </c>
      <c r="E833" t="s">
        <v>55</v>
      </c>
      <c r="F833" t="s">
        <v>421</v>
      </c>
      <c r="G833" t="s">
        <v>1183</v>
      </c>
      <c r="H833" t="s">
        <v>1184</v>
      </c>
      <c r="I833" t="s">
        <v>139</v>
      </c>
      <c r="J833" t="s">
        <v>287</v>
      </c>
      <c r="K833" s="28">
        <f t="shared" si="245"/>
        <v>0.79145317534147697</v>
      </c>
      <c r="L833" s="28">
        <f t="shared" si="247"/>
        <v>0.80614249446586472</v>
      </c>
      <c r="M833" s="28">
        <f t="shared" si="247"/>
        <v>0.81576351649757217</v>
      </c>
      <c r="N833" s="28">
        <f t="shared" si="247"/>
        <v>0.8051815142548906</v>
      </c>
      <c r="O833" s="28">
        <f t="shared" si="247"/>
        <v>0.79491912717906921</v>
      </c>
      <c r="P833" s="28">
        <f t="shared" si="247"/>
        <v>0.8050882404927846</v>
      </c>
      <c r="Q833" s="28">
        <f t="shared" si="247"/>
        <v>0.80900668851215218</v>
      </c>
      <c r="R833" s="28">
        <f t="shared" si="247"/>
        <v>0.79104206342465233</v>
      </c>
      <c r="S833" s="28">
        <f t="shared" si="247"/>
        <v>0.67708002243474696</v>
      </c>
      <c r="T833" s="28">
        <f t="shared" si="247"/>
        <v>0.71326971422678453</v>
      </c>
      <c r="U833" s="28">
        <f t="shared" si="247"/>
        <v>0.73749777615328771</v>
      </c>
      <c r="V833" s="28">
        <f t="shared" si="247"/>
        <v>0.75903343240977361</v>
      </c>
      <c r="W833" s="28">
        <f t="shared" si="247"/>
        <v>0.78503971816941975</v>
      </c>
      <c r="X833" s="28">
        <f t="shared" si="247"/>
        <v>0.8265450745172781</v>
      </c>
      <c r="Y833" s="28">
        <f t="shared" si="247"/>
        <v>0.87296422483256353</v>
      </c>
      <c r="Z833" s="28">
        <f t="shared" si="247"/>
        <v>0.92344360360977484</v>
      </c>
      <c r="AA833" s="28">
        <f t="shared" si="247"/>
        <v>0.9677689116158269</v>
      </c>
      <c r="AB833" s="28">
        <f t="shared" si="247"/>
        <v>1.0193755598811634</v>
      </c>
      <c r="AC833" s="28">
        <f t="shared" si="247"/>
        <v>1.0799736712957677</v>
      </c>
      <c r="AD833" s="28">
        <f t="shared" si="247"/>
        <v>1.1399677250662128</v>
      </c>
      <c r="AE833" s="28">
        <f t="shared" si="247"/>
        <v>1.2028979209953241</v>
      </c>
      <c r="AF833" s="28">
        <f t="shared" si="247"/>
        <v>1.2673719800644652</v>
      </c>
      <c r="AG833" s="28">
        <f t="shared" si="247"/>
        <v>1.3395677079848545</v>
      </c>
      <c r="AH833" s="28">
        <f t="shared" si="247"/>
        <v>1.4033231150236891</v>
      </c>
      <c r="AI833" s="28">
        <f t="shared" si="247"/>
        <v>1.4719666098768296</v>
      </c>
      <c r="AJ833" s="28">
        <f t="shared" si="247"/>
        <v>1.5420388237441127</v>
      </c>
      <c r="AK833" s="28">
        <f t="shared" si="247"/>
        <v>1.6091811663069184</v>
      </c>
      <c r="AL833" s="28">
        <f t="shared" si="247"/>
        <v>1.6763559089740723</v>
      </c>
      <c r="AM833" s="28">
        <f t="shared" si="247"/>
        <v>1.7462483337512213</v>
      </c>
      <c r="AN833" s="28">
        <f t="shared" si="247"/>
        <v>1.8206168694032934</v>
      </c>
      <c r="AO833" s="28">
        <f t="shared" si="247"/>
        <v>1.8907719180049514</v>
      </c>
      <c r="AP833" s="28">
        <f t="shared" si="247"/>
        <v>1.9620842803375478</v>
      </c>
      <c r="AQ833" s="28">
        <f t="shared" si="247"/>
        <v>2.0346990314319551</v>
      </c>
      <c r="AR833" s="28">
        <f t="shared" si="247"/>
        <v>2.1124695104369047</v>
      </c>
      <c r="AS833" s="28">
        <f t="shared" si="247"/>
        <v>2.1930634279587973</v>
      </c>
      <c r="AT833" s="28">
        <f t="shared" si="247"/>
        <v>2.2380483172942163</v>
      </c>
      <c r="AU833" s="28">
        <f t="shared" si="247"/>
        <v>2.2806855119174227</v>
      </c>
      <c r="AV833" s="28">
        <f t="shared" si="247"/>
        <v>2.3283502130567282</v>
      </c>
      <c r="AW833" s="28">
        <f t="shared" si="247"/>
        <v>2.3741040563618498</v>
      </c>
      <c r="AY833" s="85"/>
      <c r="AZ833" s="85"/>
    </row>
    <row r="834" spans="1:52" x14ac:dyDescent="0.25">
      <c r="A834" s="102" t="str">
        <f t="shared" si="224"/>
        <v>BD U&amp;D</v>
      </c>
      <c r="B834" s="102" t="s">
        <v>1229</v>
      </c>
      <c r="C834" s="102" t="s">
        <v>1337</v>
      </c>
      <c r="D834" t="s">
        <v>369</v>
      </c>
      <c r="E834" t="s">
        <v>55</v>
      </c>
      <c r="F834" t="s">
        <v>422</v>
      </c>
      <c r="G834" t="s">
        <v>1153</v>
      </c>
      <c r="H834" t="s">
        <v>1241</v>
      </c>
      <c r="I834" t="s">
        <v>139</v>
      </c>
      <c r="J834" t="s">
        <v>287</v>
      </c>
      <c r="K834" s="28">
        <f t="shared" si="245"/>
        <v>0</v>
      </c>
      <c r="L834" s="28">
        <f t="shared" si="247"/>
        <v>0</v>
      </c>
      <c r="M834" s="28">
        <f t="shared" si="247"/>
        <v>0</v>
      </c>
      <c r="N834" s="28">
        <f t="shared" si="247"/>
        <v>0</v>
      </c>
      <c r="O834" s="28">
        <f t="shared" si="247"/>
        <v>0</v>
      </c>
      <c r="P834" s="28">
        <f t="shared" si="247"/>
        <v>0</v>
      </c>
      <c r="Q834" s="28">
        <f t="shared" si="247"/>
        <v>0</v>
      </c>
      <c r="R834" s="28">
        <f t="shared" si="247"/>
        <v>0</v>
      </c>
      <c r="S834" s="28">
        <f t="shared" si="247"/>
        <v>0</v>
      </c>
      <c r="T834" s="28">
        <f t="shared" si="247"/>
        <v>0</v>
      </c>
      <c r="U834" s="28">
        <f t="shared" si="247"/>
        <v>0</v>
      </c>
      <c r="V834" s="28">
        <f t="shared" si="247"/>
        <v>0</v>
      </c>
      <c r="W834" s="28">
        <f t="shared" si="247"/>
        <v>0</v>
      </c>
      <c r="X834" s="28">
        <f t="shared" si="247"/>
        <v>0</v>
      </c>
      <c r="Y834" s="28">
        <f t="shared" si="247"/>
        <v>0</v>
      </c>
      <c r="Z834" s="28">
        <f t="shared" si="247"/>
        <v>0</v>
      </c>
      <c r="AA834" s="28">
        <f t="shared" si="247"/>
        <v>0</v>
      </c>
      <c r="AB834" s="28">
        <f t="shared" si="247"/>
        <v>0</v>
      </c>
      <c r="AC834" s="28">
        <f t="shared" si="247"/>
        <v>0</v>
      </c>
      <c r="AD834" s="28">
        <f t="shared" si="247"/>
        <v>0</v>
      </c>
      <c r="AE834" s="28">
        <f t="shared" si="247"/>
        <v>0</v>
      </c>
      <c r="AF834" s="28">
        <f t="shared" si="247"/>
        <v>0</v>
      </c>
      <c r="AG834" s="28">
        <f t="shared" si="247"/>
        <v>0</v>
      </c>
      <c r="AH834" s="28">
        <f t="shared" si="247"/>
        <v>0</v>
      </c>
      <c r="AI834" s="28">
        <f t="shared" si="247"/>
        <v>0</v>
      </c>
      <c r="AJ834" s="28">
        <f t="shared" si="247"/>
        <v>0</v>
      </c>
      <c r="AK834" s="28">
        <f t="shared" si="247"/>
        <v>0</v>
      </c>
      <c r="AL834" s="28">
        <f t="shared" si="247"/>
        <v>0</v>
      </c>
      <c r="AM834" s="28">
        <f t="shared" si="247"/>
        <v>0</v>
      </c>
      <c r="AN834" s="28">
        <f t="shared" si="247"/>
        <v>0</v>
      </c>
      <c r="AO834" s="28">
        <f t="shared" si="247"/>
        <v>0</v>
      </c>
      <c r="AP834" s="28">
        <f t="shared" si="247"/>
        <v>0</v>
      </c>
      <c r="AQ834" s="28">
        <f t="shared" si="247"/>
        <v>0</v>
      </c>
      <c r="AR834" s="28">
        <f t="shared" si="247"/>
        <v>0</v>
      </c>
      <c r="AS834" s="28">
        <f t="shared" si="247"/>
        <v>0</v>
      </c>
      <c r="AT834" s="28">
        <f t="shared" si="247"/>
        <v>0</v>
      </c>
      <c r="AU834" s="28">
        <f t="shared" si="247"/>
        <v>0</v>
      </c>
      <c r="AV834" s="28">
        <f t="shared" si="247"/>
        <v>0</v>
      </c>
      <c r="AW834" s="28">
        <f t="shared" si="247"/>
        <v>0</v>
      </c>
      <c r="AY834" s="85"/>
      <c r="AZ834" s="85"/>
    </row>
    <row r="835" spans="1:52" x14ac:dyDescent="0.25">
      <c r="A835" s="102" t="str">
        <f t="shared" si="224"/>
        <v>BD U&amp;D</v>
      </c>
      <c r="B835" s="102" t="s">
        <v>1229</v>
      </c>
      <c r="C835" s="102" t="s">
        <v>1337</v>
      </c>
      <c r="D835" t="s">
        <v>369</v>
      </c>
      <c r="E835" t="s">
        <v>55</v>
      </c>
      <c r="F835" t="s">
        <v>422</v>
      </c>
      <c r="G835" t="s">
        <v>1155</v>
      </c>
      <c r="H835" t="s">
        <v>1242</v>
      </c>
      <c r="I835" t="s">
        <v>139</v>
      </c>
      <c r="J835" t="s">
        <v>287</v>
      </c>
      <c r="K835" s="28">
        <f t="shared" si="245"/>
        <v>1.0786753296429479</v>
      </c>
      <c r="L835" s="28">
        <f t="shared" si="247"/>
        <v>1.0859586060309057</v>
      </c>
      <c r="M835" s="28">
        <f t="shared" si="247"/>
        <v>1.0923296279678898</v>
      </c>
      <c r="N835" s="28">
        <f t="shared" si="247"/>
        <v>1.0931537330099066</v>
      </c>
      <c r="O835" s="28">
        <f t="shared" si="247"/>
        <v>1.0945731731430408</v>
      </c>
      <c r="P835" s="28">
        <f t="shared" si="247"/>
        <v>1.1027176588076981</v>
      </c>
      <c r="Q835" s="28">
        <f t="shared" si="247"/>
        <v>1.1092302651165924</v>
      </c>
      <c r="R835" s="28">
        <f t="shared" si="247"/>
        <v>1.109287368040317</v>
      </c>
      <c r="S835" s="28">
        <f t="shared" si="247"/>
        <v>1.0798981830298287</v>
      </c>
      <c r="T835" s="28">
        <f t="shared" si="247"/>
        <v>1.0940959356021487</v>
      </c>
      <c r="U835" s="28">
        <f t="shared" si="247"/>
        <v>1.1048433903618551</v>
      </c>
      <c r="V835" s="28">
        <f t="shared" si="247"/>
        <v>1.1149833596000451</v>
      </c>
      <c r="W835" s="28">
        <f t="shared" si="247"/>
        <v>1.1267409528269945</v>
      </c>
      <c r="X835" s="28">
        <f t="shared" si="247"/>
        <v>1.1435878034617475</v>
      </c>
      <c r="Y835" s="28">
        <f t="shared" si="247"/>
        <v>1.1611273352268467</v>
      </c>
      <c r="Z835" s="28">
        <f t="shared" si="247"/>
        <v>1.1801792260010431</v>
      </c>
      <c r="AA835" s="28">
        <f t="shared" si="247"/>
        <v>1.1975049735261083</v>
      </c>
      <c r="AB835" s="28">
        <f t="shared" si="247"/>
        <v>1.2173560530719671</v>
      </c>
      <c r="AC835" s="28">
        <f t="shared" si="247"/>
        <v>1.2402923210603021</v>
      </c>
      <c r="AD835" s="28">
        <f t="shared" si="247"/>
        <v>1.2623742733775345</v>
      </c>
      <c r="AE835" s="28">
        <f t="shared" si="247"/>
        <v>1.2856074455004303</v>
      </c>
      <c r="AF835" s="28">
        <f t="shared" ref="L835:AW837" si="248">AF1483</f>
        <v>1.3095452950439004</v>
      </c>
      <c r="AG835" s="28">
        <f t="shared" si="248"/>
        <v>1.3361813419952935</v>
      </c>
      <c r="AH835" s="28">
        <f t="shared" si="248"/>
        <v>1.3602968998390941</v>
      </c>
      <c r="AI835" s="28">
        <f t="shared" si="248"/>
        <v>1.3853556448541151</v>
      </c>
      <c r="AJ835" s="28">
        <f t="shared" si="248"/>
        <v>1.4110693769069982</v>
      </c>
      <c r="AK835" s="28">
        <f t="shared" si="248"/>
        <v>1.4360144578705683</v>
      </c>
      <c r="AL835" s="28">
        <f t="shared" si="248"/>
        <v>1.4611486001146794</v>
      </c>
      <c r="AM835" s="28">
        <f t="shared" si="248"/>
        <v>1.4873489277695111</v>
      </c>
      <c r="AN835" s="28">
        <f t="shared" si="248"/>
        <v>1.5144167777664856</v>
      </c>
      <c r="AO835" s="28">
        <f t="shared" si="248"/>
        <v>1.540269346746828</v>
      </c>
      <c r="AP835" s="28">
        <f t="shared" si="248"/>
        <v>1.5666680254867089</v>
      </c>
      <c r="AQ835" s="28">
        <f t="shared" si="248"/>
        <v>1.593660390525756</v>
      </c>
      <c r="AR835" s="28">
        <f t="shared" si="248"/>
        <v>1.6225260915070563</v>
      </c>
      <c r="AS835" s="28">
        <f t="shared" si="248"/>
        <v>1.6517094827819983</v>
      </c>
      <c r="AT835" s="28">
        <f t="shared" si="248"/>
        <v>1.6691760933817195</v>
      </c>
      <c r="AU835" s="28">
        <f t="shared" si="248"/>
        <v>1.6859640883447786</v>
      </c>
      <c r="AV835" s="28">
        <f t="shared" si="248"/>
        <v>1.7045379947409554</v>
      </c>
      <c r="AW835" s="28">
        <f t="shared" si="248"/>
        <v>1.7225765964260569</v>
      </c>
      <c r="AY835" s="85"/>
      <c r="AZ835" s="85"/>
    </row>
    <row r="836" spans="1:52" x14ac:dyDescent="0.25">
      <c r="A836" s="102" t="str">
        <f t="shared" si="224"/>
        <v>BD U&amp;D</v>
      </c>
      <c r="B836" s="102" t="s">
        <v>1229</v>
      </c>
      <c r="C836" s="102" t="s">
        <v>1337</v>
      </c>
      <c r="D836" t="s">
        <v>369</v>
      </c>
      <c r="E836" t="s">
        <v>55</v>
      </c>
      <c r="F836" t="s">
        <v>422</v>
      </c>
      <c r="G836" t="s">
        <v>1157</v>
      </c>
      <c r="H836" t="s">
        <v>1243</v>
      </c>
      <c r="I836" t="s">
        <v>139</v>
      </c>
      <c r="J836" t="s">
        <v>287</v>
      </c>
      <c r="K836" s="28">
        <f t="shared" si="245"/>
        <v>0.73458527987811684</v>
      </c>
      <c r="L836" s="28">
        <f t="shared" si="248"/>
        <v>0.73954524093113228</v>
      </c>
      <c r="M836" s="28">
        <f t="shared" si="248"/>
        <v>0.74388395046130973</v>
      </c>
      <c r="N836" s="28">
        <f t="shared" si="248"/>
        <v>0.7444451716335222</v>
      </c>
      <c r="O836" s="28">
        <f t="shared" si="248"/>
        <v>0.7454118200761205</v>
      </c>
      <c r="P836" s="28">
        <f t="shared" si="248"/>
        <v>0.75095827053903796</v>
      </c>
      <c r="Q836" s="28">
        <f t="shared" si="248"/>
        <v>0.75539339999521871</v>
      </c>
      <c r="R836" s="28">
        <f t="shared" si="248"/>
        <v>0.75543228747697821</v>
      </c>
      <c r="S836" s="28">
        <f t="shared" si="248"/>
        <v>0.73541805140145267</v>
      </c>
      <c r="T836" s="28">
        <f t="shared" si="248"/>
        <v>0.74508681804547194</v>
      </c>
      <c r="U836" s="28">
        <f t="shared" si="248"/>
        <v>0.75240590827186049</v>
      </c>
      <c r="V836" s="28">
        <f t="shared" si="248"/>
        <v>0.75931129670162745</v>
      </c>
      <c r="W836" s="28">
        <f t="shared" si="248"/>
        <v>0.76731829813566454</v>
      </c>
      <c r="X836" s="28">
        <f t="shared" si="248"/>
        <v>0.77879111868556206</v>
      </c>
      <c r="Y836" s="28">
        <f t="shared" si="248"/>
        <v>0.79073565982461014</v>
      </c>
      <c r="Z836" s="28">
        <f t="shared" si="248"/>
        <v>0.80371012779654638</v>
      </c>
      <c r="AA836" s="28">
        <f t="shared" si="248"/>
        <v>0.81550908040540082</v>
      </c>
      <c r="AB836" s="28">
        <f t="shared" si="248"/>
        <v>0.82902780139895904</v>
      </c>
      <c r="AC836" s="28">
        <f t="shared" si="248"/>
        <v>0.84464755683097381</v>
      </c>
      <c r="AD836" s="28">
        <f t="shared" si="248"/>
        <v>0.85968551744566435</v>
      </c>
      <c r="AE836" s="28">
        <f t="shared" si="248"/>
        <v>0.8755074666247592</v>
      </c>
      <c r="AF836" s="28">
        <f t="shared" si="248"/>
        <v>0.89180930594872954</v>
      </c>
      <c r="AG836" s="28">
        <f t="shared" si="248"/>
        <v>0.90994863616879917</v>
      </c>
      <c r="AH836" s="28">
        <f t="shared" si="248"/>
        <v>0.9263714960611904</v>
      </c>
      <c r="AI836" s="28">
        <f t="shared" si="248"/>
        <v>0.94343667287055244</v>
      </c>
      <c r="AJ836" s="28">
        <f t="shared" si="248"/>
        <v>0.96094790033417754</v>
      </c>
      <c r="AK836" s="28">
        <f t="shared" si="248"/>
        <v>0.97793567114680158</v>
      </c>
      <c r="AL836" s="28">
        <f t="shared" si="248"/>
        <v>0.99505219398504785</v>
      </c>
      <c r="AM836" s="28">
        <f t="shared" si="248"/>
        <v>1.0128947963829298</v>
      </c>
      <c r="AN836" s="28">
        <f t="shared" si="248"/>
        <v>1.0313281874314744</v>
      </c>
      <c r="AO836" s="28">
        <f t="shared" si="248"/>
        <v>1.0489339637926334</v>
      </c>
      <c r="AP836" s="28">
        <f t="shared" si="248"/>
        <v>1.066911644636569</v>
      </c>
      <c r="AQ836" s="28">
        <f t="shared" si="248"/>
        <v>1.0852936299122902</v>
      </c>
      <c r="AR836" s="28">
        <f t="shared" si="248"/>
        <v>1.1049513697822153</v>
      </c>
      <c r="AS836" s="28">
        <f t="shared" si="248"/>
        <v>1.1248254589157749</v>
      </c>
      <c r="AT836" s="28">
        <f t="shared" si="248"/>
        <v>1.1367203402422674</v>
      </c>
      <c r="AU836" s="28">
        <f t="shared" si="248"/>
        <v>1.1481530796770461</v>
      </c>
      <c r="AV836" s="28">
        <f t="shared" si="248"/>
        <v>1.1608020370171399</v>
      </c>
      <c r="AW836" s="28">
        <f t="shared" si="248"/>
        <v>1.1730864481863896</v>
      </c>
      <c r="AY836" s="85"/>
      <c r="AZ836" s="85"/>
    </row>
    <row r="837" spans="1:52" x14ac:dyDescent="0.25">
      <c r="A837" s="102" t="str">
        <f t="shared" si="224"/>
        <v>BD U&amp;D</v>
      </c>
      <c r="B837" s="102" t="s">
        <v>1229</v>
      </c>
      <c r="C837" s="102" t="s">
        <v>1337</v>
      </c>
      <c r="D837" t="s">
        <v>369</v>
      </c>
      <c r="E837" t="s">
        <v>55</v>
      </c>
      <c r="F837" t="s">
        <v>422</v>
      </c>
      <c r="G837" t="s">
        <v>1159</v>
      </c>
      <c r="H837" t="s">
        <v>1244</v>
      </c>
      <c r="I837" t="s">
        <v>139</v>
      </c>
      <c r="J837" t="s">
        <v>287</v>
      </c>
      <c r="K837" s="28">
        <f t="shared" si="245"/>
        <v>15.429280800788639</v>
      </c>
      <c r="L837" s="28">
        <f t="shared" si="248"/>
        <v>15.35072698203709</v>
      </c>
      <c r="M837" s="28">
        <f t="shared" si="248"/>
        <v>15.207351875662043</v>
      </c>
      <c r="N837" s="28">
        <f t="shared" si="248"/>
        <v>14.814893699547214</v>
      </c>
      <c r="O837" s="28">
        <f t="shared" si="248"/>
        <v>14.438096972663228</v>
      </c>
      <c r="P837" s="28">
        <f t="shared" si="248"/>
        <v>14.314758846199135</v>
      </c>
      <c r="Q837" s="28">
        <f t="shared" si="248"/>
        <v>14.115554649678398</v>
      </c>
      <c r="R837" s="28">
        <f t="shared" si="248"/>
        <v>13.66798161990047</v>
      </c>
      <c r="S837" s="28">
        <f t="shared" si="248"/>
        <v>12.166328141225097</v>
      </c>
      <c r="T837" s="28">
        <f t="shared" si="248"/>
        <v>12.463610414813839</v>
      </c>
      <c r="U837" s="28">
        <f t="shared" si="248"/>
        <v>12.624180384375714</v>
      </c>
      <c r="V837" s="28">
        <f t="shared" si="248"/>
        <v>12.751805743467081</v>
      </c>
      <c r="W837" s="28">
        <f t="shared" si="248"/>
        <v>12.923326016620354</v>
      </c>
      <c r="X837" s="28">
        <f t="shared" si="248"/>
        <v>13.25262145197801</v>
      </c>
      <c r="Y837" s="28">
        <f t="shared" si="248"/>
        <v>13.613027690777479</v>
      </c>
      <c r="Z837" s="28">
        <f t="shared" si="248"/>
        <v>14.005728103550339</v>
      </c>
      <c r="AA837" s="28">
        <f t="shared" si="248"/>
        <v>14.32592763712187</v>
      </c>
      <c r="AB837" s="28">
        <f t="shared" si="248"/>
        <v>14.710285410323998</v>
      </c>
      <c r="AC837" s="28">
        <f t="shared" si="248"/>
        <v>15.173253105796089</v>
      </c>
      <c r="AD837" s="28">
        <f t="shared" si="248"/>
        <v>15.47822319183811</v>
      </c>
      <c r="AE837" s="28">
        <f t="shared" si="248"/>
        <v>15.789739593019302</v>
      </c>
      <c r="AF837" s="28">
        <f t="shared" si="248"/>
        <v>16.093283241134344</v>
      </c>
      <c r="AG837" s="28">
        <f t="shared" si="248"/>
        <v>16.444459062010196</v>
      </c>
      <c r="AH837" s="28">
        <f t="shared" si="248"/>
        <v>16.694708961891717</v>
      </c>
      <c r="AI837" s="28">
        <f t="shared" si="248"/>
        <v>16.95834334016514</v>
      </c>
      <c r="AJ837" s="28">
        <f t="shared" si="248"/>
        <v>17.210617740902418</v>
      </c>
      <c r="AK837" s="28">
        <f t="shared" si="248"/>
        <v>17.41443137892249</v>
      </c>
      <c r="AL837" s="28">
        <f t="shared" si="248"/>
        <v>17.595815239613078</v>
      </c>
      <c r="AM837" s="28">
        <f t="shared" si="248"/>
        <v>17.776384709935595</v>
      </c>
      <c r="AN837" s="28">
        <f t="shared" si="248"/>
        <v>18.054309099342483</v>
      </c>
      <c r="AO837" s="28">
        <f t="shared" si="248"/>
        <v>18.280646748605641</v>
      </c>
      <c r="AP837" s="28">
        <f t="shared" si="248"/>
        <v>18.497984454615345</v>
      </c>
      <c r="AQ837" s="28">
        <f t="shared" si="248"/>
        <v>18.70703547273348</v>
      </c>
      <c r="AR837" s="28">
        <f t="shared" si="248"/>
        <v>18.935485661659122</v>
      </c>
      <c r="AS837" s="28">
        <f t="shared" si="248"/>
        <v>19.159250135643951</v>
      </c>
      <c r="AT837" s="28">
        <f t="shared" si="248"/>
        <v>19.11314806868306</v>
      </c>
      <c r="AU837" s="28">
        <f t="shared" si="248"/>
        <v>19.040808228696374</v>
      </c>
      <c r="AV837" s="28">
        <f t="shared" si="248"/>
        <v>18.992992620644625</v>
      </c>
      <c r="AW837" s="28">
        <f t="shared" si="248"/>
        <v>18.921839562511444</v>
      </c>
      <c r="AY837" s="85"/>
      <c r="AZ837" s="85"/>
    </row>
    <row r="838" spans="1:52" x14ac:dyDescent="0.25">
      <c r="A838" s="102" t="str">
        <f t="shared" si="224"/>
        <v>BD U&amp;D</v>
      </c>
      <c r="B838" s="102" t="s">
        <v>1229</v>
      </c>
      <c r="C838" s="102" t="s">
        <v>1337</v>
      </c>
      <c r="D838" t="s">
        <v>369</v>
      </c>
      <c r="E838" t="s">
        <v>55</v>
      </c>
      <c r="F838" t="s">
        <v>422</v>
      </c>
      <c r="G838" t="s">
        <v>1161</v>
      </c>
      <c r="H838" t="s">
        <v>1245</v>
      </c>
      <c r="I838" t="s">
        <v>139</v>
      </c>
      <c r="J838" t="s">
        <v>287</v>
      </c>
      <c r="K838" s="101">
        <f>IF('Net zero activities &amp; levers'!$C$10="Off",'Activity data'!AD70*UDCPPEF*NtoN2O*kgtoGg,IF('Net zero activities &amp; levers'!$C$10="On",'Net zero Activity data'!AD70*UDCPPEF*NtoN2O*kgtoGg,"ERROR"))</f>
        <v>9.701944231797869</v>
      </c>
      <c r="L838" s="101">
        <f>IF('Net zero activities &amp; levers'!$C$10="Off",'Activity data'!AE70*UDCPPEF*NtoN2O*kgtoGg,IF('Net zero activities &amp; levers'!$C$10="On",'Net zero Activity data'!AE70*UDCPPEF*NtoN2O*kgtoGg,"ERROR"))</f>
        <v>9.652549527108631</v>
      </c>
      <c r="M838" s="101">
        <f>IF('Net zero activities &amp; levers'!$C$10="Off",'Activity data'!AF70*UDCPPEF*NtoN2O*kgtoGg,IF('Net zero activities &amp; levers'!$C$10="On",'Net zero Activity data'!AF70*UDCPPEF*NtoN2O*kgtoGg,"ERROR"))</f>
        <v>9.5623951443970494</v>
      </c>
      <c r="N838" s="101">
        <f>IF('Net zero activities &amp; levers'!$C$10="Off",'Activity data'!AG70*UDCPPEF*NtoN2O*kgtoGg,IF('Net zero activities &amp; levers'!$C$10="On",'Net zero Activity data'!AG70*UDCPPEF*NtoN2O*kgtoGg,"ERROR"))</f>
        <v>9.3156171262158942</v>
      </c>
      <c r="O838" s="101">
        <f>IF('Net zero activities &amp; levers'!$C$10="Off",'Activity data'!AH70*UDCPPEF*NtoN2O*kgtoGg,IF('Net zero activities &amp; levers'!$C$10="On",'Net zero Activity data'!AH70*UDCPPEF*NtoN2O*kgtoGg,"ERROR"))</f>
        <v>9.0786870399629098</v>
      </c>
      <c r="P838" s="101">
        <f>IF('Net zero activities &amp; levers'!$C$10="Off",'Activity data'!AI70*UDCPPEF*NtoN2O*kgtoGg,IF('Net zero activities &amp; levers'!$C$10="On",'Net zero Activity data'!AI70*UDCPPEF*NtoN2O*kgtoGg,"ERROR"))</f>
        <v>9.0011319264058365</v>
      </c>
      <c r="Q838" s="101">
        <f>IF('Net zero activities &amp; levers'!$C$10="Off",'Activity data'!AJ70*UDCPPEF*NtoN2O*kgtoGg,IF('Net zero activities &amp; levers'!$C$10="On",'Net zero Activity data'!AJ70*UDCPPEF*NtoN2O*kgtoGg,"ERROR"))</f>
        <v>8.8758721667101366</v>
      </c>
      <c r="R838" s="101">
        <f>IF('Net zero activities &amp; levers'!$C$10="Off",'Activity data'!AK70*UDCPPEF*NtoN2O*kgtoGg,IF('Net zero activities &amp; levers'!$C$10="On",'Net zero Activity data'!AK70*UDCPPEF*NtoN2O*kgtoGg,"ERROR"))</f>
        <v>8.5944378840220992</v>
      </c>
      <c r="S838" s="101">
        <f>IF('Net zero activities &amp; levers'!$C$10="Off",'Activity data'!AL70*UDCPPEF*NtoN2O*kgtoGg,IF('Net zero activities &amp; levers'!$C$10="On",'Net zero Activity data'!AL70*UDCPPEF*NtoN2O*kgtoGg,"ERROR"))</f>
        <v>7.6501969635477565</v>
      </c>
      <c r="T838" s="101">
        <f>IF('Net zero activities &amp; levers'!$C$10="Off",'Activity data'!AM70*UDCPPEF*NtoN2O*kgtoGg,IF('Net zero activities &amp; levers'!$C$10="On",'Net zero Activity data'!AM70*UDCPPEF*NtoN2O*kgtoGg,"ERROR"))</f>
        <v>7.5366964941728023</v>
      </c>
      <c r="U838" s="101">
        <f>IF('Net zero activities &amp; levers'!$C$10="Off",'Activity data'!AN70*UDCPPEF*NtoN2O*kgtoGg,IF('Net zero activities &amp; levers'!$C$10="On",'Net zero Activity data'!AN70*UDCPPEF*NtoN2O*kgtoGg,"ERROR"))</f>
        <v>7.3381377747191348</v>
      </c>
      <c r="V838" s="101">
        <f>IF('Net zero activities &amp; levers'!$C$10="Off",'Activity data'!AO70*UDCPPEF*NtoN2O*kgtoGg,IF('Net zero activities &amp; levers'!$C$10="On",'Net zero Activity data'!AO70*UDCPPEF*NtoN2O*kgtoGg,"ERROR"))</f>
        <v>7.1220742516727826</v>
      </c>
      <c r="W838" s="101">
        <f>IF('Net zero activities &amp; levers'!$C$10="Off",'Activity data'!AP70*UDCPPEF*NtoN2O*kgtoGg,IF('Net zero activities &amp; levers'!$C$10="On",'Net zero Activity data'!AP70*UDCPPEF*NtoN2O*kgtoGg,"ERROR"))</f>
        <v>6.9322412929968555</v>
      </c>
      <c r="X838" s="101">
        <f>IF('Net zero activities &amp; levers'!$C$10="Off",'Activity data'!AQ70*UDCPPEF*NtoN2O*kgtoGg,IF('Net zero activities &amp; levers'!$C$10="On",'Net zero Activity data'!AQ70*UDCPPEF*NtoN2O*kgtoGg,"ERROR"))</f>
        <v>6.8251597922966125</v>
      </c>
      <c r="Y838" s="101">
        <f>IF('Net zero activities &amp; levers'!$C$10="Off",'Activity data'!AR70*UDCPPEF*NtoN2O*kgtoGg,IF('Net zero activities &amp; levers'!$C$10="On",'Net zero Activity data'!AR70*UDCPPEF*NtoN2O*kgtoGg,"ERROR"))</f>
        <v>6.7281044526521656</v>
      </c>
      <c r="Z838" s="101">
        <f>IF('Net zero activities &amp; levers'!$C$10="Off",'Activity data'!AS70*UDCPPEF*NtoN2O*kgtoGg,IF('Net zero activities &amp; levers'!$C$10="On",'Net zero Activity data'!AS70*UDCPPEF*NtoN2O*kgtoGg,"ERROR"))</f>
        <v>6.6401720122030445</v>
      </c>
      <c r="AA838" s="101">
        <f>IF('Net zero activities &amp; levers'!$C$10="Off",'Activity data'!AT70*UDCPPEF*NtoN2O*kgtoGg,IF('Net zero activities &amp; levers'!$C$10="On",'Net zero Activity data'!AT70*UDCPPEF*NtoN2O*kgtoGg,"ERROR"))</f>
        <v>6.5116208865579326</v>
      </c>
      <c r="AB838" s="101">
        <f>IF('Net zero activities &amp; levers'!$C$10="Off",'Activity data'!AU70*UDCPPEF*NtoN2O*kgtoGg,IF('Net zero activities &amp; levers'!$C$10="On",'Net zero Activity data'!AU70*UDCPPEF*NtoN2O*kgtoGg,"ERROR"))</f>
        <v>6.4073866352241922</v>
      </c>
      <c r="AC838" s="101">
        <f>IF('Net zero activities &amp; levers'!$C$10="Off",'Activity data'!AV70*UDCPPEF*NtoN2O*kgtoGg,IF('Net zero activities &amp; levers'!$C$10="On",'Net zero Activity data'!AV70*UDCPPEF*NtoN2O*kgtoGg,"ERROR"))</f>
        <v>6.3304380636864677</v>
      </c>
      <c r="AD838" s="101">
        <f>IF('Net zero activities &amp; levers'!$C$10="Off",'Activity data'!AW70*UDCPPEF*NtoN2O*kgtoGg,IF('Net zero activities &amp; levers'!$C$10="On",'Net zero Activity data'!AW70*UDCPPEF*NtoN2O*kgtoGg,"ERROR"))</f>
        <v>6.333643886417808</v>
      </c>
      <c r="AE838" s="101">
        <f>IF('Net zero activities &amp; levers'!$C$10="Off",'Activity data'!AX70*UDCPPEF*NtoN2O*kgtoGg,IF('Net zero activities &amp; levers'!$C$10="On",'Net zero Activity data'!AX70*UDCPPEF*NtoN2O*kgtoGg,"ERROR"))</f>
        <v>6.3362685366267293</v>
      </c>
      <c r="AF838" s="101">
        <f>IF('Net zero activities &amp; levers'!$C$10="Off",'Activity data'!AY70*UDCPPEF*NtoN2O*kgtoGg,IF('Net zero activities &amp; levers'!$C$10="On",'Net zero Activity data'!AY70*UDCPPEF*NtoN2O*kgtoGg,"ERROR"))</f>
        <v>6.332396664451772</v>
      </c>
      <c r="AG838" s="101">
        <f>IF('Net zero activities &amp; levers'!$C$10="Off",'Activity data'!AZ70*UDCPPEF*NtoN2O*kgtoGg,IF('Net zero activities &amp; levers'!$C$10="On",'Net zero Activity data'!AZ70*UDCPPEF*NtoN2O*kgtoGg,"ERROR"))</f>
        <v>6.3441038230500117</v>
      </c>
      <c r="AH838" s="101">
        <f>IF('Net zero activities &amp; levers'!$C$10="Off",'Activity data'!BA70*UDCPPEF*NtoN2O*kgtoGg,IF('Net zero activities &amp; levers'!$C$10="On",'Net zero Activity data'!BA70*UDCPPEF*NtoN2O*kgtoGg,"ERROR"))</f>
        <v>6.3131419689960451</v>
      </c>
      <c r="AI838" s="101">
        <f>IF('Net zero activities &amp; levers'!$C$10="Off",'Activity data'!BB70*UDCPPEF*NtoN2O*kgtoGg,IF('Net zero activities &amp; levers'!$C$10="On",'Net zero Activity data'!BB70*UDCPPEF*NtoN2O*kgtoGg,"ERROR"))</f>
        <v>6.2850187358867187</v>
      </c>
      <c r="AJ838" s="101">
        <f>IF('Net zero activities &amp; levers'!$C$10="Off",'Activity data'!BC70*UDCPPEF*NtoN2O*kgtoGg,IF('Net zero activities &amp; levers'!$C$10="On",'Net zero Activity data'!BC70*UDCPPEF*NtoN2O*kgtoGg,"ERROR"))</f>
        <v>6.2503168811961531</v>
      </c>
      <c r="AK838" s="101">
        <f>IF('Net zero activities &amp; levers'!$C$10="Off",'Activity data'!BD70*UDCPPEF*NtoN2O*kgtoGg,IF('Net zero activities &amp; levers'!$C$10="On",'Net zero Activity data'!BD70*UDCPPEF*NtoN2O*kgtoGg,"ERROR"))</f>
        <v>6.1958763602302129</v>
      </c>
      <c r="AL838" s="101">
        <f>IF('Net zero activities &amp; levers'!$C$10="Off",'Activity data'!BE70*UDCPPEF*NtoN2O*kgtoGg,IF('Net zero activities &amp; levers'!$C$10="On",'Net zero Activity data'!BE70*UDCPPEF*NtoN2O*kgtoGg,"ERROR"))</f>
        <v>6.1320529110907565</v>
      </c>
      <c r="AM838" s="101">
        <f>IF('Net zero activities &amp; levers'!$C$10="Off",'Activity data'!BF70*UDCPPEF*NtoN2O*kgtoGg,IF('Net zero activities &amp; levers'!$C$10="On",'Net zero Activity data'!BF70*UDCPPEF*NtoN2O*kgtoGg,"ERROR"))</f>
        <v>6.0668888797056875</v>
      </c>
      <c r="AN838" s="101">
        <f>IF('Net zero activities &amp; levers'!$C$10="Off",'Activity data'!BG70*UDCPPEF*NtoN2O*kgtoGg,IF('Net zero activities &amp; levers'!$C$10="On",'Net zero Activity data'!BG70*UDCPPEF*NtoN2O*kgtoGg,"ERROR"))</f>
        <v>6.0778336765923431</v>
      </c>
      <c r="AO838" s="101">
        <f>IF('Net zero activities &amp; levers'!$C$10="Off",'Activity data'!BH70*UDCPPEF*NtoN2O*kgtoGg,IF('Net zero activities &amp; levers'!$C$10="On",'Net zero Activity data'!BH70*UDCPPEF*NtoN2O*kgtoGg,"ERROR"))</f>
        <v>6.0694267188554409</v>
      </c>
      <c r="AP838" s="101">
        <f>IF('Net zero activities &amp; levers'!$C$10="Off",'Activity data'!BI70*UDCPPEF*NtoN2O*kgtoGg,IF('Net zero activities &amp; levers'!$C$10="On",'Net zero Activity data'!BI70*UDCPPEF*NtoN2O*kgtoGg,"ERROR"))</f>
        <v>6.0566451009535678</v>
      </c>
      <c r="AQ838" s="101">
        <f>IF('Net zero activities &amp; levers'!$C$10="Off",'Activity data'!BJ70*UDCPPEF*NtoN2O*kgtoGg,IF('Net zero activities &amp; levers'!$C$10="On",'Net zero Activity data'!BJ70*UDCPPEF*NtoN2O*kgtoGg,"ERROR"))</f>
        <v>6.0398732126184207</v>
      </c>
      <c r="AR838" s="101">
        <f>IF('Net zero activities &amp; levers'!$C$10="Off",'Activity data'!BK70*UDCPPEF*NtoN2O*kgtoGg,IF('Net zero activities &amp; levers'!$C$10="On",'Net zero Activity data'!BK70*UDCPPEF*NtoN2O*kgtoGg,"ERROR"))</f>
        <v>6.0282291576651552</v>
      </c>
      <c r="AS838" s="101">
        <f>IF('Net zero activities &amp; levers'!$C$10="Off",'Activity data'!BL70*UDCPPEF*NtoN2O*kgtoGg,IF('Net zero activities &amp; levers'!$C$10="On",'Net zero Activity data'!BL70*UDCPPEF*NtoN2O*kgtoGg,"ERROR"))</f>
        <v>6.0137629230488576</v>
      </c>
      <c r="AT838" s="101">
        <f>IF('Net zero activities &amp; levers'!$C$10="Off",'Activity data'!BM70*UDCPPEF*NtoN2O*kgtoGg,IF('Net zero activities &amp; levers'!$C$10="On",'Net zero Activity data'!BM70*UDCPPEF*NtoN2O*kgtoGg,"ERROR"))</f>
        <v>5.9129864407272699</v>
      </c>
      <c r="AU838" s="101">
        <f>IF('Net zero activities &amp; levers'!$C$10="Off",'Activity data'!BN70*UDCPPEF*NtoN2O*kgtoGg,IF('Net zero activities &amp; levers'!$C$10="On",'Net zero Activity data'!BN70*UDCPPEF*NtoN2O*kgtoGg,"ERROR"))</f>
        <v>5.8052778216266612</v>
      </c>
      <c r="AV838" s="101">
        <f>IF('Net zero activities &amp; levers'!$C$10="Off",'Activity data'!BO70*UDCPPEF*NtoN2O*kgtoGg,IF('Net zero activities &amp; levers'!$C$10="On",'Net zero Activity data'!BO70*UDCPPEF*NtoN2O*kgtoGg,"ERROR"))</f>
        <v>5.7065202993098101</v>
      </c>
      <c r="AW838" s="101">
        <f>IF('Net zero activities &amp; levers'!$C$10="Off",'Activity data'!BP70*UDCPPEF*NtoN2O*kgtoGg,IF('Net zero activities &amp; levers'!$C$10="On",'Net zero Activity data'!BP70*UDCPPEF*NtoN2O*kgtoGg,"ERROR"))</f>
        <v>5.6019348205639385</v>
      </c>
      <c r="AY838" s="85"/>
      <c r="AZ838" s="85"/>
    </row>
    <row r="839" spans="1:52" x14ac:dyDescent="0.25">
      <c r="A839" s="102" t="str">
        <f t="shared" si="224"/>
        <v>BD U&amp;D</v>
      </c>
      <c r="B839" s="102" t="s">
        <v>1229</v>
      </c>
      <c r="C839" s="102" t="s">
        <v>1337</v>
      </c>
      <c r="D839" t="s">
        <v>369</v>
      </c>
      <c r="E839" t="s">
        <v>55</v>
      </c>
      <c r="F839" t="s">
        <v>422</v>
      </c>
      <c r="G839" t="s">
        <v>1163</v>
      </c>
      <c r="H839" t="s">
        <v>1246</v>
      </c>
      <c r="I839" t="s">
        <v>139</v>
      </c>
      <c r="J839" t="s">
        <v>287</v>
      </c>
      <c r="K839" s="28">
        <f t="shared" si="245"/>
        <v>0</v>
      </c>
      <c r="L839" s="28">
        <f t="shared" ref="L839:AW839" si="249">L1487</f>
        <v>0</v>
      </c>
      <c r="M839" s="28">
        <f t="shared" si="249"/>
        <v>0</v>
      </c>
      <c r="N839" s="28">
        <f t="shared" si="249"/>
        <v>0</v>
      </c>
      <c r="O839" s="28">
        <f t="shared" si="249"/>
        <v>0</v>
      </c>
      <c r="P839" s="28">
        <f t="shared" si="249"/>
        <v>0</v>
      </c>
      <c r="Q839" s="28">
        <f t="shared" si="249"/>
        <v>0</v>
      </c>
      <c r="R839" s="28">
        <f t="shared" si="249"/>
        <v>0</v>
      </c>
      <c r="S839" s="28">
        <f t="shared" si="249"/>
        <v>0</v>
      </c>
      <c r="T839" s="28">
        <f t="shared" si="249"/>
        <v>0</v>
      </c>
      <c r="U839" s="28">
        <f t="shared" si="249"/>
        <v>0</v>
      </c>
      <c r="V839" s="28">
        <f t="shared" si="249"/>
        <v>0</v>
      </c>
      <c r="W839" s="28">
        <f t="shared" si="249"/>
        <v>0</v>
      </c>
      <c r="X839" s="28">
        <f t="shared" si="249"/>
        <v>0</v>
      </c>
      <c r="Y839" s="28">
        <f t="shared" si="249"/>
        <v>0</v>
      </c>
      <c r="Z839" s="28">
        <f t="shared" si="249"/>
        <v>0</v>
      </c>
      <c r="AA839" s="28">
        <f t="shared" si="249"/>
        <v>0</v>
      </c>
      <c r="AB839" s="28">
        <f t="shared" si="249"/>
        <v>0</v>
      </c>
      <c r="AC839" s="28">
        <f t="shared" si="249"/>
        <v>0</v>
      </c>
      <c r="AD839" s="28">
        <f t="shared" si="249"/>
        <v>0</v>
      </c>
      <c r="AE839" s="28">
        <f t="shared" si="249"/>
        <v>0</v>
      </c>
      <c r="AF839" s="28">
        <f t="shared" si="249"/>
        <v>0</v>
      </c>
      <c r="AG839" s="28">
        <f t="shared" si="249"/>
        <v>0</v>
      </c>
      <c r="AH839" s="28">
        <f t="shared" si="249"/>
        <v>0</v>
      </c>
      <c r="AI839" s="28">
        <f t="shared" si="249"/>
        <v>0</v>
      </c>
      <c r="AJ839" s="28">
        <f t="shared" si="249"/>
        <v>0</v>
      </c>
      <c r="AK839" s="28">
        <f t="shared" si="249"/>
        <v>0</v>
      </c>
      <c r="AL839" s="28">
        <f t="shared" si="249"/>
        <v>0</v>
      </c>
      <c r="AM839" s="28">
        <f t="shared" si="249"/>
        <v>0</v>
      </c>
      <c r="AN839" s="28">
        <f t="shared" si="249"/>
        <v>0</v>
      </c>
      <c r="AO839" s="28">
        <f t="shared" si="249"/>
        <v>0</v>
      </c>
      <c r="AP839" s="28">
        <f t="shared" si="249"/>
        <v>0</v>
      </c>
      <c r="AQ839" s="28">
        <f t="shared" si="249"/>
        <v>0</v>
      </c>
      <c r="AR839" s="28">
        <f t="shared" si="249"/>
        <v>0</v>
      </c>
      <c r="AS839" s="28">
        <f t="shared" si="249"/>
        <v>0</v>
      </c>
      <c r="AT839" s="28">
        <f t="shared" si="249"/>
        <v>0</v>
      </c>
      <c r="AU839" s="28">
        <f t="shared" si="249"/>
        <v>0</v>
      </c>
      <c r="AV839" s="28">
        <f t="shared" si="249"/>
        <v>0</v>
      </c>
      <c r="AW839" s="28">
        <f t="shared" si="249"/>
        <v>0</v>
      </c>
      <c r="AY839" s="85"/>
      <c r="AZ839" s="85"/>
    </row>
    <row r="840" spans="1:52" x14ac:dyDescent="0.25">
      <c r="A840" s="102" t="str">
        <f t="shared" si="224"/>
        <v>BD U&amp;D</v>
      </c>
      <c r="B840" s="102" t="s">
        <v>1229</v>
      </c>
      <c r="C840" s="102" t="s">
        <v>1337</v>
      </c>
      <c r="D840" t="s">
        <v>369</v>
      </c>
      <c r="E840" t="s">
        <v>55</v>
      </c>
      <c r="F840" t="s">
        <v>422</v>
      </c>
      <c r="G840" t="s">
        <v>1165</v>
      </c>
      <c r="H840" t="s">
        <v>1247</v>
      </c>
      <c r="I840" t="s">
        <v>139</v>
      </c>
      <c r="J840" t="s">
        <v>287</v>
      </c>
      <c r="K840" s="28">
        <f t="shared" ref="K840:AW840" si="250">K1488</f>
        <v>5.7999838553710088</v>
      </c>
      <c r="L840" s="28">
        <f t="shared" si="250"/>
        <v>5.8031139960917857</v>
      </c>
      <c r="M840" s="28">
        <f t="shared" si="250"/>
        <v>5.8103099227335253</v>
      </c>
      <c r="N840" s="28">
        <f t="shared" si="250"/>
        <v>5.8209929462353873</v>
      </c>
      <c r="O840" s="28">
        <f t="shared" si="250"/>
        <v>5.8354121165006498</v>
      </c>
      <c r="P840" s="28">
        <f t="shared" si="250"/>
        <v>5.8538572193681269</v>
      </c>
      <c r="Q840" s="28">
        <f t="shared" si="250"/>
        <v>5.8741818038916174</v>
      </c>
      <c r="R840" s="28">
        <f t="shared" si="250"/>
        <v>5.8960701972534357</v>
      </c>
      <c r="S840" s="28">
        <f t="shared" si="250"/>
        <v>5.9177559307877479</v>
      </c>
      <c r="T840" s="28">
        <f t="shared" si="250"/>
        <v>5.9266307004561112</v>
      </c>
      <c r="U840" s="28">
        <f t="shared" si="250"/>
        <v>5.9367082769549988</v>
      </c>
      <c r="V840" s="28">
        <f t="shared" si="250"/>
        <v>5.9481053028915358</v>
      </c>
      <c r="W840" s="28">
        <f t="shared" si="250"/>
        <v>5.960904450999025</v>
      </c>
      <c r="X840" s="28">
        <f t="shared" si="250"/>
        <v>5.9752866719651836</v>
      </c>
      <c r="Y840" s="28">
        <f t="shared" si="250"/>
        <v>5.9843295860357024</v>
      </c>
      <c r="Z840" s="28">
        <f t="shared" si="250"/>
        <v>5.9945123676402678</v>
      </c>
      <c r="AA840" s="28">
        <f t="shared" si="250"/>
        <v>6.0055516159641433</v>
      </c>
      <c r="AB840" s="28">
        <f t="shared" si="250"/>
        <v>6.0177061448313278</v>
      </c>
      <c r="AC840" s="28">
        <f t="shared" si="250"/>
        <v>6.03097456248548</v>
      </c>
      <c r="AD840" s="28">
        <f t="shared" si="250"/>
        <v>6.0397566686890718</v>
      </c>
      <c r="AE840" s="28">
        <f t="shared" si="250"/>
        <v>6.0493932233323875</v>
      </c>
      <c r="AF840" s="28">
        <f t="shared" si="250"/>
        <v>6.0598194909466505</v>
      </c>
      <c r="AG840" s="28">
        <f t="shared" si="250"/>
        <v>6.0711483366347876</v>
      </c>
      <c r="AH840" s="28">
        <f t="shared" si="250"/>
        <v>6.0829788619886944</v>
      </c>
      <c r="AI840" s="28">
        <f t="shared" si="250"/>
        <v>6.0905477121768259</v>
      </c>
      <c r="AJ840" s="28">
        <f t="shared" si="250"/>
        <v>6.0987586244880356</v>
      </c>
      <c r="AK840" s="28">
        <f t="shared" si="250"/>
        <v>6.1074872449990725</v>
      </c>
      <c r="AL840" s="28">
        <f t="shared" si="250"/>
        <v>6.1167813545421765</v>
      </c>
      <c r="AM840" s="28">
        <f t="shared" si="250"/>
        <v>6.1266844936604166</v>
      </c>
      <c r="AN840" s="28">
        <f t="shared" si="250"/>
        <v>6.1325212653673837</v>
      </c>
      <c r="AO840" s="28">
        <f t="shared" si="250"/>
        <v>6.1387404789422586</v>
      </c>
      <c r="AP840" s="28">
        <f t="shared" si="250"/>
        <v>6.145451732291618</v>
      </c>
      <c r="AQ840" s="28">
        <f t="shared" si="250"/>
        <v>6.152643186293405</v>
      </c>
      <c r="AR840" s="28">
        <f t="shared" si="250"/>
        <v>6.1603920516403416</v>
      </c>
      <c r="AS840" s="28">
        <f t="shared" si="250"/>
        <v>6.1638844604068606</v>
      </c>
      <c r="AT840" s="28">
        <f t="shared" si="250"/>
        <v>6.1669158271420823</v>
      </c>
      <c r="AU840" s="28">
        <f t="shared" si="250"/>
        <v>6.1702623626652491</v>
      </c>
      <c r="AV840" s="28">
        <f t="shared" si="250"/>
        <v>6.1740883613222994</v>
      </c>
      <c r="AW840" s="28">
        <f t="shared" si="250"/>
        <v>6.1782170575379913</v>
      </c>
      <c r="AY840" s="85"/>
      <c r="AZ840" s="85"/>
    </row>
    <row r="841" spans="1:52" x14ac:dyDescent="0.25">
      <c r="A841" s="102" t="str">
        <f t="shared" si="224"/>
        <v>BD U&amp;D</v>
      </c>
      <c r="B841" s="102" t="s">
        <v>1229</v>
      </c>
      <c r="C841" s="102" t="s">
        <v>1337</v>
      </c>
      <c r="D841" t="s">
        <v>369</v>
      </c>
      <c r="E841" t="s">
        <v>55</v>
      </c>
      <c r="F841" t="s">
        <v>422</v>
      </c>
      <c r="G841" t="s">
        <v>1167</v>
      </c>
      <c r="H841" t="s">
        <v>1248</v>
      </c>
      <c r="I841" t="s">
        <v>139</v>
      </c>
      <c r="J841" t="s">
        <v>287</v>
      </c>
      <c r="K841" s="28">
        <f t="shared" ref="K841:AW841" si="251">K1489</f>
        <v>0.64744945388640951</v>
      </c>
      <c r="L841" s="28">
        <f t="shared" si="251"/>
        <v>0.64779887001424552</v>
      </c>
      <c r="M841" s="28">
        <f t="shared" si="251"/>
        <v>0.64860214790097404</v>
      </c>
      <c r="N841" s="28">
        <f t="shared" si="251"/>
        <v>0.64979468876050261</v>
      </c>
      <c r="O841" s="28">
        <f t="shared" si="251"/>
        <v>0.65140429391571231</v>
      </c>
      <c r="P841" s="28">
        <f t="shared" si="251"/>
        <v>0.6534633120226967</v>
      </c>
      <c r="Q841" s="28">
        <f t="shared" si="251"/>
        <v>0.65573213577778644</v>
      </c>
      <c r="R841" s="28">
        <f t="shared" si="251"/>
        <v>0.65817552677368318</v>
      </c>
      <c r="S841" s="28">
        <f t="shared" si="251"/>
        <v>0.66059629494891092</v>
      </c>
      <c r="T841" s="28">
        <f t="shared" si="251"/>
        <v>0.66158698128846494</v>
      </c>
      <c r="U841" s="28">
        <f t="shared" si="251"/>
        <v>0.66271193638547965</v>
      </c>
      <c r="V841" s="28">
        <f t="shared" si="251"/>
        <v>0.6639841809990068</v>
      </c>
      <c r="W841" s="28">
        <f t="shared" si="251"/>
        <v>0.66541294384715366</v>
      </c>
      <c r="X841" s="28">
        <f t="shared" si="251"/>
        <v>0.66701842436958481</v>
      </c>
      <c r="Y841" s="28">
        <f t="shared" si="251"/>
        <v>0.66802788058920459</v>
      </c>
      <c r="Z841" s="28">
        <f t="shared" si="251"/>
        <v>0.66916457968239529</v>
      </c>
      <c r="AA841" s="28">
        <f t="shared" si="251"/>
        <v>0.67039688575028045</v>
      </c>
      <c r="AB841" s="28">
        <f t="shared" si="251"/>
        <v>0.671753690057592</v>
      </c>
      <c r="AC841" s="28">
        <f t="shared" si="251"/>
        <v>0.67323483724322841</v>
      </c>
      <c r="AD841" s="28">
        <f t="shared" si="251"/>
        <v>0.67421517960404742</v>
      </c>
      <c r="AE841" s="28">
        <f t="shared" si="251"/>
        <v>0.6752909036399658</v>
      </c>
      <c r="AF841" s="28">
        <f t="shared" si="251"/>
        <v>0.67645478296122918</v>
      </c>
      <c r="AG841" s="28">
        <f t="shared" si="251"/>
        <v>0.67771941664588264</v>
      </c>
      <c r="AH841" s="28">
        <f t="shared" si="251"/>
        <v>0.67904005259428835</v>
      </c>
      <c r="AI841" s="28">
        <f t="shared" si="251"/>
        <v>0.67988495976007579</v>
      </c>
      <c r="AJ841" s="28">
        <f t="shared" si="251"/>
        <v>0.68080154001691195</v>
      </c>
      <c r="AK841" s="28">
        <f t="shared" si="251"/>
        <v>0.68177591179517449</v>
      </c>
      <c r="AL841" s="28">
        <f t="shared" si="251"/>
        <v>0.68281340884656228</v>
      </c>
      <c r="AM841" s="28">
        <f t="shared" si="251"/>
        <v>0.68391889158129904</v>
      </c>
      <c r="AN841" s="28">
        <f t="shared" si="251"/>
        <v>0.68457044764565533</v>
      </c>
      <c r="AO841" s="28">
        <f t="shared" si="251"/>
        <v>0.68526469551479852</v>
      </c>
      <c r="AP841" s="28">
        <f t="shared" si="251"/>
        <v>0.68601386955119048</v>
      </c>
      <c r="AQ841" s="28">
        <f t="shared" si="251"/>
        <v>0.68681664815923671</v>
      </c>
      <c r="AR841" s="28">
        <f t="shared" si="251"/>
        <v>0.68768165033203899</v>
      </c>
      <c r="AS841" s="28">
        <f t="shared" si="251"/>
        <v>0.68807150627043723</v>
      </c>
      <c r="AT841" s="28">
        <f t="shared" si="251"/>
        <v>0.68840989630499416</v>
      </c>
      <c r="AU841" s="28">
        <f t="shared" si="251"/>
        <v>0.68878346848224781</v>
      </c>
      <c r="AV841" s="28">
        <f t="shared" si="251"/>
        <v>0.68921056290230964</v>
      </c>
      <c r="AW841" s="28">
        <f t="shared" si="251"/>
        <v>0.68967144730764052</v>
      </c>
      <c r="AY841" s="85"/>
      <c r="AZ841" s="85"/>
    </row>
    <row r="842" spans="1:52" x14ac:dyDescent="0.25">
      <c r="A842" s="102" t="str">
        <f t="shared" si="224"/>
        <v>BD U&amp;D</v>
      </c>
      <c r="B842" s="102" t="s">
        <v>1229</v>
      </c>
      <c r="C842" s="102" t="s">
        <v>1337</v>
      </c>
      <c r="D842" t="s">
        <v>369</v>
      </c>
      <c r="E842" t="s">
        <v>55</v>
      </c>
      <c r="F842" t="s">
        <v>422</v>
      </c>
      <c r="G842" t="s">
        <v>1169</v>
      </c>
      <c r="H842" t="s">
        <v>1249</v>
      </c>
      <c r="I842" t="s">
        <v>139</v>
      </c>
      <c r="J842" t="s">
        <v>287</v>
      </c>
      <c r="K842" s="28">
        <f t="shared" ref="K842:AW842" si="252">K1490</f>
        <v>0.71689894789530229</v>
      </c>
      <c r="L842" s="28">
        <f t="shared" si="252"/>
        <v>0.71876228746109427</v>
      </c>
      <c r="M842" s="28">
        <f t="shared" si="252"/>
        <v>0.72127503720090047</v>
      </c>
      <c r="N842" s="28">
        <f t="shared" si="252"/>
        <v>0.72433550259006296</v>
      </c>
      <c r="O842" s="28">
        <f t="shared" si="252"/>
        <v>0.72800120185684258</v>
      </c>
      <c r="P842" s="28">
        <f t="shared" si="252"/>
        <v>0.73233490465194795</v>
      </c>
      <c r="Q842" s="28">
        <f t="shared" si="252"/>
        <v>0.73692777433186207</v>
      </c>
      <c r="R842" s="28">
        <f t="shared" si="252"/>
        <v>0.74172607064181018</v>
      </c>
      <c r="S842" s="28">
        <f t="shared" si="252"/>
        <v>0.74639750027277085</v>
      </c>
      <c r="T842" s="28">
        <f t="shared" si="252"/>
        <v>0.74854009324631066</v>
      </c>
      <c r="U842" s="28">
        <f t="shared" si="252"/>
        <v>0.75085065923922678</v>
      </c>
      <c r="V842" s="28">
        <f t="shared" si="252"/>
        <v>0.75335493730359926</v>
      </c>
      <c r="W842" s="28">
        <f t="shared" si="252"/>
        <v>0.75607146605668685</v>
      </c>
      <c r="X842" s="28">
        <f t="shared" si="252"/>
        <v>0.75903679046714201</v>
      </c>
      <c r="Y842" s="28">
        <f t="shared" si="252"/>
        <v>0.76094537488964475</v>
      </c>
      <c r="Z842" s="28">
        <f t="shared" si="252"/>
        <v>0.76302818529273087</v>
      </c>
      <c r="AA842" s="28">
        <f t="shared" si="252"/>
        <v>0.76523341198680583</v>
      </c>
      <c r="AB842" s="28">
        <f t="shared" si="252"/>
        <v>0.76761119115957532</v>
      </c>
      <c r="AC842" s="28">
        <f t="shared" si="252"/>
        <v>0.77016232439967147</v>
      </c>
      <c r="AD842" s="28">
        <f t="shared" si="252"/>
        <v>0.77184151262759737</v>
      </c>
      <c r="AE842" s="28">
        <f t="shared" si="252"/>
        <v>0.7736515769208151</v>
      </c>
      <c r="AF842" s="28">
        <f t="shared" si="252"/>
        <v>0.77558124888408586</v>
      </c>
      <c r="AG842" s="28">
        <f t="shared" si="252"/>
        <v>0.77765221756919434</v>
      </c>
      <c r="AH842" s="28">
        <f t="shared" si="252"/>
        <v>0.7797906862662336</v>
      </c>
      <c r="AI842" s="28">
        <f t="shared" si="252"/>
        <v>0.7811163537007122</v>
      </c>
      <c r="AJ842" s="28">
        <f t="shared" si="252"/>
        <v>0.78254032699837495</v>
      </c>
      <c r="AK842" s="28">
        <f t="shared" si="252"/>
        <v>0.78404012574492399</v>
      </c>
      <c r="AL842" s="28">
        <f t="shared" si="252"/>
        <v>0.78562503827513464</v>
      </c>
      <c r="AM842" s="28">
        <f t="shared" si="252"/>
        <v>0.78730345031212023</v>
      </c>
      <c r="AN842" s="28">
        <f t="shared" si="252"/>
        <v>0.78821861780581803</v>
      </c>
      <c r="AO842" s="28">
        <f t="shared" si="252"/>
        <v>0.78918935012210545</v>
      </c>
      <c r="AP842" s="28">
        <f t="shared" si="252"/>
        <v>0.79023602178732166</v>
      </c>
      <c r="AQ842" s="28">
        <f t="shared" si="252"/>
        <v>0.79135668556159844</v>
      </c>
      <c r="AR842" s="28">
        <f t="shared" si="252"/>
        <v>0.79256558771735774</v>
      </c>
      <c r="AS842" s="28">
        <f t="shared" si="252"/>
        <v>0.79298785766331426</v>
      </c>
      <c r="AT842" s="28">
        <f t="shared" si="252"/>
        <v>0.79331656903659509</v>
      </c>
      <c r="AU842" s="28">
        <f t="shared" si="252"/>
        <v>0.79369322526599873</v>
      </c>
      <c r="AV842" s="28">
        <f t="shared" si="252"/>
        <v>0.79414770745075947</v>
      </c>
      <c r="AW842" s="28">
        <f t="shared" si="252"/>
        <v>0.79464809471787612</v>
      </c>
      <c r="AY842" s="85"/>
      <c r="AZ842" s="85"/>
    </row>
    <row r="843" spans="1:52" x14ac:dyDescent="0.25">
      <c r="A843" s="102" t="str">
        <f t="shared" si="224"/>
        <v>BD U&amp;D</v>
      </c>
      <c r="B843" s="102" t="s">
        <v>1229</v>
      </c>
      <c r="C843" s="102" t="s">
        <v>1337</v>
      </c>
      <c r="D843" t="s">
        <v>369</v>
      </c>
      <c r="E843" t="s">
        <v>55</v>
      </c>
      <c r="F843" t="s">
        <v>422</v>
      </c>
      <c r="G843" t="s">
        <v>1171</v>
      </c>
      <c r="H843" t="s">
        <v>1250</v>
      </c>
      <c r="I843" t="s">
        <v>139</v>
      </c>
      <c r="J843" t="s">
        <v>287</v>
      </c>
      <c r="K843" s="28">
        <f t="shared" ref="K843:AW843" si="253">K1491</f>
        <v>1.1864531966682197</v>
      </c>
      <c r="L843" s="28">
        <f t="shared" si="253"/>
        <v>1.1895369858002907</v>
      </c>
      <c r="M843" s="28">
        <f t="shared" si="253"/>
        <v>1.1936955355791294</v>
      </c>
      <c r="N843" s="28">
        <f t="shared" si="253"/>
        <v>1.1987605436321125</v>
      </c>
      <c r="O843" s="28">
        <f t="shared" si="253"/>
        <v>1.2048272014586632</v>
      </c>
      <c r="P843" s="28">
        <f t="shared" si="253"/>
        <v>1.2119993915556884</v>
      </c>
      <c r="Q843" s="28">
        <f t="shared" si="253"/>
        <v>1.2196004975827131</v>
      </c>
      <c r="R843" s="28">
        <f t="shared" si="253"/>
        <v>1.2275415805096901</v>
      </c>
      <c r="S843" s="28">
        <f t="shared" si="253"/>
        <v>1.2352727016599383</v>
      </c>
      <c r="T843" s="28">
        <f t="shared" si="253"/>
        <v>1.238818649509462</v>
      </c>
      <c r="U843" s="28">
        <f t="shared" si="253"/>
        <v>1.2426425892940813</v>
      </c>
      <c r="V843" s="28">
        <f t="shared" si="253"/>
        <v>1.2467871186221595</v>
      </c>
      <c r="W843" s="28">
        <f t="shared" si="253"/>
        <v>1.2512829185286929</v>
      </c>
      <c r="X843" s="28">
        <f t="shared" si="253"/>
        <v>1.2561904701944779</v>
      </c>
      <c r="Y843" s="28">
        <f t="shared" si="253"/>
        <v>1.2593491386453628</v>
      </c>
      <c r="Z843" s="28">
        <f t="shared" si="253"/>
        <v>1.2627961475551268</v>
      </c>
      <c r="AA843" s="28">
        <f t="shared" si="253"/>
        <v>1.2664457529398805</v>
      </c>
      <c r="AB843" s="28">
        <f t="shared" si="253"/>
        <v>1.2703809291718808</v>
      </c>
      <c r="AC843" s="28">
        <f t="shared" si="253"/>
        <v>1.2746030028640307</v>
      </c>
      <c r="AD843" s="28">
        <f t="shared" si="253"/>
        <v>1.2773820252725296</v>
      </c>
      <c r="AE843" s="28">
        <f t="shared" si="253"/>
        <v>1.2803776449106503</v>
      </c>
      <c r="AF843" s="28">
        <f t="shared" si="253"/>
        <v>1.2835712128131631</v>
      </c>
      <c r="AG843" s="28">
        <f t="shared" si="253"/>
        <v>1.2869986239202102</v>
      </c>
      <c r="AH843" s="28">
        <f t="shared" si="253"/>
        <v>1.2905377461759007</v>
      </c>
      <c r="AI843" s="28">
        <f t="shared" si="253"/>
        <v>1.2927316988521784</v>
      </c>
      <c r="AJ843" s="28">
        <f t="shared" si="253"/>
        <v>1.2950883457351767</v>
      </c>
      <c r="AK843" s="28">
        <f t="shared" si="253"/>
        <v>1.2975704821958689</v>
      </c>
      <c r="AL843" s="28">
        <f t="shared" si="253"/>
        <v>1.3001934802396349</v>
      </c>
      <c r="AM843" s="28">
        <f t="shared" si="253"/>
        <v>1.3029712180678941</v>
      </c>
      <c r="AN843" s="28">
        <f t="shared" si="253"/>
        <v>1.3044858016805112</v>
      </c>
      <c r="AO843" s="28">
        <f t="shared" si="253"/>
        <v>1.3060923439458467</v>
      </c>
      <c r="AP843" s="28">
        <f t="shared" si="253"/>
        <v>1.3078245642911324</v>
      </c>
      <c r="AQ843" s="28">
        <f t="shared" si="253"/>
        <v>1.309679240073939</v>
      </c>
      <c r="AR843" s="28">
        <f t="shared" si="253"/>
        <v>1.3116799485857458</v>
      </c>
      <c r="AS843" s="28">
        <f t="shared" si="253"/>
        <v>1.3123787967688931</v>
      </c>
      <c r="AT843" s="28">
        <f t="shared" si="253"/>
        <v>1.3129228074146826</v>
      </c>
      <c r="AU843" s="28">
        <f t="shared" si="253"/>
        <v>1.3135461658234697</v>
      </c>
      <c r="AV843" s="28">
        <f t="shared" si="253"/>
        <v>1.3142983246075228</v>
      </c>
      <c r="AW843" s="28">
        <f t="shared" si="253"/>
        <v>1.3151264553704232</v>
      </c>
      <c r="AY843" s="85"/>
      <c r="AZ843" s="85"/>
    </row>
    <row r="844" spans="1:52" x14ac:dyDescent="0.25">
      <c r="A844" s="102" t="str">
        <f t="shared" si="224"/>
        <v>BD U&amp;D</v>
      </c>
      <c r="B844" s="102" t="s">
        <v>1229</v>
      </c>
      <c r="C844" s="102" t="s">
        <v>1337</v>
      </c>
      <c r="D844" t="s">
        <v>369</v>
      </c>
      <c r="E844" t="s">
        <v>55</v>
      </c>
      <c r="F844" t="s">
        <v>422</v>
      </c>
      <c r="G844" t="s">
        <v>1173</v>
      </c>
      <c r="H844" t="s">
        <v>1251</v>
      </c>
      <c r="I844" t="s">
        <v>139</v>
      </c>
      <c r="J844" t="s">
        <v>287</v>
      </c>
      <c r="K844" s="28">
        <f t="shared" ref="K844:AW844" si="254">K1492</f>
        <v>0.19181822763057532</v>
      </c>
      <c r="L844" s="28">
        <f t="shared" si="254"/>
        <v>0.19311010534642395</v>
      </c>
      <c r="M844" s="28">
        <f t="shared" si="254"/>
        <v>0.19389173119299405</v>
      </c>
      <c r="N844" s="28">
        <f t="shared" si="254"/>
        <v>0.19286331841675533</v>
      </c>
      <c r="O844" s="28">
        <f t="shared" si="254"/>
        <v>0.19181235815879408</v>
      </c>
      <c r="P844" s="28">
        <f t="shared" si="254"/>
        <v>0.19246355732374573</v>
      </c>
      <c r="Q844" s="28">
        <f t="shared" si="254"/>
        <v>0.19254768245204176</v>
      </c>
      <c r="R844" s="28">
        <f t="shared" si="254"/>
        <v>0.1907519738898287</v>
      </c>
      <c r="S844" s="28">
        <f t="shared" si="254"/>
        <v>0.18088699682644091</v>
      </c>
      <c r="T844" s="28">
        <f t="shared" si="254"/>
        <v>0.1838972381660133</v>
      </c>
      <c r="U844" s="28">
        <f t="shared" si="254"/>
        <v>0.18587548996919678</v>
      </c>
      <c r="V844" s="28">
        <f t="shared" si="254"/>
        <v>0.18760159282395869</v>
      </c>
      <c r="W844" s="28">
        <f t="shared" si="254"/>
        <v>0.1896732782375587</v>
      </c>
      <c r="X844" s="28">
        <f t="shared" si="254"/>
        <v>0.1930022477976579</v>
      </c>
      <c r="Y844" s="28">
        <f t="shared" si="254"/>
        <v>0.19680822491201644</v>
      </c>
      <c r="Z844" s="28">
        <f t="shared" si="254"/>
        <v>0.20092114686502896</v>
      </c>
      <c r="AA844" s="28">
        <f t="shared" si="254"/>
        <v>0.20449468327122119</v>
      </c>
      <c r="AB844" s="28">
        <f t="shared" si="254"/>
        <v>0.20863723377024176</v>
      </c>
      <c r="AC844" s="28">
        <f t="shared" si="254"/>
        <v>0.21348409201000912</v>
      </c>
      <c r="AD844" s="28">
        <f t="shared" si="254"/>
        <v>0.21835511855598433</v>
      </c>
      <c r="AE844" s="28">
        <f t="shared" si="254"/>
        <v>0.22343868148870985</v>
      </c>
      <c r="AF844" s="28">
        <f t="shared" si="254"/>
        <v>0.22861834548683552</v>
      </c>
      <c r="AG844" s="28">
        <f t="shared" si="254"/>
        <v>0.23439670920107816</v>
      </c>
      <c r="AH844" s="28">
        <f t="shared" si="254"/>
        <v>0.23945118587989581</v>
      </c>
      <c r="AI844" s="28">
        <f t="shared" si="254"/>
        <v>0.24500563890300198</v>
      </c>
      <c r="AJ844" s="28">
        <f t="shared" si="254"/>
        <v>0.25065226424650994</v>
      </c>
      <c r="AK844" s="28">
        <f t="shared" si="254"/>
        <v>0.25603495440723167</v>
      </c>
      <c r="AL844" s="28">
        <f t="shared" si="254"/>
        <v>0.26139389266760604</v>
      </c>
      <c r="AM844" s="28">
        <f t="shared" si="254"/>
        <v>0.26694586167829398</v>
      </c>
      <c r="AN844" s="28">
        <f t="shared" si="254"/>
        <v>0.2729875481925238</v>
      </c>
      <c r="AO844" s="28">
        <f t="shared" si="254"/>
        <v>0.27866949697835908</v>
      </c>
      <c r="AP844" s="28">
        <f t="shared" si="254"/>
        <v>0.28442636508269281</v>
      </c>
      <c r="AQ844" s="28">
        <f t="shared" si="254"/>
        <v>0.29026877942449542</v>
      </c>
      <c r="AR844" s="28">
        <f t="shared" si="254"/>
        <v>0.2965076361345787</v>
      </c>
      <c r="AS844" s="28">
        <f t="shared" si="254"/>
        <v>0.30314124222534444</v>
      </c>
      <c r="AT844" s="28">
        <f t="shared" si="254"/>
        <v>0.30687944467675132</v>
      </c>
      <c r="AU844" s="28">
        <f t="shared" si="254"/>
        <v>0.31041516575775774</v>
      </c>
      <c r="AV844" s="28">
        <f t="shared" si="254"/>
        <v>0.31434593932944749</v>
      </c>
      <c r="AW844" s="28">
        <f t="shared" si="254"/>
        <v>0.31810899011348942</v>
      </c>
      <c r="AY844" s="85"/>
      <c r="AZ844" s="85"/>
    </row>
    <row r="845" spans="1:52" x14ac:dyDescent="0.25">
      <c r="A845" s="102" t="str">
        <f t="shared" si="224"/>
        <v>BD U&amp;D</v>
      </c>
      <c r="B845" s="102" t="s">
        <v>1229</v>
      </c>
      <c r="C845" s="102" t="s">
        <v>1337</v>
      </c>
      <c r="D845" t="s">
        <v>369</v>
      </c>
      <c r="E845" t="s">
        <v>55</v>
      </c>
      <c r="F845" t="s">
        <v>422</v>
      </c>
      <c r="G845" t="s">
        <v>1175</v>
      </c>
      <c r="H845" t="s">
        <v>1252</v>
      </c>
      <c r="I845" t="s">
        <v>139</v>
      </c>
      <c r="J845" t="s">
        <v>287</v>
      </c>
      <c r="K845" s="28">
        <f t="shared" ref="K845:AW845" si="255">K1493</f>
        <v>3.4640571428571423E-2</v>
      </c>
      <c r="L845" s="28">
        <f t="shared" si="255"/>
        <v>3.4640571428571423E-2</v>
      </c>
      <c r="M845" s="28">
        <f t="shared" si="255"/>
        <v>3.4640571428571423E-2</v>
      </c>
      <c r="N845" s="28">
        <f t="shared" si="255"/>
        <v>3.4640571428571423E-2</v>
      </c>
      <c r="O845" s="28">
        <f t="shared" si="255"/>
        <v>3.4640571428571423E-2</v>
      </c>
      <c r="P845" s="28">
        <f t="shared" si="255"/>
        <v>3.4640571428571423E-2</v>
      </c>
      <c r="Q845" s="28">
        <f t="shared" si="255"/>
        <v>3.4640571428571423E-2</v>
      </c>
      <c r="R845" s="28">
        <f t="shared" si="255"/>
        <v>3.4640571428571423E-2</v>
      </c>
      <c r="S845" s="28">
        <f t="shared" si="255"/>
        <v>3.4640571428571423E-2</v>
      </c>
      <c r="T845" s="28">
        <f t="shared" si="255"/>
        <v>3.4640571428571423E-2</v>
      </c>
      <c r="U845" s="28">
        <f t="shared" si="255"/>
        <v>3.4640571428571423E-2</v>
      </c>
      <c r="V845" s="28">
        <f t="shared" si="255"/>
        <v>3.4640571428571423E-2</v>
      </c>
      <c r="W845" s="28">
        <f t="shared" si="255"/>
        <v>3.4640571428571423E-2</v>
      </c>
      <c r="X845" s="28">
        <f t="shared" si="255"/>
        <v>3.4640571428571423E-2</v>
      </c>
      <c r="Y845" s="28">
        <f t="shared" si="255"/>
        <v>3.4640571428571423E-2</v>
      </c>
      <c r="Z845" s="28">
        <f t="shared" si="255"/>
        <v>3.4640571428571423E-2</v>
      </c>
      <c r="AA845" s="28">
        <f t="shared" si="255"/>
        <v>3.4640571428571423E-2</v>
      </c>
      <c r="AB845" s="28">
        <f t="shared" si="255"/>
        <v>3.4640571428571423E-2</v>
      </c>
      <c r="AC845" s="28">
        <f t="shared" si="255"/>
        <v>3.4640571428571423E-2</v>
      </c>
      <c r="AD845" s="28">
        <f t="shared" si="255"/>
        <v>3.4640571428571423E-2</v>
      </c>
      <c r="AE845" s="28">
        <f t="shared" si="255"/>
        <v>3.4640571428571423E-2</v>
      </c>
      <c r="AF845" s="28">
        <f t="shared" si="255"/>
        <v>3.4640571428571423E-2</v>
      </c>
      <c r="AG845" s="28">
        <f t="shared" si="255"/>
        <v>3.4640571428571423E-2</v>
      </c>
      <c r="AH845" s="28">
        <f t="shared" si="255"/>
        <v>3.4640571428571423E-2</v>
      </c>
      <c r="AI845" s="28">
        <f t="shared" si="255"/>
        <v>3.4640571428571423E-2</v>
      </c>
      <c r="AJ845" s="28">
        <f t="shared" si="255"/>
        <v>3.4640571428571423E-2</v>
      </c>
      <c r="AK845" s="28">
        <f t="shared" si="255"/>
        <v>3.4640571428571423E-2</v>
      </c>
      <c r="AL845" s="28">
        <f t="shared" si="255"/>
        <v>3.4640571428571423E-2</v>
      </c>
      <c r="AM845" s="28">
        <f t="shared" si="255"/>
        <v>3.4640571428571423E-2</v>
      </c>
      <c r="AN845" s="28">
        <f t="shared" si="255"/>
        <v>3.4640571428571423E-2</v>
      </c>
      <c r="AO845" s="28">
        <f t="shared" si="255"/>
        <v>3.4640571428571423E-2</v>
      </c>
      <c r="AP845" s="28">
        <f t="shared" si="255"/>
        <v>3.4640571428571423E-2</v>
      </c>
      <c r="AQ845" s="28">
        <f t="shared" si="255"/>
        <v>3.4640571428571423E-2</v>
      </c>
      <c r="AR845" s="28">
        <f t="shared" si="255"/>
        <v>3.4640571428571423E-2</v>
      </c>
      <c r="AS845" s="28">
        <f t="shared" si="255"/>
        <v>3.4640571428571423E-2</v>
      </c>
      <c r="AT845" s="28">
        <f t="shared" si="255"/>
        <v>3.4640571428571423E-2</v>
      </c>
      <c r="AU845" s="28">
        <f t="shared" si="255"/>
        <v>3.4640571428571423E-2</v>
      </c>
      <c r="AV845" s="28">
        <f t="shared" si="255"/>
        <v>3.4640571428571423E-2</v>
      </c>
      <c r="AW845" s="28">
        <f t="shared" si="255"/>
        <v>3.4640571428571423E-2</v>
      </c>
      <c r="AY845" s="85"/>
      <c r="AZ845" s="85"/>
    </row>
    <row r="846" spans="1:52" x14ac:dyDescent="0.25">
      <c r="A846" s="102" t="str">
        <f t="shared" si="224"/>
        <v>BD U&amp;D</v>
      </c>
      <c r="B846" s="102" t="s">
        <v>1229</v>
      </c>
      <c r="C846" s="102" t="s">
        <v>1337</v>
      </c>
      <c r="D846" t="s">
        <v>369</v>
      </c>
      <c r="E846" t="s">
        <v>55</v>
      </c>
      <c r="F846" t="s">
        <v>422</v>
      </c>
      <c r="G846" t="s">
        <v>1177</v>
      </c>
      <c r="H846" t="s">
        <v>1253</v>
      </c>
      <c r="I846" t="s">
        <v>139</v>
      </c>
      <c r="J846" t="s">
        <v>287</v>
      </c>
      <c r="K846" s="28">
        <f t="shared" ref="K846:AW846" si="256">K1494</f>
        <v>0</v>
      </c>
      <c r="L846" s="28">
        <f t="shared" si="256"/>
        <v>0</v>
      </c>
      <c r="M846" s="28">
        <f t="shared" si="256"/>
        <v>0</v>
      </c>
      <c r="N846" s="28">
        <f t="shared" si="256"/>
        <v>0</v>
      </c>
      <c r="O846" s="28">
        <f t="shared" si="256"/>
        <v>0</v>
      </c>
      <c r="P846" s="28">
        <f t="shared" si="256"/>
        <v>0</v>
      </c>
      <c r="Q846" s="28">
        <f t="shared" si="256"/>
        <v>0</v>
      </c>
      <c r="R846" s="28">
        <f t="shared" si="256"/>
        <v>0</v>
      </c>
      <c r="S846" s="28">
        <f t="shared" si="256"/>
        <v>0</v>
      </c>
      <c r="T846" s="28">
        <f t="shared" si="256"/>
        <v>0</v>
      </c>
      <c r="U846" s="28">
        <f t="shared" si="256"/>
        <v>0</v>
      </c>
      <c r="V846" s="28">
        <f t="shared" si="256"/>
        <v>0</v>
      </c>
      <c r="W846" s="28">
        <f t="shared" si="256"/>
        <v>0</v>
      </c>
      <c r="X846" s="28">
        <f t="shared" si="256"/>
        <v>0</v>
      </c>
      <c r="Y846" s="28">
        <f t="shared" si="256"/>
        <v>0</v>
      </c>
      <c r="Z846" s="28">
        <f t="shared" si="256"/>
        <v>0</v>
      </c>
      <c r="AA846" s="28">
        <f t="shared" si="256"/>
        <v>0</v>
      </c>
      <c r="AB846" s="28">
        <f t="shared" si="256"/>
        <v>0</v>
      </c>
      <c r="AC846" s="28">
        <f t="shared" si="256"/>
        <v>0</v>
      </c>
      <c r="AD846" s="28">
        <f t="shared" si="256"/>
        <v>0</v>
      </c>
      <c r="AE846" s="28">
        <f t="shared" si="256"/>
        <v>0</v>
      </c>
      <c r="AF846" s="28">
        <f t="shared" si="256"/>
        <v>0</v>
      </c>
      <c r="AG846" s="28">
        <f t="shared" si="256"/>
        <v>0</v>
      </c>
      <c r="AH846" s="28">
        <f t="shared" si="256"/>
        <v>0</v>
      </c>
      <c r="AI846" s="28">
        <f t="shared" si="256"/>
        <v>0</v>
      </c>
      <c r="AJ846" s="28">
        <f t="shared" si="256"/>
        <v>0</v>
      </c>
      <c r="AK846" s="28">
        <f t="shared" si="256"/>
        <v>0</v>
      </c>
      <c r="AL846" s="28">
        <f t="shared" si="256"/>
        <v>0</v>
      </c>
      <c r="AM846" s="28">
        <f t="shared" si="256"/>
        <v>0</v>
      </c>
      <c r="AN846" s="28">
        <f t="shared" si="256"/>
        <v>0</v>
      </c>
      <c r="AO846" s="28">
        <f t="shared" si="256"/>
        <v>0</v>
      </c>
      <c r="AP846" s="28">
        <f t="shared" si="256"/>
        <v>0</v>
      </c>
      <c r="AQ846" s="28">
        <f t="shared" si="256"/>
        <v>0</v>
      </c>
      <c r="AR846" s="28">
        <f t="shared" si="256"/>
        <v>0</v>
      </c>
      <c r="AS846" s="28">
        <f t="shared" si="256"/>
        <v>0</v>
      </c>
      <c r="AT846" s="28">
        <f t="shared" si="256"/>
        <v>0</v>
      </c>
      <c r="AU846" s="28">
        <f t="shared" si="256"/>
        <v>0</v>
      </c>
      <c r="AV846" s="28">
        <f t="shared" si="256"/>
        <v>0</v>
      </c>
      <c r="AW846" s="28">
        <f t="shared" si="256"/>
        <v>0</v>
      </c>
      <c r="AY846" s="85"/>
      <c r="AZ846" s="85"/>
    </row>
    <row r="847" spans="1:52" x14ac:dyDescent="0.25">
      <c r="A847" s="102" t="str">
        <f t="shared" si="224"/>
        <v>BD U&amp;D</v>
      </c>
      <c r="B847" s="102" t="s">
        <v>1229</v>
      </c>
      <c r="C847" s="102" t="s">
        <v>1337</v>
      </c>
      <c r="D847" t="s">
        <v>369</v>
      </c>
      <c r="E847" t="s">
        <v>55</v>
      </c>
      <c r="F847" t="s">
        <v>422</v>
      </c>
      <c r="G847" t="s">
        <v>1179</v>
      </c>
      <c r="H847" t="s">
        <v>1254</v>
      </c>
      <c r="I847" t="s">
        <v>139</v>
      </c>
      <c r="J847" t="s">
        <v>287</v>
      </c>
      <c r="K847" s="28">
        <f t="shared" ref="K847:AW847" si="257">K1495</f>
        <v>0</v>
      </c>
      <c r="L847" s="28">
        <f t="shared" si="257"/>
        <v>0</v>
      </c>
      <c r="M847" s="28">
        <f t="shared" si="257"/>
        <v>0</v>
      </c>
      <c r="N847" s="28">
        <f t="shared" si="257"/>
        <v>0</v>
      </c>
      <c r="O847" s="28">
        <f t="shared" si="257"/>
        <v>0</v>
      </c>
      <c r="P847" s="28">
        <f t="shared" si="257"/>
        <v>0</v>
      </c>
      <c r="Q847" s="28">
        <f t="shared" si="257"/>
        <v>0</v>
      </c>
      <c r="R847" s="28">
        <f t="shared" si="257"/>
        <v>0</v>
      </c>
      <c r="S847" s="28">
        <f t="shared" si="257"/>
        <v>0</v>
      </c>
      <c r="T847" s="28">
        <f t="shared" si="257"/>
        <v>0</v>
      </c>
      <c r="U847" s="28">
        <f t="shared" si="257"/>
        <v>0</v>
      </c>
      <c r="V847" s="28">
        <f t="shared" si="257"/>
        <v>0</v>
      </c>
      <c r="W847" s="28">
        <f t="shared" si="257"/>
        <v>0</v>
      </c>
      <c r="X847" s="28">
        <f t="shared" si="257"/>
        <v>0</v>
      </c>
      <c r="Y847" s="28">
        <f t="shared" si="257"/>
        <v>0</v>
      </c>
      <c r="Z847" s="28">
        <f t="shared" si="257"/>
        <v>0</v>
      </c>
      <c r="AA847" s="28">
        <f t="shared" si="257"/>
        <v>0</v>
      </c>
      <c r="AB847" s="28">
        <f t="shared" si="257"/>
        <v>0</v>
      </c>
      <c r="AC847" s="28">
        <f t="shared" si="257"/>
        <v>0</v>
      </c>
      <c r="AD847" s="28">
        <f t="shared" si="257"/>
        <v>0</v>
      </c>
      <c r="AE847" s="28">
        <f t="shared" si="257"/>
        <v>0</v>
      </c>
      <c r="AF847" s="28">
        <f t="shared" si="257"/>
        <v>0</v>
      </c>
      <c r="AG847" s="28">
        <f t="shared" si="257"/>
        <v>0</v>
      </c>
      <c r="AH847" s="28">
        <f t="shared" si="257"/>
        <v>0</v>
      </c>
      <c r="AI847" s="28">
        <f t="shared" si="257"/>
        <v>0</v>
      </c>
      <c r="AJ847" s="28">
        <f t="shared" si="257"/>
        <v>0</v>
      </c>
      <c r="AK847" s="28">
        <f t="shared" si="257"/>
        <v>0</v>
      </c>
      <c r="AL847" s="28">
        <f t="shared" si="257"/>
        <v>0</v>
      </c>
      <c r="AM847" s="28">
        <f t="shared" si="257"/>
        <v>0</v>
      </c>
      <c r="AN847" s="28">
        <f t="shared" si="257"/>
        <v>0</v>
      </c>
      <c r="AO847" s="28">
        <f t="shared" si="257"/>
        <v>0</v>
      </c>
      <c r="AP847" s="28">
        <f t="shared" si="257"/>
        <v>0</v>
      </c>
      <c r="AQ847" s="28">
        <f t="shared" si="257"/>
        <v>0</v>
      </c>
      <c r="AR847" s="28">
        <f t="shared" si="257"/>
        <v>0</v>
      </c>
      <c r="AS847" s="28">
        <f t="shared" si="257"/>
        <v>0</v>
      </c>
      <c r="AT847" s="28">
        <f t="shared" si="257"/>
        <v>0</v>
      </c>
      <c r="AU847" s="28">
        <f t="shared" si="257"/>
        <v>0</v>
      </c>
      <c r="AV847" s="28">
        <f t="shared" si="257"/>
        <v>0</v>
      </c>
      <c r="AW847" s="28">
        <f t="shared" si="257"/>
        <v>0</v>
      </c>
      <c r="AY847" s="85"/>
      <c r="AZ847" s="85"/>
    </row>
    <row r="848" spans="1:52" x14ac:dyDescent="0.25">
      <c r="A848" s="102" t="str">
        <f t="shared" si="224"/>
        <v>BD U&amp;D</v>
      </c>
      <c r="B848" s="102" t="s">
        <v>1229</v>
      </c>
      <c r="C848" s="102" t="s">
        <v>1337</v>
      </c>
      <c r="D848" t="s">
        <v>369</v>
      </c>
      <c r="E848" t="s">
        <v>55</v>
      </c>
      <c r="F848" t="s">
        <v>422</v>
      </c>
      <c r="G848" t="s">
        <v>1181</v>
      </c>
      <c r="H848" t="s">
        <v>1255</v>
      </c>
      <c r="I848" t="s">
        <v>139</v>
      </c>
      <c r="J848" t="s">
        <v>287</v>
      </c>
      <c r="K848" s="28">
        <f t="shared" ref="K848:AW848" si="258">K1496</f>
        <v>0</v>
      </c>
      <c r="L848" s="28">
        <f t="shared" si="258"/>
        <v>0</v>
      </c>
      <c r="M848" s="28">
        <f t="shared" si="258"/>
        <v>0</v>
      </c>
      <c r="N848" s="28">
        <f t="shared" si="258"/>
        <v>0</v>
      </c>
      <c r="O848" s="28">
        <f t="shared" si="258"/>
        <v>0</v>
      </c>
      <c r="P848" s="28">
        <f t="shared" si="258"/>
        <v>0</v>
      </c>
      <c r="Q848" s="28">
        <f t="shared" si="258"/>
        <v>0</v>
      </c>
      <c r="R848" s="28">
        <f t="shared" si="258"/>
        <v>0</v>
      </c>
      <c r="S848" s="28">
        <f t="shared" si="258"/>
        <v>0</v>
      </c>
      <c r="T848" s="28">
        <f t="shared" si="258"/>
        <v>0</v>
      </c>
      <c r="U848" s="28">
        <f t="shared" si="258"/>
        <v>0</v>
      </c>
      <c r="V848" s="28">
        <f t="shared" si="258"/>
        <v>0</v>
      </c>
      <c r="W848" s="28">
        <f t="shared" si="258"/>
        <v>0</v>
      </c>
      <c r="X848" s="28">
        <f t="shared" si="258"/>
        <v>0</v>
      </c>
      <c r="Y848" s="28">
        <f t="shared" si="258"/>
        <v>0</v>
      </c>
      <c r="Z848" s="28">
        <f t="shared" si="258"/>
        <v>0</v>
      </c>
      <c r="AA848" s="28">
        <f t="shared" si="258"/>
        <v>0</v>
      </c>
      <c r="AB848" s="28">
        <f t="shared" si="258"/>
        <v>0</v>
      </c>
      <c r="AC848" s="28">
        <f t="shared" si="258"/>
        <v>0</v>
      </c>
      <c r="AD848" s="28">
        <f t="shared" si="258"/>
        <v>0</v>
      </c>
      <c r="AE848" s="28">
        <f t="shared" si="258"/>
        <v>0</v>
      </c>
      <c r="AF848" s="28">
        <f t="shared" si="258"/>
        <v>0</v>
      </c>
      <c r="AG848" s="28">
        <f t="shared" si="258"/>
        <v>0</v>
      </c>
      <c r="AH848" s="28">
        <f t="shared" si="258"/>
        <v>0</v>
      </c>
      <c r="AI848" s="28">
        <f t="shared" si="258"/>
        <v>0</v>
      </c>
      <c r="AJ848" s="28">
        <f t="shared" si="258"/>
        <v>0</v>
      </c>
      <c r="AK848" s="28">
        <f t="shared" si="258"/>
        <v>0</v>
      </c>
      <c r="AL848" s="28">
        <f t="shared" si="258"/>
        <v>0</v>
      </c>
      <c r="AM848" s="28">
        <f t="shared" si="258"/>
        <v>0</v>
      </c>
      <c r="AN848" s="28">
        <f t="shared" si="258"/>
        <v>0</v>
      </c>
      <c r="AO848" s="28">
        <f t="shared" si="258"/>
        <v>0</v>
      </c>
      <c r="AP848" s="28">
        <f t="shared" si="258"/>
        <v>0</v>
      </c>
      <c r="AQ848" s="28">
        <f t="shared" si="258"/>
        <v>0</v>
      </c>
      <c r="AR848" s="28">
        <f t="shared" si="258"/>
        <v>0</v>
      </c>
      <c r="AS848" s="28">
        <f t="shared" si="258"/>
        <v>0</v>
      </c>
      <c r="AT848" s="28">
        <f t="shared" si="258"/>
        <v>0</v>
      </c>
      <c r="AU848" s="28">
        <f t="shared" si="258"/>
        <v>0</v>
      </c>
      <c r="AV848" s="28">
        <f t="shared" si="258"/>
        <v>0</v>
      </c>
      <c r="AW848" s="28">
        <f t="shared" si="258"/>
        <v>0</v>
      </c>
      <c r="AY848" s="85"/>
      <c r="AZ848" s="85"/>
    </row>
    <row r="849" spans="1:52" x14ac:dyDescent="0.25">
      <c r="A849" s="102" t="str">
        <f t="shared" si="224"/>
        <v>BD U&amp;D</v>
      </c>
      <c r="B849" s="102" t="s">
        <v>1229</v>
      </c>
      <c r="C849" s="102" t="s">
        <v>1337</v>
      </c>
      <c r="D849" t="s">
        <v>369</v>
      </c>
      <c r="E849" t="s">
        <v>55</v>
      </c>
      <c r="F849" t="s">
        <v>422</v>
      </c>
      <c r="G849" t="s">
        <v>1183</v>
      </c>
      <c r="H849" t="s">
        <v>1256</v>
      </c>
      <c r="I849" t="s">
        <v>139</v>
      </c>
      <c r="J849" t="s">
        <v>287</v>
      </c>
      <c r="K849" s="28">
        <f t="shared" ref="K849:AW849" si="259">K1497</f>
        <v>0</v>
      </c>
      <c r="L849" s="28">
        <f t="shared" si="259"/>
        <v>0</v>
      </c>
      <c r="M849" s="28">
        <f t="shared" si="259"/>
        <v>0</v>
      </c>
      <c r="N849" s="28">
        <f t="shared" si="259"/>
        <v>0</v>
      </c>
      <c r="O849" s="28">
        <f t="shared" si="259"/>
        <v>0</v>
      </c>
      <c r="P849" s="28">
        <f t="shared" si="259"/>
        <v>0</v>
      </c>
      <c r="Q849" s="28">
        <f t="shared" si="259"/>
        <v>0</v>
      </c>
      <c r="R849" s="28">
        <f t="shared" si="259"/>
        <v>0</v>
      </c>
      <c r="S849" s="28">
        <f t="shared" si="259"/>
        <v>0</v>
      </c>
      <c r="T849" s="28">
        <f t="shared" si="259"/>
        <v>0</v>
      </c>
      <c r="U849" s="28">
        <f t="shared" si="259"/>
        <v>0</v>
      </c>
      <c r="V849" s="28">
        <f t="shared" si="259"/>
        <v>0</v>
      </c>
      <c r="W849" s="28">
        <f t="shared" si="259"/>
        <v>0</v>
      </c>
      <c r="X849" s="28">
        <f t="shared" si="259"/>
        <v>0</v>
      </c>
      <c r="Y849" s="28">
        <f t="shared" si="259"/>
        <v>0</v>
      </c>
      <c r="Z849" s="28">
        <f t="shared" si="259"/>
        <v>0</v>
      </c>
      <c r="AA849" s="28">
        <f t="shared" si="259"/>
        <v>0</v>
      </c>
      <c r="AB849" s="28">
        <f t="shared" si="259"/>
        <v>0</v>
      </c>
      <c r="AC849" s="28">
        <f t="shared" si="259"/>
        <v>0</v>
      </c>
      <c r="AD849" s="28">
        <f t="shared" si="259"/>
        <v>0</v>
      </c>
      <c r="AE849" s="28">
        <f t="shared" si="259"/>
        <v>0</v>
      </c>
      <c r="AF849" s="28">
        <f t="shared" si="259"/>
        <v>0</v>
      </c>
      <c r="AG849" s="28">
        <f t="shared" si="259"/>
        <v>0</v>
      </c>
      <c r="AH849" s="28">
        <f t="shared" si="259"/>
        <v>0</v>
      </c>
      <c r="AI849" s="28">
        <f t="shared" si="259"/>
        <v>0</v>
      </c>
      <c r="AJ849" s="28">
        <f t="shared" si="259"/>
        <v>0</v>
      </c>
      <c r="AK849" s="28">
        <f t="shared" si="259"/>
        <v>0</v>
      </c>
      <c r="AL849" s="28">
        <f t="shared" si="259"/>
        <v>0</v>
      </c>
      <c r="AM849" s="28">
        <f t="shared" si="259"/>
        <v>0</v>
      </c>
      <c r="AN849" s="28">
        <f t="shared" si="259"/>
        <v>0</v>
      </c>
      <c r="AO849" s="28">
        <f t="shared" si="259"/>
        <v>0</v>
      </c>
      <c r="AP849" s="28">
        <f t="shared" si="259"/>
        <v>0</v>
      </c>
      <c r="AQ849" s="28">
        <f t="shared" si="259"/>
        <v>0</v>
      </c>
      <c r="AR849" s="28">
        <f t="shared" si="259"/>
        <v>0</v>
      </c>
      <c r="AS849" s="28">
        <f t="shared" si="259"/>
        <v>0</v>
      </c>
      <c r="AT849" s="28">
        <f t="shared" si="259"/>
        <v>0</v>
      </c>
      <c r="AU849" s="28">
        <f t="shared" si="259"/>
        <v>0</v>
      </c>
      <c r="AV849" s="28">
        <f t="shared" si="259"/>
        <v>0</v>
      </c>
      <c r="AW849" s="28">
        <f t="shared" si="259"/>
        <v>0</v>
      </c>
      <c r="AY849" s="85"/>
      <c r="AZ849" s="85"/>
    </row>
    <row r="850" spans="1:52" x14ac:dyDescent="0.25">
      <c r="A850" s="102" t="str">
        <f t="shared" si="224"/>
        <v>BD FSOM</v>
      </c>
      <c r="B850" s="102" t="s">
        <v>1229</v>
      </c>
      <c r="C850" s="102" t="s">
        <v>60</v>
      </c>
      <c r="D850" t="s">
        <v>369</v>
      </c>
      <c r="E850" t="s">
        <v>55</v>
      </c>
      <c r="F850" t="s">
        <v>60</v>
      </c>
      <c r="G850" t="s">
        <v>1267</v>
      </c>
      <c r="H850" t="s">
        <v>1268</v>
      </c>
      <c r="J850" t="s">
        <v>287</v>
      </c>
      <c r="K850" s="28" t="str">
        <f t="shared" ref="K850:AW850" si="260">K1498</f>
        <v>NO</v>
      </c>
      <c r="L850" s="28" t="str">
        <f t="shared" si="260"/>
        <v>NO</v>
      </c>
      <c r="M850" s="28" t="str">
        <f t="shared" si="260"/>
        <v>NO</v>
      </c>
      <c r="N850" s="28" t="str">
        <f t="shared" si="260"/>
        <v>NO</v>
      </c>
      <c r="O850" s="28" t="str">
        <f t="shared" si="260"/>
        <v>NO</v>
      </c>
      <c r="P850" s="28" t="str">
        <f t="shared" si="260"/>
        <v>NO</v>
      </c>
      <c r="Q850" s="28" t="str">
        <f t="shared" si="260"/>
        <v>NO</v>
      </c>
      <c r="R850" s="28" t="str">
        <f t="shared" si="260"/>
        <v>NO</v>
      </c>
      <c r="S850" s="28" t="str">
        <f t="shared" si="260"/>
        <v>NO</v>
      </c>
      <c r="T850" s="28" t="str">
        <f t="shared" si="260"/>
        <v>NO</v>
      </c>
      <c r="U850" s="28" t="str">
        <f t="shared" si="260"/>
        <v>NO</v>
      </c>
      <c r="V850" s="28" t="str">
        <f t="shared" si="260"/>
        <v>NO</v>
      </c>
      <c r="W850" s="28" t="str">
        <f t="shared" si="260"/>
        <v>NO</v>
      </c>
      <c r="X850" s="28" t="str">
        <f t="shared" si="260"/>
        <v>NO</v>
      </c>
      <c r="Y850" s="28" t="str">
        <f t="shared" si="260"/>
        <v>NO</v>
      </c>
      <c r="Z850" s="28" t="str">
        <f t="shared" si="260"/>
        <v>NO</v>
      </c>
      <c r="AA850" s="28" t="str">
        <f t="shared" si="260"/>
        <v>NO</v>
      </c>
      <c r="AB850" s="28" t="str">
        <f t="shared" si="260"/>
        <v>NO</v>
      </c>
      <c r="AC850" s="28" t="str">
        <f t="shared" si="260"/>
        <v>NO</v>
      </c>
      <c r="AD850" s="28" t="str">
        <f t="shared" si="260"/>
        <v>NO</v>
      </c>
      <c r="AE850" s="28" t="str">
        <f t="shared" si="260"/>
        <v>NO</v>
      </c>
      <c r="AF850" s="28" t="str">
        <f t="shared" si="260"/>
        <v>NO</v>
      </c>
      <c r="AG850" s="28" t="str">
        <f t="shared" si="260"/>
        <v>NO</v>
      </c>
      <c r="AH850" s="28" t="str">
        <f t="shared" si="260"/>
        <v>NO</v>
      </c>
      <c r="AI850" s="28" t="str">
        <f t="shared" si="260"/>
        <v>NO</v>
      </c>
      <c r="AJ850" s="28" t="str">
        <f t="shared" si="260"/>
        <v>NO</v>
      </c>
      <c r="AK850" s="28" t="str">
        <f t="shared" si="260"/>
        <v>NO</v>
      </c>
      <c r="AL850" s="28" t="str">
        <f t="shared" si="260"/>
        <v>NO</v>
      </c>
      <c r="AM850" s="28" t="str">
        <f t="shared" si="260"/>
        <v>NO</v>
      </c>
      <c r="AN850" s="28" t="str">
        <f t="shared" si="260"/>
        <v>NO</v>
      </c>
      <c r="AO850" s="28" t="str">
        <f t="shared" si="260"/>
        <v>NO</v>
      </c>
      <c r="AP850" s="28" t="str">
        <f t="shared" si="260"/>
        <v>NO</v>
      </c>
      <c r="AQ850" s="28" t="str">
        <f t="shared" si="260"/>
        <v>NO</v>
      </c>
      <c r="AR850" s="28" t="str">
        <f t="shared" si="260"/>
        <v>NO</v>
      </c>
      <c r="AS850" s="28" t="str">
        <f t="shared" si="260"/>
        <v>NO</v>
      </c>
      <c r="AT850" s="28" t="str">
        <f t="shared" si="260"/>
        <v>NO</v>
      </c>
      <c r="AU850" s="28" t="str">
        <f t="shared" si="260"/>
        <v>NO</v>
      </c>
      <c r="AV850" s="28" t="str">
        <f t="shared" si="260"/>
        <v>NO</v>
      </c>
      <c r="AW850" s="28" t="str">
        <f t="shared" si="260"/>
        <v>NO</v>
      </c>
      <c r="AY850" s="85"/>
      <c r="AZ850" s="85"/>
    </row>
    <row r="851" spans="1:52" x14ac:dyDescent="0.25">
      <c r="A851" s="102" t="str">
        <f t="shared" si="224"/>
        <v>BD FSOM</v>
      </c>
      <c r="B851" s="102" t="s">
        <v>1229</v>
      </c>
      <c r="C851" s="102" t="s">
        <v>60</v>
      </c>
      <c r="D851" t="s">
        <v>369</v>
      </c>
      <c r="E851" t="s">
        <v>55</v>
      </c>
      <c r="F851" t="s">
        <v>60</v>
      </c>
      <c r="G851" t="s">
        <v>1269</v>
      </c>
      <c r="H851" t="s">
        <v>1270</v>
      </c>
      <c r="J851" t="s">
        <v>287</v>
      </c>
      <c r="K851" s="28" t="str">
        <f t="shared" ref="K851:AW851" si="261">K1499</f>
        <v>NO</v>
      </c>
      <c r="L851" s="28" t="str">
        <f t="shared" si="261"/>
        <v>NO</v>
      </c>
      <c r="M851" s="28" t="str">
        <f t="shared" si="261"/>
        <v>NO</v>
      </c>
      <c r="N851" s="28" t="str">
        <f t="shared" si="261"/>
        <v>NO</v>
      </c>
      <c r="O851" s="28" t="str">
        <f t="shared" si="261"/>
        <v>NO</v>
      </c>
      <c r="P851" s="28" t="str">
        <f t="shared" si="261"/>
        <v>NO</v>
      </c>
      <c r="Q851" s="28" t="str">
        <f t="shared" si="261"/>
        <v>NO</v>
      </c>
      <c r="R851" s="28" t="str">
        <f t="shared" si="261"/>
        <v>NO</v>
      </c>
      <c r="S851" s="28" t="str">
        <f t="shared" si="261"/>
        <v>NO</v>
      </c>
      <c r="T851" s="28" t="str">
        <f t="shared" si="261"/>
        <v>NO</v>
      </c>
      <c r="U851" s="28" t="str">
        <f t="shared" si="261"/>
        <v>NO</v>
      </c>
      <c r="V851" s="28" t="str">
        <f t="shared" si="261"/>
        <v>NO</v>
      </c>
      <c r="W851" s="28" t="str">
        <f t="shared" si="261"/>
        <v>NO</v>
      </c>
      <c r="X851" s="28" t="str">
        <f t="shared" si="261"/>
        <v>NO</v>
      </c>
      <c r="Y851" s="28" t="str">
        <f t="shared" si="261"/>
        <v>NO</v>
      </c>
      <c r="Z851" s="28" t="str">
        <f t="shared" si="261"/>
        <v>NO</v>
      </c>
      <c r="AA851" s="28" t="str">
        <f t="shared" si="261"/>
        <v>NO</v>
      </c>
      <c r="AB851" s="28" t="str">
        <f t="shared" si="261"/>
        <v>NO</v>
      </c>
      <c r="AC851" s="28" t="str">
        <f t="shared" si="261"/>
        <v>NO</v>
      </c>
      <c r="AD851" s="28" t="str">
        <f t="shared" si="261"/>
        <v>NO</v>
      </c>
      <c r="AE851" s="28" t="str">
        <f t="shared" si="261"/>
        <v>NO</v>
      </c>
      <c r="AF851" s="28" t="str">
        <f t="shared" si="261"/>
        <v>NO</v>
      </c>
      <c r="AG851" s="28" t="str">
        <f t="shared" si="261"/>
        <v>NO</v>
      </c>
      <c r="AH851" s="28" t="str">
        <f t="shared" si="261"/>
        <v>NO</v>
      </c>
      <c r="AI851" s="28" t="str">
        <f t="shared" si="261"/>
        <v>NO</v>
      </c>
      <c r="AJ851" s="28" t="str">
        <f t="shared" si="261"/>
        <v>NO</v>
      </c>
      <c r="AK851" s="28" t="str">
        <f t="shared" si="261"/>
        <v>NO</v>
      </c>
      <c r="AL851" s="28" t="str">
        <f t="shared" si="261"/>
        <v>NO</v>
      </c>
      <c r="AM851" s="28" t="str">
        <f t="shared" si="261"/>
        <v>NO</v>
      </c>
      <c r="AN851" s="28" t="str">
        <f t="shared" si="261"/>
        <v>NO</v>
      </c>
      <c r="AO851" s="28" t="str">
        <f t="shared" si="261"/>
        <v>NO</v>
      </c>
      <c r="AP851" s="28" t="str">
        <f t="shared" si="261"/>
        <v>NO</v>
      </c>
      <c r="AQ851" s="28" t="str">
        <f t="shared" si="261"/>
        <v>NO</v>
      </c>
      <c r="AR851" s="28" t="str">
        <f t="shared" si="261"/>
        <v>NO</v>
      </c>
      <c r="AS851" s="28" t="str">
        <f t="shared" si="261"/>
        <v>NO</v>
      </c>
      <c r="AT851" s="28" t="str">
        <f t="shared" si="261"/>
        <v>NO</v>
      </c>
      <c r="AU851" s="28" t="str">
        <f t="shared" si="261"/>
        <v>NO</v>
      </c>
      <c r="AV851" s="28" t="str">
        <f t="shared" si="261"/>
        <v>NO</v>
      </c>
      <c r="AW851" s="28" t="str">
        <f t="shared" si="261"/>
        <v>NO</v>
      </c>
      <c r="AY851" s="85"/>
      <c r="AZ851" s="85"/>
    </row>
    <row r="852" spans="1:52" x14ac:dyDescent="0.25">
      <c r="A852" s="102" t="str">
        <f t="shared" si="224"/>
        <v>BD FSOM</v>
      </c>
      <c r="B852" s="102" t="s">
        <v>1229</v>
      </c>
      <c r="C852" s="102" t="s">
        <v>60</v>
      </c>
      <c r="D852" t="s">
        <v>369</v>
      </c>
      <c r="E852" t="s">
        <v>55</v>
      </c>
      <c r="F852" t="s">
        <v>60</v>
      </c>
      <c r="G852" t="s">
        <v>1271</v>
      </c>
      <c r="H852" t="s">
        <v>1272</v>
      </c>
      <c r="J852" t="s">
        <v>287</v>
      </c>
      <c r="K852" s="28">
        <f t="shared" ref="K852:AW852" si="262">K1500</f>
        <v>3.4398813895090996E-3</v>
      </c>
      <c r="L852" s="28">
        <f t="shared" si="262"/>
        <v>3.4358310252377683E-3</v>
      </c>
      <c r="M852" s="28">
        <f t="shared" si="262"/>
        <v>3.4317806609664363E-3</v>
      </c>
      <c r="N852" s="28">
        <f t="shared" si="262"/>
        <v>3.4277302966951037E-3</v>
      </c>
      <c r="O852" s="28">
        <f t="shared" si="262"/>
        <v>3.4236799324237725E-3</v>
      </c>
      <c r="P852" s="28">
        <f t="shared" si="262"/>
        <v>3.4196295681524396E-3</v>
      </c>
      <c r="Q852" s="28">
        <f t="shared" si="262"/>
        <v>3.4155792038811079E-3</v>
      </c>
      <c r="R852" s="28">
        <f t="shared" si="262"/>
        <v>3.4115288396097763E-3</v>
      </c>
      <c r="S852" s="28">
        <f t="shared" si="262"/>
        <v>3.4074784753384451E-3</v>
      </c>
      <c r="T852" s="28">
        <f t="shared" si="262"/>
        <v>3.4034281110671134E-3</v>
      </c>
      <c r="U852" s="28">
        <f t="shared" si="262"/>
        <v>3.39937774679578E-3</v>
      </c>
      <c r="V852" s="28">
        <f t="shared" si="262"/>
        <v>3.3953273825244488E-3</v>
      </c>
      <c r="W852" s="28">
        <f t="shared" si="262"/>
        <v>3.3912770182531172E-3</v>
      </c>
      <c r="X852" s="28">
        <f t="shared" si="262"/>
        <v>3.387226653981786E-3</v>
      </c>
      <c r="Y852" s="28">
        <f t="shared" si="262"/>
        <v>3.3831762897104547E-3</v>
      </c>
      <c r="Z852" s="28">
        <f t="shared" si="262"/>
        <v>3.3791259254391218E-3</v>
      </c>
      <c r="AA852" s="28">
        <f t="shared" si="262"/>
        <v>3.375075561167791E-3</v>
      </c>
      <c r="AB852" s="28">
        <f t="shared" si="262"/>
        <v>3.3710251968964585E-3</v>
      </c>
      <c r="AC852" s="28">
        <f t="shared" si="262"/>
        <v>3.3669748326251273E-3</v>
      </c>
      <c r="AD852" s="28">
        <f t="shared" si="262"/>
        <v>3.3629244683537943E-3</v>
      </c>
      <c r="AE852" s="28">
        <f t="shared" si="262"/>
        <v>3.358874104082464E-3</v>
      </c>
      <c r="AF852" s="28">
        <f t="shared" si="262"/>
        <v>3.3548237398111319E-3</v>
      </c>
      <c r="AG852" s="28">
        <f t="shared" si="262"/>
        <v>3.3507733755397998E-3</v>
      </c>
      <c r="AH852" s="28">
        <f t="shared" si="262"/>
        <v>3.3467230112684673E-3</v>
      </c>
      <c r="AI852" s="28">
        <f t="shared" si="262"/>
        <v>3.3426726469971361E-3</v>
      </c>
      <c r="AJ852" s="28">
        <f t="shared" si="262"/>
        <v>3.3386222827258044E-3</v>
      </c>
      <c r="AK852" s="28">
        <f t="shared" si="262"/>
        <v>3.3345719184544728E-3</v>
      </c>
      <c r="AL852" s="28">
        <f t="shared" si="262"/>
        <v>3.3305215541831416E-3</v>
      </c>
      <c r="AM852" s="28">
        <f t="shared" si="262"/>
        <v>3.3264711899118095E-3</v>
      </c>
      <c r="AN852" s="28">
        <f t="shared" si="262"/>
        <v>3.3224208256404765E-3</v>
      </c>
      <c r="AO852" s="28">
        <f t="shared" si="262"/>
        <v>3.3183704613691458E-3</v>
      </c>
      <c r="AP852" s="28">
        <f t="shared" si="262"/>
        <v>3.3143200970978137E-3</v>
      </c>
      <c r="AQ852" s="28">
        <f t="shared" si="262"/>
        <v>3.3102697328264833E-3</v>
      </c>
      <c r="AR852" s="28">
        <f t="shared" si="262"/>
        <v>3.3062193685551499E-3</v>
      </c>
      <c r="AS852" s="28">
        <f t="shared" si="262"/>
        <v>3.3021690042838187E-3</v>
      </c>
      <c r="AT852" s="28">
        <f t="shared" si="262"/>
        <v>3.2981186400124866E-3</v>
      </c>
      <c r="AU852" s="28">
        <f t="shared" si="262"/>
        <v>3.2940682757411541E-3</v>
      </c>
      <c r="AV852" s="28">
        <f t="shared" si="262"/>
        <v>3.2900179114698229E-3</v>
      </c>
      <c r="AW852" s="28">
        <f t="shared" si="262"/>
        <v>3.2859675471984908E-3</v>
      </c>
      <c r="AY852" s="85"/>
      <c r="AZ852" s="85"/>
    </row>
    <row r="853" spans="1:52" x14ac:dyDescent="0.25">
      <c r="A853" s="102" t="str">
        <f t="shared" si="224"/>
        <v>BD FSOM</v>
      </c>
      <c r="B853" s="102" t="s">
        <v>1229</v>
      </c>
      <c r="C853" s="102" t="s">
        <v>60</v>
      </c>
      <c r="D853" t="s">
        <v>369</v>
      </c>
      <c r="E853" t="s">
        <v>55</v>
      </c>
      <c r="F853" t="s">
        <v>60</v>
      </c>
      <c r="G853" t="s">
        <v>1273</v>
      </c>
      <c r="H853" t="s">
        <v>1274</v>
      </c>
      <c r="J853" t="s">
        <v>287</v>
      </c>
      <c r="K853" s="28">
        <f t="shared" ref="K853:AW853" si="263">K1501</f>
        <v>0.49020960547040615</v>
      </c>
      <c r="L853" s="28">
        <f t="shared" si="263"/>
        <v>0.49134551154341793</v>
      </c>
      <c r="M853" s="28">
        <f t="shared" si="263"/>
        <v>0.49248141761642988</v>
      </c>
      <c r="N853" s="28">
        <f t="shared" si="263"/>
        <v>0.49361732368944172</v>
      </c>
      <c r="O853" s="28">
        <f t="shared" si="263"/>
        <v>0.49475322976245356</v>
      </c>
      <c r="P853" s="28">
        <f t="shared" si="263"/>
        <v>0.49588913583546534</v>
      </c>
      <c r="Q853" s="28">
        <f t="shared" si="263"/>
        <v>0.49702504190847724</v>
      </c>
      <c r="R853" s="28">
        <f t="shared" si="263"/>
        <v>0.49816094798148913</v>
      </c>
      <c r="S853" s="28">
        <f t="shared" si="263"/>
        <v>0.49929685405450086</v>
      </c>
      <c r="T853" s="28">
        <f t="shared" si="263"/>
        <v>0.50043276012751292</v>
      </c>
      <c r="U853" s="28">
        <f t="shared" si="263"/>
        <v>0.50156866620052454</v>
      </c>
      <c r="V853" s="28">
        <f t="shared" si="263"/>
        <v>0.50270457227353649</v>
      </c>
      <c r="W853" s="28">
        <f t="shared" si="263"/>
        <v>0.50384047834654833</v>
      </c>
      <c r="X853" s="28">
        <f t="shared" si="263"/>
        <v>0.50497638441956039</v>
      </c>
      <c r="Y853" s="28">
        <f t="shared" si="263"/>
        <v>0.506112290492572</v>
      </c>
      <c r="Z853" s="28">
        <f t="shared" si="263"/>
        <v>0.50724819656558406</v>
      </c>
      <c r="AA853" s="28">
        <f t="shared" si="263"/>
        <v>0.50838410263859568</v>
      </c>
      <c r="AB853" s="28">
        <f t="shared" si="263"/>
        <v>0.50952000871160763</v>
      </c>
      <c r="AC853" s="28">
        <f t="shared" si="263"/>
        <v>0.51065591478461958</v>
      </c>
      <c r="AD853" s="28">
        <f t="shared" si="263"/>
        <v>0.51179182085763142</v>
      </c>
      <c r="AE853" s="28">
        <f t="shared" si="263"/>
        <v>0.51292772693064326</v>
      </c>
      <c r="AF853" s="28">
        <f t="shared" si="263"/>
        <v>0.5140636330036551</v>
      </c>
      <c r="AG853" s="28">
        <f t="shared" si="263"/>
        <v>0.51519953907666705</v>
      </c>
      <c r="AH853" s="28">
        <f t="shared" si="263"/>
        <v>0.51633544514967877</v>
      </c>
      <c r="AI853" s="28">
        <f t="shared" si="263"/>
        <v>0.51747135122269072</v>
      </c>
      <c r="AJ853" s="28">
        <f t="shared" si="263"/>
        <v>0.51860725729570256</v>
      </c>
      <c r="AK853" s="28">
        <f t="shared" si="263"/>
        <v>0.5197431633687144</v>
      </c>
      <c r="AL853" s="28">
        <f t="shared" si="263"/>
        <v>0.52087906944172624</v>
      </c>
      <c r="AM853" s="28">
        <f t="shared" si="263"/>
        <v>0.52201497551473808</v>
      </c>
      <c r="AN853" s="28">
        <f t="shared" si="263"/>
        <v>0.52315088158774992</v>
      </c>
      <c r="AO853" s="28">
        <f t="shared" si="263"/>
        <v>0.52428678766076187</v>
      </c>
      <c r="AP853" s="28">
        <f t="shared" si="263"/>
        <v>0.52542269373377359</v>
      </c>
      <c r="AQ853" s="28">
        <f t="shared" si="263"/>
        <v>0.52655859980678543</v>
      </c>
      <c r="AR853" s="28">
        <f t="shared" si="263"/>
        <v>0.52769450587979749</v>
      </c>
      <c r="AS853" s="28">
        <f t="shared" si="263"/>
        <v>0.52883041195280922</v>
      </c>
      <c r="AT853" s="28">
        <f t="shared" si="263"/>
        <v>0.52996631802582106</v>
      </c>
      <c r="AU853" s="28">
        <f t="shared" si="263"/>
        <v>0.53110222409883301</v>
      </c>
      <c r="AV853" s="28">
        <f t="shared" si="263"/>
        <v>0.53223813017184474</v>
      </c>
      <c r="AW853" s="28">
        <f t="shared" si="263"/>
        <v>0.5333740362448568</v>
      </c>
      <c r="AY853" s="85"/>
      <c r="AZ853" s="85"/>
    </row>
    <row r="854" spans="1:52" x14ac:dyDescent="0.25">
      <c r="A854" s="102" t="str">
        <f t="shared" si="224"/>
        <v>BD FSOM</v>
      </c>
      <c r="B854" s="102" t="s">
        <v>1229</v>
      </c>
      <c r="C854" s="102" t="s">
        <v>60</v>
      </c>
      <c r="D854" t="s">
        <v>369</v>
      </c>
      <c r="E854" t="s">
        <v>55</v>
      </c>
      <c r="F854" t="s">
        <v>60</v>
      </c>
      <c r="G854" t="s">
        <v>1275</v>
      </c>
      <c r="H854" t="s">
        <v>1276</v>
      </c>
      <c r="J854" t="s">
        <v>287</v>
      </c>
      <c r="K854" s="28">
        <f t="shared" ref="K854:AW854" si="264">K1502</f>
        <v>0.57597220909378744</v>
      </c>
      <c r="L854" s="28">
        <f t="shared" si="264"/>
        <v>0.57597220909378744</v>
      </c>
      <c r="M854" s="28">
        <f t="shared" si="264"/>
        <v>0.57597220909378744</v>
      </c>
      <c r="N854" s="28">
        <f t="shared" si="264"/>
        <v>0.57597220909378744</v>
      </c>
      <c r="O854" s="28">
        <f t="shared" si="264"/>
        <v>0.57597220909378744</v>
      </c>
      <c r="P854" s="28">
        <f t="shared" si="264"/>
        <v>0.57597220909378744</v>
      </c>
      <c r="Q854" s="28">
        <f t="shared" si="264"/>
        <v>0.57597220909378744</v>
      </c>
      <c r="R854" s="28">
        <f t="shared" si="264"/>
        <v>0.57597220909378744</v>
      </c>
      <c r="S854" s="28">
        <f t="shared" si="264"/>
        <v>0.57597220909378744</v>
      </c>
      <c r="T854" s="28">
        <f t="shared" si="264"/>
        <v>0.57597220909378744</v>
      </c>
      <c r="U854" s="28">
        <f t="shared" si="264"/>
        <v>0.57597220909378744</v>
      </c>
      <c r="V854" s="28">
        <f t="shared" si="264"/>
        <v>0.57597220909378744</v>
      </c>
      <c r="W854" s="28">
        <f t="shared" si="264"/>
        <v>0.57597220909378744</v>
      </c>
      <c r="X854" s="28">
        <f t="shared" si="264"/>
        <v>0.57597220909378744</v>
      </c>
      <c r="Y854" s="28">
        <f t="shared" si="264"/>
        <v>0.57597220909378744</v>
      </c>
      <c r="Z854" s="28">
        <f t="shared" si="264"/>
        <v>0.57597220909378744</v>
      </c>
      <c r="AA854" s="28">
        <f t="shared" si="264"/>
        <v>0.57597220909378744</v>
      </c>
      <c r="AB854" s="28">
        <f t="shared" si="264"/>
        <v>0.57597220909378744</v>
      </c>
      <c r="AC854" s="28">
        <f t="shared" si="264"/>
        <v>0.57597220909378744</v>
      </c>
      <c r="AD854" s="28">
        <f t="shared" si="264"/>
        <v>0.57597220909378744</v>
      </c>
      <c r="AE854" s="28">
        <f t="shared" si="264"/>
        <v>0.57597220909378744</v>
      </c>
      <c r="AF854" s="28">
        <f t="shared" si="264"/>
        <v>0.57597220909378744</v>
      </c>
      <c r="AG854" s="28">
        <f t="shared" si="264"/>
        <v>0.57597220909378744</v>
      </c>
      <c r="AH854" s="28">
        <f t="shared" si="264"/>
        <v>0.57597220909378744</v>
      </c>
      <c r="AI854" s="28">
        <f t="shared" si="264"/>
        <v>0.57597220909378744</v>
      </c>
      <c r="AJ854" s="28">
        <f t="shared" si="264"/>
        <v>0.57597220909378744</v>
      </c>
      <c r="AK854" s="28">
        <f t="shared" si="264"/>
        <v>0.57597220909378744</v>
      </c>
      <c r="AL854" s="28">
        <f t="shared" si="264"/>
        <v>0.57597220909378744</v>
      </c>
      <c r="AM854" s="28">
        <f t="shared" si="264"/>
        <v>0.57597220909378744</v>
      </c>
      <c r="AN854" s="28">
        <f t="shared" si="264"/>
        <v>0.57597220909378744</v>
      </c>
      <c r="AO854" s="28">
        <f t="shared" si="264"/>
        <v>0.57597220909378744</v>
      </c>
      <c r="AP854" s="28">
        <f t="shared" si="264"/>
        <v>0.57597220909378744</v>
      </c>
      <c r="AQ854" s="28">
        <f t="shared" si="264"/>
        <v>0.57597220909378744</v>
      </c>
      <c r="AR854" s="28">
        <f t="shared" si="264"/>
        <v>0.57597220909378744</v>
      </c>
      <c r="AS854" s="28">
        <f t="shared" si="264"/>
        <v>0.57597220909378744</v>
      </c>
      <c r="AT854" s="28">
        <f t="shared" si="264"/>
        <v>0.57597220909378744</v>
      </c>
      <c r="AU854" s="28">
        <f t="shared" si="264"/>
        <v>0.57597220909378744</v>
      </c>
      <c r="AV854" s="28">
        <f t="shared" si="264"/>
        <v>0.57597220909378744</v>
      </c>
      <c r="AW854" s="28">
        <f t="shared" si="264"/>
        <v>0.57597220909378744</v>
      </c>
      <c r="AY854" s="85"/>
      <c r="AZ854" s="85"/>
    </row>
    <row r="855" spans="1:52" x14ac:dyDescent="0.25">
      <c r="A855" s="102" t="str">
        <f t="shared" si="224"/>
        <v>BD FSOM</v>
      </c>
      <c r="B855" s="102" t="s">
        <v>1229</v>
      </c>
      <c r="C855" s="102" t="s">
        <v>60</v>
      </c>
      <c r="D855" t="s">
        <v>369</v>
      </c>
      <c r="E855" t="s">
        <v>55</v>
      </c>
      <c r="F855" t="s">
        <v>60</v>
      </c>
      <c r="G855" t="s">
        <v>1277</v>
      </c>
      <c r="H855" t="s">
        <v>1278</v>
      </c>
      <c r="J855" t="s">
        <v>287</v>
      </c>
      <c r="K855" s="28" t="str">
        <f t="shared" ref="K855:AW855" si="265">K1503</f>
        <v>NO</v>
      </c>
      <c r="L855" s="28" t="str">
        <f t="shared" si="265"/>
        <v>NO</v>
      </c>
      <c r="M855" s="28" t="str">
        <f t="shared" si="265"/>
        <v>NO</v>
      </c>
      <c r="N855" s="28" t="str">
        <f t="shared" si="265"/>
        <v>NO</v>
      </c>
      <c r="O855" s="28" t="str">
        <f t="shared" si="265"/>
        <v>NO</v>
      </c>
      <c r="P855" s="28" t="str">
        <f t="shared" si="265"/>
        <v>NO</v>
      </c>
      <c r="Q855" s="28" t="str">
        <f t="shared" si="265"/>
        <v>NO</v>
      </c>
      <c r="R855" s="28" t="str">
        <f t="shared" si="265"/>
        <v>NO</v>
      </c>
      <c r="S855" s="28" t="str">
        <f t="shared" si="265"/>
        <v>NO</v>
      </c>
      <c r="T855" s="28" t="str">
        <f t="shared" si="265"/>
        <v>NO</v>
      </c>
      <c r="U855" s="28" t="str">
        <f t="shared" si="265"/>
        <v>NO</v>
      </c>
      <c r="V855" s="28" t="str">
        <f t="shared" si="265"/>
        <v>NO</v>
      </c>
      <c r="W855" s="28" t="str">
        <f t="shared" si="265"/>
        <v>NO</v>
      </c>
      <c r="X855" s="28" t="str">
        <f t="shared" si="265"/>
        <v>NO</v>
      </c>
      <c r="Y855" s="28" t="str">
        <f t="shared" si="265"/>
        <v>NO</v>
      </c>
      <c r="Z855" s="28" t="str">
        <f t="shared" si="265"/>
        <v>NO</v>
      </c>
      <c r="AA855" s="28" t="str">
        <f t="shared" si="265"/>
        <v>NO</v>
      </c>
      <c r="AB855" s="28" t="str">
        <f t="shared" si="265"/>
        <v>NO</v>
      </c>
      <c r="AC855" s="28" t="str">
        <f t="shared" si="265"/>
        <v>NO</v>
      </c>
      <c r="AD855" s="28" t="str">
        <f t="shared" si="265"/>
        <v>NO</v>
      </c>
      <c r="AE855" s="28" t="str">
        <f t="shared" si="265"/>
        <v>NO</v>
      </c>
      <c r="AF855" s="28" t="str">
        <f t="shared" si="265"/>
        <v>NO</v>
      </c>
      <c r="AG855" s="28" t="str">
        <f t="shared" si="265"/>
        <v>NO</v>
      </c>
      <c r="AH855" s="28" t="str">
        <f t="shared" si="265"/>
        <v>NO</v>
      </c>
      <c r="AI855" s="28" t="str">
        <f t="shared" si="265"/>
        <v>NO</v>
      </c>
      <c r="AJ855" s="28" t="str">
        <f t="shared" si="265"/>
        <v>NO</v>
      </c>
      <c r="AK855" s="28" t="str">
        <f t="shared" si="265"/>
        <v>NO</v>
      </c>
      <c r="AL855" s="28" t="str">
        <f t="shared" si="265"/>
        <v>NO</v>
      </c>
      <c r="AM855" s="28" t="str">
        <f t="shared" si="265"/>
        <v>NO</v>
      </c>
      <c r="AN855" s="28" t="str">
        <f t="shared" si="265"/>
        <v>NO</v>
      </c>
      <c r="AO855" s="28" t="str">
        <f t="shared" si="265"/>
        <v>NO</v>
      </c>
      <c r="AP855" s="28" t="str">
        <f t="shared" si="265"/>
        <v>NO</v>
      </c>
      <c r="AQ855" s="28" t="str">
        <f t="shared" si="265"/>
        <v>NO</v>
      </c>
      <c r="AR855" s="28" t="str">
        <f t="shared" si="265"/>
        <v>NO</v>
      </c>
      <c r="AS855" s="28" t="str">
        <f t="shared" si="265"/>
        <v>NO</v>
      </c>
      <c r="AT855" s="28" t="str">
        <f t="shared" si="265"/>
        <v>NO</v>
      </c>
      <c r="AU855" s="28" t="str">
        <f t="shared" si="265"/>
        <v>NO</v>
      </c>
      <c r="AV855" s="28" t="str">
        <f t="shared" si="265"/>
        <v>NO</v>
      </c>
      <c r="AW855" s="28" t="str">
        <f t="shared" si="265"/>
        <v>NO</v>
      </c>
      <c r="AY855" s="85"/>
      <c r="AZ855" s="85"/>
    </row>
    <row r="856" spans="1:52" x14ac:dyDescent="0.25">
      <c r="A856" s="102" t="str">
        <f t="shared" si="224"/>
        <v>BD FSOM</v>
      </c>
      <c r="B856" s="102" t="s">
        <v>1229</v>
      </c>
      <c r="C856" s="102" t="s">
        <v>60</v>
      </c>
      <c r="D856" t="s">
        <v>369</v>
      </c>
      <c r="E856" t="s">
        <v>55</v>
      </c>
      <c r="F856" t="s">
        <v>60</v>
      </c>
      <c r="G856" t="s">
        <v>1279</v>
      </c>
      <c r="H856" t="s">
        <v>1280</v>
      </c>
      <c r="J856" t="s">
        <v>287</v>
      </c>
      <c r="K856" s="28" t="str">
        <f t="shared" ref="K856:AW856" si="266">K1504</f>
        <v>NO</v>
      </c>
      <c r="L856" s="28" t="str">
        <f t="shared" si="266"/>
        <v>NO</v>
      </c>
      <c r="M856" s="28" t="str">
        <f t="shared" si="266"/>
        <v>NO</v>
      </c>
      <c r="N856" s="28" t="str">
        <f t="shared" si="266"/>
        <v>NO</v>
      </c>
      <c r="O856" s="28" t="str">
        <f t="shared" si="266"/>
        <v>NO</v>
      </c>
      <c r="P856" s="28" t="str">
        <f t="shared" si="266"/>
        <v>NO</v>
      </c>
      <c r="Q856" s="28" t="str">
        <f t="shared" si="266"/>
        <v>NO</v>
      </c>
      <c r="R856" s="28" t="str">
        <f t="shared" si="266"/>
        <v>NO</v>
      </c>
      <c r="S856" s="28" t="str">
        <f t="shared" si="266"/>
        <v>NO</v>
      </c>
      <c r="T856" s="28" t="str">
        <f t="shared" si="266"/>
        <v>NO</v>
      </c>
      <c r="U856" s="28" t="str">
        <f t="shared" si="266"/>
        <v>NO</v>
      </c>
      <c r="V856" s="28" t="str">
        <f t="shared" si="266"/>
        <v>NO</v>
      </c>
      <c r="W856" s="28" t="str">
        <f t="shared" si="266"/>
        <v>NO</v>
      </c>
      <c r="X856" s="28" t="str">
        <f t="shared" si="266"/>
        <v>NO</v>
      </c>
      <c r="Y856" s="28" t="str">
        <f t="shared" si="266"/>
        <v>NO</v>
      </c>
      <c r="Z856" s="28" t="str">
        <f t="shared" si="266"/>
        <v>NO</v>
      </c>
      <c r="AA856" s="28" t="str">
        <f t="shared" si="266"/>
        <v>NO</v>
      </c>
      <c r="AB856" s="28" t="str">
        <f t="shared" si="266"/>
        <v>NO</v>
      </c>
      <c r="AC856" s="28" t="str">
        <f t="shared" si="266"/>
        <v>NO</v>
      </c>
      <c r="AD856" s="28" t="str">
        <f t="shared" si="266"/>
        <v>NO</v>
      </c>
      <c r="AE856" s="28" t="str">
        <f t="shared" si="266"/>
        <v>NO</v>
      </c>
      <c r="AF856" s="28" t="str">
        <f t="shared" si="266"/>
        <v>NO</v>
      </c>
      <c r="AG856" s="28" t="str">
        <f t="shared" si="266"/>
        <v>NO</v>
      </c>
      <c r="AH856" s="28" t="str">
        <f t="shared" si="266"/>
        <v>NO</v>
      </c>
      <c r="AI856" s="28" t="str">
        <f t="shared" si="266"/>
        <v>NO</v>
      </c>
      <c r="AJ856" s="28" t="str">
        <f t="shared" si="266"/>
        <v>NO</v>
      </c>
      <c r="AK856" s="28" t="str">
        <f t="shared" si="266"/>
        <v>NO</v>
      </c>
      <c r="AL856" s="28" t="str">
        <f t="shared" si="266"/>
        <v>NO</v>
      </c>
      <c r="AM856" s="28" t="str">
        <f t="shared" si="266"/>
        <v>NO</v>
      </c>
      <c r="AN856" s="28" t="str">
        <f t="shared" si="266"/>
        <v>NO</v>
      </c>
      <c r="AO856" s="28" t="str">
        <f t="shared" si="266"/>
        <v>NO</v>
      </c>
      <c r="AP856" s="28" t="str">
        <f t="shared" si="266"/>
        <v>NO</v>
      </c>
      <c r="AQ856" s="28" t="str">
        <f t="shared" si="266"/>
        <v>NO</v>
      </c>
      <c r="AR856" s="28" t="str">
        <f t="shared" si="266"/>
        <v>NO</v>
      </c>
      <c r="AS856" s="28" t="str">
        <f t="shared" si="266"/>
        <v>NO</v>
      </c>
      <c r="AT856" s="28" t="str">
        <f t="shared" si="266"/>
        <v>NO</v>
      </c>
      <c r="AU856" s="28" t="str">
        <f t="shared" si="266"/>
        <v>NO</v>
      </c>
      <c r="AV856" s="28" t="str">
        <f t="shared" si="266"/>
        <v>NO</v>
      </c>
      <c r="AW856" s="28" t="str">
        <f t="shared" si="266"/>
        <v>NO</v>
      </c>
      <c r="AY856" s="85"/>
      <c r="AZ856" s="85"/>
    </row>
    <row r="857" spans="1:52" x14ac:dyDescent="0.25">
      <c r="A857" s="102" t="str">
        <f t="shared" si="224"/>
        <v>BD FSOM</v>
      </c>
      <c r="B857" s="102" t="s">
        <v>1229</v>
      </c>
      <c r="C857" s="102" t="s">
        <v>60</v>
      </c>
      <c r="D857" t="s">
        <v>369</v>
      </c>
      <c r="E857" t="s">
        <v>55</v>
      </c>
      <c r="F857" t="s">
        <v>60</v>
      </c>
      <c r="G857" t="s">
        <v>1281</v>
      </c>
      <c r="H857" t="s">
        <v>1282</v>
      </c>
      <c r="J857" t="s">
        <v>287</v>
      </c>
      <c r="K857" s="28" t="str">
        <f t="shared" ref="K857:AW857" si="267">K1505</f>
        <v>NO</v>
      </c>
      <c r="L857" s="28" t="str">
        <f t="shared" si="267"/>
        <v>NO</v>
      </c>
      <c r="M857" s="28" t="str">
        <f t="shared" si="267"/>
        <v>NO</v>
      </c>
      <c r="N857" s="28" t="str">
        <f t="shared" si="267"/>
        <v>NO</v>
      </c>
      <c r="O857" s="28" t="str">
        <f t="shared" si="267"/>
        <v>NO</v>
      </c>
      <c r="P857" s="28" t="str">
        <f t="shared" si="267"/>
        <v>NO</v>
      </c>
      <c r="Q857" s="28" t="str">
        <f t="shared" si="267"/>
        <v>NO</v>
      </c>
      <c r="R857" s="28" t="str">
        <f t="shared" si="267"/>
        <v>NO</v>
      </c>
      <c r="S857" s="28" t="str">
        <f t="shared" si="267"/>
        <v>NO</v>
      </c>
      <c r="T857" s="28" t="str">
        <f t="shared" si="267"/>
        <v>NO</v>
      </c>
      <c r="U857" s="28" t="str">
        <f t="shared" si="267"/>
        <v>NO</v>
      </c>
      <c r="V857" s="28" t="str">
        <f t="shared" si="267"/>
        <v>NO</v>
      </c>
      <c r="W857" s="28" t="str">
        <f t="shared" si="267"/>
        <v>NO</v>
      </c>
      <c r="X857" s="28" t="str">
        <f t="shared" si="267"/>
        <v>NO</v>
      </c>
      <c r="Y857" s="28" t="str">
        <f t="shared" si="267"/>
        <v>NO</v>
      </c>
      <c r="Z857" s="28" t="str">
        <f t="shared" si="267"/>
        <v>NO</v>
      </c>
      <c r="AA857" s="28" t="str">
        <f t="shared" si="267"/>
        <v>NO</v>
      </c>
      <c r="AB857" s="28" t="str">
        <f t="shared" si="267"/>
        <v>NO</v>
      </c>
      <c r="AC857" s="28" t="str">
        <f t="shared" si="267"/>
        <v>NO</v>
      </c>
      <c r="AD857" s="28" t="str">
        <f t="shared" si="267"/>
        <v>NO</v>
      </c>
      <c r="AE857" s="28" t="str">
        <f t="shared" si="267"/>
        <v>NO</v>
      </c>
      <c r="AF857" s="28" t="str">
        <f t="shared" si="267"/>
        <v>NO</v>
      </c>
      <c r="AG857" s="28" t="str">
        <f t="shared" si="267"/>
        <v>NO</v>
      </c>
      <c r="AH857" s="28" t="str">
        <f t="shared" si="267"/>
        <v>NO</v>
      </c>
      <c r="AI857" s="28" t="str">
        <f t="shared" si="267"/>
        <v>NO</v>
      </c>
      <c r="AJ857" s="28" t="str">
        <f t="shared" si="267"/>
        <v>NO</v>
      </c>
      <c r="AK857" s="28" t="str">
        <f t="shared" si="267"/>
        <v>NO</v>
      </c>
      <c r="AL857" s="28" t="str">
        <f t="shared" si="267"/>
        <v>NO</v>
      </c>
      <c r="AM857" s="28" t="str">
        <f t="shared" si="267"/>
        <v>NO</v>
      </c>
      <c r="AN857" s="28" t="str">
        <f t="shared" si="267"/>
        <v>NO</v>
      </c>
      <c r="AO857" s="28" t="str">
        <f t="shared" si="267"/>
        <v>NO</v>
      </c>
      <c r="AP857" s="28" t="str">
        <f t="shared" si="267"/>
        <v>NO</v>
      </c>
      <c r="AQ857" s="28" t="str">
        <f t="shared" si="267"/>
        <v>NO</v>
      </c>
      <c r="AR857" s="28" t="str">
        <f t="shared" si="267"/>
        <v>NO</v>
      </c>
      <c r="AS857" s="28" t="str">
        <f t="shared" si="267"/>
        <v>NO</v>
      </c>
      <c r="AT857" s="28" t="str">
        <f t="shared" si="267"/>
        <v>NO</v>
      </c>
      <c r="AU857" s="28" t="str">
        <f t="shared" si="267"/>
        <v>NO</v>
      </c>
      <c r="AV857" s="28" t="str">
        <f t="shared" si="267"/>
        <v>NO</v>
      </c>
      <c r="AW857" s="28" t="str">
        <f t="shared" si="267"/>
        <v>NO</v>
      </c>
      <c r="AY857" s="85"/>
      <c r="AZ857" s="85"/>
    </row>
    <row r="858" spans="1:52" x14ac:dyDescent="0.25">
      <c r="A858" s="102" t="str">
        <f t="shared" si="224"/>
        <v>BD FSOM</v>
      </c>
      <c r="B858" s="102" t="s">
        <v>1229</v>
      </c>
      <c r="C858" s="102" t="s">
        <v>60</v>
      </c>
      <c r="D858" t="s">
        <v>369</v>
      </c>
      <c r="E858" t="s">
        <v>55</v>
      </c>
      <c r="F858" t="s">
        <v>60</v>
      </c>
      <c r="G858" t="s">
        <v>1283</v>
      </c>
      <c r="H858" t="s">
        <v>1284</v>
      </c>
      <c r="J858" t="s">
        <v>287</v>
      </c>
      <c r="K858" s="28">
        <f t="shared" ref="K858:AW858" si="268">K1506</f>
        <v>5.604018730639919E-5</v>
      </c>
      <c r="L858" s="28">
        <f t="shared" si="268"/>
        <v>5.604018730639919E-5</v>
      </c>
      <c r="M858" s="28">
        <f t="shared" si="268"/>
        <v>5.604018730639919E-5</v>
      </c>
      <c r="N858" s="28">
        <f t="shared" si="268"/>
        <v>5.604018730639919E-5</v>
      </c>
      <c r="O858" s="28">
        <f t="shared" si="268"/>
        <v>5.604018730639919E-5</v>
      </c>
      <c r="P858" s="28">
        <f t="shared" si="268"/>
        <v>5.604018730639919E-5</v>
      </c>
      <c r="Q858" s="28">
        <f t="shared" si="268"/>
        <v>5.604018730639919E-5</v>
      </c>
      <c r="R858" s="28">
        <f t="shared" si="268"/>
        <v>5.604018730639919E-5</v>
      </c>
      <c r="S858" s="28">
        <f t="shared" si="268"/>
        <v>5.604018730639919E-5</v>
      </c>
      <c r="T858" s="28">
        <f t="shared" si="268"/>
        <v>5.604018730639919E-5</v>
      </c>
      <c r="U858" s="28">
        <f t="shared" si="268"/>
        <v>5.604018730639919E-5</v>
      </c>
      <c r="V858" s="28">
        <f t="shared" si="268"/>
        <v>5.604018730639919E-5</v>
      </c>
      <c r="W858" s="28">
        <f t="shared" si="268"/>
        <v>5.604018730639919E-5</v>
      </c>
      <c r="X858" s="28">
        <f t="shared" si="268"/>
        <v>5.604018730639919E-5</v>
      </c>
      <c r="Y858" s="28">
        <f t="shared" si="268"/>
        <v>5.604018730639919E-5</v>
      </c>
      <c r="Z858" s="28">
        <f t="shared" si="268"/>
        <v>5.604018730639919E-5</v>
      </c>
      <c r="AA858" s="28">
        <f t="shared" si="268"/>
        <v>5.604018730639919E-5</v>
      </c>
      <c r="AB858" s="28">
        <f t="shared" si="268"/>
        <v>5.604018730639919E-5</v>
      </c>
      <c r="AC858" s="28">
        <f t="shared" si="268"/>
        <v>5.604018730639919E-5</v>
      </c>
      <c r="AD858" s="28">
        <f t="shared" si="268"/>
        <v>5.604018730639919E-5</v>
      </c>
      <c r="AE858" s="28">
        <f t="shared" si="268"/>
        <v>5.604018730639919E-5</v>
      </c>
      <c r="AF858" s="28">
        <f t="shared" si="268"/>
        <v>5.604018730639919E-5</v>
      </c>
      <c r="AG858" s="28">
        <f t="shared" si="268"/>
        <v>5.604018730639919E-5</v>
      </c>
      <c r="AH858" s="28">
        <f t="shared" si="268"/>
        <v>5.604018730639919E-5</v>
      </c>
      <c r="AI858" s="28">
        <f t="shared" si="268"/>
        <v>5.604018730639919E-5</v>
      </c>
      <c r="AJ858" s="28">
        <f t="shared" si="268"/>
        <v>5.604018730639919E-5</v>
      </c>
      <c r="AK858" s="28">
        <f t="shared" si="268"/>
        <v>5.604018730639919E-5</v>
      </c>
      <c r="AL858" s="28">
        <f t="shared" si="268"/>
        <v>5.604018730639919E-5</v>
      </c>
      <c r="AM858" s="28">
        <f t="shared" si="268"/>
        <v>5.604018730639919E-5</v>
      </c>
      <c r="AN858" s="28">
        <f t="shared" si="268"/>
        <v>5.604018730639919E-5</v>
      </c>
      <c r="AO858" s="28">
        <f t="shared" si="268"/>
        <v>5.604018730639919E-5</v>
      </c>
      <c r="AP858" s="28">
        <f t="shared" si="268"/>
        <v>5.604018730639919E-5</v>
      </c>
      <c r="AQ858" s="28">
        <f t="shared" si="268"/>
        <v>5.604018730639919E-5</v>
      </c>
      <c r="AR858" s="28">
        <f t="shared" si="268"/>
        <v>5.604018730639919E-5</v>
      </c>
      <c r="AS858" s="28">
        <f t="shared" si="268"/>
        <v>5.604018730639919E-5</v>
      </c>
      <c r="AT858" s="28">
        <f t="shared" si="268"/>
        <v>5.604018730639919E-5</v>
      </c>
      <c r="AU858" s="28">
        <f t="shared" si="268"/>
        <v>5.604018730639919E-5</v>
      </c>
      <c r="AV858" s="28">
        <f t="shared" si="268"/>
        <v>5.604018730639919E-5</v>
      </c>
      <c r="AW858" s="28">
        <f t="shared" si="268"/>
        <v>5.604018730639919E-5</v>
      </c>
      <c r="AY858" s="85"/>
      <c r="AZ858" s="85"/>
    </row>
    <row r="859" spans="1:52" x14ac:dyDescent="0.25">
      <c r="A859" s="102" t="str">
        <f t="shared" si="224"/>
        <v>BD FSOM</v>
      </c>
      <c r="B859" s="102" t="s">
        <v>1229</v>
      </c>
      <c r="C859" s="102" t="s">
        <v>60</v>
      </c>
      <c r="D859" t="s">
        <v>369</v>
      </c>
      <c r="E859" t="s">
        <v>55</v>
      </c>
      <c r="F859" t="s">
        <v>60</v>
      </c>
      <c r="G859" t="s">
        <v>1285</v>
      </c>
      <c r="H859" t="s">
        <v>1286</v>
      </c>
      <c r="J859" t="s">
        <v>287</v>
      </c>
      <c r="K859" s="28">
        <f t="shared" ref="K859:AW859" si="269">K1507</f>
        <v>6.110857899094551E-2</v>
      </c>
      <c r="L859" s="28">
        <f t="shared" si="269"/>
        <v>6.110857899094551E-2</v>
      </c>
      <c r="M859" s="28">
        <f t="shared" si="269"/>
        <v>6.110857899094551E-2</v>
      </c>
      <c r="N859" s="28">
        <f t="shared" si="269"/>
        <v>6.110857899094551E-2</v>
      </c>
      <c r="O859" s="28">
        <f t="shared" si="269"/>
        <v>6.110857899094551E-2</v>
      </c>
      <c r="P859" s="28">
        <f t="shared" si="269"/>
        <v>6.110857899094551E-2</v>
      </c>
      <c r="Q859" s="28">
        <f t="shared" si="269"/>
        <v>6.110857899094551E-2</v>
      </c>
      <c r="R859" s="28">
        <f t="shared" si="269"/>
        <v>6.110857899094551E-2</v>
      </c>
      <c r="S859" s="28">
        <f t="shared" si="269"/>
        <v>6.110857899094551E-2</v>
      </c>
      <c r="T859" s="28">
        <f t="shared" si="269"/>
        <v>6.110857899094551E-2</v>
      </c>
      <c r="U859" s="28">
        <f t="shared" si="269"/>
        <v>6.110857899094551E-2</v>
      </c>
      <c r="V859" s="28">
        <f t="shared" si="269"/>
        <v>6.110857899094551E-2</v>
      </c>
      <c r="W859" s="28">
        <f t="shared" si="269"/>
        <v>6.110857899094551E-2</v>
      </c>
      <c r="X859" s="28">
        <f t="shared" si="269"/>
        <v>6.110857899094551E-2</v>
      </c>
      <c r="Y859" s="28">
        <f t="shared" si="269"/>
        <v>6.110857899094551E-2</v>
      </c>
      <c r="Z859" s="28">
        <f t="shared" si="269"/>
        <v>6.110857899094551E-2</v>
      </c>
      <c r="AA859" s="28">
        <f t="shared" si="269"/>
        <v>6.110857899094551E-2</v>
      </c>
      <c r="AB859" s="28">
        <f t="shared" si="269"/>
        <v>6.110857899094551E-2</v>
      </c>
      <c r="AC859" s="28">
        <f t="shared" si="269"/>
        <v>6.110857899094551E-2</v>
      </c>
      <c r="AD859" s="28">
        <f t="shared" si="269"/>
        <v>6.110857899094551E-2</v>
      </c>
      <c r="AE859" s="28">
        <f t="shared" si="269"/>
        <v>6.110857899094551E-2</v>
      </c>
      <c r="AF859" s="28">
        <f t="shared" si="269"/>
        <v>6.110857899094551E-2</v>
      </c>
      <c r="AG859" s="28">
        <f t="shared" si="269"/>
        <v>6.110857899094551E-2</v>
      </c>
      <c r="AH859" s="28">
        <f t="shared" si="269"/>
        <v>6.110857899094551E-2</v>
      </c>
      <c r="AI859" s="28">
        <f t="shared" si="269"/>
        <v>6.110857899094551E-2</v>
      </c>
      <c r="AJ859" s="28">
        <f t="shared" si="269"/>
        <v>6.110857899094551E-2</v>
      </c>
      <c r="AK859" s="28">
        <f t="shared" si="269"/>
        <v>6.110857899094551E-2</v>
      </c>
      <c r="AL859" s="28">
        <f t="shared" si="269"/>
        <v>6.110857899094551E-2</v>
      </c>
      <c r="AM859" s="28">
        <f t="shared" si="269"/>
        <v>6.110857899094551E-2</v>
      </c>
      <c r="AN859" s="28">
        <f t="shared" si="269"/>
        <v>6.110857899094551E-2</v>
      </c>
      <c r="AO859" s="28">
        <f t="shared" si="269"/>
        <v>6.110857899094551E-2</v>
      </c>
      <c r="AP859" s="28">
        <f t="shared" si="269"/>
        <v>6.110857899094551E-2</v>
      </c>
      <c r="AQ859" s="28">
        <f t="shared" si="269"/>
        <v>6.110857899094551E-2</v>
      </c>
      <c r="AR859" s="28">
        <f t="shared" si="269"/>
        <v>6.110857899094551E-2</v>
      </c>
      <c r="AS859" s="28">
        <f t="shared" si="269"/>
        <v>6.110857899094551E-2</v>
      </c>
      <c r="AT859" s="28">
        <f t="shared" si="269"/>
        <v>6.110857899094551E-2</v>
      </c>
      <c r="AU859" s="28">
        <f t="shared" si="269"/>
        <v>6.110857899094551E-2</v>
      </c>
      <c r="AV859" s="28">
        <f t="shared" si="269"/>
        <v>6.110857899094551E-2</v>
      </c>
      <c r="AW859" s="28">
        <f t="shared" si="269"/>
        <v>6.110857899094551E-2</v>
      </c>
      <c r="AY859" s="85"/>
      <c r="AZ859" s="85"/>
    </row>
    <row r="860" spans="1:52" x14ac:dyDescent="0.25">
      <c r="A860" s="102" t="str">
        <f t="shared" ref="A860:A914" si="270">B860&amp;" "&amp;C860</f>
        <v>BD FSOM</v>
      </c>
      <c r="B860" s="102" t="s">
        <v>1229</v>
      </c>
      <c r="C860" s="102" t="s">
        <v>60</v>
      </c>
      <c r="D860" t="s">
        <v>369</v>
      </c>
      <c r="E860" t="s">
        <v>55</v>
      </c>
      <c r="F860" t="s">
        <v>60</v>
      </c>
      <c r="G860" t="s">
        <v>1287</v>
      </c>
      <c r="H860" t="s">
        <v>1288</v>
      </c>
      <c r="J860" t="s">
        <v>287</v>
      </c>
      <c r="K860" s="28" t="str">
        <f t="shared" ref="K860:AW860" si="271">K1508</f>
        <v>NO</v>
      </c>
      <c r="L860" s="28" t="str">
        <f t="shared" si="271"/>
        <v>NO</v>
      </c>
      <c r="M860" s="28" t="str">
        <f t="shared" si="271"/>
        <v>NO</v>
      </c>
      <c r="N860" s="28" t="str">
        <f t="shared" si="271"/>
        <v>NO</v>
      </c>
      <c r="O860" s="28" t="str">
        <f t="shared" si="271"/>
        <v>NO</v>
      </c>
      <c r="P860" s="28" t="str">
        <f t="shared" si="271"/>
        <v>NO</v>
      </c>
      <c r="Q860" s="28" t="str">
        <f t="shared" si="271"/>
        <v>NO</v>
      </c>
      <c r="R860" s="28" t="str">
        <f t="shared" si="271"/>
        <v>NO</v>
      </c>
      <c r="S860" s="28" t="str">
        <f t="shared" si="271"/>
        <v>NO</v>
      </c>
      <c r="T860" s="28" t="str">
        <f t="shared" si="271"/>
        <v>NO</v>
      </c>
      <c r="U860" s="28" t="str">
        <f t="shared" si="271"/>
        <v>NO</v>
      </c>
      <c r="V860" s="28" t="str">
        <f t="shared" si="271"/>
        <v>NO</v>
      </c>
      <c r="W860" s="28" t="str">
        <f t="shared" si="271"/>
        <v>NO</v>
      </c>
      <c r="X860" s="28" t="str">
        <f t="shared" si="271"/>
        <v>NO</v>
      </c>
      <c r="Y860" s="28" t="str">
        <f t="shared" si="271"/>
        <v>NO</v>
      </c>
      <c r="Z860" s="28" t="str">
        <f t="shared" si="271"/>
        <v>NO</v>
      </c>
      <c r="AA860" s="28" t="str">
        <f t="shared" si="271"/>
        <v>NO</v>
      </c>
      <c r="AB860" s="28" t="str">
        <f t="shared" si="271"/>
        <v>NO</v>
      </c>
      <c r="AC860" s="28" t="str">
        <f t="shared" si="271"/>
        <v>NO</v>
      </c>
      <c r="AD860" s="28" t="str">
        <f t="shared" si="271"/>
        <v>NO</v>
      </c>
      <c r="AE860" s="28" t="str">
        <f t="shared" si="271"/>
        <v>NO</v>
      </c>
      <c r="AF860" s="28" t="str">
        <f t="shared" si="271"/>
        <v>NO</v>
      </c>
      <c r="AG860" s="28" t="str">
        <f t="shared" si="271"/>
        <v>NO</v>
      </c>
      <c r="AH860" s="28" t="str">
        <f t="shared" si="271"/>
        <v>NO</v>
      </c>
      <c r="AI860" s="28" t="str">
        <f t="shared" si="271"/>
        <v>NO</v>
      </c>
      <c r="AJ860" s="28" t="str">
        <f t="shared" si="271"/>
        <v>NO</v>
      </c>
      <c r="AK860" s="28" t="str">
        <f t="shared" si="271"/>
        <v>NO</v>
      </c>
      <c r="AL860" s="28" t="str">
        <f t="shared" si="271"/>
        <v>NO</v>
      </c>
      <c r="AM860" s="28" t="str">
        <f t="shared" si="271"/>
        <v>NO</v>
      </c>
      <c r="AN860" s="28" t="str">
        <f t="shared" si="271"/>
        <v>NO</v>
      </c>
      <c r="AO860" s="28" t="str">
        <f t="shared" si="271"/>
        <v>NO</v>
      </c>
      <c r="AP860" s="28" t="str">
        <f t="shared" si="271"/>
        <v>NO</v>
      </c>
      <c r="AQ860" s="28" t="str">
        <f t="shared" si="271"/>
        <v>NO</v>
      </c>
      <c r="AR860" s="28" t="str">
        <f t="shared" si="271"/>
        <v>NO</v>
      </c>
      <c r="AS860" s="28" t="str">
        <f t="shared" si="271"/>
        <v>NO</v>
      </c>
      <c r="AT860" s="28" t="str">
        <f t="shared" si="271"/>
        <v>NO</v>
      </c>
      <c r="AU860" s="28" t="str">
        <f t="shared" si="271"/>
        <v>NO</v>
      </c>
      <c r="AV860" s="28" t="str">
        <f t="shared" si="271"/>
        <v>NO</v>
      </c>
      <c r="AW860" s="28" t="str">
        <f t="shared" si="271"/>
        <v>NO</v>
      </c>
      <c r="AY860" s="85"/>
      <c r="AZ860" s="85"/>
    </row>
    <row r="861" spans="1:52" x14ac:dyDescent="0.25">
      <c r="A861" s="102" t="str">
        <f t="shared" si="270"/>
        <v>BD FSOM</v>
      </c>
      <c r="B861" s="102" t="s">
        <v>1229</v>
      </c>
      <c r="C861" s="102" t="s">
        <v>60</v>
      </c>
      <c r="D861" t="s">
        <v>369</v>
      </c>
      <c r="E861" t="s">
        <v>55</v>
      </c>
      <c r="F861" t="s">
        <v>60</v>
      </c>
      <c r="G861" t="s">
        <v>1289</v>
      </c>
      <c r="H861" t="s">
        <v>1290</v>
      </c>
      <c r="J861" t="s">
        <v>287</v>
      </c>
      <c r="K861" s="28">
        <f t="shared" ref="K861:AW861" si="272">K1509</f>
        <v>3.1961717215001131</v>
      </c>
      <c r="L861" s="28">
        <f t="shared" si="272"/>
        <v>3.1961717215001131</v>
      </c>
      <c r="M861" s="28">
        <f t="shared" si="272"/>
        <v>3.1961717215001131</v>
      </c>
      <c r="N861" s="28">
        <f t="shared" si="272"/>
        <v>3.1961717215001131</v>
      </c>
      <c r="O861" s="28">
        <f t="shared" si="272"/>
        <v>3.1961717215001131</v>
      </c>
      <c r="P861" s="28">
        <f t="shared" si="272"/>
        <v>3.1961717215001131</v>
      </c>
      <c r="Q861" s="28">
        <f t="shared" si="272"/>
        <v>3.1961717215001131</v>
      </c>
      <c r="R861" s="28">
        <f t="shared" si="272"/>
        <v>3.1961717215001131</v>
      </c>
      <c r="S861" s="28">
        <f t="shared" si="272"/>
        <v>3.1961717215001131</v>
      </c>
      <c r="T861" s="28">
        <f t="shared" si="272"/>
        <v>3.1961717215001131</v>
      </c>
      <c r="U861" s="28">
        <f t="shared" si="272"/>
        <v>3.1961717215001131</v>
      </c>
      <c r="V861" s="28">
        <f t="shared" si="272"/>
        <v>3.1961717215001131</v>
      </c>
      <c r="W861" s="28">
        <f t="shared" si="272"/>
        <v>3.1961717215001131</v>
      </c>
      <c r="X861" s="28">
        <f t="shared" si="272"/>
        <v>3.1961717215001131</v>
      </c>
      <c r="Y861" s="28">
        <f t="shared" si="272"/>
        <v>3.1961717215001131</v>
      </c>
      <c r="Z861" s="28">
        <f t="shared" si="272"/>
        <v>3.1961717215001131</v>
      </c>
      <c r="AA861" s="28">
        <f t="shared" si="272"/>
        <v>3.1961717215001131</v>
      </c>
      <c r="AB861" s="28">
        <f t="shared" si="272"/>
        <v>3.1961717215001131</v>
      </c>
      <c r="AC861" s="28">
        <f t="shared" si="272"/>
        <v>3.1961717215001131</v>
      </c>
      <c r="AD861" s="28">
        <f t="shared" si="272"/>
        <v>3.1961717215001131</v>
      </c>
      <c r="AE861" s="28">
        <f t="shared" si="272"/>
        <v>3.1961717215001131</v>
      </c>
      <c r="AF861" s="28">
        <f t="shared" si="272"/>
        <v>3.1961717215001131</v>
      </c>
      <c r="AG861" s="28">
        <f t="shared" si="272"/>
        <v>3.1961717215001131</v>
      </c>
      <c r="AH861" s="28">
        <f t="shared" si="272"/>
        <v>3.1961717215001131</v>
      </c>
      <c r="AI861" s="28">
        <f t="shared" si="272"/>
        <v>3.1961717215001131</v>
      </c>
      <c r="AJ861" s="28">
        <f t="shared" si="272"/>
        <v>3.1961717215001131</v>
      </c>
      <c r="AK861" s="28">
        <f t="shared" si="272"/>
        <v>3.1961717215001131</v>
      </c>
      <c r="AL861" s="28">
        <f t="shared" si="272"/>
        <v>3.1961717215001131</v>
      </c>
      <c r="AM861" s="28">
        <f t="shared" si="272"/>
        <v>3.1961717215001131</v>
      </c>
      <c r="AN861" s="28">
        <f t="shared" si="272"/>
        <v>3.1961717215001131</v>
      </c>
      <c r="AO861" s="28">
        <f t="shared" si="272"/>
        <v>3.1961717215001131</v>
      </c>
      <c r="AP861" s="28">
        <f t="shared" si="272"/>
        <v>3.1961717215001131</v>
      </c>
      <c r="AQ861" s="28">
        <f t="shared" si="272"/>
        <v>3.1961717215001131</v>
      </c>
      <c r="AR861" s="28">
        <f t="shared" si="272"/>
        <v>3.1961717215001131</v>
      </c>
      <c r="AS861" s="28">
        <f t="shared" si="272"/>
        <v>3.1961717215001131</v>
      </c>
      <c r="AT861" s="28">
        <f t="shared" si="272"/>
        <v>3.1961717215001131</v>
      </c>
      <c r="AU861" s="28">
        <f t="shared" si="272"/>
        <v>3.1961717215001131</v>
      </c>
      <c r="AV861" s="28">
        <f t="shared" si="272"/>
        <v>3.1961717215001131</v>
      </c>
      <c r="AW861" s="28">
        <f t="shared" si="272"/>
        <v>3.1961717215001131</v>
      </c>
      <c r="AY861" s="85"/>
      <c r="AZ861" s="85"/>
    </row>
    <row r="862" spans="1:52" x14ac:dyDescent="0.25">
      <c r="A862" s="102" t="str">
        <f t="shared" si="270"/>
        <v>BD Volatilisation</v>
      </c>
      <c r="B862" s="102" t="s">
        <v>1229</v>
      </c>
      <c r="C862" s="102" t="s">
        <v>62</v>
      </c>
      <c r="D862" t="s">
        <v>369</v>
      </c>
      <c r="E862" t="s">
        <v>61</v>
      </c>
      <c r="F862" t="s">
        <v>62</v>
      </c>
      <c r="G862" t="s">
        <v>435</v>
      </c>
      <c r="H862" t="s">
        <v>1185</v>
      </c>
      <c r="I862" t="s">
        <v>139</v>
      </c>
      <c r="J862" t="s">
        <v>287</v>
      </c>
      <c r="K862" s="28">
        <f t="shared" ref="K862:AW862" si="273">K1510</f>
        <v>0.66064812063358536</v>
      </c>
      <c r="L862" s="28">
        <f t="shared" si="273"/>
        <v>0.66056660352543128</v>
      </c>
      <c r="M862" s="28">
        <f t="shared" si="273"/>
        <v>0.66042995522505377</v>
      </c>
      <c r="N862" s="28">
        <f t="shared" si="273"/>
        <v>0.66031365898338112</v>
      </c>
      <c r="O862" s="28">
        <f t="shared" si="273"/>
        <v>0.66027560568732091</v>
      </c>
      <c r="P862" s="28">
        <f t="shared" si="273"/>
        <v>0.66023708971175277</v>
      </c>
      <c r="Q862" s="28">
        <f t="shared" si="273"/>
        <v>0.66011966991986881</v>
      </c>
      <c r="R862" s="28">
        <f t="shared" si="273"/>
        <v>0.66002765167075472</v>
      </c>
      <c r="S862" s="28">
        <f t="shared" si="273"/>
        <v>0.66002145648060517</v>
      </c>
      <c r="T862" s="28">
        <f t="shared" si="273"/>
        <v>0.66040420720172732</v>
      </c>
      <c r="U862" s="28">
        <f t="shared" si="273"/>
        <v>0.66019485697997204</v>
      </c>
      <c r="V862" s="28">
        <f t="shared" si="273"/>
        <v>0.66003652312909888</v>
      </c>
      <c r="W862" s="28">
        <f t="shared" si="273"/>
        <v>0.65989054673114655</v>
      </c>
      <c r="X862" s="28">
        <f t="shared" si="273"/>
        <v>0.65972835879321112</v>
      </c>
      <c r="Y862" s="28">
        <f t="shared" si="273"/>
        <v>0.65950794659321976</v>
      </c>
      <c r="Z862" s="28">
        <f t="shared" si="273"/>
        <v>0.65927714888243172</v>
      </c>
      <c r="AA862" s="28">
        <f t="shared" si="273"/>
        <v>0.65903551292141993</v>
      </c>
      <c r="AB862" s="28">
        <f t="shared" si="273"/>
        <v>0.65882075529961204</v>
      </c>
      <c r="AC862" s="28">
        <f t="shared" si="273"/>
        <v>0.65858383398788667</v>
      </c>
      <c r="AD862" s="28">
        <f t="shared" si="273"/>
        <v>0.65832049506454571</v>
      </c>
      <c r="AE862" s="28">
        <f t="shared" si="273"/>
        <v>0.65806825645343991</v>
      </c>
      <c r="AF862" s="28">
        <f t="shared" si="273"/>
        <v>0.65781181226611019</v>
      </c>
      <c r="AG862" s="28">
        <f t="shared" si="273"/>
        <v>0.65755610222279148</v>
      </c>
      <c r="AH862" s="28">
        <f t="shared" si="273"/>
        <v>0.65728213410220515</v>
      </c>
      <c r="AI862" s="28">
        <f t="shared" si="273"/>
        <v>0.65704025946446432</v>
      </c>
      <c r="AJ862" s="28">
        <f t="shared" si="273"/>
        <v>0.65679167627959911</v>
      </c>
      <c r="AK862" s="28">
        <f t="shared" si="273"/>
        <v>0.65654442966296833</v>
      </c>
      <c r="AL862" s="28">
        <f t="shared" si="273"/>
        <v>0.6563107846246663</v>
      </c>
      <c r="AM862" s="28">
        <f t="shared" si="273"/>
        <v>0.65608183818668697</v>
      </c>
      <c r="AN862" s="28">
        <f t="shared" si="273"/>
        <v>0.6558502326056066</v>
      </c>
      <c r="AO862" s="28">
        <f t="shared" si="273"/>
        <v>0.65561383844940613</v>
      </c>
      <c r="AP862" s="28">
        <f t="shared" si="273"/>
        <v>0.65539317250053775</v>
      </c>
      <c r="AQ862" s="28">
        <f t="shared" si="273"/>
        <v>0.65517393492300557</v>
      </c>
      <c r="AR862" s="28">
        <f t="shared" si="273"/>
        <v>0.65495579618392019</v>
      </c>
      <c r="AS862" s="28">
        <f t="shared" si="273"/>
        <v>0.65472963164045961</v>
      </c>
      <c r="AT862" s="28">
        <f t="shared" si="273"/>
        <v>0.65450342769214809</v>
      </c>
      <c r="AU862" s="28">
        <f t="shared" si="273"/>
        <v>0.65436308710087154</v>
      </c>
      <c r="AV862" s="28">
        <f t="shared" si="273"/>
        <v>0.65422967735758231</v>
      </c>
      <c r="AW862" s="28">
        <f t="shared" si="273"/>
        <v>0.65408646829531714</v>
      </c>
      <c r="AY862" s="85"/>
      <c r="AZ862" s="85"/>
    </row>
    <row r="863" spans="1:52" x14ac:dyDescent="0.25">
      <c r="A863" s="102" t="str">
        <f t="shared" si="270"/>
        <v>BD Volatilisation</v>
      </c>
      <c r="B863" s="102" t="s">
        <v>1229</v>
      </c>
      <c r="C863" s="102" t="s">
        <v>62</v>
      </c>
      <c r="D863" t="s">
        <v>369</v>
      </c>
      <c r="E863" t="s">
        <v>61</v>
      </c>
      <c r="F863" t="s">
        <v>62</v>
      </c>
      <c r="G863" t="s">
        <v>436</v>
      </c>
      <c r="H863" t="s">
        <v>1186</v>
      </c>
      <c r="I863" t="s">
        <v>139</v>
      </c>
      <c r="J863" t="s">
        <v>287</v>
      </c>
      <c r="K863" s="28">
        <f t="shared" ref="K863:AW863" si="274">K1511</f>
        <v>8.720555192363328E-3</v>
      </c>
      <c r="L863" s="28">
        <f t="shared" si="274"/>
        <v>8.7194791665356954E-3</v>
      </c>
      <c r="M863" s="28">
        <f t="shared" si="274"/>
        <v>8.7176754089707108E-3</v>
      </c>
      <c r="N863" s="28">
        <f t="shared" si="274"/>
        <v>8.7161402985806314E-3</v>
      </c>
      <c r="O863" s="28">
        <f t="shared" si="274"/>
        <v>8.7156379950726372E-3</v>
      </c>
      <c r="P863" s="28">
        <f t="shared" si="274"/>
        <v>8.7151295841951387E-3</v>
      </c>
      <c r="Q863" s="28">
        <f t="shared" si="274"/>
        <v>8.7135796429422714E-3</v>
      </c>
      <c r="R863" s="28">
        <f t="shared" si="274"/>
        <v>8.7123650020539626E-3</v>
      </c>
      <c r="S863" s="28">
        <f t="shared" si="274"/>
        <v>8.7122832255439892E-3</v>
      </c>
      <c r="T863" s="28">
        <f t="shared" si="274"/>
        <v>8.7173355350628028E-3</v>
      </c>
      <c r="U863" s="28">
        <f t="shared" si="274"/>
        <v>8.7145721121356327E-3</v>
      </c>
      <c r="V863" s="28">
        <f t="shared" si="274"/>
        <v>8.7124821053041063E-3</v>
      </c>
      <c r="W863" s="28">
        <f t="shared" si="274"/>
        <v>8.7105552168511343E-3</v>
      </c>
      <c r="X863" s="28">
        <f t="shared" si="274"/>
        <v>8.7084143360703897E-3</v>
      </c>
      <c r="Y863" s="28">
        <f t="shared" si="274"/>
        <v>8.7055048950305004E-3</v>
      </c>
      <c r="Z863" s="28">
        <f t="shared" si="274"/>
        <v>8.7024583652481006E-3</v>
      </c>
      <c r="AA863" s="28">
        <f t="shared" si="274"/>
        <v>8.6992687705627434E-3</v>
      </c>
      <c r="AB863" s="28">
        <f t="shared" si="274"/>
        <v>8.6964339699548802E-3</v>
      </c>
      <c r="AC863" s="28">
        <f t="shared" si="274"/>
        <v>8.6933066086401032E-3</v>
      </c>
      <c r="AD863" s="28">
        <f t="shared" si="274"/>
        <v>8.6898305348520055E-3</v>
      </c>
      <c r="AE863" s="28">
        <f t="shared" si="274"/>
        <v>8.6865009851854087E-3</v>
      </c>
      <c r="AF863" s="28">
        <f t="shared" si="274"/>
        <v>8.6831159219126538E-3</v>
      </c>
      <c r="AG863" s="28">
        <f t="shared" si="274"/>
        <v>8.6797405493408489E-3</v>
      </c>
      <c r="AH863" s="28">
        <f t="shared" si="274"/>
        <v>8.6761241701491087E-3</v>
      </c>
      <c r="AI863" s="28">
        <f t="shared" si="274"/>
        <v>8.672931424930929E-3</v>
      </c>
      <c r="AJ863" s="28">
        <f t="shared" si="274"/>
        <v>8.6696501268907124E-3</v>
      </c>
      <c r="AK863" s="28">
        <f t="shared" si="274"/>
        <v>8.6663864715511834E-3</v>
      </c>
      <c r="AL863" s="28">
        <f t="shared" si="274"/>
        <v>8.6633023570455974E-3</v>
      </c>
      <c r="AM863" s="28">
        <f t="shared" si="274"/>
        <v>8.6602802640642716E-3</v>
      </c>
      <c r="AN863" s="28">
        <f t="shared" si="274"/>
        <v>8.6572230703940104E-3</v>
      </c>
      <c r="AO863" s="28">
        <f t="shared" si="274"/>
        <v>8.6541026675321618E-3</v>
      </c>
      <c r="AP863" s="28">
        <f t="shared" si="274"/>
        <v>8.651189877007099E-3</v>
      </c>
      <c r="AQ863" s="28">
        <f t="shared" si="274"/>
        <v>8.6482959409836767E-3</v>
      </c>
      <c r="AR863" s="28">
        <f t="shared" si="274"/>
        <v>8.6454165096277492E-3</v>
      </c>
      <c r="AS863" s="28">
        <f t="shared" si="274"/>
        <v>8.642431137654066E-3</v>
      </c>
      <c r="AT863" s="28">
        <f t="shared" si="274"/>
        <v>8.6394452455363525E-3</v>
      </c>
      <c r="AU863" s="28">
        <f t="shared" si="274"/>
        <v>8.6375927497315073E-3</v>
      </c>
      <c r="AV863" s="28">
        <f t="shared" si="274"/>
        <v>8.635831741120089E-3</v>
      </c>
      <c r="AW863" s="28">
        <f t="shared" si="274"/>
        <v>8.6339413814981846E-3</v>
      </c>
      <c r="AY863" s="85"/>
      <c r="AZ863" s="85"/>
    </row>
    <row r="864" spans="1:52" x14ac:dyDescent="0.25">
      <c r="A864" s="102" t="str">
        <f t="shared" si="270"/>
        <v>BD Volatilisation</v>
      </c>
      <c r="B864" s="102" t="s">
        <v>1229</v>
      </c>
      <c r="C864" s="102" t="s">
        <v>62</v>
      </c>
      <c r="D864" t="s">
        <v>369</v>
      </c>
      <c r="E864" t="s">
        <v>61</v>
      </c>
      <c r="F864" t="s">
        <v>62</v>
      </c>
      <c r="G864" t="s">
        <v>437</v>
      </c>
      <c r="H864" t="s">
        <v>1187</v>
      </c>
      <c r="I864" t="s">
        <v>139</v>
      </c>
      <c r="J864" t="s">
        <v>287</v>
      </c>
      <c r="K864" s="28">
        <f t="shared" ref="K864:AW864" si="275">K1512</f>
        <v>1.2055794850635659</v>
      </c>
      <c r="L864" s="28">
        <f t="shared" si="275"/>
        <v>1.2104278424184185</v>
      </c>
      <c r="M864" s="28">
        <f t="shared" si="275"/>
        <v>1.2110410080270337</v>
      </c>
      <c r="N864" s="28">
        <f t="shared" si="275"/>
        <v>1.1943250378730979</v>
      </c>
      <c r="O864" s="28">
        <f t="shared" si="275"/>
        <v>1.1785336367211481</v>
      </c>
      <c r="P864" s="28">
        <f t="shared" si="275"/>
        <v>1.1807984846872717</v>
      </c>
      <c r="Q864" s="28">
        <f t="shared" si="275"/>
        <v>1.1777806975328995</v>
      </c>
      <c r="R864" s="28">
        <f t="shared" si="275"/>
        <v>1.1565987272959932</v>
      </c>
      <c r="S864" s="28">
        <f t="shared" si="275"/>
        <v>1.0565661190304907</v>
      </c>
      <c r="T864" s="28">
        <f t="shared" si="275"/>
        <v>1.0843981444045876</v>
      </c>
      <c r="U864" s="28">
        <f t="shared" si="275"/>
        <v>1.1022978887172767</v>
      </c>
      <c r="V864" s="28">
        <f t="shared" si="275"/>
        <v>1.1179525333401792</v>
      </c>
      <c r="W864" s="28">
        <f t="shared" si="275"/>
        <v>1.1371937582920058</v>
      </c>
      <c r="X864" s="28">
        <f t="shared" si="275"/>
        <v>1.1688596383194103</v>
      </c>
      <c r="Y864" s="28">
        <f t="shared" si="275"/>
        <v>1.2033526446166931</v>
      </c>
      <c r="Z864" s="28">
        <f t="shared" si="275"/>
        <v>1.2408507133252609</v>
      </c>
      <c r="AA864" s="28">
        <f t="shared" si="275"/>
        <v>1.2731843133951926</v>
      </c>
      <c r="AB864" s="28">
        <f t="shared" si="275"/>
        <v>1.3110551040849183</v>
      </c>
      <c r="AC864" s="28">
        <f t="shared" si="275"/>
        <v>1.355728169291323</v>
      </c>
      <c r="AD864" s="28">
        <f t="shared" si="275"/>
        <v>1.3939596257860098</v>
      </c>
      <c r="AE864" s="28">
        <f t="shared" si="275"/>
        <v>1.4337807294637712</v>
      </c>
      <c r="AF864" s="28">
        <f t="shared" si="275"/>
        <v>1.47406827607512</v>
      </c>
      <c r="AG864" s="28">
        <f t="shared" si="275"/>
        <v>1.5194978047800693</v>
      </c>
      <c r="AH864" s="28">
        <f t="shared" si="275"/>
        <v>1.5577289711925291</v>
      </c>
      <c r="AI864" s="28">
        <f t="shared" si="275"/>
        <v>1.5982604880799263</v>
      </c>
      <c r="AJ864" s="28">
        <f t="shared" si="275"/>
        <v>1.6390864176929789</v>
      </c>
      <c r="AK864" s="28">
        <f t="shared" si="275"/>
        <v>1.6769805965077378</v>
      </c>
      <c r="AL864" s="28">
        <f t="shared" si="275"/>
        <v>1.7141634850883904</v>
      </c>
      <c r="AM864" s="28">
        <f t="shared" si="275"/>
        <v>1.7525800299502974</v>
      </c>
      <c r="AN864" s="28">
        <f t="shared" si="275"/>
        <v>1.7962799809461818</v>
      </c>
      <c r="AO864" s="28">
        <f t="shared" si="275"/>
        <v>1.8363745934977889</v>
      </c>
      <c r="AP864" s="28">
        <f t="shared" si="275"/>
        <v>1.8767319429652667</v>
      </c>
      <c r="AQ864" s="28">
        <f t="shared" si="275"/>
        <v>1.9174419078072971</v>
      </c>
      <c r="AR864" s="28">
        <f t="shared" si="275"/>
        <v>1.9611841098019933</v>
      </c>
      <c r="AS864" s="28">
        <f t="shared" si="275"/>
        <v>2.0057175014121866</v>
      </c>
      <c r="AT864" s="28">
        <f t="shared" si="275"/>
        <v>2.0250554676371522</v>
      </c>
      <c r="AU864" s="28">
        <f t="shared" si="275"/>
        <v>2.0424822718000586</v>
      </c>
      <c r="AV864" s="28">
        <f t="shared" si="275"/>
        <v>2.0630523613917346</v>
      </c>
      <c r="AW864" s="28">
        <f t="shared" si="275"/>
        <v>2.082006990762475</v>
      </c>
      <c r="AY864" s="85"/>
      <c r="AZ864" s="85"/>
    </row>
    <row r="865" spans="1:52" x14ac:dyDescent="0.25">
      <c r="A865" s="102" t="str">
        <f t="shared" si="270"/>
        <v>BD Volatilisation</v>
      </c>
      <c r="B865" s="102" t="s">
        <v>1229</v>
      </c>
      <c r="C865" s="102" t="s">
        <v>62</v>
      </c>
      <c r="D865" t="s">
        <v>369</v>
      </c>
      <c r="E865" t="s">
        <v>61</v>
      </c>
      <c r="F865" t="s">
        <v>62</v>
      </c>
      <c r="G865" t="s">
        <v>438</v>
      </c>
      <c r="H865" t="s">
        <v>1266</v>
      </c>
      <c r="I865" t="s">
        <v>139</v>
      </c>
      <c r="J865" t="s">
        <v>287</v>
      </c>
      <c r="K865" s="28">
        <f t="shared" ref="K865:AW865" si="276">K1513</f>
        <v>4.4098974147867755</v>
      </c>
      <c r="L865" s="28">
        <f t="shared" si="276"/>
        <v>4.4002705988392581</v>
      </c>
      <c r="M865" s="28">
        <f t="shared" si="276"/>
        <v>4.3810790490560496</v>
      </c>
      <c r="N865" s="28">
        <f t="shared" si="276"/>
        <v>4.3210884872533324</v>
      </c>
      <c r="O865" s="28">
        <f t="shared" si="276"/>
        <v>4.2648964492483783</v>
      </c>
      <c r="P865" s="28">
        <f t="shared" si="276"/>
        <v>4.2527084614653266</v>
      </c>
      <c r="Q865" s="28">
        <f t="shared" si="276"/>
        <v>4.2283311412429541</v>
      </c>
      <c r="R865" s="28">
        <f t="shared" si="276"/>
        <v>4.1624951000433894</v>
      </c>
      <c r="S865" s="28">
        <f t="shared" si="276"/>
        <v>3.918294133105289</v>
      </c>
      <c r="T865" s="28">
        <f t="shared" si="276"/>
        <v>3.9728149933985741</v>
      </c>
      <c r="U865" s="28">
        <f t="shared" si="276"/>
        <v>4.0046383553460947</v>
      </c>
      <c r="V865" s="28">
        <f t="shared" si="276"/>
        <v>4.0313393560711299</v>
      </c>
      <c r="W865" s="28">
        <f t="shared" si="276"/>
        <v>4.0659554364901567</v>
      </c>
      <c r="X865" s="28">
        <f t="shared" si="276"/>
        <v>4.127860980146191</v>
      </c>
      <c r="Y865" s="28">
        <f t="shared" si="276"/>
        <v>4.1932975047825973</v>
      </c>
      <c r="Z865" s="28">
        <f t="shared" si="276"/>
        <v>4.2646556600059613</v>
      </c>
      <c r="AA865" s="28">
        <f t="shared" si="276"/>
        <v>4.3240622404895737</v>
      </c>
      <c r="AB865" s="28">
        <f t="shared" si="276"/>
        <v>4.3947968135079751</v>
      </c>
      <c r="AC865" s="28">
        <f t="shared" si="276"/>
        <v>4.4793345574908621</v>
      </c>
      <c r="AD865" s="28">
        <f t="shared" si="276"/>
        <v>4.5365384381843912</v>
      </c>
      <c r="AE865" s="28">
        <f t="shared" si="276"/>
        <v>4.5953040720129232</v>
      </c>
      <c r="AF865" s="28">
        <f t="shared" si="276"/>
        <v>4.6531478649857521</v>
      </c>
      <c r="AG865" s="28">
        <f t="shared" si="276"/>
        <v>4.7195989933520908</v>
      </c>
      <c r="AH865" s="28">
        <f t="shared" si="276"/>
        <v>4.7691902048211627</v>
      </c>
      <c r="AI865" s="28">
        <f t="shared" si="276"/>
        <v>4.8198409519315524</v>
      </c>
      <c r="AJ865" s="28">
        <f t="shared" si="276"/>
        <v>4.8689648702732589</v>
      </c>
      <c r="AK865" s="28">
        <f t="shared" si="276"/>
        <v>4.9101688608077527</v>
      </c>
      <c r="AL865" s="28">
        <f t="shared" si="276"/>
        <v>4.9479174362838023</v>
      </c>
      <c r="AM865" s="28">
        <f t="shared" si="276"/>
        <v>4.9859362473479623</v>
      </c>
      <c r="AN865" s="28">
        <f t="shared" si="276"/>
        <v>5.0387466715290952</v>
      </c>
      <c r="AO865" s="28">
        <f t="shared" si="276"/>
        <v>5.0829929376217953</v>
      </c>
      <c r="AP865" s="28">
        <f t="shared" si="276"/>
        <v>5.1260297941923829</v>
      </c>
      <c r="AQ865" s="28">
        <f t="shared" si="276"/>
        <v>5.1679798732444908</v>
      </c>
      <c r="AR865" s="28">
        <f t="shared" si="276"/>
        <v>5.2136546695362291</v>
      </c>
      <c r="AS865" s="28">
        <f t="shared" si="276"/>
        <v>5.2573345909610909</v>
      </c>
      <c r="AT865" s="28">
        <f t="shared" si="276"/>
        <v>5.2543577680109008</v>
      </c>
      <c r="AU865" s="28">
        <f t="shared" si="276"/>
        <v>5.2470482911537353</v>
      </c>
      <c r="AV865" s="28">
        <f t="shared" si="276"/>
        <v>5.2442604689487187</v>
      </c>
      <c r="AW865" s="28">
        <f t="shared" si="276"/>
        <v>5.2376395842644694</v>
      </c>
      <c r="AY865" s="85"/>
      <c r="AZ865" s="85"/>
    </row>
    <row r="866" spans="1:52" x14ac:dyDescent="0.25">
      <c r="A866" s="102" t="str">
        <f t="shared" si="270"/>
        <v>BD Leaching</v>
      </c>
      <c r="B866" s="102" t="s">
        <v>1229</v>
      </c>
      <c r="C866" s="102" t="s">
        <v>1191</v>
      </c>
      <c r="D866" t="s">
        <v>369</v>
      </c>
      <c r="E866" t="s">
        <v>61</v>
      </c>
      <c r="F866" t="s">
        <v>63</v>
      </c>
      <c r="G866" t="s">
        <v>435</v>
      </c>
      <c r="H866" t="s">
        <v>1188</v>
      </c>
      <c r="I866" t="s">
        <v>139</v>
      </c>
      <c r="J866" t="s">
        <v>287</v>
      </c>
      <c r="K866" s="28">
        <f t="shared" ref="K866:AW866" si="277">K1514</f>
        <v>2.2792360161858692E-4</v>
      </c>
      <c r="L866" s="28">
        <f t="shared" si="277"/>
        <v>2.278954782162738E-4</v>
      </c>
      <c r="M866" s="28">
        <f t="shared" si="277"/>
        <v>2.2784833455264354E-4</v>
      </c>
      <c r="N866" s="28">
        <f t="shared" si="277"/>
        <v>2.2780821234926642E-4</v>
      </c>
      <c r="O866" s="28">
        <f t="shared" si="277"/>
        <v>2.2779508396212562E-4</v>
      </c>
      <c r="P866" s="28">
        <f t="shared" si="277"/>
        <v>2.2778179595055463E-4</v>
      </c>
      <c r="Q866" s="28">
        <f t="shared" si="277"/>
        <v>2.2774128612235473E-4</v>
      </c>
      <c r="R866" s="28">
        <f t="shared" si="277"/>
        <v>2.2770953982641034E-4</v>
      </c>
      <c r="S866" s="28">
        <f t="shared" si="277"/>
        <v>2.2770740248580869E-4</v>
      </c>
      <c r="T866" s="28">
        <f t="shared" si="277"/>
        <v>2.2783945148459591E-4</v>
      </c>
      <c r="U866" s="28">
        <f t="shared" si="277"/>
        <v>2.2776722565809031E-4</v>
      </c>
      <c r="V866" s="28">
        <f t="shared" si="277"/>
        <v>2.2771260047953912E-4</v>
      </c>
      <c r="W866" s="28">
        <f t="shared" si="277"/>
        <v>2.2766223862224547E-4</v>
      </c>
      <c r="X866" s="28">
        <f t="shared" si="277"/>
        <v>2.276062837836578E-4</v>
      </c>
      <c r="Y866" s="28">
        <f t="shared" si="277"/>
        <v>2.2753024157466073E-4</v>
      </c>
      <c r="Z866" s="28">
        <f t="shared" si="277"/>
        <v>2.2745061636443892E-4</v>
      </c>
      <c r="AA866" s="28">
        <f t="shared" si="277"/>
        <v>2.2736725195788982E-4</v>
      </c>
      <c r="AB866" s="28">
        <f t="shared" si="277"/>
        <v>2.2729316057836611E-4</v>
      </c>
      <c r="AC866" s="28">
        <f t="shared" si="277"/>
        <v>2.2721142272582082E-4</v>
      </c>
      <c r="AD866" s="28">
        <f t="shared" si="277"/>
        <v>2.2712057079726826E-4</v>
      </c>
      <c r="AE866" s="28">
        <f t="shared" si="277"/>
        <v>2.2703354847643673E-4</v>
      </c>
      <c r="AF866" s="28">
        <f t="shared" si="277"/>
        <v>2.26945075231808E-4</v>
      </c>
      <c r="AG866" s="28">
        <f t="shared" si="277"/>
        <v>2.2685685526686305E-4</v>
      </c>
      <c r="AH866" s="28">
        <f t="shared" si="277"/>
        <v>2.2676233626526071E-4</v>
      </c>
      <c r="AI866" s="28">
        <f t="shared" si="277"/>
        <v>2.2667888951524015E-4</v>
      </c>
      <c r="AJ866" s="28">
        <f t="shared" si="277"/>
        <v>2.2659312831646165E-4</v>
      </c>
      <c r="AK866" s="28">
        <f t="shared" si="277"/>
        <v>2.2650782823372401E-4</v>
      </c>
      <c r="AL866" s="28">
        <f t="shared" si="277"/>
        <v>2.2642722069550987E-4</v>
      </c>
      <c r="AM866" s="28">
        <f t="shared" si="277"/>
        <v>2.2634823417440697E-4</v>
      </c>
      <c r="AN866" s="28">
        <f t="shared" si="277"/>
        <v>2.2626833024893425E-4</v>
      </c>
      <c r="AO866" s="28">
        <f t="shared" si="277"/>
        <v>2.2618677426504506E-4</v>
      </c>
      <c r="AP866" s="28">
        <f t="shared" si="277"/>
        <v>2.2611064451268553E-4</v>
      </c>
      <c r="AQ866" s="28">
        <f t="shared" si="277"/>
        <v>2.2603500754843689E-4</v>
      </c>
      <c r="AR866" s="28">
        <f t="shared" si="277"/>
        <v>2.2595974968345244E-4</v>
      </c>
      <c r="AS866" s="28">
        <f t="shared" si="277"/>
        <v>2.2588172291595847E-4</v>
      </c>
      <c r="AT866" s="28">
        <f t="shared" si="277"/>
        <v>2.25803682553791E-4</v>
      </c>
      <c r="AU866" s="28">
        <f t="shared" si="277"/>
        <v>2.2575526504980067E-4</v>
      </c>
      <c r="AV866" s="28">
        <f t="shared" si="277"/>
        <v>2.2570923868836588E-4</v>
      </c>
      <c r="AW866" s="28">
        <f t="shared" si="277"/>
        <v>2.2565983156188431E-4</v>
      </c>
      <c r="AY866" s="85"/>
      <c r="AZ866" s="85"/>
    </row>
    <row r="867" spans="1:52" x14ac:dyDescent="0.25">
      <c r="A867" s="102" t="str">
        <f t="shared" si="270"/>
        <v>BD Leaching</v>
      </c>
      <c r="B867" s="102" t="s">
        <v>1229</v>
      </c>
      <c r="C867" s="102" t="s">
        <v>1191</v>
      </c>
      <c r="D867" t="s">
        <v>369</v>
      </c>
      <c r="E867" t="s">
        <v>61</v>
      </c>
      <c r="F867" t="s">
        <v>63</v>
      </c>
      <c r="G867" t="s">
        <v>436</v>
      </c>
      <c r="H867" t="s">
        <v>1189</v>
      </c>
      <c r="I867" t="s">
        <v>139</v>
      </c>
      <c r="J867" t="s">
        <v>287</v>
      </c>
      <c r="K867" s="28">
        <f t="shared" ref="K867:AW867" si="278">K1515</f>
        <v>1.5042957706826741E-6</v>
      </c>
      <c r="L867" s="28">
        <f t="shared" si="278"/>
        <v>1.5041101562274073E-6</v>
      </c>
      <c r="M867" s="28">
        <f t="shared" si="278"/>
        <v>1.5037990080474479E-6</v>
      </c>
      <c r="N867" s="28">
        <f t="shared" si="278"/>
        <v>1.5035342015051588E-6</v>
      </c>
      <c r="O867" s="28">
        <f t="shared" si="278"/>
        <v>1.5034475541500297E-6</v>
      </c>
      <c r="P867" s="28">
        <f t="shared" si="278"/>
        <v>1.5033598532736611E-6</v>
      </c>
      <c r="Q867" s="28">
        <f t="shared" si="278"/>
        <v>1.5030924884075416E-6</v>
      </c>
      <c r="R867" s="28">
        <f t="shared" si="278"/>
        <v>1.5028829628543084E-6</v>
      </c>
      <c r="S867" s="28">
        <f t="shared" si="278"/>
        <v>1.5028688564063377E-6</v>
      </c>
      <c r="T867" s="28">
        <f t="shared" si="278"/>
        <v>1.5037403797983331E-6</v>
      </c>
      <c r="U867" s="28">
        <f t="shared" si="278"/>
        <v>1.5032636893433962E-6</v>
      </c>
      <c r="V867" s="28">
        <f t="shared" si="278"/>
        <v>1.5029031631649579E-6</v>
      </c>
      <c r="W867" s="28">
        <f t="shared" si="278"/>
        <v>1.5025707749068207E-6</v>
      </c>
      <c r="X867" s="28">
        <f t="shared" si="278"/>
        <v>1.5022014729721417E-6</v>
      </c>
      <c r="Y867" s="28">
        <f t="shared" si="278"/>
        <v>1.5016995943927613E-6</v>
      </c>
      <c r="Z867" s="28">
        <f t="shared" si="278"/>
        <v>1.5011740680052976E-6</v>
      </c>
      <c r="AA867" s="28">
        <f t="shared" si="278"/>
        <v>1.5006238629220729E-6</v>
      </c>
      <c r="AB867" s="28">
        <f t="shared" si="278"/>
        <v>1.5001348598172167E-6</v>
      </c>
      <c r="AC867" s="28">
        <f t="shared" si="278"/>
        <v>1.4995953899904175E-6</v>
      </c>
      <c r="AD867" s="28">
        <f t="shared" si="278"/>
        <v>1.4989957672619707E-6</v>
      </c>
      <c r="AE867" s="28">
        <f t="shared" si="278"/>
        <v>1.4984214199444828E-6</v>
      </c>
      <c r="AF867" s="28">
        <f t="shared" si="278"/>
        <v>1.497837496529933E-6</v>
      </c>
      <c r="AG867" s="28">
        <f t="shared" si="278"/>
        <v>1.497255244761296E-6</v>
      </c>
      <c r="AH867" s="28">
        <f t="shared" si="278"/>
        <v>1.4966314193507213E-6</v>
      </c>
      <c r="AI867" s="28">
        <f t="shared" si="278"/>
        <v>1.4960806708005854E-6</v>
      </c>
      <c r="AJ867" s="28">
        <f t="shared" si="278"/>
        <v>1.4955146468886474E-6</v>
      </c>
      <c r="AK867" s="28">
        <f t="shared" si="278"/>
        <v>1.494951666342579E-6</v>
      </c>
      <c r="AL867" s="28">
        <f t="shared" si="278"/>
        <v>1.494419656590365E-6</v>
      </c>
      <c r="AM867" s="28">
        <f t="shared" si="278"/>
        <v>1.493898345551086E-6</v>
      </c>
      <c r="AN867" s="28">
        <f t="shared" si="278"/>
        <v>1.4933709796429669E-6</v>
      </c>
      <c r="AO867" s="28">
        <f t="shared" si="278"/>
        <v>1.4928327101492978E-6</v>
      </c>
      <c r="AP867" s="28">
        <f t="shared" si="278"/>
        <v>1.4923302537837247E-6</v>
      </c>
      <c r="AQ867" s="28">
        <f t="shared" si="278"/>
        <v>1.4918310498196839E-6</v>
      </c>
      <c r="AR867" s="28">
        <f t="shared" si="278"/>
        <v>1.4913343479107866E-6</v>
      </c>
      <c r="AS867" s="28">
        <f t="shared" si="278"/>
        <v>1.490819371245326E-6</v>
      </c>
      <c r="AT867" s="28">
        <f t="shared" si="278"/>
        <v>1.490304304855021E-6</v>
      </c>
      <c r="AU867" s="28">
        <f t="shared" si="278"/>
        <v>1.4899847493286845E-6</v>
      </c>
      <c r="AV867" s="28">
        <f t="shared" si="278"/>
        <v>1.4896809753432154E-6</v>
      </c>
      <c r="AW867" s="28">
        <f t="shared" si="278"/>
        <v>1.489354888308437E-6</v>
      </c>
      <c r="AY867" s="85"/>
      <c r="AZ867" s="85"/>
    </row>
    <row r="868" spans="1:52" x14ac:dyDescent="0.25">
      <c r="A868" s="102" t="str">
        <f t="shared" si="270"/>
        <v>BD Leaching</v>
      </c>
      <c r="B868" s="102" t="s">
        <v>1229</v>
      </c>
      <c r="C868" s="102" t="s">
        <v>1191</v>
      </c>
      <c r="D868" t="s">
        <v>369</v>
      </c>
      <c r="E868" t="s">
        <v>61</v>
      </c>
      <c r="F868" t="s">
        <v>63</v>
      </c>
      <c r="G868" t="s">
        <v>437</v>
      </c>
      <c r="H868" t="s">
        <v>1190</v>
      </c>
      <c r="I868" t="s">
        <v>139</v>
      </c>
      <c r="J868" t="s">
        <v>287</v>
      </c>
      <c r="K868" s="28">
        <f t="shared" ref="K868:AW868" si="279">K1516</f>
        <v>0.20796246117346509</v>
      </c>
      <c r="L868" s="28">
        <f t="shared" si="279"/>
        <v>0.20879880281717714</v>
      </c>
      <c r="M868" s="28">
        <f t="shared" si="279"/>
        <v>0.20890457388466332</v>
      </c>
      <c r="N868" s="28">
        <f t="shared" si="279"/>
        <v>0.20602106903310935</v>
      </c>
      <c r="O868" s="28">
        <f t="shared" si="279"/>
        <v>0.20329705233439804</v>
      </c>
      <c r="P868" s="28">
        <f t="shared" si="279"/>
        <v>0.2036877386085543</v>
      </c>
      <c r="Q868" s="28">
        <f t="shared" si="279"/>
        <v>0.20316717032442511</v>
      </c>
      <c r="R868" s="28">
        <f t="shared" si="279"/>
        <v>0.19951328045855884</v>
      </c>
      <c r="S868" s="28">
        <f t="shared" si="279"/>
        <v>0.18225765553275963</v>
      </c>
      <c r="T868" s="28">
        <f t="shared" si="279"/>
        <v>0.18705867990979133</v>
      </c>
      <c r="U868" s="28">
        <f t="shared" si="279"/>
        <v>0.19014638580373017</v>
      </c>
      <c r="V868" s="28">
        <f t="shared" si="279"/>
        <v>0.19284681200118092</v>
      </c>
      <c r="W868" s="28">
        <f t="shared" si="279"/>
        <v>0.19616592330537094</v>
      </c>
      <c r="X868" s="28">
        <f t="shared" si="279"/>
        <v>0.20162828761009829</v>
      </c>
      <c r="Y868" s="28">
        <f t="shared" si="279"/>
        <v>0.20757833119637956</v>
      </c>
      <c r="Z868" s="28">
        <f t="shared" si="279"/>
        <v>0.21404674804860749</v>
      </c>
      <c r="AA868" s="28">
        <f t="shared" si="279"/>
        <v>0.21962429406067066</v>
      </c>
      <c r="AB868" s="28">
        <f t="shared" si="279"/>
        <v>0.22615700545464837</v>
      </c>
      <c r="AC868" s="28">
        <f t="shared" si="279"/>
        <v>0.23386310920275319</v>
      </c>
      <c r="AD868" s="28">
        <f t="shared" si="279"/>
        <v>0.24045803544808661</v>
      </c>
      <c r="AE868" s="28">
        <f t="shared" si="279"/>
        <v>0.2473271758325005</v>
      </c>
      <c r="AF868" s="28">
        <f t="shared" si="279"/>
        <v>0.25427677762295814</v>
      </c>
      <c r="AG868" s="28">
        <f t="shared" si="279"/>
        <v>0.26211337132456192</v>
      </c>
      <c r="AH868" s="28">
        <f t="shared" si="279"/>
        <v>0.26870824753071121</v>
      </c>
      <c r="AI868" s="28">
        <f t="shared" si="279"/>
        <v>0.27569993419378713</v>
      </c>
      <c r="AJ868" s="28">
        <f t="shared" si="279"/>
        <v>0.28274240705203879</v>
      </c>
      <c r="AK868" s="28">
        <f t="shared" si="279"/>
        <v>0.28927915289758471</v>
      </c>
      <c r="AL868" s="28">
        <f t="shared" si="279"/>
        <v>0.29569320117774733</v>
      </c>
      <c r="AM868" s="28">
        <f t="shared" si="279"/>
        <v>0.30232005516642629</v>
      </c>
      <c r="AN868" s="28">
        <f t="shared" si="279"/>
        <v>0.30985829671321635</v>
      </c>
      <c r="AO868" s="28">
        <f t="shared" si="279"/>
        <v>0.31677461737836854</v>
      </c>
      <c r="AP868" s="28">
        <f t="shared" si="279"/>
        <v>0.32373626016150842</v>
      </c>
      <c r="AQ868" s="28">
        <f t="shared" si="279"/>
        <v>0.33075872909675869</v>
      </c>
      <c r="AR868" s="28">
        <f t="shared" si="279"/>
        <v>0.33830425894084387</v>
      </c>
      <c r="AS868" s="28">
        <f t="shared" si="279"/>
        <v>0.34598626899360208</v>
      </c>
      <c r="AT868" s="28">
        <f t="shared" si="279"/>
        <v>0.34932206816740874</v>
      </c>
      <c r="AU868" s="28">
        <f t="shared" si="279"/>
        <v>0.35232819188551001</v>
      </c>
      <c r="AV868" s="28">
        <f t="shared" si="279"/>
        <v>0.35587653234007416</v>
      </c>
      <c r="AW868" s="28">
        <f t="shared" si="279"/>
        <v>0.35914620590652685</v>
      </c>
      <c r="AY868" s="85"/>
      <c r="AZ868" s="85"/>
    </row>
    <row r="869" spans="1:52" x14ac:dyDescent="0.25">
      <c r="A869" s="102" t="str">
        <f t="shared" si="270"/>
        <v>BD Leaching</v>
      </c>
      <c r="B869" s="102" t="s">
        <v>1229</v>
      </c>
      <c r="C869" s="102" t="s">
        <v>1191</v>
      </c>
      <c r="D869" t="s">
        <v>369</v>
      </c>
      <c r="E869" t="s">
        <v>61</v>
      </c>
      <c r="F869" t="s">
        <v>63</v>
      </c>
      <c r="G869" t="s">
        <v>438</v>
      </c>
      <c r="H869" t="s">
        <v>1192</v>
      </c>
      <c r="I869" t="s">
        <v>139</v>
      </c>
      <c r="J869" t="s">
        <v>287</v>
      </c>
      <c r="K869" s="28">
        <f t="shared" ref="K869:AW869" si="280">K1517</f>
        <v>0</v>
      </c>
      <c r="L869" s="28">
        <f t="shared" si="280"/>
        <v>0</v>
      </c>
      <c r="M869" s="28">
        <f t="shared" si="280"/>
        <v>0</v>
      </c>
      <c r="N869" s="28">
        <f t="shared" si="280"/>
        <v>0</v>
      </c>
      <c r="O869" s="28">
        <f t="shared" si="280"/>
        <v>0</v>
      </c>
      <c r="P869" s="28">
        <f t="shared" si="280"/>
        <v>0</v>
      </c>
      <c r="Q869" s="28">
        <f t="shared" si="280"/>
        <v>0</v>
      </c>
      <c r="R869" s="28">
        <f t="shared" si="280"/>
        <v>0</v>
      </c>
      <c r="S869" s="28">
        <f t="shared" si="280"/>
        <v>0</v>
      </c>
      <c r="T869" s="28">
        <f t="shared" si="280"/>
        <v>0</v>
      </c>
      <c r="U869" s="28">
        <f t="shared" si="280"/>
        <v>0</v>
      </c>
      <c r="V869" s="28">
        <f t="shared" si="280"/>
        <v>0</v>
      </c>
      <c r="W869" s="28">
        <f t="shared" si="280"/>
        <v>0</v>
      </c>
      <c r="X869" s="28">
        <f t="shared" si="280"/>
        <v>0</v>
      </c>
      <c r="Y869" s="28">
        <f t="shared" si="280"/>
        <v>0</v>
      </c>
      <c r="Z869" s="28">
        <f t="shared" si="280"/>
        <v>0</v>
      </c>
      <c r="AA869" s="28">
        <f t="shared" si="280"/>
        <v>0</v>
      </c>
      <c r="AB869" s="28">
        <f t="shared" si="280"/>
        <v>0</v>
      </c>
      <c r="AC869" s="28">
        <f t="shared" si="280"/>
        <v>0</v>
      </c>
      <c r="AD869" s="28">
        <f t="shared" si="280"/>
        <v>0</v>
      </c>
      <c r="AE869" s="28">
        <f t="shared" si="280"/>
        <v>0</v>
      </c>
      <c r="AF869" s="28">
        <f t="shared" si="280"/>
        <v>0</v>
      </c>
      <c r="AG869" s="28">
        <f t="shared" si="280"/>
        <v>0</v>
      </c>
      <c r="AH869" s="28">
        <f t="shared" si="280"/>
        <v>0</v>
      </c>
      <c r="AI869" s="28">
        <f t="shared" si="280"/>
        <v>0</v>
      </c>
      <c r="AJ869" s="28">
        <f t="shared" si="280"/>
        <v>0</v>
      </c>
      <c r="AK869" s="28">
        <f t="shared" si="280"/>
        <v>0</v>
      </c>
      <c r="AL869" s="28">
        <f t="shared" si="280"/>
        <v>0</v>
      </c>
      <c r="AM869" s="28">
        <f t="shared" si="280"/>
        <v>0</v>
      </c>
      <c r="AN869" s="28">
        <f t="shared" si="280"/>
        <v>0</v>
      </c>
      <c r="AO869" s="28">
        <f t="shared" si="280"/>
        <v>0</v>
      </c>
      <c r="AP869" s="28">
        <f t="shared" si="280"/>
        <v>0</v>
      </c>
      <c r="AQ869" s="28">
        <f t="shared" si="280"/>
        <v>0</v>
      </c>
      <c r="AR869" s="28">
        <f t="shared" si="280"/>
        <v>0</v>
      </c>
      <c r="AS869" s="28">
        <f t="shared" si="280"/>
        <v>0</v>
      </c>
      <c r="AT869" s="28">
        <f t="shared" si="280"/>
        <v>0</v>
      </c>
      <c r="AU869" s="28">
        <f t="shared" si="280"/>
        <v>0</v>
      </c>
      <c r="AV869" s="28">
        <f t="shared" si="280"/>
        <v>0</v>
      </c>
      <c r="AW869" s="28">
        <f t="shared" si="280"/>
        <v>0</v>
      </c>
      <c r="AY869" s="85"/>
      <c r="AZ869" s="85"/>
    </row>
    <row r="870" spans="1:52" x14ac:dyDescent="0.25">
      <c r="A870" s="102" t="str">
        <f t="shared" si="270"/>
        <v>BD Leaching</v>
      </c>
      <c r="B870" s="102" t="s">
        <v>1229</v>
      </c>
      <c r="C870" s="102" t="s">
        <v>1191</v>
      </c>
      <c r="D870" t="s">
        <v>369</v>
      </c>
      <c r="E870" t="s">
        <v>61</v>
      </c>
      <c r="F870" t="s">
        <v>63</v>
      </c>
      <c r="G870" t="s">
        <v>439</v>
      </c>
      <c r="H870" t="s">
        <v>1193</v>
      </c>
      <c r="I870" t="s">
        <v>139</v>
      </c>
      <c r="J870" t="s">
        <v>287</v>
      </c>
      <c r="K870" s="28">
        <f t="shared" ref="K870:AW870" si="281">K1518</f>
        <v>0.10175116378121943</v>
      </c>
      <c r="L870" s="28">
        <f t="shared" si="281"/>
        <v>0.10196112149474701</v>
      </c>
      <c r="M870" s="28">
        <f t="shared" si="281"/>
        <v>0.10231307662851437</v>
      </c>
      <c r="N870" s="28">
        <f t="shared" si="281"/>
        <v>0.10261261243819185</v>
      </c>
      <c r="O870" s="28">
        <f t="shared" si="281"/>
        <v>0.10271062355774604</v>
      </c>
      <c r="P870" s="28">
        <f t="shared" si="281"/>
        <v>0.10280982636740998</v>
      </c>
      <c r="Q870" s="28">
        <f t="shared" si="281"/>
        <v>0.10311225602401949</v>
      </c>
      <c r="R870" s="28">
        <f t="shared" si="281"/>
        <v>0.10334926076602191</v>
      </c>
      <c r="S870" s="28">
        <f t="shared" si="281"/>
        <v>0.1033652172687505</v>
      </c>
      <c r="T870" s="28">
        <f t="shared" si="281"/>
        <v>0.10237939394800614</v>
      </c>
      <c r="U870" s="28">
        <f t="shared" si="281"/>
        <v>0.10291860215695282</v>
      </c>
      <c r="V870" s="28">
        <f t="shared" si="281"/>
        <v>0.10332641119306983</v>
      </c>
      <c r="W870" s="28">
        <f t="shared" si="281"/>
        <v>0.10370239203239459</v>
      </c>
      <c r="X870" s="28">
        <f t="shared" si="281"/>
        <v>0.1041201277615169</v>
      </c>
      <c r="Y870" s="28">
        <f t="shared" si="281"/>
        <v>0.1046878275069046</v>
      </c>
      <c r="Z870" s="28">
        <f t="shared" si="281"/>
        <v>0.10528227646052629</v>
      </c>
      <c r="AA870" s="28">
        <f t="shared" si="281"/>
        <v>0.1059046407105468</v>
      </c>
      <c r="AB870" s="28">
        <f t="shared" si="281"/>
        <v>0.10645777636830578</v>
      </c>
      <c r="AC870" s="28">
        <f t="shared" si="281"/>
        <v>0.10706799743750575</v>
      </c>
      <c r="AD870" s="28">
        <f t="shared" si="281"/>
        <v>0.10774626043627387</v>
      </c>
      <c r="AE870" s="28">
        <f t="shared" si="281"/>
        <v>0.10839593316449521</v>
      </c>
      <c r="AF870" s="28">
        <f t="shared" si="281"/>
        <v>0.10905643789090745</v>
      </c>
      <c r="AG870" s="28">
        <f t="shared" si="281"/>
        <v>0.10971505173574356</v>
      </c>
      <c r="AH870" s="28">
        <f t="shared" si="281"/>
        <v>0.11042069158828928</v>
      </c>
      <c r="AI870" s="28">
        <f t="shared" si="281"/>
        <v>0.11104367058067952</v>
      </c>
      <c r="AJ870" s="28">
        <f t="shared" si="281"/>
        <v>0.11168392829219058</v>
      </c>
      <c r="AK870" s="28">
        <f t="shared" si="281"/>
        <v>0.11232074350166987</v>
      </c>
      <c r="AL870" s="28">
        <f t="shared" si="281"/>
        <v>0.11292252611061948</v>
      </c>
      <c r="AM870" s="28">
        <f t="shared" si="281"/>
        <v>0.11351220687490285</v>
      </c>
      <c r="AN870" s="28">
        <f t="shared" si="281"/>
        <v>0.11410873660154547</v>
      </c>
      <c r="AO870" s="28">
        <f t="shared" si="281"/>
        <v>0.11471759991442693</v>
      </c>
      <c r="AP870" s="28">
        <f t="shared" si="281"/>
        <v>0.11528595322242488</v>
      </c>
      <c r="AQ870" s="28">
        <f t="shared" si="281"/>
        <v>0.1158506275777887</v>
      </c>
      <c r="AR870" s="28">
        <f t="shared" si="281"/>
        <v>0.1164124717345221</v>
      </c>
      <c r="AS870" s="28">
        <f t="shared" si="281"/>
        <v>0.11699498737450693</v>
      </c>
      <c r="AT870" s="28">
        <f t="shared" si="281"/>
        <v>0.11757760450671237</v>
      </c>
      <c r="AU870" s="28">
        <f t="shared" si="281"/>
        <v>0.11793906960682159</v>
      </c>
      <c r="AV870" s="28">
        <f t="shared" si="281"/>
        <v>0.11828268342357233</v>
      </c>
      <c r="AW870" s="28">
        <f t="shared" si="281"/>
        <v>0.11865153663672662</v>
      </c>
      <c r="AY870" s="85"/>
      <c r="AZ870" s="85"/>
    </row>
    <row r="871" spans="1:52" x14ac:dyDescent="0.25">
      <c r="A871" s="102" t="str">
        <f t="shared" si="270"/>
        <v>BD Leaching</v>
      </c>
      <c r="B871" s="102" t="s">
        <v>1229</v>
      </c>
      <c r="C871" s="102" t="s">
        <v>1191</v>
      </c>
      <c r="D871" t="s">
        <v>369</v>
      </c>
      <c r="E871" t="s">
        <v>61</v>
      </c>
      <c r="F871" t="s">
        <v>63</v>
      </c>
      <c r="G871" t="s">
        <v>1194</v>
      </c>
      <c r="H871" t="s">
        <v>1195</v>
      </c>
      <c r="I871" t="s">
        <v>139</v>
      </c>
      <c r="J871" t="s">
        <v>287</v>
      </c>
      <c r="K871" s="28" t="str">
        <f t="shared" ref="K871:AW871" si="282">K1519</f>
        <v>NO</v>
      </c>
      <c r="L871" s="28" t="str">
        <f t="shared" si="282"/>
        <v>NO</v>
      </c>
      <c r="M871" s="28" t="str">
        <f t="shared" si="282"/>
        <v>NO</v>
      </c>
      <c r="N871" s="28" t="str">
        <f t="shared" si="282"/>
        <v>NO</v>
      </c>
      <c r="O871" s="28" t="str">
        <f t="shared" si="282"/>
        <v>NO</v>
      </c>
      <c r="P871" s="28" t="str">
        <f t="shared" si="282"/>
        <v>NO</v>
      </c>
      <c r="Q871" s="28" t="str">
        <f t="shared" si="282"/>
        <v>NO</v>
      </c>
      <c r="R871" s="28" t="str">
        <f t="shared" si="282"/>
        <v>NO</v>
      </c>
      <c r="S871" s="28" t="str">
        <f t="shared" si="282"/>
        <v>NO</v>
      </c>
      <c r="T871" s="28" t="str">
        <f t="shared" si="282"/>
        <v>NO</v>
      </c>
      <c r="U871" s="28" t="str">
        <f t="shared" si="282"/>
        <v>NO</v>
      </c>
      <c r="V871" s="28" t="str">
        <f t="shared" si="282"/>
        <v>NO</v>
      </c>
      <c r="W871" s="28" t="str">
        <f t="shared" si="282"/>
        <v>NO</v>
      </c>
      <c r="X871" s="28" t="str">
        <f t="shared" si="282"/>
        <v>NO</v>
      </c>
      <c r="Y871" s="28" t="str">
        <f t="shared" si="282"/>
        <v>NO</v>
      </c>
      <c r="Z871" s="28" t="str">
        <f t="shared" si="282"/>
        <v>NO</v>
      </c>
      <c r="AA871" s="28" t="str">
        <f t="shared" si="282"/>
        <v>NO</v>
      </c>
      <c r="AB871" s="28" t="str">
        <f t="shared" si="282"/>
        <v>NO</v>
      </c>
      <c r="AC871" s="28" t="str">
        <f t="shared" si="282"/>
        <v>NO</v>
      </c>
      <c r="AD871" s="28" t="str">
        <f t="shared" si="282"/>
        <v>NO</v>
      </c>
      <c r="AE871" s="28" t="str">
        <f t="shared" si="282"/>
        <v>NO</v>
      </c>
      <c r="AF871" s="28" t="str">
        <f t="shared" si="282"/>
        <v>NO</v>
      </c>
      <c r="AG871" s="28" t="str">
        <f t="shared" si="282"/>
        <v>NO</v>
      </c>
      <c r="AH871" s="28" t="str">
        <f t="shared" si="282"/>
        <v>NO</v>
      </c>
      <c r="AI871" s="28" t="str">
        <f t="shared" si="282"/>
        <v>NO</v>
      </c>
      <c r="AJ871" s="28" t="str">
        <f t="shared" si="282"/>
        <v>NO</v>
      </c>
      <c r="AK871" s="28" t="str">
        <f t="shared" si="282"/>
        <v>NO</v>
      </c>
      <c r="AL871" s="28" t="str">
        <f t="shared" si="282"/>
        <v>NO</v>
      </c>
      <c r="AM871" s="28" t="str">
        <f t="shared" si="282"/>
        <v>NO</v>
      </c>
      <c r="AN871" s="28" t="str">
        <f t="shared" si="282"/>
        <v>NO</v>
      </c>
      <c r="AO871" s="28" t="str">
        <f t="shared" si="282"/>
        <v>NO</v>
      </c>
      <c r="AP871" s="28" t="str">
        <f t="shared" si="282"/>
        <v>NO</v>
      </c>
      <c r="AQ871" s="28" t="str">
        <f t="shared" si="282"/>
        <v>NO</v>
      </c>
      <c r="AR871" s="28" t="str">
        <f t="shared" si="282"/>
        <v>NO</v>
      </c>
      <c r="AS871" s="28" t="str">
        <f t="shared" si="282"/>
        <v>NO</v>
      </c>
      <c r="AT871" s="28" t="str">
        <f t="shared" si="282"/>
        <v>NO</v>
      </c>
      <c r="AU871" s="28" t="str">
        <f t="shared" si="282"/>
        <v>NO</v>
      </c>
      <c r="AV871" s="28" t="str">
        <f t="shared" si="282"/>
        <v>NO</v>
      </c>
      <c r="AW871" s="28" t="str">
        <f t="shared" si="282"/>
        <v>NO</v>
      </c>
      <c r="AY871" s="85"/>
      <c r="AZ871" s="85"/>
    </row>
    <row r="872" spans="1:52" x14ac:dyDescent="0.25">
      <c r="A872" s="102" t="str">
        <f t="shared" si="270"/>
        <v>BD Leaching</v>
      </c>
      <c r="B872" s="102" t="s">
        <v>1229</v>
      </c>
      <c r="C872" s="102" t="s">
        <v>1191</v>
      </c>
      <c r="D872" t="s">
        <v>369</v>
      </c>
      <c r="E872" t="s">
        <v>61</v>
      </c>
      <c r="F872" t="s">
        <v>63</v>
      </c>
      <c r="G872" t="s">
        <v>1196</v>
      </c>
      <c r="H872" t="s">
        <v>1197</v>
      </c>
      <c r="I872" t="s">
        <v>139</v>
      </c>
      <c r="J872" t="s">
        <v>287</v>
      </c>
      <c r="K872" s="28" t="str">
        <f t="shared" ref="K872:AW872" si="283">K1520</f>
        <v>NO</v>
      </c>
      <c r="L872" s="28" t="str">
        <f t="shared" si="283"/>
        <v>NO</v>
      </c>
      <c r="M872" s="28" t="str">
        <f t="shared" si="283"/>
        <v>NO</v>
      </c>
      <c r="N872" s="28" t="str">
        <f t="shared" si="283"/>
        <v>NO</v>
      </c>
      <c r="O872" s="28" t="str">
        <f t="shared" si="283"/>
        <v>NO</v>
      </c>
      <c r="P872" s="28" t="str">
        <f t="shared" si="283"/>
        <v>NO</v>
      </c>
      <c r="Q872" s="28" t="str">
        <f t="shared" si="283"/>
        <v>NO</v>
      </c>
      <c r="R872" s="28" t="str">
        <f t="shared" si="283"/>
        <v>NO</v>
      </c>
      <c r="S872" s="28" t="str">
        <f t="shared" si="283"/>
        <v>NO</v>
      </c>
      <c r="T872" s="28" t="str">
        <f t="shared" si="283"/>
        <v>NO</v>
      </c>
      <c r="U872" s="28" t="str">
        <f t="shared" si="283"/>
        <v>NO</v>
      </c>
      <c r="V872" s="28" t="str">
        <f t="shared" si="283"/>
        <v>NO</v>
      </c>
      <c r="W872" s="28" t="str">
        <f t="shared" si="283"/>
        <v>NO</v>
      </c>
      <c r="X872" s="28" t="str">
        <f t="shared" si="283"/>
        <v>NO</v>
      </c>
      <c r="Y872" s="28" t="str">
        <f t="shared" si="283"/>
        <v>NO</v>
      </c>
      <c r="Z872" s="28" t="str">
        <f t="shared" si="283"/>
        <v>NO</v>
      </c>
      <c r="AA872" s="28" t="str">
        <f t="shared" si="283"/>
        <v>NO</v>
      </c>
      <c r="AB872" s="28" t="str">
        <f t="shared" si="283"/>
        <v>NO</v>
      </c>
      <c r="AC872" s="28" t="str">
        <f t="shared" si="283"/>
        <v>NO</v>
      </c>
      <c r="AD872" s="28" t="str">
        <f t="shared" si="283"/>
        <v>NO</v>
      </c>
      <c r="AE872" s="28" t="str">
        <f t="shared" si="283"/>
        <v>NO</v>
      </c>
      <c r="AF872" s="28" t="str">
        <f t="shared" si="283"/>
        <v>NO</v>
      </c>
      <c r="AG872" s="28" t="str">
        <f t="shared" si="283"/>
        <v>NO</v>
      </c>
      <c r="AH872" s="28" t="str">
        <f t="shared" si="283"/>
        <v>NO</v>
      </c>
      <c r="AI872" s="28" t="str">
        <f t="shared" si="283"/>
        <v>NO</v>
      </c>
      <c r="AJ872" s="28" t="str">
        <f t="shared" si="283"/>
        <v>NO</v>
      </c>
      <c r="AK872" s="28" t="str">
        <f t="shared" si="283"/>
        <v>NO</v>
      </c>
      <c r="AL872" s="28" t="str">
        <f t="shared" si="283"/>
        <v>NO</v>
      </c>
      <c r="AM872" s="28" t="str">
        <f t="shared" si="283"/>
        <v>NO</v>
      </c>
      <c r="AN872" s="28" t="str">
        <f t="shared" si="283"/>
        <v>NO</v>
      </c>
      <c r="AO872" s="28" t="str">
        <f t="shared" si="283"/>
        <v>NO</v>
      </c>
      <c r="AP872" s="28" t="str">
        <f t="shared" si="283"/>
        <v>NO</v>
      </c>
      <c r="AQ872" s="28" t="str">
        <f t="shared" si="283"/>
        <v>NO</v>
      </c>
      <c r="AR872" s="28" t="str">
        <f t="shared" si="283"/>
        <v>NO</v>
      </c>
      <c r="AS872" s="28" t="str">
        <f t="shared" si="283"/>
        <v>NO</v>
      </c>
      <c r="AT872" s="28" t="str">
        <f t="shared" si="283"/>
        <v>NO</v>
      </c>
      <c r="AU872" s="28" t="str">
        <f t="shared" si="283"/>
        <v>NO</v>
      </c>
      <c r="AV872" s="28" t="str">
        <f t="shared" si="283"/>
        <v>NO</v>
      </c>
      <c r="AW872" s="28" t="str">
        <f t="shared" si="283"/>
        <v>NO</v>
      </c>
      <c r="AY872" s="85"/>
      <c r="AZ872" s="85"/>
    </row>
    <row r="873" spans="1:52" x14ac:dyDescent="0.25">
      <c r="A873" s="102" t="str">
        <f t="shared" si="270"/>
        <v>BD Leaching</v>
      </c>
      <c r="B873" s="102" t="s">
        <v>1229</v>
      </c>
      <c r="C873" s="102" t="s">
        <v>1191</v>
      </c>
      <c r="D873" t="s">
        <v>369</v>
      </c>
      <c r="E873" t="s">
        <v>61</v>
      </c>
      <c r="F873" t="s">
        <v>63</v>
      </c>
      <c r="G873" t="s">
        <v>1198</v>
      </c>
      <c r="H873" t="s">
        <v>1199</v>
      </c>
      <c r="I873" t="s">
        <v>139</v>
      </c>
      <c r="J873" t="s">
        <v>287</v>
      </c>
      <c r="K873" s="28">
        <f t="shared" ref="K873:AW873" si="284">K1521</f>
        <v>1.1867590793806392E-4</v>
      </c>
      <c r="L873" s="28">
        <f t="shared" si="284"/>
        <v>1.1853617037070301E-4</v>
      </c>
      <c r="M873" s="28">
        <f t="shared" si="284"/>
        <v>1.1839643280334203E-4</v>
      </c>
      <c r="N873" s="28">
        <f t="shared" si="284"/>
        <v>1.1825669523598106E-4</v>
      </c>
      <c r="O873" s="28">
        <f t="shared" si="284"/>
        <v>1.1811695766862012E-4</v>
      </c>
      <c r="P873" s="28">
        <f t="shared" si="284"/>
        <v>1.1797722010125916E-4</v>
      </c>
      <c r="Q873" s="28">
        <f t="shared" si="284"/>
        <v>1.178374825338982E-4</v>
      </c>
      <c r="R873" s="28">
        <f t="shared" si="284"/>
        <v>1.1769774496653728E-4</v>
      </c>
      <c r="S873" s="28">
        <f t="shared" si="284"/>
        <v>1.1755800739917633E-4</v>
      </c>
      <c r="T873" s="28">
        <f t="shared" si="284"/>
        <v>1.174182698318154E-4</v>
      </c>
      <c r="U873" s="28">
        <f t="shared" si="284"/>
        <v>1.1727853226445441E-4</v>
      </c>
      <c r="V873" s="28">
        <f t="shared" si="284"/>
        <v>1.1713879469709348E-4</v>
      </c>
      <c r="W873" s="28">
        <f t="shared" si="284"/>
        <v>1.1699905712973254E-4</v>
      </c>
      <c r="X873" s="28">
        <f t="shared" si="284"/>
        <v>1.168593195623716E-4</v>
      </c>
      <c r="Y873" s="28">
        <f t="shared" si="284"/>
        <v>1.1671958199501069E-4</v>
      </c>
      <c r="Z873" s="28">
        <f t="shared" si="284"/>
        <v>1.1657984442764968E-4</v>
      </c>
      <c r="AA873" s="28">
        <f t="shared" si="284"/>
        <v>1.1644010686028878E-4</v>
      </c>
      <c r="AB873" s="28">
        <f t="shared" si="284"/>
        <v>1.1630036929292779E-4</v>
      </c>
      <c r="AC873" s="28">
        <f t="shared" si="284"/>
        <v>1.1616063172556689E-4</v>
      </c>
      <c r="AD873" s="28">
        <f t="shared" si="284"/>
        <v>1.1602089415820588E-4</v>
      </c>
      <c r="AE873" s="28">
        <f t="shared" si="284"/>
        <v>1.1588115659084502E-4</v>
      </c>
      <c r="AF873" s="28">
        <f t="shared" si="284"/>
        <v>1.1574141902348403E-4</v>
      </c>
      <c r="AG873" s="28">
        <f t="shared" si="284"/>
        <v>1.1560168145612309E-4</v>
      </c>
      <c r="AH873" s="28">
        <f t="shared" si="284"/>
        <v>1.154619438887621E-4</v>
      </c>
      <c r="AI873" s="28">
        <f t="shared" si="284"/>
        <v>1.1532220632140118E-4</v>
      </c>
      <c r="AJ873" s="28">
        <f t="shared" si="284"/>
        <v>1.1518246875404022E-4</v>
      </c>
      <c r="AK873" s="28">
        <f t="shared" si="284"/>
        <v>1.1504273118667928E-4</v>
      </c>
      <c r="AL873" s="28">
        <f t="shared" si="284"/>
        <v>1.1490299361931835E-4</v>
      </c>
      <c r="AM873" s="28">
        <f t="shared" si="284"/>
        <v>1.1476325605195744E-4</v>
      </c>
      <c r="AN873" s="28">
        <f t="shared" si="284"/>
        <v>1.1462351848459642E-4</v>
      </c>
      <c r="AO873" s="28">
        <f t="shared" si="284"/>
        <v>1.1448378091723552E-4</v>
      </c>
      <c r="AP873" s="28">
        <f t="shared" si="284"/>
        <v>1.1434404334987458E-4</v>
      </c>
      <c r="AQ873" s="28">
        <f t="shared" si="284"/>
        <v>1.1420430578251366E-4</v>
      </c>
      <c r="AR873" s="28">
        <f t="shared" si="284"/>
        <v>1.1406456821515268E-4</v>
      </c>
      <c r="AS873" s="28">
        <f t="shared" si="284"/>
        <v>1.1392483064779174E-4</v>
      </c>
      <c r="AT873" s="28">
        <f t="shared" si="284"/>
        <v>1.1378509308043078E-4</v>
      </c>
      <c r="AU873" s="28">
        <f t="shared" si="284"/>
        <v>1.136453555130698E-4</v>
      </c>
      <c r="AV873" s="28">
        <f t="shared" si="284"/>
        <v>1.1350561794570888E-4</v>
      </c>
      <c r="AW873" s="28">
        <f t="shared" si="284"/>
        <v>1.1336588037834792E-4</v>
      </c>
      <c r="AY873" s="85"/>
      <c r="AZ873" s="85"/>
    </row>
    <row r="874" spans="1:52" x14ac:dyDescent="0.25">
      <c r="A874" s="102" t="str">
        <f t="shared" si="270"/>
        <v>BD Leaching</v>
      </c>
      <c r="B874" s="102" t="s">
        <v>1229</v>
      </c>
      <c r="C874" s="102" t="s">
        <v>1191</v>
      </c>
      <c r="D874" t="s">
        <v>369</v>
      </c>
      <c r="E874" t="s">
        <v>61</v>
      </c>
      <c r="F874" t="s">
        <v>63</v>
      </c>
      <c r="G874" t="s">
        <v>1200</v>
      </c>
      <c r="H874" t="s">
        <v>1201</v>
      </c>
      <c r="I874" t="s">
        <v>139</v>
      </c>
      <c r="J874" t="s">
        <v>287</v>
      </c>
      <c r="K874" s="28">
        <f t="shared" ref="K874:AW874" si="285">K1522</f>
        <v>1.6912231388729011E-2</v>
      </c>
      <c r="L874" s="28">
        <f t="shared" si="285"/>
        <v>1.6951420148247919E-2</v>
      </c>
      <c r="M874" s="28">
        <f t="shared" si="285"/>
        <v>1.6990608907766828E-2</v>
      </c>
      <c r="N874" s="28">
        <f t="shared" si="285"/>
        <v>1.702979766728574E-2</v>
      </c>
      <c r="O874" s="28">
        <f t="shared" si="285"/>
        <v>1.7068986426804648E-2</v>
      </c>
      <c r="P874" s="28">
        <f t="shared" si="285"/>
        <v>1.7108175186323554E-2</v>
      </c>
      <c r="Q874" s="28">
        <f t="shared" si="285"/>
        <v>1.7147363945842466E-2</v>
      </c>
      <c r="R874" s="28">
        <f t="shared" si="285"/>
        <v>1.7186552705361371E-2</v>
      </c>
      <c r="S874" s="28">
        <f t="shared" si="285"/>
        <v>1.7225741464880276E-2</v>
      </c>
      <c r="T874" s="28">
        <f t="shared" si="285"/>
        <v>1.7264930224399191E-2</v>
      </c>
      <c r="U874" s="28">
        <f t="shared" si="285"/>
        <v>1.7304118983918097E-2</v>
      </c>
      <c r="V874" s="28">
        <f t="shared" si="285"/>
        <v>1.7343307743437009E-2</v>
      </c>
      <c r="W874" s="28">
        <f t="shared" si="285"/>
        <v>1.7382496502955917E-2</v>
      </c>
      <c r="X874" s="28">
        <f t="shared" si="285"/>
        <v>1.7421685262474829E-2</v>
      </c>
      <c r="Y874" s="28">
        <f t="shared" si="285"/>
        <v>1.7460874021993734E-2</v>
      </c>
      <c r="Z874" s="28">
        <f t="shared" si="285"/>
        <v>1.750006278151265E-2</v>
      </c>
      <c r="AA874" s="28">
        <f t="shared" si="285"/>
        <v>1.7539251541031548E-2</v>
      </c>
      <c r="AB874" s="28">
        <f t="shared" si="285"/>
        <v>1.7578440300550464E-2</v>
      </c>
      <c r="AC874" s="28">
        <f t="shared" si="285"/>
        <v>1.7617629060069376E-2</v>
      </c>
      <c r="AD874" s="28">
        <f t="shared" si="285"/>
        <v>1.7656817819588281E-2</v>
      </c>
      <c r="AE874" s="28">
        <f t="shared" si="285"/>
        <v>1.769600657910719E-2</v>
      </c>
      <c r="AF874" s="28">
        <f t="shared" si="285"/>
        <v>1.7735195338626102E-2</v>
      </c>
      <c r="AG874" s="28">
        <f t="shared" si="285"/>
        <v>1.777438409814501E-2</v>
      </c>
      <c r="AH874" s="28">
        <f t="shared" si="285"/>
        <v>1.7813572857663919E-2</v>
      </c>
      <c r="AI874" s="28">
        <f t="shared" si="285"/>
        <v>1.7852761617182831E-2</v>
      </c>
      <c r="AJ874" s="28">
        <f t="shared" si="285"/>
        <v>1.7891950376701736E-2</v>
      </c>
      <c r="AK874" s="28">
        <f t="shared" si="285"/>
        <v>1.7931139136220645E-2</v>
      </c>
      <c r="AL874" s="28">
        <f t="shared" si="285"/>
        <v>1.7970327895739557E-2</v>
      </c>
      <c r="AM874" s="28">
        <f t="shared" si="285"/>
        <v>1.8009516655258465E-2</v>
      </c>
      <c r="AN874" s="28">
        <f t="shared" si="285"/>
        <v>1.8048705414777374E-2</v>
      </c>
      <c r="AO874" s="28">
        <f t="shared" si="285"/>
        <v>1.8087894174296286E-2</v>
      </c>
      <c r="AP874" s="28">
        <f t="shared" si="285"/>
        <v>1.8127082933815188E-2</v>
      </c>
      <c r="AQ874" s="28">
        <f t="shared" si="285"/>
        <v>1.8166271693334096E-2</v>
      </c>
      <c r="AR874" s="28">
        <f t="shared" si="285"/>
        <v>1.8205460452853015E-2</v>
      </c>
      <c r="AS874" s="28">
        <f t="shared" si="285"/>
        <v>1.8244649212371917E-2</v>
      </c>
      <c r="AT874" s="28">
        <f t="shared" si="285"/>
        <v>1.8283837971890825E-2</v>
      </c>
      <c r="AU874" s="28">
        <f t="shared" si="285"/>
        <v>1.8323026731409734E-2</v>
      </c>
      <c r="AV874" s="28">
        <f t="shared" si="285"/>
        <v>1.8362215490928643E-2</v>
      </c>
      <c r="AW874" s="28">
        <f t="shared" si="285"/>
        <v>1.8401404250447555E-2</v>
      </c>
      <c r="AY874" s="85"/>
      <c r="AZ874" s="85"/>
    </row>
    <row r="875" spans="1:52" x14ac:dyDescent="0.25">
      <c r="A875" s="102" t="str">
        <f t="shared" si="270"/>
        <v>BD Leaching</v>
      </c>
      <c r="B875" s="102" t="s">
        <v>1229</v>
      </c>
      <c r="C875" s="102" t="s">
        <v>1191</v>
      </c>
      <c r="D875" t="s">
        <v>369</v>
      </c>
      <c r="E875" t="s">
        <v>61</v>
      </c>
      <c r="F875" t="s">
        <v>63</v>
      </c>
      <c r="G875" t="s">
        <v>1202</v>
      </c>
      <c r="H875" t="s">
        <v>1203</v>
      </c>
      <c r="I875" t="s">
        <v>139</v>
      </c>
      <c r="J875" t="s">
        <v>287</v>
      </c>
      <c r="K875" s="28">
        <f t="shared" ref="K875:AW875" si="286">K1523</f>
        <v>1.9871041213735664E-2</v>
      </c>
      <c r="L875" s="28">
        <f t="shared" si="286"/>
        <v>1.9871041213735664E-2</v>
      </c>
      <c r="M875" s="28">
        <f t="shared" si="286"/>
        <v>1.9871041213735664E-2</v>
      </c>
      <c r="N875" s="28">
        <f t="shared" si="286"/>
        <v>1.9871041213735664E-2</v>
      </c>
      <c r="O875" s="28">
        <f t="shared" si="286"/>
        <v>1.9871041213735664E-2</v>
      </c>
      <c r="P875" s="28">
        <f t="shared" si="286"/>
        <v>1.9871041213735664E-2</v>
      </c>
      <c r="Q875" s="28">
        <f t="shared" si="286"/>
        <v>1.9871041213735664E-2</v>
      </c>
      <c r="R875" s="28">
        <f t="shared" si="286"/>
        <v>1.9871041213735664E-2</v>
      </c>
      <c r="S875" s="28">
        <f t="shared" si="286"/>
        <v>1.9871041213735664E-2</v>
      </c>
      <c r="T875" s="28">
        <f t="shared" si="286"/>
        <v>1.9871041213735664E-2</v>
      </c>
      <c r="U875" s="28">
        <f t="shared" si="286"/>
        <v>1.9871041213735664E-2</v>
      </c>
      <c r="V875" s="28">
        <f t="shared" si="286"/>
        <v>1.9871041213735664E-2</v>
      </c>
      <c r="W875" s="28">
        <f t="shared" si="286"/>
        <v>1.9871041213735664E-2</v>
      </c>
      <c r="X875" s="28">
        <f t="shared" si="286"/>
        <v>1.9871041213735664E-2</v>
      </c>
      <c r="Y875" s="28">
        <f t="shared" si="286"/>
        <v>1.9871041213735664E-2</v>
      </c>
      <c r="Z875" s="28">
        <f t="shared" si="286"/>
        <v>1.9871041213735664E-2</v>
      </c>
      <c r="AA875" s="28">
        <f t="shared" si="286"/>
        <v>1.9871041213735664E-2</v>
      </c>
      <c r="AB875" s="28">
        <f t="shared" si="286"/>
        <v>1.9871041213735664E-2</v>
      </c>
      <c r="AC875" s="28">
        <f t="shared" si="286"/>
        <v>1.9871041213735664E-2</v>
      </c>
      <c r="AD875" s="28">
        <f t="shared" si="286"/>
        <v>1.9871041213735664E-2</v>
      </c>
      <c r="AE875" s="28">
        <f t="shared" si="286"/>
        <v>1.9871041213735664E-2</v>
      </c>
      <c r="AF875" s="28">
        <f t="shared" si="286"/>
        <v>1.9871041213735664E-2</v>
      </c>
      <c r="AG875" s="28">
        <f t="shared" si="286"/>
        <v>1.9871041213735664E-2</v>
      </c>
      <c r="AH875" s="28">
        <f t="shared" si="286"/>
        <v>1.9871041213735664E-2</v>
      </c>
      <c r="AI875" s="28">
        <f t="shared" si="286"/>
        <v>1.9871041213735664E-2</v>
      </c>
      <c r="AJ875" s="28">
        <f t="shared" si="286"/>
        <v>1.9871041213735664E-2</v>
      </c>
      <c r="AK875" s="28">
        <f t="shared" si="286"/>
        <v>1.9871041213735664E-2</v>
      </c>
      <c r="AL875" s="28">
        <f t="shared" si="286"/>
        <v>1.9871041213735664E-2</v>
      </c>
      <c r="AM875" s="28">
        <f t="shared" si="286"/>
        <v>1.9871041213735664E-2</v>
      </c>
      <c r="AN875" s="28">
        <f t="shared" si="286"/>
        <v>1.9871041213735664E-2</v>
      </c>
      <c r="AO875" s="28">
        <f t="shared" si="286"/>
        <v>1.9871041213735664E-2</v>
      </c>
      <c r="AP875" s="28">
        <f t="shared" si="286"/>
        <v>1.9871041213735664E-2</v>
      </c>
      <c r="AQ875" s="28">
        <f t="shared" si="286"/>
        <v>1.9871041213735664E-2</v>
      </c>
      <c r="AR875" s="28">
        <f t="shared" si="286"/>
        <v>1.9871041213735664E-2</v>
      </c>
      <c r="AS875" s="28">
        <f t="shared" si="286"/>
        <v>1.9871041213735664E-2</v>
      </c>
      <c r="AT875" s="28">
        <f t="shared" si="286"/>
        <v>1.9871041213735664E-2</v>
      </c>
      <c r="AU875" s="28">
        <f t="shared" si="286"/>
        <v>1.9871041213735664E-2</v>
      </c>
      <c r="AV875" s="28">
        <f t="shared" si="286"/>
        <v>1.9871041213735664E-2</v>
      </c>
      <c r="AW875" s="28">
        <f t="shared" si="286"/>
        <v>1.9871041213735664E-2</v>
      </c>
      <c r="AY875" s="85"/>
      <c r="AZ875" s="85"/>
    </row>
    <row r="876" spans="1:52" x14ac:dyDescent="0.25">
      <c r="A876" s="102" t="str">
        <f t="shared" si="270"/>
        <v>BD Leaching</v>
      </c>
      <c r="B876" s="102" t="s">
        <v>1229</v>
      </c>
      <c r="C876" s="102" t="s">
        <v>1191</v>
      </c>
      <c r="D876" t="s">
        <v>369</v>
      </c>
      <c r="E876" t="s">
        <v>61</v>
      </c>
      <c r="F876" t="s">
        <v>63</v>
      </c>
      <c r="G876" t="s">
        <v>1204</v>
      </c>
      <c r="H876" t="s">
        <v>1205</v>
      </c>
      <c r="I876" t="s">
        <v>139</v>
      </c>
      <c r="J876" t="s">
        <v>287</v>
      </c>
      <c r="K876" s="28" t="str">
        <f t="shared" ref="K876:AW876" si="287">K1524</f>
        <v>NO</v>
      </c>
      <c r="L876" s="28" t="str">
        <f t="shared" si="287"/>
        <v>NO</v>
      </c>
      <c r="M876" s="28" t="str">
        <f t="shared" si="287"/>
        <v>NO</v>
      </c>
      <c r="N876" s="28" t="str">
        <f t="shared" si="287"/>
        <v>NO</v>
      </c>
      <c r="O876" s="28" t="str">
        <f t="shared" si="287"/>
        <v>NO</v>
      </c>
      <c r="P876" s="28" t="str">
        <f t="shared" si="287"/>
        <v>NO</v>
      </c>
      <c r="Q876" s="28" t="str">
        <f t="shared" si="287"/>
        <v>NO</v>
      </c>
      <c r="R876" s="28" t="str">
        <f t="shared" si="287"/>
        <v>NO</v>
      </c>
      <c r="S876" s="28" t="str">
        <f t="shared" si="287"/>
        <v>NO</v>
      </c>
      <c r="T876" s="28" t="str">
        <f t="shared" si="287"/>
        <v>NO</v>
      </c>
      <c r="U876" s="28" t="str">
        <f t="shared" si="287"/>
        <v>NO</v>
      </c>
      <c r="V876" s="28" t="str">
        <f t="shared" si="287"/>
        <v>NO</v>
      </c>
      <c r="W876" s="28" t="str">
        <f t="shared" si="287"/>
        <v>NO</v>
      </c>
      <c r="X876" s="28" t="str">
        <f t="shared" si="287"/>
        <v>NO</v>
      </c>
      <c r="Y876" s="28" t="str">
        <f t="shared" si="287"/>
        <v>NO</v>
      </c>
      <c r="Z876" s="28" t="str">
        <f t="shared" si="287"/>
        <v>NO</v>
      </c>
      <c r="AA876" s="28" t="str">
        <f t="shared" si="287"/>
        <v>NO</v>
      </c>
      <c r="AB876" s="28" t="str">
        <f t="shared" si="287"/>
        <v>NO</v>
      </c>
      <c r="AC876" s="28" t="str">
        <f t="shared" si="287"/>
        <v>NO</v>
      </c>
      <c r="AD876" s="28" t="str">
        <f t="shared" si="287"/>
        <v>NO</v>
      </c>
      <c r="AE876" s="28" t="str">
        <f t="shared" si="287"/>
        <v>NO</v>
      </c>
      <c r="AF876" s="28" t="str">
        <f t="shared" si="287"/>
        <v>NO</v>
      </c>
      <c r="AG876" s="28" t="str">
        <f t="shared" si="287"/>
        <v>NO</v>
      </c>
      <c r="AH876" s="28" t="str">
        <f t="shared" si="287"/>
        <v>NO</v>
      </c>
      <c r="AI876" s="28" t="str">
        <f t="shared" si="287"/>
        <v>NO</v>
      </c>
      <c r="AJ876" s="28" t="str">
        <f t="shared" si="287"/>
        <v>NO</v>
      </c>
      <c r="AK876" s="28" t="str">
        <f t="shared" si="287"/>
        <v>NO</v>
      </c>
      <c r="AL876" s="28" t="str">
        <f t="shared" si="287"/>
        <v>NO</v>
      </c>
      <c r="AM876" s="28" t="str">
        <f t="shared" si="287"/>
        <v>NO</v>
      </c>
      <c r="AN876" s="28" t="str">
        <f t="shared" si="287"/>
        <v>NO</v>
      </c>
      <c r="AO876" s="28" t="str">
        <f t="shared" si="287"/>
        <v>NO</v>
      </c>
      <c r="AP876" s="28" t="str">
        <f t="shared" si="287"/>
        <v>NO</v>
      </c>
      <c r="AQ876" s="28" t="str">
        <f t="shared" si="287"/>
        <v>NO</v>
      </c>
      <c r="AR876" s="28" t="str">
        <f t="shared" si="287"/>
        <v>NO</v>
      </c>
      <c r="AS876" s="28" t="str">
        <f t="shared" si="287"/>
        <v>NO</v>
      </c>
      <c r="AT876" s="28" t="str">
        <f t="shared" si="287"/>
        <v>NO</v>
      </c>
      <c r="AU876" s="28" t="str">
        <f t="shared" si="287"/>
        <v>NO</v>
      </c>
      <c r="AV876" s="28" t="str">
        <f t="shared" si="287"/>
        <v>NO</v>
      </c>
      <c r="AW876" s="28" t="str">
        <f t="shared" si="287"/>
        <v>NO</v>
      </c>
      <c r="AY876" s="85"/>
      <c r="AZ876" s="85"/>
    </row>
    <row r="877" spans="1:52" x14ac:dyDescent="0.25">
      <c r="A877" s="102" t="str">
        <f t="shared" si="270"/>
        <v>BD Leaching</v>
      </c>
      <c r="B877" s="102" t="s">
        <v>1229</v>
      </c>
      <c r="C877" s="102" t="s">
        <v>1191</v>
      </c>
      <c r="D877" t="s">
        <v>369</v>
      </c>
      <c r="E877" t="s">
        <v>61</v>
      </c>
      <c r="F877" t="s">
        <v>63</v>
      </c>
      <c r="G877" t="s">
        <v>1206</v>
      </c>
      <c r="H877" t="s">
        <v>1207</v>
      </c>
      <c r="I877" t="s">
        <v>139</v>
      </c>
      <c r="J877" t="s">
        <v>287</v>
      </c>
      <c r="K877" s="28" t="str">
        <f t="shared" ref="K877:AW877" si="288">K1525</f>
        <v>NO</v>
      </c>
      <c r="L877" s="28" t="str">
        <f t="shared" si="288"/>
        <v>NO</v>
      </c>
      <c r="M877" s="28" t="str">
        <f t="shared" si="288"/>
        <v>NO</v>
      </c>
      <c r="N877" s="28" t="str">
        <f t="shared" si="288"/>
        <v>NO</v>
      </c>
      <c r="O877" s="28" t="str">
        <f t="shared" si="288"/>
        <v>NO</v>
      </c>
      <c r="P877" s="28" t="str">
        <f t="shared" si="288"/>
        <v>NO</v>
      </c>
      <c r="Q877" s="28" t="str">
        <f t="shared" si="288"/>
        <v>NO</v>
      </c>
      <c r="R877" s="28" t="str">
        <f t="shared" si="288"/>
        <v>NO</v>
      </c>
      <c r="S877" s="28" t="str">
        <f t="shared" si="288"/>
        <v>NO</v>
      </c>
      <c r="T877" s="28" t="str">
        <f t="shared" si="288"/>
        <v>NO</v>
      </c>
      <c r="U877" s="28" t="str">
        <f t="shared" si="288"/>
        <v>NO</v>
      </c>
      <c r="V877" s="28" t="str">
        <f t="shared" si="288"/>
        <v>NO</v>
      </c>
      <c r="W877" s="28" t="str">
        <f t="shared" si="288"/>
        <v>NO</v>
      </c>
      <c r="X877" s="28" t="str">
        <f t="shared" si="288"/>
        <v>NO</v>
      </c>
      <c r="Y877" s="28" t="str">
        <f t="shared" si="288"/>
        <v>NO</v>
      </c>
      <c r="Z877" s="28" t="str">
        <f t="shared" si="288"/>
        <v>NO</v>
      </c>
      <c r="AA877" s="28" t="str">
        <f t="shared" si="288"/>
        <v>NO</v>
      </c>
      <c r="AB877" s="28" t="str">
        <f t="shared" si="288"/>
        <v>NO</v>
      </c>
      <c r="AC877" s="28" t="str">
        <f t="shared" si="288"/>
        <v>NO</v>
      </c>
      <c r="AD877" s="28" t="str">
        <f t="shared" si="288"/>
        <v>NO</v>
      </c>
      <c r="AE877" s="28" t="str">
        <f t="shared" si="288"/>
        <v>NO</v>
      </c>
      <c r="AF877" s="28" t="str">
        <f t="shared" si="288"/>
        <v>NO</v>
      </c>
      <c r="AG877" s="28" t="str">
        <f t="shared" si="288"/>
        <v>NO</v>
      </c>
      <c r="AH877" s="28" t="str">
        <f t="shared" si="288"/>
        <v>NO</v>
      </c>
      <c r="AI877" s="28" t="str">
        <f t="shared" si="288"/>
        <v>NO</v>
      </c>
      <c r="AJ877" s="28" t="str">
        <f t="shared" si="288"/>
        <v>NO</v>
      </c>
      <c r="AK877" s="28" t="str">
        <f t="shared" si="288"/>
        <v>NO</v>
      </c>
      <c r="AL877" s="28" t="str">
        <f t="shared" si="288"/>
        <v>NO</v>
      </c>
      <c r="AM877" s="28" t="str">
        <f t="shared" si="288"/>
        <v>NO</v>
      </c>
      <c r="AN877" s="28" t="str">
        <f t="shared" si="288"/>
        <v>NO</v>
      </c>
      <c r="AO877" s="28" t="str">
        <f t="shared" si="288"/>
        <v>NO</v>
      </c>
      <c r="AP877" s="28" t="str">
        <f t="shared" si="288"/>
        <v>NO</v>
      </c>
      <c r="AQ877" s="28" t="str">
        <f t="shared" si="288"/>
        <v>NO</v>
      </c>
      <c r="AR877" s="28" t="str">
        <f t="shared" si="288"/>
        <v>NO</v>
      </c>
      <c r="AS877" s="28" t="str">
        <f t="shared" si="288"/>
        <v>NO</v>
      </c>
      <c r="AT877" s="28" t="str">
        <f t="shared" si="288"/>
        <v>NO</v>
      </c>
      <c r="AU877" s="28" t="str">
        <f t="shared" si="288"/>
        <v>NO</v>
      </c>
      <c r="AV877" s="28" t="str">
        <f t="shared" si="288"/>
        <v>NO</v>
      </c>
      <c r="AW877" s="28" t="str">
        <f t="shared" si="288"/>
        <v>NO</v>
      </c>
      <c r="AY877" s="85"/>
      <c r="AZ877" s="85"/>
    </row>
    <row r="878" spans="1:52" x14ac:dyDescent="0.25">
      <c r="A878" s="102" t="str">
        <f t="shared" si="270"/>
        <v>BD Leaching</v>
      </c>
      <c r="B878" s="102" t="s">
        <v>1229</v>
      </c>
      <c r="C878" s="102" t="s">
        <v>1191</v>
      </c>
      <c r="D878" t="s">
        <v>369</v>
      </c>
      <c r="E878" t="s">
        <v>61</v>
      </c>
      <c r="F878" t="s">
        <v>63</v>
      </c>
      <c r="G878" t="s">
        <v>1208</v>
      </c>
      <c r="H878" t="s">
        <v>1209</v>
      </c>
      <c r="I878" t="s">
        <v>139</v>
      </c>
      <c r="J878" t="s">
        <v>287</v>
      </c>
      <c r="K878" s="28" t="str">
        <f t="shared" ref="K878:AW878" si="289">K1526</f>
        <v>NO</v>
      </c>
      <c r="L878" s="28" t="str">
        <f t="shared" si="289"/>
        <v>NO</v>
      </c>
      <c r="M878" s="28" t="str">
        <f t="shared" si="289"/>
        <v>NO</v>
      </c>
      <c r="N878" s="28" t="str">
        <f t="shared" si="289"/>
        <v>NO</v>
      </c>
      <c r="O878" s="28" t="str">
        <f t="shared" si="289"/>
        <v>NO</v>
      </c>
      <c r="P878" s="28" t="str">
        <f t="shared" si="289"/>
        <v>NO</v>
      </c>
      <c r="Q878" s="28" t="str">
        <f t="shared" si="289"/>
        <v>NO</v>
      </c>
      <c r="R878" s="28" t="str">
        <f t="shared" si="289"/>
        <v>NO</v>
      </c>
      <c r="S878" s="28" t="str">
        <f t="shared" si="289"/>
        <v>NO</v>
      </c>
      <c r="T878" s="28" t="str">
        <f t="shared" si="289"/>
        <v>NO</v>
      </c>
      <c r="U878" s="28" t="str">
        <f t="shared" si="289"/>
        <v>NO</v>
      </c>
      <c r="V878" s="28" t="str">
        <f t="shared" si="289"/>
        <v>NO</v>
      </c>
      <c r="W878" s="28" t="str">
        <f t="shared" si="289"/>
        <v>NO</v>
      </c>
      <c r="X878" s="28" t="str">
        <f t="shared" si="289"/>
        <v>NO</v>
      </c>
      <c r="Y878" s="28" t="str">
        <f t="shared" si="289"/>
        <v>NO</v>
      </c>
      <c r="Z878" s="28" t="str">
        <f t="shared" si="289"/>
        <v>NO</v>
      </c>
      <c r="AA878" s="28" t="str">
        <f t="shared" si="289"/>
        <v>NO</v>
      </c>
      <c r="AB878" s="28" t="str">
        <f t="shared" si="289"/>
        <v>NO</v>
      </c>
      <c r="AC878" s="28" t="str">
        <f t="shared" si="289"/>
        <v>NO</v>
      </c>
      <c r="AD878" s="28" t="str">
        <f t="shared" si="289"/>
        <v>NO</v>
      </c>
      <c r="AE878" s="28" t="str">
        <f t="shared" si="289"/>
        <v>NO</v>
      </c>
      <c r="AF878" s="28" t="str">
        <f t="shared" si="289"/>
        <v>NO</v>
      </c>
      <c r="AG878" s="28" t="str">
        <f t="shared" si="289"/>
        <v>NO</v>
      </c>
      <c r="AH878" s="28" t="str">
        <f t="shared" si="289"/>
        <v>NO</v>
      </c>
      <c r="AI878" s="28" t="str">
        <f t="shared" si="289"/>
        <v>NO</v>
      </c>
      <c r="AJ878" s="28" t="str">
        <f t="shared" si="289"/>
        <v>NO</v>
      </c>
      <c r="AK878" s="28" t="str">
        <f t="shared" si="289"/>
        <v>NO</v>
      </c>
      <c r="AL878" s="28" t="str">
        <f t="shared" si="289"/>
        <v>NO</v>
      </c>
      <c r="AM878" s="28" t="str">
        <f t="shared" si="289"/>
        <v>NO</v>
      </c>
      <c r="AN878" s="28" t="str">
        <f t="shared" si="289"/>
        <v>NO</v>
      </c>
      <c r="AO878" s="28" t="str">
        <f t="shared" si="289"/>
        <v>NO</v>
      </c>
      <c r="AP878" s="28" t="str">
        <f t="shared" si="289"/>
        <v>NO</v>
      </c>
      <c r="AQ878" s="28" t="str">
        <f t="shared" si="289"/>
        <v>NO</v>
      </c>
      <c r="AR878" s="28" t="str">
        <f t="shared" si="289"/>
        <v>NO</v>
      </c>
      <c r="AS878" s="28" t="str">
        <f t="shared" si="289"/>
        <v>NO</v>
      </c>
      <c r="AT878" s="28" t="str">
        <f t="shared" si="289"/>
        <v>NO</v>
      </c>
      <c r="AU878" s="28" t="str">
        <f t="shared" si="289"/>
        <v>NO</v>
      </c>
      <c r="AV878" s="28" t="str">
        <f t="shared" si="289"/>
        <v>NO</v>
      </c>
      <c r="AW878" s="28" t="str">
        <f t="shared" si="289"/>
        <v>NO</v>
      </c>
      <c r="AY878" s="85"/>
      <c r="AZ878" s="85"/>
    </row>
    <row r="879" spans="1:52" x14ac:dyDescent="0.25">
      <c r="A879" s="102" t="str">
        <f t="shared" si="270"/>
        <v>BD Leaching</v>
      </c>
      <c r="B879" s="102" t="s">
        <v>1229</v>
      </c>
      <c r="C879" s="102" t="s">
        <v>1191</v>
      </c>
      <c r="D879" t="s">
        <v>369</v>
      </c>
      <c r="E879" t="s">
        <v>61</v>
      </c>
      <c r="F879" t="s">
        <v>63</v>
      </c>
      <c r="G879" t="s">
        <v>1210</v>
      </c>
      <c r="H879" t="s">
        <v>1211</v>
      </c>
      <c r="I879" t="s">
        <v>139</v>
      </c>
      <c r="J879" t="s">
        <v>287</v>
      </c>
      <c r="K879" s="28">
        <f t="shared" ref="K879:AW879" si="290">K1527</f>
        <v>1.9333864620707719E-6</v>
      </c>
      <c r="L879" s="28">
        <f t="shared" si="290"/>
        <v>1.9333864620707719E-6</v>
      </c>
      <c r="M879" s="28">
        <f t="shared" si="290"/>
        <v>1.9333864620707719E-6</v>
      </c>
      <c r="N879" s="28">
        <f t="shared" si="290"/>
        <v>1.9333864620707719E-6</v>
      </c>
      <c r="O879" s="28">
        <f t="shared" si="290"/>
        <v>1.9333864620707719E-6</v>
      </c>
      <c r="P879" s="28">
        <f t="shared" si="290"/>
        <v>1.9333864620707719E-6</v>
      </c>
      <c r="Q879" s="28">
        <f t="shared" si="290"/>
        <v>1.9333864620707719E-6</v>
      </c>
      <c r="R879" s="28">
        <f t="shared" si="290"/>
        <v>1.9333864620707719E-6</v>
      </c>
      <c r="S879" s="28">
        <f t="shared" si="290"/>
        <v>1.9333864620707719E-6</v>
      </c>
      <c r="T879" s="28">
        <f t="shared" si="290"/>
        <v>1.9333864620707719E-6</v>
      </c>
      <c r="U879" s="28">
        <f t="shared" si="290"/>
        <v>1.9333864620707719E-6</v>
      </c>
      <c r="V879" s="28">
        <f t="shared" si="290"/>
        <v>1.9333864620707719E-6</v>
      </c>
      <c r="W879" s="28">
        <f t="shared" si="290"/>
        <v>1.9333864620707719E-6</v>
      </c>
      <c r="X879" s="28">
        <f t="shared" si="290"/>
        <v>1.9333864620707719E-6</v>
      </c>
      <c r="Y879" s="28">
        <f t="shared" si="290"/>
        <v>1.9333864620707719E-6</v>
      </c>
      <c r="Z879" s="28">
        <f t="shared" si="290"/>
        <v>1.9333864620707719E-6</v>
      </c>
      <c r="AA879" s="28">
        <f t="shared" si="290"/>
        <v>1.9333864620707719E-6</v>
      </c>
      <c r="AB879" s="28">
        <f t="shared" si="290"/>
        <v>1.9333864620707719E-6</v>
      </c>
      <c r="AC879" s="28">
        <f t="shared" si="290"/>
        <v>1.9333864620707719E-6</v>
      </c>
      <c r="AD879" s="28">
        <f t="shared" si="290"/>
        <v>1.9333864620707719E-6</v>
      </c>
      <c r="AE879" s="28">
        <f t="shared" si="290"/>
        <v>1.9333864620707719E-6</v>
      </c>
      <c r="AF879" s="28">
        <f t="shared" si="290"/>
        <v>1.9333864620707719E-6</v>
      </c>
      <c r="AG879" s="28">
        <f t="shared" si="290"/>
        <v>1.9333864620707719E-6</v>
      </c>
      <c r="AH879" s="28">
        <f t="shared" si="290"/>
        <v>1.9333864620707719E-6</v>
      </c>
      <c r="AI879" s="28">
        <f t="shared" si="290"/>
        <v>1.9333864620707719E-6</v>
      </c>
      <c r="AJ879" s="28">
        <f t="shared" si="290"/>
        <v>1.9333864620707719E-6</v>
      </c>
      <c r="AK879" s="28">
        <f t="shared" si="290"/>
        <v>1.9333864620707719E-6</v>
      </c>
      <c r="AL879" s="28">
        <f t="shared" si="290"/>
        <v>1.9333864620707719E-6</v>
      </c>
      <c r="AM879" s="28">
        <f t="shared" si="290"/>
        <v>1.9333864620707719E-6</v>
      </c>
      <c r="AN879" s="28">
        <f t="shared" si="290"/>
        <v>1.9333864620707719E-6</v>
      </c>
      <c r="AO879" s="28">
        <f t="shared" si="290"/>
        <v>1.9333864620707719E-6</v>
      </c>
      <c r="AP879" s="28">
        <f t="shared" si="290"/>
        <v>1.9333864620707719E-6</v>
      </c>
      <c r="AQ879" s="28">
        <f t="shared" si="290"/>
        <v>1.9333864620707719E-6</v>
      </c>
      <c r="AR879" s="28">
        <f t="shared" si="290"/>
        <v>1.9333864620707719E-6</v>
      </c>
      <c r="AS879" s="28">
        <f t="shared" si="290"/>
        <v>1.9333864620707719E-6</v>
      </c>
      <c r="AT879" s="28">
        <f t="shared" si="290"/>
        <v>1.9333864620707719E-6</v>
      </c>
      <c r="AU879" s="28">
        <f t="shared" si="290"/>
        <v>1.9333864620707719E-6</v>
      </c>
      <c r="AV879" s="28">
        <f t="shared" si="290"/>
        <v>1.9333864620707719E-6</v>
      </c>
      <c r="AW879" s="28">
        <f t="shared" si="290"/>
        <v>1.9333864620707719E-6</v>
      </c>
      <c r="AY879" s="85"/>
      <c r="AZ879" s="85"/>
    </row>
    <row r="880" spans="1:52" x14ac:dyDescent="0.25">
      <c r="A880" s="102" t="str">
        <f t="shared" si="270"/>
        <v>BD Leaching</v>
      </c>
      <c r="B880" s="102" t="s">
        <v>1229</v>
      </c>
      <c r="C880" s="102" t="s">
        <v>1191</v>
      </c>
      <c r="D880" t="s">
        <v>369</v>
      </c>
      <c r="E880" t="s">
        <v>61</v>
      </c>
      <c r="F880" t="s">
        <v>63</v>
      </c>
      <c r="G880" t="s">
        <v>1212</v>
      </c>
      <c r="H880" t="s">
        <v>1213</v>
      </c>
      <c r="I880" t="s">
        <v>139</v>
      </c>
      <c r="J880" t="s">
        <v>287</v>
      </c>
      <c r="K880" s="28">
        <f t="shared" ref="K880:AW880" si="291">K1528</f>
        <v>2.1082459751876198E-3</v>
      </c>
      <c r="L880" s="28">
        <f t="shared" si="291"/>
        <v>2.1082459751876198E-3</v>
      </c>
      <c r="M880" s="28">
        <f t="shared" si="291"/>
        <v>2.1082459751876198E-3</v>
      </c>
      <c r="N880" s="28">
        <f t="shared" si="291"/>
        <v>2.1082459751876198E-3</v>
      </c>
      <c r="O880" s="28">
        <f t="shared" si="291"/>
        <v>2.1082459751876198E-3</v>
      </c>
      <c r="P880" s="28">
        <f t="shared" si="291"/>
        <v>2.1082459751876198E-3</v>
      </c>
      <c r="Q880" s="28">
        <f t="shared" si="291"/>
        <v>2.1082459751876198E-3</v>
      </c>
      <c r="R880" s="28">
        <f t="shared" si="291"/>
        <v>2.1082459751876198E-3</v>
      </c>
      <c r="S880" s="28">
        <f t="shared" si="291"/>
        <v>2.1082459751876198E-3</v>
      </c>
      <c r="T880" s="28">
        <f t="shared" si="291"/>
        <v>2.1082459751876198E-3</v>
      </c>
      <c r="U880" s="28">
        <f t="shared" si="291"/>
        <v>2.1082459751876198E-3</v>
      </c>
      <c r="V880" s="28">
        <f t="shared" si="291"/>
        <v>2.1082459751876198E-3</v>
      </c>
      <c r="W880" s="28">
        <f t="shared" si="291"/>
        <v>2.1082459751876198E-3</v>
      </c>
      <c r="X880" s="28">
        <f t="shared" si="291"/>
        <v>2.1082459751876198E-3</v>
      </c>
      <c r="Y880" s="28">
        <f t="shared" si="291"/>
        <v>2.1082459751876198E-3</v>
      </c>
      <c r="Z880" s="28">
        <f t="shared" si="291"/>
        <v>2.1082459751876198E-3</v>
      </c>
      <c r="AA880" s="28">
        <f t="shared" si="291"/>
        <v>2.1082459751876198E-3</v>
      </c>
      <c r="AB880" s="28">
        <f t="shared" si="291"/>
        <v>2.1082459751876198E-3</v>
      </c>
      <c r="AC880" s="28">
        <f t="shared" si="291"/>
        <v>2.1082459751876198E-3</v>
      </c>
      <c r="AD880" s="28">
        <f t="shared" si="291"/>
        <v>2.1082459751876198E-3</v>
      </c>
      <c r="AE880" s="28">
        <f t="shared" si="291"/>
        <v>2.1082459751876198E-3</v>
      </c>
      <c r="AF880" s="28">
        <f t="shared" si="291"/>
        <v>2.1082459751876198E-3</v>
      </c>
      <c r="AG880" s="28">
        <f t="shared" si="291"/>
        <v>2.1082459751876198E-3</v>
      </c>
      <c r="AH880" s="28">
        <f t="shared" si="291"/>
        <v>2.1082459751876198E-3</v>
      </c>
      <c r="AI880" s="28">
        <f t="shared" si="291"/>
        <v>2.1082459751876198E-3</v>
      </c>
      <c r="AJ880" s="28">
        <f t="shared" si="291"/>
        <v>2.1082459751876198E-3</v>
      </c>
      <c r="AK880" s="28">
        <f t="shared" si="291"/>
        <v>2.1082459751876198E-3</v>
      </c>
      <c r="AL880" s="28">
        <f t="shared" si="291"/>
        <v>2.1082459751876198E-3</v>
      </c>
      <c r="AM880" s="28">
        <f t="shared" si="291"/>
        <v>2.1082459751876198E-3</v>
      </c>
      <c r="AN880" s="28">
        <f t="shared" si="291"/>
        <v>2.1082459751876198E-3</v>
      </c>
      <c r="AO880" s="28">
        <f t="shared" si="291"/>
        <v>2.1082459751876198E-3</v>
      </c>
      <c r="AP880" s="28">
        <f t="shared" si="291"/>
        <v>2.1082459751876198E-3</v>
      </c>
      <c r="AQ880" s="28">
        <f t="shared" si="291"/>
        <v>2.1082459751876198E-3</v>
      </c>
      <c r="AR880" s="28">
        <f t="shared" si="291"/>
        <v>2.1082459751876198E-3</v>
      </c>
      <c r="AS880" s="28">
        <f t="shared" si="291"/>
        <v>2.1082459751876198E-3</v>
      </c>
      <c r="AT880" s="28">
        <f t="shared" si="291"/>
        <v>2.1082459751876198E-3</v>
      </c>
      <c r="AU880" s="28">
        <f t="shared" si="291"/>
        <v>2.1082459751876198E-3</v>
      </c>
      <c r="AV880" s="28">
        <f t="shared" si="291"/>
        <v>2.1082459751876198E-3</v>
      </c>
      <c r="AW880" s="28">
        <f t="shared" si="291"/>
        <v>2.1082459751876198E-3</v>
      </c>
      <c r="AY880" s="85"/>
      <c r="AZ880" s="85"/>
    </row>
    <row r="881" spans="1:52" x14ac:dyDescent="0.25">
      <c r="A881" s="102" t="str">
        <f t="shared" si="270"/>
        <v>BD Leaching</v>
      </c>
      <c r="B881" s="102" t="s">
        <v>1229</v>
      </c>
      <c r="C881" s="102" t="s">
        <v>1191</v>
      </c>
      <c r="D881" t="s">
        <v>369</v>
      </c>
      <c r="E881" t="s">
        <v>61</v>
      </c>
      <c r="F881" t="s">
        <v>63</v>
      </c>
      <c r="G881" t="s">
        <v>1214</v>
      </c>
      <c r="H881" t="s">
        <v>1215</v>
      </c>
      <c r="I881" t="s">
        <v>139</v>
      </c>
      <c r="J881" t="s">
        <v>287</v>
      </c>
      <c r="K881" s="28" t="str">
        <f t="shared" ref="K881:AW881" si="292">K1529</f>
        <v>NO</v>
      </c>
      <c r="L881" s="28" t="str">
        <f t="shared" si="292"/>
        <v>NO</v>
      </c>
      <c r="M881" s="28" t="str">
        <f t="shared" si="292"/>
        <v>NO</v>
      </c>
      <c r="N881" s="28" t="str">
        <f t="shared" si="292"/>
        <v>NO</v>
      </c>
      <c r="O881" s="28" t="str">
        <f t="shared" si="292"/>
        <v>NO</v>
      </c>
      <c r="P881" s="28" t="str">
        <f t="shared" si="292"/>
        <v>NO</v>
      </c>
      <c r="Q881" s="28" t="str">
        <f t="shared" si="292"/>
        <v>NO</v>
      </c>
      <c r="R881" s="28" t="str">
        <f t="shared" si="292"/>
        <v>NO</v>
      </c>
      <c r="S881" s="28" t="str">
        <f t="shared" si="292"/>
        <v>NO</v>
      </c>
      <c r="T881" s="28" t="str">
        <f t="shared" si="292"/>
        <v>NO</v>
      </c>
      <c r="U881" s="28" t="str">
        <f t="shared" si="292"/>
        <v>NO</v>
      </c>
      <c r="V881" s="28" t="str">
        <f t="shared" si="292"/>
        <v>NO</v>
      </c>
      <c r="W881" s="28" t="str">
        <f t="shared" si="292"/>
        <v>NO</v>
      </c>
      <c r="X881" s="28" t="str">
        <f t="shared" si="292"/>
        <v>NO</v>
      </c>
      <c r="Y881" s="28" t="str">
        <f t="shared" si="292"/>
        <v>NO</v>
      </c>
      <c r="Z881" s="28" t="str">
        <f t="shared" si="292"/>
        <v>NO</v>
      </c>
      <c r="AA881" s="28" t="str">
        <f t="shared" si="292"/>
        <v>NO</v>
      </c>
      <c r="AB881" s="28" t="str">
        <f t="shared" si="292"/>
        <v>NO</v>
      </c>
      <c r="AC881" s="28" t="str">
        <f t="shared" si="292"/>
        <v>NO</v>
      </c>
      <c r="AD881" s="28" t="str">
        <f t="shared" si="292"/>
        <v>NO</v>
      </c>
      <c r="AE881" s="28" t="str">
        <f t="shared" si="292"/>
        <v>NO</v>
      </c>
      <c r="AF881" s="28" t="str">
        <f t="shared" si="292"/>
        <v>NO</v>
      </c>
      <c r="AG881" s="28" t="str">
        <f t="shared" si="292"/>
        <v>NO</v>
      </c>
      <c r="AH881" s="28" t="str">
        <f t="shared" si="292"/>
        <v>NO</v>
      </c>
      <c r="AI881" s="28" t="str">
        <f t="shared" si="292"/>
        <v>NO</v>
      </c>
      <c r="AJ881" s="28" t="str">
        <f t="shared" si="292"/>
        <v>NO</v>
      </c>
      <c r="AK881" s="28" t="str">
        <f t="shared" si="292"/>
        <v>NO</v>
      </c>
      <c r="AL881" s="28" t="str">
        <f t="shared" si="292"/>
        <v>NO</v>
      </c>
      <c r="AM881" s="28" t="str">
        <f t="shared" si="292"/>
        <v>NO</v>
      </c>
      <c r="AN881" s="28" t="str">
        <f t="shared" si="292"/>
        <v>NO</v>
      </c>
      <c r="AO881" s="28" t="str">
        <f t="shared" si="292"/>
        <v>NO</v>
      </c>
      <c r="AP881" s="28" t="str">
        <f t="shared" si="292"/>
        <v>NO</v>
      </c>
      <c r="AQ881" s="28" t="str">
        <f t="shared" si="292"/>
        <v>NO</v>
      </c>
      <c r="AR881" s="28" t="str">
        <f t="shared" si="292"/>
        <v>NO</v>
      </c>
      <c r="AS881" s="28" t="str">
        <f t="shared" si="292"/>
        <v>NO</v>
      </c>
      <c r="AT881" s="28" t="str">
        <f t="shared" si="292"/>
        <v>NO</v>
      </c>
      <c r="AU881" s="28" t="str">
        <f t="shared" si="292"/>
        <v>NO</v>
      </c>
      <c r="AV881" s="28" t="str">
        <f t="shared" si="292"/>
        <v>NO</v>
      </c>
      <c r="AW881" s="28" t="str">
        <f t="shared" si="292"/>
        <v>NO</v>
      </c>
      <c r="AY881" s="85"/>
      <c r="AZ881" s="85"/>
    </row>
    <row r="882" spans="1:52" x14ac:dyDescent="0.25">
      <c r="A882" s="102"/>
      <c r="B882" s="102" t="s">
        <v>1229</v>
      </c>
      <c r="C882" s="102"/>
      <c r="D882" t="s">
        <v>369</v>
      </c>
      <c r="E882" t="s">
        <v>61</v>
      </c>
      <c r="F882" t="s">
        <v>63</v>
      </c>
      <c r="G882" t="s">
        <v>1216</v>
      </c>
      <c r="H882" t="s">
        <v>1217</v>
      </c>
      <c r="I882" t="s">
        <v>139</v>
      </c>
      <c r="J882" t="s">
        <v>287</v>
      </c>
      <c r="K882" s="28">
        <f t="shared" ref="K882:AW882" si="293">K1530</f>
        <v>0.11026792439175388</v>
      </c>
      <c r="L882" s="28">
        <f t="shared" si="293"/>
        <v>0.11026792439175388</v>
      </c>
      <c r="M882" s="28">
        <f t="shared" si="293"/>
        <v>0.11026792439175388</v>
      </c>
      <c r="N882" s="28">
        <f t="shared" si="293"/>
        <v>0.11026792439175388</v>
      </c>
      <c r="O882" s="28">
        <f t="shared" si="293"/>
        <v>0.11026792439175388</v>
      </c>
      <c r="P882" s="28">
        <f t="shared" si="293"/>
        <v>0.11026792439175388</v>
      </c>
      <c r="Q882" s="28">
        <f t="shared" si="293"/>
        <v>0.11026792439175388</v>
      </c>
      <c r="R882" s="28">
        <f t="shared" si="293"/>
        <v>0.11026792439175388</v>
      </c>
      <c r="S882" s="28">
        <f t="shared" si="293"/>
        <v>0.11026792439175388</v>
      </c>
      <c r="T882" s="28">
        <f t="shared" si="293"/>
        <v>0.11026792439175388</v>
      </c>
      <c r="U882" s="28">
        <f t="shared" si="293"/>
        <v>0.11026792439175388</v>
      </c>
      <c r="V882" s="28">
        <f t="shared" si="293"/>
        <v>0.11026792439175388</v>
      </c>
      <c r="W882" s="28">
        <f t="shared" si="293"/>
        <v>0.11026792439175388</v>
      </c>
      <c r="X882" s="28">
        <f t="shared" si="293"/>
        <v>0.11026792439175388</v>
      </c>
      <c r="Y882" s="28">
        <f t="shared" si="293"/>
        <v>0.11026792439175388</v>
      </c>
      <c r="Z882" s="28">
        <f t="shared" si="293"/>
        <v>0.11026792439175388</v>
      </c>
      <c r="AA882" s="28">
        <f t="shared" si="293"/>
        <v>0.11026792439175388</v>
      </c>
      <c r="AB882" s="28">
        <f t="shared" si="293"/>
        <v>0.11026792439175388</v>
      </c>
      <c r="AC882" s="28">
        <f t="shared" si="293"/>
        <v>0.11026792439175388</v>
      </c>
      <c r="AD882" s="28">
        <f t="shared" si="293"/>
        <v>0.11026792439175388</v>
      </c>
      <c r="AE882" s="28">
        <f t="shared" si="293"/>
        <v>0.11026792439175388</v>
      </c>
      <c r="AF882" s="28">
        <f t="shared" si="293"/>
        <v>0.11026792439175388</v>
      </c>
      <c r="AG882" s="28">
        <f t="shared" si="293"/>
        <v>0.11026792439175388</v>
      </c>
      <c r="AH882" s="28">
        <f t="shared" si="293"/>
        <v>0.11026792439175388</v>
      </c>
      <c r="AI882" s="28">
        <f t="shared" si="293"/>
        <v>0.11026792439175388</v>
      </c>
      <c r="AJ882" s="28">
        <f t="shared" si="293"/>
        <v>0.11026792439175388</v>
      </c>
      <c r="AK882" s="28">
        <f t="shared" si="293"/>
        <v>0.11026792439175388</v>
      </c>
      <c r="AL882" s="28">
        <f t="shared" si="293"/>
        <v>0.11026792439175388</v>
      </c>
      <c r="AM882" s="28">
        <f t="shared" si="293"/>
        <v>0.11026792439175388</v>
      </c>
      <c r="AN882" s="28">
        <f t="shared" si="293"/>
        <v>0.11026792439175388</v>
      </c>
      <c r="AO882" s="28">
        <f t="shared" si="293"/>
        <v>0.11026792439175388</v>
      </c>
      <c r="AP882" s="28">
        <f t="shared" si="293"/>
        <v>0.11026792439175388</v>
      </c>
      <c r="AQ882" s="28">
        <f t="shared" si="293"/>
        <v>0.11026792439175388</v>
      </c>
      <c r="AR882" s="28">
        <f t="shared" si="293"/>
        <v>0.11026792439175388</v>
      </c>
      <c r="AS882" s="28">
        <f t="shared" si="293"/>
        <v>0.11026792439175388</v>
      </c>
      <c r="AT882" s="28">
        <f t="shared" si="293"/>
        <v>0.11026792439175388</v>
      </c>
      <c r="AU882" s="28">
        <f t="shared" si="293"/>
        <v>0.11026792439175388</v>
      </c>
      <c r="AV882" s="28">
        <f t="shared" si="293"/>
        <v>0.11026792439175388</v>
      </c>
      <c r="AW882" s="28">
        <f t="shared" si="293"/>
        <v>0.11026792439175388</v>
      </c>
      <c r="AY882" s="85"/>
      <c r="AZ882" s="85"/>
    </row>
    <row r="883" spans="1:52" x14ac:dyDescent="0.25">
      <c r="A883" s="102" t="str">
        <f t="shared" si="270"/>
        <v>BD MM Volatilisation</v>
      </c>
      <c r="B883" s="102" t="s">
        <v>1229</v>
      </c>
      <c r="C883" s="102" t="s">
        <v>1333</v>
      </c>
      <c r="D883" t="s">
        <v>369</v>
      </c>
      <c r="E883" t="s">
        <v>64</v>
      </c>
      <c r="F883" t="s">
        <v>62</v>
      </c>
      <c r="G883" t="s">
        <v>1153</v>
      </c>
      <c r="H883" t="s">
        <v>1291</v>
      </c>
      <c r="I883" t="s">
        <v>139</v>
      </c>
      <c r="J883" t="s">
        <v>287</v>
      </c>
      <c r="K883" s="28">
        <f t="shared" ref="K883:AW883" si="294">K1531</f>
        <v>0.39650006889927725</v>
      </c>
      <c r="L883" s="28">
        <f t="shared" si="294"/>
        <v>0.39917725962597483</v>
      </c>
      <c r="M883" s="28">
        <f t="shared" si="294"/>
        <v>0.40151912336157097</v>
      </c>
      <c r="N883" s="28">
        <f t="shared" si="294"/>
        <v>0.40182204834461305</v>
      </c>
      <c r="O883" s="28">
        <f t="shared" si="294"/>
        <v>0.40234380692675509</v>
      </c>
      <c r="P883" s="28">
        <f t="shared" si="294"/>
        <v>0.40533756143141658</v>
      </c>
      <c r="Q883" s="28">
        <f t="shared" si="294"/>
        <v>0.40773146882804268</v>
      </c>
      <c r="R883" s="28">
        <f t="shared" si="294"/>
        <v>0.4077524587520438</v>
      </c>
      <c r="S883" s="28">
        <f t="shared" si="294"/>
        <v>0.39694956601748077</v>
      </c>
      <c r="T883" s="28">
        <f t="shared" si="294"/>
        <v>0.40216838368989699</v>
      </c>
      <c r="U883" s="28">
        <f t="shared" si="294"/>
        <v>0.40611893900122115</v>
      </c>
      <c r="V883" s="28">
        <f t="shared" si="294"/>
        <v>0.40984619445157972</v>
      </c>
      <c r="W883" s="28">
        <f t="shared" si="294"/>
        <v>0.41416805701435672</v>
      </c>
      <c r="X883" s="28">
        <f t="shared" si="294"/>
        <v>0.42036063160455023</v>
      </c>
      <c r="Y883" s="28">
        <f t="shared" si="294"/>
        <v>0.42680782230429931</v>
      </c>
      <c r="Z883" s="28">
        <f t="shared" si="294"/>
        <v>0.43381092675754646</v>
      </c>
      <c r="AA883" s="28">
        <f t="shared" si="294"/>
        <v>0.4401795345291673</v>
      </c>
      <c r="AB883" s="28">
        <f t="shared" si="294"/>
        <v>0.44747640522914289</v>
      </c>
      <c r="AC883" s="28">
        <f t="shared" si="294"/>
        <v>0.45590733118781618</v>
      </c>
      <c r="AD883" s="28">
        <f t="shared" si="294"/>
        <v>0.46402422732384918</v>
      </c>
      <c r="AE883" s="28">
        <f t="shared" si="294"/>
        <v>0.47256428946703954</v>
      </c>
      <c r="AF883" s="28">
        <f t="shared" si="294"/>
        <v>0.48136337732272266</v>
      </c>
      <c r="AG883" s="28">
        <f t="shared" si="294"/>
        <v>0.49115427006051043</v>
      </c>
      <c r="AH883" s="28">
        <f t="shared" si="294"/>
        <v>0.50001868003063199</v>
      </c>
      <c r="AI883" s="28">
        <f t="shared" si="294"/>
        <v>0.50922978725811852</v>
      </c>
      <c r="AJ883" s="28">
        <f t="shared" si="294"/>
        <v>0.51868165497998486</v>
      </c>
      <c r="AK883" s="28">
        <f t="shared" si="294"/>
        <v>0.52785098151313881</v>
      </c>
      <c r="AL883" s="28">
        <f t="shared" si="294"/>
        <v>0.53708980329541955</v>
      </c>
      <c r="AM883" s="28">
        <f t="shared" si="294"/>
        <v>0.54672053409535659</v>
      </c>
      <c r="AN883" s="28">
        <f t="shared" si="294"/>
        <v>0.55667014923331293</v>
      </c>
      <c r="AO883" s="28">
        <f t="shared" si="294"/>
        <v>0.5661730507090722</v>
      </c>
      <c r="AP883" s="28">
        <f t="shared" si="294"/>
        <v>0.57587669150956888</v>
      </c>
      <c r="AQ883" s="28">
        <f t="shared" si="294"/>
        <v>0.5857985598453167</v>
      </c>
      <c r="AR883" s="28">
        <f t="shared" si="294"/>
        <v>0.59640903003350576</v>
      </c>
      <c r="AS883" s="28">
        <f t="shared" si="294"/>
        <v>0.60713627699395989</v>
      </c>
      <c r="AT883" s="28">
        <f t="shared" si="294"/>
        <v>0.61355666329177083</v>
      </c>
      <c r="AU883" s="28">
        <f t="shared" si="294"/>
        <v>0.6197276036819036</v>
      </c>
      <c r="AV883" s="28">
        <f t="shared" si="294"/>
        <v>0.62655501037549211</v>
      </c>
      <c r="AW883" s="28">
        <f t="shared" si="294"/>
        <v>0.63318564946997902</v>
      </c>
      <c r="AY883" s="85"/>
      <c r="AZ883" s="85"/>
    </row>
    <row r="884" spans="1:52" x14ac:dyDescent="0.25">
      <c r="A884" s="102" t="str">
        <f t="shared" si="270"/>
        <v>BD MM Volatilisation</v>
      </c>
      <c r="B884" s="102" t="s">
        <v>1229</v>
      </c>
      <c r="C884" s="102" t="s">
        <v>1333</v>
      </c>
      <c r="D884" t="s">
        <v>369</v>
      </c>
      <c r="E884" t="s">
        <v>64</v>
      </c>
      <c r="F884" t="s">
        <v>62</v>
      </c>
      <c r="G884" t="s">
        <v>1155</v>
      </c>
      <c r="H884" t="s">
        <v>1292</v>
      </c>
      <c r="I884" t="s">
        <v>139</v>
      </c>
      <c r="J884" t="s">
        <v>287</v>
      </c>
      <c r="K884" s="28">
        <f t="shared" ref="K884:AW884" si="295">K1532</f>
        <v>3.1281584559645491E-2</v>
      </c>
      <c r="L884" s="28">
        <f t="shared" si="295"/>
        <v>3.1492799574896264E-2</v>
      </c>
      <c r="M884" s="28">
        <f t="shared" si="295"/>
        <v>3.1677559211068809E-2</v>
      </c>
      <c r="N884" s="28">
        <f t="shared" si="295"/>
        <v>3.1701458257287304E-2</v>
      </c>
      <c r="O884" s="28">
        <f t="shared" si="295"/>
        <v>3.1742622021148185E-2</v>
      </c>
      <c r="P884" s="28">
        <f t="shared" si="295"/>
        <v>3.1978812105423256E-2</v>
      </c>
      <c r="Q884" s="28">
        <f t="shared" si="295"/>
        <v>3.2167677688381177E-2</v>
      </c>
      <c r="R884" s="28">
        <f t="shared" si="295"/>
        <v>3.2169333673169188E-2</v>
      </c>
      <c r="S884" s="28">
        <f t="shared" si="295"/>
        <v>3.1317047307865033E-2</v>
      </c>
      <c r="T884" s="28">
        <f t="shared" si="295"/>
        <v>3.1728782132462323E-2</v>
      </c>
      <c r="U884" s="28">
        <f t="shared" si="295"/>
        <v>3.2040458320493799E-2</v>
      </c>
      <c r="V884" s="28">
        <f t="shared" si="295"/>
        <v>3.2334517428401308E-2</v>
      </c>
      <c r="W884" s="28">
        <f t="shared" si="295"/>
        <v>3.2675487631982837E-2</v>
      </c>
      <c r="X884" s="28">
        <f t="shared" si="295"/>
        <v>3.316404630039068E-2</v>
      </c>
      <c r="Y884" s="28">
        <f t="shared" si="295"/>
        <v>3.3672692721578558E-2</v>
      </c>
      <c r="Z884" s="28">
        <f t="shared" si="295"/>
        <v>3.4225197554030251E-2</v>
      </c>
      <c r="AA884" s="28">
        <f t="shared" si="295"/>
        <v>3.4727644232257139E-2</v>
      </c>
      <c r="AB884" s="28">
        <f t="shared" si="295"/>
        <v>3.5303325539087042E-2</v>
      </c>
      <c r="AC884" s="28">
        <f t="shared" si="295"/>
        <v>3.5968477310748759E-2</v>
      </c>
      <c r="AD884" s="28">
        <f t="shared" si="295"/>
        <v>3.6608853927948493E-2</v>
      </c>
      <c r="AE884" s="28">
        <f t="shared" si="295"/>
        <v>3.7282615919512485E-2</v>
      </c>
      <c r="AF884" s="28">
        <f t="shared" si="295"/>
        <v>3.7976813556273109E-2</v>
      </c>
      <c r="AG884" s="28">
        <f t="shared" si="295"/>
        <v>3.8749258917863509E-2</v>
      </c>
      <c r="AH884" s="28">
        <f t="shared" si="295"/>
        <v>3.9448610095333729E-2</v>
      </c>
      <c r="AI884" s="28">
        <f t="shared" si="295"/>
        <v>4.0175313700769343E-2</v>
      </c>
      <c r="AJ884" s="28">
        <f t="shared" si="295"/>
        <v>4.0921011930302946E-2</v>
      </c>
      <c r="AK884" s="28">
        <f t="shared" si="295"/>
        <v>4.164441927824649E-2</v>
      </c>
      <c r="AL884" s="28">
        <f t="shared" si="295"/>
        <v>4.2373309403325697E-2</v>
      </c>
      <c r="AM884" s="28">
        <f t="shared" si="295"/>
        <v>4.313311890531582E-2</v>
      </c>
      <c r="AN884" s="28">
        <f t="shared" si="295"/>
        <v>4.3918086555228081E-2</v>
      </c>
      <c r="AO884" s="28">
        <f t="shared" si="295"/>
        <v>4.4667811055658022E-2</v>
      </c>
      <c r="AP884" s="28">
        <f t="shared" si="295"/>
        <v>4.5433372739114561E-2</v>
      </c>
      <c r="AQ884" s="28">
        <f t="shared" si="295"/>
        <v>4.6216151325246931E-2</v>
      </c>
      <c r="AR884" s="28">
        <f t="shared" si="295"/>
        <v>4.705325665370462E-2</v>
      </c>
      <c r="AS884" s="28">
        <f t="shared" si="295"/>
        <v>4.7899575000677964E-2</v>
      </c>
      <c r="AT884" s="28">
        <f t="shared" si="295"/>
        <v>4.8406106708069871E-2</v>
      </c>
      <c r="AU884" s="28">
        <f t="shared" si="295"/>
        <v>4.8892958561998573E-2</v>
      </c>
      <c r="AV884" s="28">
        <f t="shared" si="295"/>
        <v>4.9431601847487718E-2</v>
      </c>
      <c r="AW884" s="28">
        <f t="shared" si="295"/>
        <v>4.9954721296355649E-2</v>
      </c>
      <c r="AY884" s="85"/>
      <c r="AZ884" s="85"/>
    </row>
    <row r="885" spans="1:52" x14ac:dyDescent="0.25">
      <c r="A885" s="102" t="str">
        <f t="shared" si="270"/>
        <v>BD MM Volatilisation</v>
      </c>
      <c r="B885" s="102" t="s">
        <v>1229</v>
      </c>
      <c r="C885" s="102" t="s">
        <v>1333</v>
      </c>
      <c r="D885" t="s">
        <v>369</v>
      </c>
      <c r="E885" t="s">
        <v>64</v>
      </c>
      <c r="F885" t="s">
        <v>62</v>
      </c>
      <c r="G885" t="s">
        <v>1157</v>
      </c>
      <c r="H885" t="s">
        <v>1293</v>
      </c>
      <c r="I885" t="s">
        <v>139</v>
      </c>
      <c r="J885" t="s">
        <v>287</v>
      </c>
      <c r="K885" s="28">
        <f t="shared" ref="K885:AW885" si="296">K1533</f>
        <v>2.8996787363609876E-4</v>
      </c>
      <c r="L885" s="28">
        <f t="shared" si="296"/>
        <v>2.9192575299913116E-4</v>
      </c>
      <c r="M885" s="28">
        <f t="shared" si="296"/>
        <v>2.9363840149788538E-4</v>
      </c>
      <c r="N885" s="28">
        <f t="shared" si="296"/>
        <v>2.9385993617112721E-4</v>
      </c>
      <c r="O885" s="28">
        <f t="shared" si="296"/>
        <v>2.9424150792478436E-4</v>
      </c>
      <c r="P885" s="28">
        <f t="shared" si="296"/>
        <v>2.964308962654098E-4</v>
      </c>
      <c r="Q885" s="28">
        <f t="shared" si="296"/>
        <v>2.9818160526127053E-4</v>
      </c>
      <c r="R885" s="28">
        <f t="shared" si="296"/>
        <v>2.9819695558301769E-4</v>
      </c>
      <c r="S885" s="28">
        <f t="shared" si="296"/>
        <v>2.9029659923741555E-4</v>
      </c>
      <c r="T885" s="28">
        <f t="shared" si="296"/>
        <v>2.9411321764952843E-4</v>
      </c>
      <c r="U885" s="28">
        <f t="shared" si="296"/>
        <v>2.970023322125765E-4</v>
      </c>
      <c r="V885" s="28">
        <f t="shared" si="296"/>
        <v>2.99728143434853E-4</v>
      </c>
      <c r="W885" s="28">
        <f t="shared" si="296"/>
        <v>3.0288880189565705E-4</v>
      </c>
      <c r="X885" s="28">
        <f t="shared" si="296"/>
        <v>3.0741754684956394E-4</v>
      </c>
      <c r="Y885" s="28">
        <f t="shared" si="296"/>
        <v>3.1213249729918828E-4</v>
      </c>
      <c r="Z885" s="28">
        <f t="shared" si="296"/>
        <v>3.1725399781442622E-4</v>
      </c>
      <c r="AA885" s="28">
        <f t="shared" si="296"/>
        <v>3.2191147910739512E-4</v>
      </c>
      <c r="AB885" s="28">
        <f t="shared" si="296"/>
        <v>3.2724781634169446E-4</v>
      </c>
      <c r="AC885" s="28">
        <f t="shared" si="296"/>
        <v>3.3341350927538441E-4</v>
      </c>
      <c r="AD885" s="28">
        <f t="shared" si="296"/>
        <v>3.3934954636013071E-4</v>
      </c>
      <c r="AE885" s="28">
        <f t="shared" si="296"/>
        <v>3.4559505261503654E-4</v>
      </c>
      <c r="AF885" s="28">
        <f t="shared" si="296"/>
        <v>3.5202998919028807E-4</v>
      </c>
      <c r="AG885" s="28">
        <f t="shared" si="296"/>
        <v>3.5919025111926287E-4</v>
      </c>
      <c r="AH885" s="28">
        <f t="shared" si="296"/>
        <v>3.6567295897152252E-4</v>
      </c>
      <c r="AI885" s="28">
        <f t="shared" si="296"/>
        <v>3.7240921297521811E-4</v>
      </c>
      <c r="AJ885" s="28">
        <f t="shared" si="296"/>
        <v>3.7932153960559638E-4</v>
      </c>
      <c r="AK885" s="28">
        <f t="shared" si="296"/>
        <v>3.8602723861057959E-4</v>
      </c>
      <c r="AL885" s="28">
        <f t="shared" si="296"/>
        <v>3.9278376078357157E-4</v>
      </c>
      <c r="AM885" s="28">
        <f t="shared" si="296"/>
        <v>3.9982689330905129E-4</v>
      </c>
      <c r="AN885" s="28">
        <f t="shared" si="296"/>
        <v>4.0710323188084528E-4</v>
      </c>
      <c r="AO885" s="28">
        <f t="shared" si="296"/>
        <v>4.1405288044446054E-4</v>
      </c>
      <c r="AP885" s="28">
        <f t="shared" si="296"/>
        <v>4.2114933340917202E-4</v>
      </c>
      <c r="AQ885" s="28">
        <f t="shared" si="296"/>
        <v>4.284053802285357E-4</v>
      </c>
      <c r="AR885" s="28">
        <f t="shared" si="296"/>
        <v>4.3616501438771657E-4</v>
      </c>
      <c r="AS885" s="28">
        <f t="shared" si="296"/>
        <v>4.4401004957201647E-4</v>
      </c>
      <c r="AT885" s="28">
        <f t="shared" si="296"/>
        <v>4.4870539746405302E-4</v>
      </c>
      <c r="AU885" s="28">
        <f t="shared" si="296"/>
        <v>4.5321832092514971E-4</v>
      </c>
      <c r="AV885" s="28">
        <f t="shared" si="296"/>
        <v>4.5821133040150263E-4</v>
      </c>
      <c r="AW885" s="28">
        <f t="shared" si="296"/>
        <v>4.630604400735748E-4</v>
      </c>
      <c r="AY885" s="85"/>
      <c r="AZ885" s="85"/>
    </row>
    <row r="886" spans="1:52" x14ac:dyDescent="0.25">
      <c r="A886" s="102" t="str">
        <f t="shared" si="270"/>
        <v>BD MM Volatilisation</v>
      </c>
      <c r="B886" s="102" t="s">
        <v>1229</v>
      </c>
      <c r="C886" s="102" t="s">
        <v>1333</v>
      </c>
      <c r="D886" t="s">
        <v>369</v>
      </c>
      <c r="E886" t="s">
        <v>64</v>
      </c>
      <c r="F886" t="s">
        <v>62</v>
      </c>
      <c r="G886" t="s">
        <v>1159</v>
      </c>
      <c r="H886" t="s">
        <v>1294</v>
      </c>
      <c r="I886" t="s">
        <v>139</v>
      </c>
      <c r="J886" t="s">
        <v>287</v>
      </c>
      <c r="K886" s="28">
        <f t="shared" ref="K886:AW886" si="297">K1534</f>
        <v>3.2482696422712933E-3</v>
      </c>
      <c r="L886" s="28">
        <f t="shared" si="297"/>
        <v>3.2317319962183351E-3</v>
      </c>
      <c r="M886" s="28">
        <f t="shared" si="297"/>
        <v>3.2015477632972725E-3</v>
      </c>
      <c r="N886" s="28">
        <f t="shared" si="297"/>
        <v>3.1189249893783613E-3</v>
      </c>
      <c r="O886" s="28">
        <f t="shared" si="297"/>
        <v>3.0395993626659438E-3</v>
      </c>
      <c r="P886" s="28">
        <f t="shared" si="297"/>
        <v>3.013633441305081E-3</v>
      </c>
      <c r="Q886" s="28">
        <f t="shared" si="297"/>
        <v>2.9716957157217678E-3</v>
      </c>
      <c r="R886" s="28">
        <f t="shared" si="297"/>
        <v>2.8774698147158886E-3</v>
      </c>
      <c r="S886" s="28">
        <f t="shared" si="297"/>
        <v>2.5613322402579155E-3</v>
      </c>
      <c r="T886" s="28">
        <f t="shared" si="297"/>
        <v>2.623917982066072E-3</v>
      </c>
      <c r="U886" s="28">
        <f t="shared" si="297"/>
        <v>2.6577221861843617E-3</v>
      </c>
      <c r="V886" s="28">
        <f t="shared" si="297"/>
        <v>2.6845906828351748E-3</v>
      </c>
      <c r="W886" s="28">
        <f t="shared" si="297"/>
        <v>2.7207002140253378E-3</v>
      </c>
      <c r="X886" s="28">
        <f t="shared" si="297"/>
        <v>2.7900255688374769E-3</v>
      </c>
      <c r="Y886" s="28">
        <f t="shared" si="297"/>
        <v>2.8659005664794695E-3</v>
      </c>
      <c r="Z886" s="28">
        <f t="shared" si="297"/>
        <v>2.9485743375895451E-3</v>
      </c>
      <c r="AA886" s="28">
        <f t="shared" si="297"/>
        <v>3.0159847657098681E-3</v>
      </c>
      <c r="AB886" s="28">
        <f t="shared" si="297"/>
        <v>3.0969021916471581E-3</v>
      </c>
      <c r="AC886" s="28">
        <f t="shared" si="297"/>
        <v>3.1943690749044406E-3</v>
      </c>
      <c r="AD886" s="28">
        <f t="shared" si="297"/>
        <v>3.2585733035448653E-3</v>
      </c>
      <c r="AE886" s="28">
        <f t="shared" si="297"/>
        <v>3.3241557037935383E-3</v>
      </c>
      <c r="AF886" s="28">
        <f t="shared" si="297"/>
        <v>3.3880596297124936E-3</v>
      </c>
      <c r="AG886" s="28">
        <f t="shared" si="297"/>
        <v>3.4619913814758307E-3</v>
      </c>
      <c r="AH886" s="28">
        <f t="shared" si="297"/>
        <v>3.5146755709245725E-3</v>
      </c>
      <c r="AI886" s="28">
        <f t="shared" si="297"/>
        <v>3.5701775452979248E-3</v>
      </c>
      <c r="AJ886" s="28">
        <f t="shared" si="297"/>
        <v>3.6232879454531405E-3</v>
      </c>
      <c r="AK886" s="28">
        <f t="shared" si="297"/>
        <v>3.6661960797731564E-3</v>
      </c>
      <c r="AL886" s="28">
        <f t="shared" si="297"/>
        <v>3.7043821557080172E-3</v>
      </c>
      <c r="AM886" s="28">
        <f t="shared" si="297"/>
        <v>3.7423967810390727E-3</v>
      </c>
      <c r="AN886" s="28">
        <f t="shared" si="297"/>
        <v>3.8009071788089443E-3</v>
      </c>
      <c r="AO886" s="28">
        <f t="shared" si="297"/>
        <v>3.8485572102327672E-3</v>
      </c>
      <c r="AP886" s="28">
        <f t="shared" si="297"/>
        <v>3.8943125167611257E-3</v>
      </c>
      <c r="AQ886" s="28">
        <f t="shared" si="297"/>
        <v>3.9383232574175748E-3</v>
      </c>
      <c r="AR886" s="28">
        <f t="shared" si="297"/>
        <v>3.9864180340335002E-3</v>
      </c>
      <c r="AS886" s="28">
        <f t="shared" si="297"/>
        <v>4.0335263443460959E-3</v>
      </c>
      <c r="AT886" s="28">
        <f t="shared" si="297"/>
        <v>4.0238206460385395E-3</v>
      </c>
      <c r="AU886" s="28">
        <f t="shared" si="297"/>
        <v>4.0085912060413426E-3</v>
      </c>
      <c r="AV886" s="28">
        <f t="shared" si="297"/>
        <v>3.9985247622409742E-3</v>
      </c>
      <c r="AW886" s="28">
        <f t="shared" si="297"/>
        <v>3.9835451710550415E-3</v>
      </c>
      <c r="AY886" s="85"/>
      <c r="AZ886" s="85"/>
    </row>
    <row r="887" spans="1:52" x14ac:dyDescent="0.25">
      <c r="A887" s="102" t="str">
        <f t="shared" si="270"/>
        <v>BD MM Volatilisation</v>
      </c>
      <c r="B887" s="102" t="s">
        <v>1229</v>
      </c>
      <c r="C887" s="102" t="s">
        <v>1333</v>
      </c>
      <c r="D887" t="s">
        <v>369</v>
      </c>
      <c r="E887" t="s">
        <v>64</v>
      </c>
      <c r="F887" t="s">
        <v>62</v>
      </c>
      <c r="G887" t="s">
        <v>1161</v>
      </c>
      <c r="H887" t="s">
        <v>1295</v>
      </c>
      <c r="I887" t="s">
        <v>139</v>
      </c>
      <c r="J887" t="s">
        <v>287</v>
      </c>
      <c r="K887" s="28">
        <f t="shared" ref="K887:AW887" si="298">K1535</f>
        <v>1.6169907052996448E-2</v>
      </c>
      <c r="L887" s="28">
        <f t="shared" si="298"/>
        <v>1.6087582545181053E-2</v>
      </c>
      <c r="M887" s="28">
        <f t="shared" si="298"/>
        <v>1.5937325240661746E-2</v>
      </c>
      <c r="N887" s="28">
        <f t="shared" si="298"/>
        <v>1.5526028543693155E-2</v>
      </c>
      <c r="O887" s="28">
        <f t="shared" si="298"/>
        <v>1.5131145066604845E-2</v>
      </c>
      <c r="P887" s="28">
        <f t="shared" si="298"/>
        <v>1.5001886544009729E-2</v>
      </c>
      <c r="Q887" s="28">
        <f t="shared" si="298"/>
        <v>1.4793120277850224E-2</v>
      </c>
      <c r="R887" s="28">
        <f t="shared" si="298"/>
        <v>1.4324063140036831E-2</v>
      </c>
      <c r="S887" s="28">
        <f t="shared" si="298"/>
        <v>1.2750328272579596E-2</v>
      </c>
      <c r="T887" s="28">
        <f t="shared" si="298"/>
        <v>1.3061880495557336E-2</v>
      </c>
      <c r="U887" s="28">
        <f t="shared" si="298"/>
        <v>1.3230158039847359E-2</v>
      </c>
      <c r="V887" s="28">
        <f t="shared" si="298"/>
        <v>1.3363909588008125E-2</v>
      </c>
      <c r="W887" s="28">
        <f t="shared" si="298"/>
        <v>1.3543663065205281E-2</v>
      </c>
      <c r="X887" s="28">
        <f t="shared" si="298"/>
        <v>1.3888765124818915E-2</v>
      </c>
      <c r="Y887" s="28">
        <f t="shared" si="298"/>
        <v>1.4266471348326726E-2</v>
      </c>
      <c r="Z887" s="28">
        <f t="shared" si="298"/>
        <v>1.4678021909639079E-2</v>
      </c>
      <c r="AA887" s="28">
        <f t="shared" si="298"/>
        <v>1.5013591451934262E-2</v>
      </c>
      <c r="AB887" s="28">
        <f t="shared" si="298"/>
        <v>1.5416398915744074E-2</v>
      </c>
      <c r="AC887" s="28">
        <f t="shared" si="298"/>
        <v>1.5901589683932116E-2</v>
      </c>
      <c r="AD887" s="28">
        <f t="shared" si="298"/>
        <v>1.6221198744711653E-2</v>
      </c>
      <c r="AE887" s="28">
        <f t="shared" si="298"/>
        <v>1.6547668352570915E-2</v>
      </c>
      <c r="AF887" s="28">
        <f t="shared" si="298"/>
        <v>1.6865782504482438E-2</v>
      </c>
      <c r="AG887" s="28">
        <f t="shared" si="298"/>
        <v>1.7233815237578592E-2</v>
      </c>
      <c r="AH887" s="28">
        <f t="shared" si="298"/>
        <v>1.7496077469587427E-2</v>
      </c>
      <c r="AI887" s="28">
        <f t="shared" si="298"/>
        <v>1.7772366652971647E-2</v>
      </c>
      <c r="AJ887" s="28">
        <f t="shared" si="298"/>
        <v>1.8036750564603077E-2</v>
      </c>
      <c r="AK887" s="28">
        <f t="shared" si="298"/>
        <v>1.825034753165997E-2</v>
      </c>
      <c r="AL887" s="28">
        <f t="shared" si="298"/>
        <v>1.8440438061876424E-2</v>
      </c>
      <c r="AM887" s="28">
        <f t="shared" si="298"/>
        <v>1.862967510989065E-2</v>
      </c>
      <c r="AN887" s="28">
        <f t="shared" si="298"/>
        <v>1.8920940244182623E-2</v>
      </c>
      <c r="AO887" s="28">
        <f t="shared" si="298"/>
        <v>1.9158142405348286E-2</v>
      </c>
      <c r="AP887" s="28">
        <f t="shared" si="298"/>
        <v>1.9385912613866938E-2</v>
      </c>
      <c r="AQ887" s="28">
        <f t="shared" si="298"/>
        <v>1.9604998362318136E-2</v>
      </c>
      <c r="AR887" s="28">
        <f t="shared" si="298"/>
        <v>1.9844414467894381E-2</v>
      </c>
      <c r="AS887" s="28">
        <f t="shared" si="298"/>
        <v>2.0078919937903877E-2</v>
      </c>
      <c r="AT887" s="28">
        <f t="shared" si="298"/>
        <v>2.0030604909657669E-2</v>
      </c>
      <c r="AU887" s="28">
        <f t="shared" si="298"/>
        <v>1.9954792659954267E-2</v>
      </c>
      <c r="AV887" s="28">
        <f t="shared" si="298"/>
        <v>1.9904681838337764E-2</v>
      </c>
      <c r="AW887" s="28">
        <f t="shared" si="298"/>
        <v>1.9830113337614693E-2</v>
      </c>
      <c r="AY887" s="85"/>
      <c r="AZ887" s="85"/>
    </row>
    <row r="888" spans="1:52" x14ac:dyDescent="0.25">
      <c r="A888" s="102" t="str">
        <f t="shared" si="270"/>
        <v>BD MM Volatilisation</v>
      </c>
      <c r="B888" s="102" t="s">
        <v>1229</v>
      </c>
      <c r="C888" s="102" t="s">
        <v>1333</v>
      </c>
      <c r="D888" t="s">
        <v>369</v>
      </c>
      <c r="E888" t="s">
        <v>64</v>
      </c>
      <c r="F888" t="s">
        <v>62</v>
      </c>
      <c r="G888" t="s">
        <v>1163</v>
      </c>
      <c r="H888" t="s">
        <v>1296</v>
      </c>
      <c r="I888" t="s">
        <v>139</v>
      </c>
      <c r="J888" t="s">
        <v>287</v>
      </c>
      <c r="K888" s="28">
        <f t="shared" ref="K888:AW888" si="299">K1536</f>
        <v>0.15881310952891459</v>
      </c>
      <c r="L888" s="28">
        <f t="shared" si="299"/>
        <v>0.16473779708525871</v>
      </c>
      <c r="M888" s="28">
        <f t="shared" si="299"/>
        <v>0.17006036536738212</v>
      </c>
      <c r="N888" s="28">
        <f t="shared" si="299"/>
        <v>0.1725581026820969</v>
      </c>
      <c r="O888" s="28">
        <f t="shared" si="299"/>
        <v>0.17509405758016705</v>
      </c>
      <c r="P888" s="28">
        <f t="shared" si="299"/>
        <v>0.18069182253517682</v>
      </c>
      <c r="Q888" s="28">
        <f t="shared" si="299"/>
        <v>0.18541356320951116</v>
      </c>
      <c r="R888" s="28">
        <f t="shared" si="299"/>
        <v>0.18679194415388084</v>
      </c>
      <c r="S888" s="28">
        <f t="shared" si="299"/>
        <v>0.17296868678120739</v>
      </c>
      <c r="T888" s="28">
        <f t="shared" si="299"/>
        <v>0.18144262132443914</v>
      </c>
      <c r="U888" s="28">
        <f t="shared" si="299"/>
        <v>0.18812503294384797</v>
      </c>
      <c r="V888" s="28">
        <f t="shared" si="299"/>
        <v>0.19446239722796549</v>
      </c>
      <c r="W888" s="28">
        <f t="shared" si="299"/>
        <v>0.2016240264907645</v>
      </c>
      <c r="X888" s="28">
        <f t="shared" si="299"/>
        <v>0.21147893804143503</v>
      </c>
      <c r="Y888" s="28">
        <f t="shared" si="299"/>
        <v>0.2221363393242273</v>
      </c>
      <c r="Z888" s="28">
        <f t="shared" si="299"/>
        <v>0.23365788448441194</v>
      </c>
      <c r="AA888" s="28">
        <f t="shared" si="299"/>
        <v>0.24430091045471902</v>
      </c>
      <c r="AB888" s="28">
        <f t="shared" si="299"/>
        <v>0.25637491269914275</v>
      </c>
      <c r="AC888" s="28">
        <f t="shared" si="299"/>
        <v>0.27021906806746643</v>
      </c>
      <c r="AD888" s="28">
        <f t="shared" si="299"/>
        <v>0.28476142142999822</v>
      </c>
      <c r="AE888" s="28">
        <f t="shared" si="299"/>
        <v>0.30011305574638969</v>
      </c>
      <c r="AF888" s="28">
        <f t="shared" si="299"/>
        <v>0.31603885980078922</v>
      </c>
      <c r="AG888" s="28">
        <f t="shared" si="299"/>
        <v>0.33369229141350232</v>
      </c>
      <c r="AH888" s="28">
        <f t="shared" si="299"/>
        <v>0.35009811029288379</v>
      </c>
      <c r="AI888" s="28">
        <f t="shared" si="299"/>
        <v>0.3675707773071587</v>
      </c>
      <c r="AJ888" s="28">
        <f t="shared" si="299"/>
        <v>0.38563080115839554</v>
      </c>
      <c r="AK888" s="28">
        <f t="shared" si="299"/>
        <v>0.4034429737992129</v>
      </c>
      <c r="AL888" s="28">
        <f t="shared" si="299"/>
        <v>0.42156904095031289</v>
      </c>
      <c r="AM888" s="28">
        <f t="shared" si="299"/>
        <v>0.44054187589856841</v>
      </c>
      <c r="AN888" s="28">
        <f t="shared" si="299"/>
        <v>0.4600083648860695</v>
      </c>
      <c r="AO888" s="28">
        <f t="shared" si="299"/>
        <v>0.4789155318145385</v>
      </c>
      <c r="AP888" s="28">
        <f t="shared" si="299"/>
        <v>0.4983346210539078</v>
      </c>
      <c r="AQ888" s="28">
        <f t="shared" si="299"/>
        <v>0.51830220925788251</v>
      </c>
      <c r="AR888" s="28">
        <f t="shared" si="299"/>
        <v>0.53962685269510091</v>
      </c>
      <c r="AS888" s="28">
        <f t="shared" si="299"/>
        <v>0.56169127095769178</v>
      </c>
      <c r="AT888" s="28">
        <f t="shared" si="299"/>
        <v>0.57653019243567449</v>
      </c>
      <c r="AU888" s="28">
        <f t="shared" si="299"/>
        <v>0.59104442540925484</v>
      </c>
      <c r="AV888" s="28">
        <f t="shared" si="299"/>
        <v>0.60681048738089205</v>
      </c>
      <c r="AW888" s="28">
        <f t="shared" si="299"/>
        <v>0.62234884521273104</v>
      </c>
      <c r="AY888" s="85"/>
      <c r="AZ888" s="85"/>
    </row>
    <row r="889" spans="1:52" x14ac:dyDescent="0.25">
      <c r="A889" s="102" t="str">
        <f t="shared" si="270"/>
        <v>BD MM Volatilisation</v>
      </c>
      <c r="B889" s="102" t="s">
        <v>1229</v>
      </c>
      <c r="C889" s="102" t="s">
        <v>1333</v>
      </c>
      <c r="D889" t="s">
        <v>369</v>
      </c>
      <c r="E889" t="s">
        <v>64</v>
      </c>
      <c r="F889" t="s">
        <v>62</v>
      </c>
      <c r="G889" t="s">
        <v>1165</v>
      </c>
      <c r="H889" t="s">
        <v>1297</v>
      </c>
      <c r="I889" t="s">
        <v>139</v>
      </c>
      <c r="J889" t="s">
        <v>287</v>
      </c>
      <c r="K889" s="28">
        <f t="shared" ref="K889:AW889" si="300">K1537</f>
        <v>1.1717139101759614E-4</v>
      </c>
      <c r="L889" s="28">
        <f t="shared" si="300"/>
        <v>1.1723462618367247E-4</v>
      </c>
      <c r="M889" s="28">
        <f t="shared" si="300"/>
        <v>1.1737999843906114E-4</v>
      </c>
      <c r="N889" s="28">
        <f t="shared" si="300"/>
        <v>1.1759581709566441E-4</v>
      </c>
      <c r="O889" s="28">
        <f t="shared" si="300"/>
        <v>1.178871134646596E-4</v>
      </c>
      <c r="P889" s="28">
        <f t="shared" si="300"/>
        <v>1.182597418054167E-4</v>
      </c>
      <c r="Q889" s="28">
        <f t="shared" si="300"/>
        <v>1.1867033947255795E-4</v>
      </c>
      <c r="R889" s="28">
        <f t="shared" si="300"/>
        <v>1.1911252923744314E-4</v>
      </c>
      <c r="S889" s="28">
        <f t="shared" si="300"/>
        <v>1.1955062486439893E-4</v>
      </c>
      <c r="T889" s="28">
        <f t="shared" si="300"/>
        <v>1.1972991314052751E-4</v>
      </c>
      <c r="U889" s="28">
        <f t="shared" si="300"/>
        <v>1.1993350054454542E-4</v>
      </c>
      <c r="V889" s="28">
        <f t="shared" si="300"/>
        <v>1.2016374349275828E-4</v>
      </c>
      <c r="W889" s="28">
        <f t="shared" si="300"/>
        <v>1.2042231214139446E-4</v>
      </c>
      <c r="X889" s="28">
        <f t="shared" si="300"/>
        <v>1.207128620599027E-4</v>
      </c>
      <c r="Y889" s="28">
        <f t="shared" si="300"/>
        <v>1.2089554719264044E-4</v>
      </c>
      <c r="Z889" s="28">
        <f t="shared" si="300"/>
        <v>1.2110125995232866E-4</v>
      </c>
      <c r="AA889" s="28">
        <f t="shared" si="300"/>
        <v>1.2132427506998271E-4</v>
      </c>
      <c r="AB889" s="28">
        <f t="shared" si="300"/>
        <v>1.2156982110770359E-4</v>
      </c>
      <c r="AC889" s="28">
        <f t="shared" si="300"/>
        <v>1.2183786994920164E-4</v>
      </c>
      <c r="AD889" s="28">
        <f t="shared" si="300"/>
        <v>1.2201528623614288E-4</v>
      </c>
      <c r="AE889" s="28">
        <f t="shared" si="300"/>
        <v>1.2220996410772502E-4</v>
      </c>
      <c r="AF889" s="28">
        <f t="shared" si="300"/>
        <v>1.2242059577670001E-4</v>
      </c>
      <c r="AG889" s="28">
        <f t="shared" si="300"/>
        <v>1.2264946134615736E-4</v>
      </c>
      <c r="AH889" s="28">
        <f t="shared" si="300"/>
        <v>1.2288846185835745E-4</v>
      </c>
      <c r="AI889" s="28">
        <f t="shared" si="300"/>
        <v>1.2304136792276417E-4</v>
      </c>
      <c r="AJ889" s="28">
        <f t="shared" si="300"/>
        <v>1.2320724493915228E-4</v>
      </c>
      <c r="AK889" s="28">
        <f t="shared" si="300"/>
        <v>1.2338358070705196E-4</v>
      </c>
      <c r="AL889" s="28">
        <f t="shared" si="300"/>
        <v>1.2357134049580156E-4</v>
      </c>
      <c r="AM889" s="28">
        <f t="shared" si="300"/>
        <v>1.2377140391233165E-4</v>
      </c>
      <c r="AN889" s="28">
        <f t="shared" si="300"/>
        <v>1.2388931849227042E-4</v>
      </c>
      <c r="AO889" s="28">
        <f t="shared" si="300"/>
        <v>1.2401495917055069E-4</v>
      </c>
      <c r="AP889" s="28">
        <f t="shared" si="300"/>
        <v>1.2415054004629534E-4</v>
      </c>
      <c r="AQ889" s="28">
        <f t="shared" si="300"/>
        <v>1.2429582194532134E-4</v>
      </c>
      <c r="AR889" s="28">
        <f t="shared" si="300"/>
        <v>1.2445236467960286E-4</v>
      </c>
      <c r="AS889" s="28">
        <f t="shared" si="300"/>
        <v>1.2452291839205781E-4</v>
      </c>
      <c r="AT889" s="28">
        <f t="shared" si="300"/>
        <v>1.2458415812408247E-4</v>
      </c>
      <c r="AU889" s="28">
        <f t="shared" si="300"/>
        <v>1.2465176490232825E-4</v>
      </c>
      <c r="AV889" s="28">
        <f t="shared" si="300"/>
        <v>1.2472905780449089E-4</v>
      </c>
      <c r="AW889" s="28">
        <f t="shared" si="300"/>
        <v>1.248124658088483E-4</v>
      </c>
      <c r="AY889" s="85"/>
      <c r="AZ889" s="85"/>
    </row>
    <row r="890" spans="1:52" x14ac:dyDescent="0.25">
      <c r="A890" s="102" t="str">
        <f t="shared" si="270"/>
        <v>BD MM Volatilisation</v>
      </c>
      <c r="B890" s="102" t="s">
        <v>1229</v>
      </c>
      <c r="C890" s="102" t="s">
        <v>1333</v>
      </c>
      <c r="D890" t="s">
        <v>369</v>
      </c>
      <c r="E890" t="s">
        <v>64</v>
      </c>
      <c r="F890" t="s">
        <v>62</v>
      </c>
      <c r="G890" t="s">
        <v>1167</v>
      </c>
      <c r="H890" t="s">
        <v>1298</v>
      </c>
      <c r="I890" t="s">
        <v>139</v>
      </c>
      <c r="J890" t="s">
        <v>287</v>
      </c>
      <c r="K890" s="28">
        <f t="shared" ref="K890:AW890" si="301">K1538</f>
        <v>8.0409045079441203E-4</v>
      </c>
      <c r="L890" s="28">
        <f t="shared" si="301"/>
        <v>8.0452440308220838E-4</v>
      </c>
      <c r="M890" s="28">
        <f t="shared" si="301"/>
        <v>8.055220223931452E-4</v>
      </c>
      <c r="N890" s="28">
        <f t="shared" si="301"/>
        <v>8.0700308120255969E-4</v>
      </c>
      <c r="O890" s="28">
        <f t="shared" si="301"/>
        <v>8.0900210695983646E-4</v>
      </c>
      <c r="P890" s="28">
        <f t="shared" si="301"/>
        <v>8.1155927460883318E-4</v>
      </c>
      <c r="Q890" s="28">
        <f t="shared" si="301"/>
        <v>8.1437700733692851E-4</v>
      </c>
      <c r="R890" s="28">
        <f t="shared" si="301"/>
        <v>8.1741154131570351E-4</v>
      </c>
      <c r="S890" s="28">
        <f t="shared" si="301"/>
        <v>8.2041797921074454E-4</v>
      </c>
      <c r="T890" s="28">
        <f t="shared" si="301"/>
        <v>8.2164834772922271E-4</v>
      </c>
      <c r="U890" s="28">
        <f t="shared" si="301"/>
        <v>8.2304546938196678E-4</v>
      </c>
      <c r="V890" s="28">
        <f t="shared" si="301"/>
        <v>8.2462551511166995E-4</v>
      </c>
      <c r="W890" s="28">
        <f t="shared" si="301"/>
        <v>8.2639994639082011E-4</v>
      </c>
      <c r="X890" s="28">
        <f t="shared" si="301"/>
        <v>8.2839384962029086E-4</v>
      </c>
      <c r="Y890" s="28">
        <f t="shared" si="301"/>
        <v>8.2964752911885125E-4</v>
      </c>
      <c r="Z890" s="28">
        <f t="shared" si="301"/>
        <v>8.3105923605716848E-4</v>
      </c>
      <c r="AA890" s="28">
        <f t="shared" si="301"/>
        <v>8.3258968068986462E-4</v>
      </c>
      <c r="AB890" s="28">
        <f t="shared" si="301"/>
        <v>8.3427474410378356E-4</v>
      </c>
      <c r="AC890" s="28">
        <f t="shared" si="301"/>
        <v>8.3611423335046113E-4</v>
      </c>
      <c r="AD890" s="28">
        <f t="shared" si="301"/>
        <v>8.373317553147042E-4</v>
      </c>
      <c r="AE890" s="28">
        <f t="shared" si="301"/>
        <v>8.3866773516576396E-4</v>
      </c>
      <c r="AF890" s="28">
        <f t="shared" si="301"/>
        <v>8.4011319819378471E-4</v>
      </c>
      <c r="AG890" s="28">
        <f t="shared" si="301"/>
        <v>8.416837916408544E-4</v>
      </c>
      <c r="AH890" s="28">
        <f t="shared" si="301"/>
        <v>8.4332393628645482E-4</v>
      </c>
      <c r="AI890" s="28">
        <f t="shared" si="301"/>
        <v>8.4437325647622322E-4</v>
      </c>
      <c r="AJ890" s="28">
        <f t="shared" si="301"/>
        <v>8.4551159002100391E-4</v>
      </c>
      <c r="AK890" s="28">
        <f t="shared" si="301"/>
        <v>8.4672169690691037E-4</v>
      </c>
      <c r="AL890" s="28">
        <f t="shared" si="301"/>
        <v>8.4801020130944032E-4</v>
      </c>
      <c r="AM890" s="28">
        <f t="shared" si="301"/>
        <v>8.4938313954451667E-4</v>
      </c>
      <c r="AN890" s="28">
        <f t="shared" si="301"/>
        <v>8.5019233014057226E-4</v>
      </c>
      <c r="AO890" s="28">
        <f t="shared" si="301"/>
        <v>8.5105454120386272E-4</v>
      </c>
      <c r="AP890" s="28">
        <f t="shared" si="301"/>
        <v>8.5198496702325278E-4</v>
      </c>
      <c r="AQ890" s="28">
        <f t="shared" si="301"/>
        <v>8.5298196626227814E-4</v>
      </c>
      <c r="AR890" s="28">
        <f t="shared" si="301"/>
        <v>8.5405624315430654E-4</v>
      </c>
      <c r="AS890" s="28">
        <f t="shared" si="301"/>
        <v>8.545404190778012E-4</v>
      </c>
      <c r="AT890" s="28">
        <f t="shared" si="301"/>
        <v>8.5496067766910582E-4</v>
      </c>
      <c r="AU890" s="28">
        <f t="shared" si="301"/>
        <v>8.5542463021182405E-4</v>
      </c>
      <c r="AV890" s="28">
        <f t="shared" si="301"/>
        <v>8.5595505392706218E-4</v>
      </c>
      <c r="AW890" s="28">
        <f t="shared" si="301"/>
        <v>8.5652744262400531E-4</v>
      </c>
      <c r="AY890" s="85"/>
      <c r="AZ890" s="85"/>
    </row>
    <row r="891" spans="1:52" x14ac:dyDescent="0.25">
      <c r="A891" s="102" t="str">
        <f t="shared" si="270"/>
        <v>BD MM Volatilisation</v>
      </c>
      <c r="B891" s="102" t="s">
        <v>1229</v>
      </c>
      <c r="C891" s="102" t="s">
        <v>1333</v>
      </c>
      <c r="D891" t="s">
        <v>369</v>
      </c>
      <c r="E891" t="s">
        <v>64</v>
      </c>
      <c r="F891" t="s">
        <v>62</v>
      </c>
      <c r="G891" t="s">
        <v>1169</v>
      </c>
      <c r="H891" t="s">
        <v>1299</v>
      </c>
      <c r="I891" t="s">
        <v>139</v>
      </c>
      <c r="J891" t="s">
        <v>287</v>
      </c>
      <c r="K891" s="28">
        <f t="shared" ref="K891:AW891" si="302">K1539</f>
        <v>1.4482807028187922E-5</v>
      </c>
      <c r="L891" s="28">
        <f t="shared" si="302"/>
        <v>1.4520450251739282E-5</v>
      </c>
      <c r="M891" s="28">
        <f t="shared" si="302"/>
        <v>1.4571212872745464E-5</v>
      </c>
      <c r="N891" s="28">
        <f t="shared" si="302"/>
        <v>1.4633040456364911E-5</v>
      </c>
      <c r="O891" s="28">
        <f t="shared" si="302"/>
        <v>1.4707094987006923E-5</v>
      </c>
      <c r="P891" s="28">
        <f t="shared" si="302"/>
        <v>1.4794644538423194E-5</v>
      </c>
      <c r="Q891" s="28">
        <f t="shared" si="302"/>
        <v>1.4887429784482061E-5</v>
      </c>
      <c r="R891" s="28">
        <f t="shared" si="302"/>
        <v>1.4984365063470914E-5</v>
      </c>
      <c r="S891" s="28">
        <f t="shared" si="302"/>
        <v>1.5078737379247896E-5</v>
      </c>
      <c r="T891" s="28">
        <f t="shared" si="302"/>
        <v>1.5122022085784052E-5</v>
      </c>
      <c r="U891" s="28">
        <f t="shared" si="302"/>
        <v>1.5168700186651053E-5</v>
      </c>
      <c r="V891" s="28">
        <f t="shared" si="302"/>
        <v>1.5219291662698976E-5</v>
      </c>
      <c r="W891" s="28">
        <f t="shared" si="302"/>
        <v>1.5274171031448217E-5</v>
      </c>
      <c r="X891" s="28">
        <f t="shared" si="302"/>
        <v>1.5334076575093776E-5</v>
      </c>
      <c r="Y891" s="28">
        <f t="shared" si="302"/>
        <v>1.5372633836154438E-5</v>
      </c>
      <c r="Z891" s="28">
        <f t="shared" si="302"/>
        <v>1.5414710813994563E-5</v>
      </c>
      <c r="AA891" s="28">
        <f t="shared" si="302"/>
        <v>1.5459260848218299E-5</v>
      </c>
      <c r="AB891" s="28">
        <f t="shared" si="302"/>
        <v>1.550729679110253E-5</v>
      </c>
      <c r="AC891" s="28">
        <f t="shared" si="302"/>
        <v>1.5558834836357002E-5</v>
      </c>
      <c r="AD891" s="28">
        <f t="shared" si="302"/>
        <v>1.5592757830860554E-5</v>
      </c>
      <c r="AE891" s="28">
        <f t="shared" si="302"/>
        <v>1.5629324786279091E-5</v>
      </c>
      <c r="AF891" s="28">
        <f t="shared" si="302"/>
        <v>1.5668308058264363E-5</v>
      </c>
      <c r="AG891" s="28">
        <f t="shared" si="302"/>
        <v>1.5710145809478675E-5</v>
      </c>
      <c r="AH891" s="28">
        <f t="shared" si="302"/>
        <v>1.5753347197297649E-5</v>
      </c>
      <c r="AI891" s="28">
        <f t="shared" si="302"/>
        <v>1.5780128357590142E-5</v>
      </c>
      <c r="AJ891" s="28">
        <f t="shared" si="302"/>
        <v>1.5808895494916665E-5</v>
      </c>
      <c r="AK891" s="28">
        <f t="shared" si="302"/>
        <v>1.5839194459493418E-5</v>
      </c>
      <c r="AL891" s="28">
        <f t="shared" si="302"/>
        <v>1.5871212894447166E-5</v>
      </c>
      <c r="AM891" s="28">
        <f t="shared" si="302"/>
        <v>1.5905120208325659E-5</v>
      </c>
      <c r="AN891" s="28">
        <f t="shared" si="302"/>
        <v>1.5923608440521578E-5</v>
      </c>
      <c r="AO891" s="28">
        <f t="shared" si="302"/>
        <v>1.5943219194385969E-5</v>
      </c>
      <c r="AP891" s="28">
        <f t="shared" si="302"/>
        <v>1.5964364076511548E-5</v>
      </c>
      <c r="AQ891" s="28">
        <f t="shared" si="302"/>
        <v>1.5987003748719161E-5</v>
      </c>
      <c r="AR891" s="28">
        <f t="shared" si="302"/>
        <v>1.6011426014492075E-5</v>
      </c>
      <c r="AS891" s="28">
        <f t="shared" si="302"/>
        <v>1.6019956720470997E-5</v>
      </c>
      <c r="AT891" s="28">
        <f t="shared" si="302"/>
        <v>1.6026597354274649E-5</v>
      </c>
      <c r="AU891" s="28">
        <f t="shared" si="302"/>
        <v>1.6034206571030276E-5</v>
      </c>
      <c r="AV891" s="28">
        <f t="shared" si="302"/>
        <v>1.6043388029308272E-5</v>
      </c>
      <c r="AW891" s="28">
        <f t="shared" si="302"/>
        <v>1.6053496862987396E-5</v>
      </c>
      <c r="AY891" s="85"/>
      <c r="AZ891" s="85"/>
    </row>
    <row r="892" spans="1:52" x14ac:dyDescent="0.25">
      <c r="A892" s="102" t="str">
        <f t="shared" si="270"/>
        <v>BD MM Volatilisation</v>
      </c>
      <c r="B892" s="102" t="s">
        <v>1229</v>
      </c>
      <c r="C892" s="102" t="s">
        <v>1333</v>
      </c>
      <c r="D892" t="s">
        <v>369</v>
      </c>
      <c r="E892" t="s">
        <v>64</v>
      </c>
      <c r="F892" t="s">
        <v>62</v>
      </c>
      <c r="G892" t="s">
        <v>1171</v>
      </c>
      <c r="H892" t="s">
        <v>1300</v>
      </c>
      <c r="I892" t="s">
        <v>139</v>
      </c>
      <c r="J892" t="s">
        <v>287</v>
      </c>
      <c r="K892" s="28">
        <f t="shared" ref="K892:AW892" si="303">K1540</f>
        <v>1.4734983248944019E-3</v>
      </c>
      <c r="L892" s="28">
        <f t="shared" si="303"/>
        <v>1.4773281920422968E-3</v>
      </c>
      <c r="M892" s="28">
        <f t="shared" si="303"/>
        <v>1.4824928425740808E-3</v>
      </c>
      <c r="N892" s="28">
        <f t="shared" si="303"/>
        <v>1.4887832558011719E-3</v>
      </c>
      <c r="O892" s="28">
        <f t="shared" si="303"/>
        <v>1.4963176534244689E-3</v>
      </c>
      <c r="P892" s="28">
        <f t="shared" si="303"/>
        <v>1.5052250508030326E-3</v>
      </c>
      <c r="Q892" s="28">
        <f t="shared" si="303"/>
        <v>1.5146651340946602E-3</v>
      </c>
      <c r="R892" s="28">
        <f t="shared" si="303"/>
        <v>1.5245274467620346E-3</v>
      </c>
      <c r="S892" s="28">
        <f t="shared" si="303"/>
        <v>1.5341290004486333E-3</v>
      </c>
      <c r="T892" s="28">
        <f t="shared" si="303"/>
        <v>1.5385328389069129E-3</v>
      </c>
      <c r="U892" s="28">
        <f t="shared" si="303"/>
        <v>1.5432819254136169E-3</v>
      </c>
      <c r="V892" s="28">
        <f t="shared" si="303"/>
        <v>1.5484291634501014E-3</v>
      </c>
      <c r="W892" s="28">
        <f t="shared" si="303"/>
        <v>1.5540126568824096E-3</v>
      </c>
      <c r="X892" s="28">
        <f t="shared" si="303"/>
        <v>1.5601075194350781E-3</v>
      </c>
      <c r="Y892" s="28">
        <f t="shared" si="303"/>
        <v>1.5640303818660153E-3</v>
      </c>
      <c r="Z892" s="28">
        <f t="shared" si="303"/>
        <v>1.5683113445442707E-3</v>
      </c>
      <c r="AA892" s="28">
        <f t="shared" si="303"/>
        <v>1.5728439189737231E-3</v>
      </c>
      <c r="AB892" s="28">
        <f t="shared" si="303"/>
        <v>1.5777311539715299E-3</v>
      </c>
      <c r="AC892" s="28">
        <f t="shared" si="303"/>
        <v>1.5829746971053286E-3</v>
      </c>
      <c r="AD892" s="28">
        <f t="shared" si="303"/>
        <v>1.5864260636449165E-3</v>
      </c>
      <c r="AE892" s="28">
        <f t="shared" si="303"/>
        <v>1.5901464299696787E-3</v>
      </c>
      <c r="AF892" s="28">
        <f t="shared" si="303"/>
        <v>1.5941126352679608E-3</v>
      </c>
      <c r="AG892" s="28">
        <f t="shared" si="303"/>
        <v>1.5983692587396162E-3</v>
      </c>
      <c r="AH892" s="28">
        <f t="shared" si="303"/>
        <v>1.6027646202507156E-3</v>
      </c>
      <c r="AI892" s="28">
        <f t="shared" si="303"/>
        <v>1.6054893679293186E-3</v>
      </c>
      <c r="AJ892" s="28">
        <f t="shared" si="303"/>
        <v>1.6084161713162683E-3</v>
      </c>
      <c r="AK892" s="28">
        <f t="shared" si="303"/>
        <v>1.6114988246626113E-3</v>
      </c>
      <c r="AL892" s="28">
        <f t="shared" si="303"/>
        <v>1.6147564190072887E-3</v>
      </c>
      <c r="AM892" s="28">
        <f t="shared" si="303"/>
        <v>1.6182061901810947E-3</v>
      </c>
      <c r="AN892" s="28">
        <f t="shared" si="303"/>
        <v>1.6200872053128935E-3</v>
      </c>
      <c r="AO892" s="28">
        <f t="shared" si="303"/>
        <v>1.6220824271585524E-3</v>
      </c>
      <c r="AP892" s="28">
        <f t="shared" si="303"/>
        <v>1.6242337330712453E-3</v>
      </c>
      <c r="AQ892" s="28">
        <f t="shared" si="303"/>
        <v>1.6265371207369889E-3</v>
      </c>
      <c r="AR892" s="28">
        <f t="shared" si="303"/>
        <v>1.6290218716306845E-3</v>
      </c>
      <c r="AS892" s="28">
        <f t="shared" si="303"/>
        <v>1.6298897959871744E-3</v>
      </c>
      <c r="AT892" s="28">
        <f t="shared" si="303"/>
        <v>1.6305654221117833E-3</v>
      </c>
      <c r="AU892" s="28">
        <f t="shared" si="303"/>
        <v>1.6313395930388258E-3</v>
      </c>
      <c r="AV892" s="28">
        <f t="shared" si="303"/>
        <v>1.6322737257222465E-3</v>
      </c>
      <c r="AW892" s="28">
        <f t="shared" si="303"/>
        <v>1.6333022107019772E-3</v>
      </c>
      <c r="AY892" s="85"/>
      <c r="AZ892" s="85"/>
    </row>
    <row r="893" spans="1:52" x14ac:dyDescent="0.25">
      <c r="A893" s="102" t="str">
        <f t="shared" si="270"/>
        <v>BD MM Volatilisation</v>
      </c>
      <c r="B893" s="102" t="s">
        <v>1229</v>
      </c>
      <c r="C893" s="102" t="s">
        <v>1333</v>
      </c>
      <c r="D893" t="s">
        <v>369</v>
      </c>
      <c r="E893" t="s">
        <v>64</v>
      </c>
      <c r="F893" t="s">
        <v>62</v>
      </c>
      <c r="G893" t="s">
        <v>1173</v>
      </c>
      <c r="H893" t="s">
        <v>1301</v>
      </c>
      <c r="I893" t="s">
        <v>139</v>
      </c>
      <c r="J893" t="s">
        <v>287</v>
      </c>
      <c r="K893" s="28">
        <f t="shared" ref="K893:AW893" si="304">K1541</f>
        <v>0</v>
      </c>
      <c r="L893" s="28">
        <f t="shared" si="304"/>
        <v>0</v>
      </c>
      <c r="M893" s="28">
        <f t="shared" si="304"/>
        <v>0</v>
      </c>
      <c r="N893" s="28">
        <f t="shared" si="304"/>
        <v>0</v>
      </c>
      <c r="O893" s="28">
        <f t="shared" si="304"/>
        <v>0</v>
      </c>
      <c r="P893" s="28">
        <f t="shared" si="304"/>
        <v>0</v>
      </c>
      <c r="Q893" s="28">
        <f t="shared" si="304"/>
        <v>0</v>
      </c>
      <c r="R893" s="28">
        <f t="shared" si="304"/>
        <v>0</v>
      </c>
      <c r="S893" s="28">
        <f t="shared" si="304"/>
        <v>0</v>
      </c>
      <c r="T893" s="28">
        <f t="shared" si="304"/>
        <v>0</v>
      </c>
      <c r="U893" s="28">
        <f t="shared" si="304"/>
        <v>0</v>
      </c>
      <c r="V893" s="28">
        <f t="shared" si="304"/>
        <v>0</v>
      </c>
      <c r="W893" s="28">
        <f t="shared" si="304"/>
        <v>0</v>
      </c>
      <c r="X893" s="28">
        <f t="shared" si="304"/>
        <v>0</v>
      </c>
      <c r="Y893" s="28">
        <f t="shared" si="304"/>
        <v>0</v>
      </c>
      <c r="Z893" s="28">
        <f t="shared" si="304"/>
        <v>0</v>
      </c>
      <c r="AA893" s="28">
        <f t="shared" si="304"/>
        <v>0</v>
      </c>
      <c r="AB893" s="28">
        <f t="shared" si="304"/>
        <v>0</v>
      </c>
      <c r="AC893" s="28">
        <f t="shared" si="304"/>
        <v>0</v>
      </c>
      <c r="AD893" s="28">
        <f t="shared" si="304"/>
        <v>0</v>
      </c>
      <c r="AE893" s="28">
        <f t="shared" si="304"/>
        <v>0</v>
      </c>
      <c r="AF893" s="28">
        <f t="shared" si="304"/>
        <v>0</v>
      </c>
      <c r="AG893" s="28">
        <f t="shared" si="304"/>
        <v>0</v>
      </c>
      <c r="AH893" s="28">
        <f t="shared" si="304"/>
        <v>0</v>
      </c>
      <c r="AI893" s="28">
        <f t="shared" si="304"/>
        <v>0</v>
      </c>
      <c r="AJ893" s="28">
        <f t="shared" si="304"/>
        <v>0</v>
      </c>
      <c r="AK893" s="28">
        <f t="shared" si="304"/>
        <v>0</v>
      </c>
      <c r="AL893" s="28">
        <f t="shared" si="304"/>
        <v>0</v>
      </c>
      <c r="AM893" s="28">
        <f t="shared" si="304"/>
        <v>0</v>
      </c>
      <c r="AN893" s="28">
        <f t="shared" si="304"/>
        <v>0</v>
      </c>
      <c r="AO893" s="28">
        <f t="shared" si="304"/>
        <v>0</v>
      </c>
      <c r="AP893" s="28">
        <f t="shared" si="304"/>
        <v>0</v>
      </c>
      <c r="AQ893" s="28">
        <f t="shared" si="304"/>
        <v>0</v>
      </c>
      <c r="AR893" s="28">
        <f t="shared" si="304"/>
        <v>0</v>
      </c>
      <c r="AS893" s="28">
        <f t="shared" si="304"/>
        <v>0</v>
      </c>
      <c r="AT893" s="28">
        <f t="shared" si="304"/>
        <v>0</v>
      </c>
      <c r="AU893" s="28">
        <f t="shared" si="304"/>
        <v>0</v>
      </c>
      <c r="AV893" s="28">
        <f t="shared" si="304"/>
        <v>0</v>
      </c>
      <c r="AW893" s="28">
        <f t="shared" si="304"/>
        <v>0</v>
      </c>
      <c r="AY893" s="85"/>
      <c r="AZ893" s="85"/>
    </row>
    <row r="894" spans="1:52" x14ac:dyDescent="0.25">
      <c r="A894" s="102" t="str">
        <f t="shared" si="270"/>
        <v>BD MM Volatilisation</v>
      </c>
      <c r="B894" s="102" t="s">
        <v>1229</v>
      </c>
      <c r="C894" s="102" t="s">
        <v>1333</v>
      </c>
      <c r="D894" t="s">
        <v>369</v>
      </c>
      <c r="E894" t="s">
        <v>64</v>
      </c>
      <c r="F894" t="s">
        <v>62</v>
      </c>
      <c r="G894" t="s">
        <v>1175</v>
      </c>
      <c r="H894" t="s">
        <v>1302</v>
      </c>
      <c r="I894" t="s">
        <v>139</v>
      </c>
      <c r="J894" t="s">
        <v>287</v>
      </c>
      <c r="K894" s="28">
        <f t="shared" ref="K894:AW894" si="305">K1542</f>
        <v>0</v>
      </c>
      <c r="L894" s="28">
        <f t="shared" si="305"/>
        <v>0</v>
      </c>
      <c r="M894" s="28">
        <f t="shared" si="305"/>
        <v>0</v>
      </c>
      <c r="N894" s="28">
        <f t="shared" si="305"/>
        <v>0</v>
      </c>
      <c r="O894" s="28">
        <f t="shared" si="305"/>
        <v>0</v>
      </c>
      <c r="P894" s="28">
        <f t="shared" si="305"/>
        <v>0</v>
      </c>
      <c r="Q894" s="28">
        <f t="shared" si="305"/>
        <v>0</v>
      </c>
      <c r="R894" s="28">
        <f t="shared" si="305"/>
        <v>0</v>
      </c>
      <c r="S894" s="28">
        <f t="shared" si="305"/>
        <v>0</v>
      </c>
      <c r="T894" s="28">
        <f t="shared" si="305"/>
        <v>0</v>
      </c>
      <c r="U894" s="28">
        <f t="shared" si="305"/>
        <v>0</v>
      </c>
      <c r="V894" s="28">
        <f t="shared" si="305"/>
        <v>0</v>
      </c>
      <c r="W894" s="28">
        <f t="shared" si="305"/>
        <v>0</v>
      </c>
      <c r="X894" s="28">
        <f t="shared" si="305"/>
        <v>0</v>
      </c>
      <c r="Y894" s="28">
        <f t="shared" si="305"/>
        <v>0</v>
      </c>
      <c r="Z894" s="28">
        <f t="shared" si="305"/>
        <v>0</v>
      </c>
      <c r="AA894" s="28">
        <f t="shared" si="305"/>
        <v>0</v>
      </c>
      <c r="AB894" s="28">
        <f t="shared" si="305"/>
        <v>0</v>
      </c>
      <c r="AC894" s="28">
        <f t="shared" si="305"/>
        <v>0</v>
      </c>
      <c r="AD894" s="28">
        <f t="shared" si="305"/>
        <v>0</v>
      </c>
      <c r="AE894" s="28">
        <f t="shared" si="305"/>
        <v>0</v>
      </c>
      <c r="AF894" s="28">
        <f t="shared" si="305"/>
        <v>0</v>
      </c>
      <c r="AG894" s="28">
        <f t="shared" si="305"/>
        <v>0</v>
      </c>
      <c r="AH894" s="28">
        <f t="shared" si="305"/>
        <v>0</v>
      </c>
      <c r="AI894" s="28">
        <f t="shared" si="305"/>
        <v>0</v>
      </c>
      <c r="AJ894" s="28">
        <f t="shared" si="305"/>
        <v>0</v>
      </c>
      <c r="AK894" s="28">
        <f t="shared" si="305"/>
        <v>0</v>
      </c>
      <c r="AL894" s="28">
        <f t="shared" si="305"/>
        <v>0</v>
      </c>
      <c r="AM894" s="28">
        <f t="shared" si="305"/>
        <v>0</v>
      </c>
      <c r="AN894" s="28">
        <f t="shared" si="305"/>
        <v>0</v>
      </c>
      <c r="AO894" s="28">
        <f t="shared" si="305"/>
        <v>0</v>
      </c>
      <c r="AP894" s="28">
        <f t="shared" si="305"/>
        <v>0</v>
      </c>
      <c r="AQ894" s="28">
        <f t="shared" si="305"/>
        <v>0</v>
      </c>
      <c r="AR894" s="28">
        <f t="shared" si="305"/>
        <v>0</v>
      </c>
      <c r="AS894" s="28">
        <f t="shared" si="305"/>
        <v>0</v>
      </c>
      <c r="AT894" s="28">
        <f t="shared" si="305"/>
        <v>0</v>
      </c>
      <c r="AU894" s="28">
        <f t="shared" si="305"/>
        <v>0</v>
      </c>
      <c r="AV894" s="28">
        <f t="shared" si="305"/>
        <v>0</v>
      </c>
      <c r="AW894" s="28">
        <f t="shared" si="305"/>
        <v>0</v>
      </c>
      <c r="AY894" s="85"/>
      <c r="AZ894" s="85"/>
    </row>
    <row r="895" spans="1:52" x14ac:dyDescent="0.25">
      <c r="A895" s="102" t="str">
        <f t="shared" si="270"/>
        <v>BD MM Volatilisation</v>
      </c>
      <c r="B895" s="102" t="s">
        <v>1229</v>
      </c>
      <c r="C895" s="102" t="s">
        <v>1333</v>
      </c>
      <c r="D895" t="s">
        <v>369</v>
      </c>
      <c r="E895" t="s">
        <v>64</v>
      </c>
      <c r="F895" t="s">
        <v>62</v>
      </c>
      <c r="G895" t="s">
        <v>1177</v>
      </c>
      <c r="H895" t="s">
        <v>1303</v>
      </c>
      <c r="I895" t="s">
        <v>139</v>
      </c>
      <c r="J895" t="s">
        <v>287</v>
      </c>
      <c r="K895" s="28">
        <f t="shared" ref="K895:AW895" si="306">K1543</f>
        <v>0.13127680408912967</v>
      </c>
      <c r="L895" s="28">
        <f t="shared" si="306"/>
        <v>0.13104478756679175</v>
      </c>
      <c r="M895" s="28">
        <f t="shared" si="306"/>
        <v>0.13030955774266942</v>
      </c>
      <c r="N895" s="28">
        <f t="shared" si="306"/>
        <v>0.12743411073001928</v>
      </c>
      <c r="O895" s="28">
        <f t="shared" si="306"/>
        <v>0.1247149107669546</v>
      </c>
      <c r="P895" s="28">
        <f t="shared" si="306"/>
        <v>0.1242760261027246</v>
      </c>
      <c r="Q895" s="28">
        <f t="shared" si="306"/>
        <v>0.1232106270346093</v>
      </c>
      <c r="R895" s="28">
        <f t="shared" si="306"/>
        <v>0.11992927074804736</v>
      </c>
      <c r="S895" s="28">
        <f t="shared" si="306"/>
        <v>0.10697136059413564</v>
      </c>
      <c r="T895" s="28">
        <f t="shared" si="306"/>
        <v>0.10927238007305687</v>
      </c>
      <c r="U895" s="28">
        <f t="shared" si="306"/>
        <v>0.11033195793154126</v>
      </c>
      <c r="V895" s="28">
        <f t="shared" si="306"/>
        <v>0.11110365742908961</v>
      </c>
      <c r="W895" s="28">
        <f t="shared" si="306"/>
        <v>0.1122884240961687</v>
      </c>
      <c r="X895" s="28">
        <f t="shared" si="306"/>
        <v>0.11491943317032226</v>
      </c>
      <c r="Y895" s="28">
        <f t="shared" si="306"/>
        <v>0.117880487302873</v>
      </c>
      <c r="Z895" s="28">
        <f t="shared" si="306"/>
        <v>0.12113886796014842</v>
      </c>
      <c r="AA895" s="28">
        <f t="shared" si="306"/>
        <v>0.12374440018879811</v>
      </c>
      <c r="AB895" s="28">
        <f t="shared" si="306"/>
        <v>0.12693570858518674</v>
      </c>
      <c r="AC895" s="28">
        <f t="shared" si="306"/>
        <v>0.13084113615278595</v>
      </c>
      <c r="AD895" s="28">
        <f t="shared" si="306"/>
        <v>0.13453780909031221</v>
      </c>
      <c r="AE895" s="28">
        <f t="shared" si="306"/>
        <v>0.13838522984786125</v>
      </c>
      <c r="AF895" s="28">
        <f t="shared" si="306"/>
        <v>0.1422552100509078</v>
      </c>
      <c r="AG895" s="28">
        <f t="shared" si="306"/>
        <v>0.14666883461308858</v>
      </c>
      <c r="AH895" s="28">
        <f t="shared" si="306"/>
        <v>0.15024709495665656</v>
      </c>
      <c r="AI895" s="28">
        <f t="shared" si="306"/>
        <v>0.15408132184002271</v>
      </c>
      <c r="AJ895" s="28">
        <f t="shared" si="306"/>
        <v>0.15791627313476184</v>
      </c>
      <c r="AK895" s="28">
        <f t="shared" si="306"/>
        <v>0.16139685457136538</v>
      </c>
      <c r="AL895" s="28">
        <f t="shared" si="306"/>
        <v>0.16476948346525533</v>
      </c>
      <c r="AM895" s="28">
        <f t="shared" si="306"/>
        <v>0.1682466106779141</v>
      </c>
      <c r="AN895" s="28">
        <f t="shared" si="306"/>
        <v>0.17192264568830376</v>
      </c>
      <c r="AO895" s="28">
        <f t="shared" si="306"/>
        <v>0.17515461564548812</v>
      </c>
      <c r="AP895" s="28">
        <f t="shared" si="306"/>
        <v>0.17836303688392388</v>
      </c>
      <c r="AQ895" s="28">
        <f t="shared" si="306"/>
        <v>0.18155644014490915</v>
      </c>
      <c r="AR895" s="28">
        <f t="shared" si="306"/>
        <v>0.18501677268932123</v>
      </c>
      <c r="AS895" s="28">
        <f t="shared" si="306"/>
        <v>0.1885273047927761</v>
      </c>
      <c r="AT895" s="28">
        <f t="shared" si="306"/>
        <v>0.1893481182412324</v>
      </c>
      <c r="AU895" s="28">
        <f t="shared" si="306"/>
        <v>0.18994311944670875</v>
      </c>
      <c r="AV895" s="28">
        <f t="shared" si="306"/>
        <v>0.19083634950059308</v>
      </c>
      <c r="AW895" s="28">
        <f t="shared" si="306"/>
        <v>0.19153378485504027</v>
      </c>
      <c r="AY895" s="85"/>
      <c r="AZ895" s="85"/>
    </row>
    <row r="896" spans="1:52" x14ac:dyDescent="0.25">
      <c r="A896" s="102" t="str">
        <f t="shared" si="270"/>
        <v>BD MM Volatilisation</v>
      </c>
      <c r="B896" s="102" t="s">
        <v>1229</v>
      </c>
      <c r="C896" s="102" t="s">
        <v>1333</v>
      </c>
      <c r="D896" t="s">
        <v>369</v>
      </c>
      <c r="E896" t="s">
        <v>64</v>
      </c>
      <c r="F896" t="s">
        <v>62</v>
      </c>
      <c r="G896" t="s">
        <v>1179</v>
      </c>
      <c r="H896" t="s">
        <v>1304</v>
      </c>
      <c r="I896" t="s">
        <v>139</v>
      </c>
      <c r="J896" t="s">
        <v>287</v>
      </c>
      <c r="K896" s="28">
        <f t="shared" ref="K896:AW896" si="307">K1544</f>
        <v>1.2775290998949166E-2</v>
      </c>
      <c r="L896" s="28">
        <f t="shared" si="307"/>
        <v>1.2752712154118219E-2</v>
      </c>
      <c r="M896" s="28">
        <f t="shared" si="307"/>
        <v>1.2681162766399339E-2</v>
      </c>
      <c r="N896" s="28">
        <f t="shared" si="307"/>
        <v>1.2401336695117745E-2</v>
      </c>
      <c r="O896" s="28">
        <f t="shared" si="307"/>
        <v>1.2136715911167996E-2</v>
      </c>
      <c r="P896" s="28">
        <f t="shared" si="307"/>
        <v>1.2094005553162118E-2</v>
      </c>
      <c r="Q896" s="28">
        <f t="shared" si="307"/>
        <v>1.1990325522103915E-2</v>
      </c>
      <c r="R896" s="28">
        <f t="shared" si="307"/>
        <v>1.1670998115233177E-2</v>
      </c>
      <c r="S896" s="28">
        <f t="shared" si="307"/>
        <v>1.0409990322553617E-2</v>
      </c>
      <c r="T896" s="28">
        <f t="shared" si="307"/>
        <v>1.0633915589789026E-2</v>
      </c>
      <c r="U896" s="28">
        <f t="shared" si="307"/>
        <v>1.0737029125893931E-2</v>
      </c>
      <c r="V896" s="28">
        <f t="shared" si="307"/>
        <v>1.0812127584554078E-2</v>
      </c>
      <c r="W896" s="28">
        <f t="shared" si="307"/>
        <v>1.092742395425785E-2</v>
      </c>
      <c r="X896" s="28">
        <f t="shared" si="307"/>
        <v>1.1183462382191907E-2</v>
      </c>
      <c r="Y896" s="28">
        <f t="shared" si="307"/>
        <v>1.1471619368260015E-2</v>
      </c>
      <c r="Z896" s="28">
        <f t="shared" si="307"/>
        <v>1.1788710886223677E-2</v>
      </c>
      <c r="AA896" s="28">
        <f t="shared" si="307"/>
        <v>1.2042270017702387E-2</v>
      </c>
      <c r="AB896" s="28">
        <f t="shared" si="307"/>
        <v>1.2352834353223334E-2</v>
      </c>
      <c r="AC896" s="28">
        <f t="shared" si="307"/>
        <v>1.2732893678993665E-2</v>
      </c>
      <c r="AD896" s="28">
        <f t="shared" si="307"/>
        <v>1.3092637906715528E-2</v>
      </c>
      <c r="AE896" s="28">
        <f t="shared" si="307"/>
        <v>1.3467052260524101E-2</v>
      </c>
      <c r="AF896" s="28">
        <f t="shared" si="307"/>
        <v>1.384366200203278E-2</v>
      </c>
      <c r="AG896" s="28">
        <f t="shared" si="307"/>
        <v>1.4273176862127078E-2</v>
      </c>
      <c r="AH896" s="28">
        <f t="shared" si="307"/>
        <v>1.4621397688161536E-2</v>
      </c>
      <c r="AI896" s="28">
        <f t="shared" si="307"/>
        <v>1.4994528071178318E-2</v>
      </c>
      <c r="AJ896" s="28">
        <f t="shared" si="307"/>
        <v>1.5367728950777933E-2</v>
      </c>
      <c r="AK896" s="28">
        <f t="shared" si="307"/>
        <v>1.5706444087901172E-2</v>
      </c>
      <c r="AL896" s="28">
        <f t="shared" si="307"/>
        <v>1.6034653750300141E-2</v>
      </c>
      <c r="AM896" s="28">
        <f t="shared" si="307"/>
        <v>1.6373032737283407E-2</v>
      </c>
      <c r="AN896" s="28">
        <f t="shared" si="307"/>
        <v>1.673076857116438E-2</v>
      </c>
      <c r="AO896" s="28">
        <f t="shared" si="307"/>
        <v>1.7045289913981791E-2</v>
      </c>
      <c r="AP896" s="28">
        <f t="shared" si="307"/>
        <v>1.7357519597303427E-2</v>
      </c>
      <c r="AQ896" s="28">
        <f t="shared" si="307"/>
        <v>1.7668287795989782E-2</v>
      </c>
      <c r="AR896" s="28">
        <f t="shared" si="307"/>
        <v>1.8005032398471E-2</v>
      </c>
      <c r="AS896" s="28">
        <f t="shared" si="307"/>
        <v>1.8346662205000568E-2</v>
      </c>
      <c r="AT896" s="28">
        <f t="shared" si="307"/>
        <v>1.8426540221018993E-2</v>
      </c>
      <c r="AU896" s="28">
        <f t="shared" si="307"/>
        <v>1.8484443165849414E-2</v>
      </c>
      <c r="AV896" s="28">
        <f t="shared" si="307"/>
        <v>1.8571368452815044E-2</v>
      </c>
      <c r="AW896" s="28">
        <f t="shared" si="307"/>
        <v>1.8639239846149461E-2</v>
      </c>
      <c r="AY896" s="85"/>
      <c r="AZ896" s="85"/>
    </row>
    <row r="897" spans="1:52" x14ac:dyDescent="0.25">
      <c r="A897" s="102" t="str">
        <f t="shared" si="270"/>
        <v>BD MM Volatilisation</v>
      </c>
      <c r="B897" s="102" t="s">
        <v>1229</v>
      </c>
      <c r="C897" s="102" t="s">
        <v>1333</v>
      </c>
      <c r="D897" t="s">
        <v>369</v>
      </c>
      <c r="E897" t="s">
        <v>64</v>
      </c>
      <c r="F897" t="s">
        <v>62</v>
      </c>
      <c r="G897" t="s">
        <v>1181</v>
      </c>
      <c r="H897" t="s">
        <v>1305</v>
      </c>
      <c r="I897" t="s">
        <v>139</v>
      </c>
      <c r="J897" t="s">
        <v>287</v>
      </c>
      <c r="K897" s="28">
        <f t="shared" ref="K897:AW897" si="308">K1545</f>
        <v>6.4639922525530427E-2</v>
      </c>
      <c r="L897" s="28">
        <f t="shared" si="308"/>
        <v>6.6092820241884495E-2</v>
      </c>
      <c r="M897" s="28">
        <f t="shared" si="308"/>
        <v>6.7406950311631311E-2</v>
      </c>
      <c r="N897" s="28">
        <f t="shared" si="308"/>
        <v>6.8085378535523336E-2</v>
      </c>
      <c r="O897" s="28">
        <f t="shared" si="308"/>
        <v>6.8782509933711544E-2</v>
      </c>
      <c r="P897" s="28">
        <f t="shared" si="308"/>
        <v>7.0170496606956442E-2</v>
      </c>
      <c r="Q897" s="28">
        <f t="shared" si="308"/>
        <v>7.1357352719614867E-2</v>
      </c>
      <c r="R897" s="28">
        <f t="shared" si="308"/>
        <v>7.1807853842609945E-2</v>
      </c>
      <c r="S897" s="28">
        <f t="shared" si="308"/>
        <v>6.89560372793145E-2</v>
      </c>
      <c r="T897" s="28">
        <f t="shared" si="308"/>
        <v>7.1008173280929857E-2</v>
      </c>
      <c r="U897" s="28">
        <f t="shared" si="308"/>
        <v>7.2666722437194436E-2</v>
      </c>
      <c r="V897" s="28">
        <f t="shared" si="308"/>
        <v>7.4247222856444403E-2</v>
      </c>
      <c r="W897" s="28">
        <f t="shared" si="308"/>
        <v>7.600218438166105E-2</v>
      </c>
      <c r="X897" s="28">
        <f t="shared" si="308"/>
        <v>7.8331736592242102E-2</v>
      </c>
      <c r="Y897" s="28">
        <f t="shared" si="308"/>
        <v>8.0778487004079483E-2</v>
      </c>
      <c r="Z897" s="28">
        <f t="shared" si="308"/>
        <v>8.3401229369706939E-2</v>
      </c>
      <c r="AA897" s="28">
        <f t="shared" si="308"/>
        <v>8.5827271656106763E-2</v>
      </c>
      <c r="AB897" s="28">
        <f t="shared" si="308"/>
        <v>8.8549064394725929E-2</v>
      </c>
      <c r="AC897" s="28">
        <f t="shared" si="308"/>
        <v>9.1636240743728642E-2</v>
      </c>
      <c r="AD897" s="28">
        <f t="shared" si="308"/>
        <v>9.4662173779080358E-2</v>
      </c>
      <c r="AE897" s="28">
        <f t="shared" si="308"/>
        <v>9.7831321391472395E-2</v>
      </c>
      <c r="AF897" s="28">
        <f t="shared" si="308"/>
        <v>0.1010924495137356</v>
      </c>
      <c r="AG897" s="28">
        <f t="shared" si="308"/>
        <v>0.10468368456707709</v>
      </c>
      <c r="AH897" s="28">
        <f t="shared" si="308"/>
        <v>0.10798542807128246</v>
      </c>
      <c r="AI897" s="28">
        <f t="shared" si="308"/>
        <v>0.11143964262193619</v>
      </c>
      <c r="AJ897" s="28">
        <f t="shared" si="308"/>
        <v>0.11498300476041527</v>
      </c>
      <c r="AK897" s="28">
        <f t="shared" si="308"/>
        <v>0.11844428302751359</v>
      </c>
      <c r="AL897" s="28">
        <f t="shared" si="308"/>
        <v>0.12193846206930534</v>
      </c>
      <c r="AM897" s="28">
        <f t="shared" si="308"/>
        <v>0.12557241914152842</v>
      </c>
      <c r="AN897" s="28">
        <f t="shared" si="308"/>
        <v>0.12935192234708767</v>
      </c>
      <c r="AO897" s="28">
        <f t="shared" si="308"/>
        <v>0.13299431940651141</v>
      </c>
      <c r="AP897" s="28">
        <f t="shared" si="308"/>
        <v>0.13671453058130023</v>
      </c>
      <c r="AQ897" s="28">
        <f t="shared" si="308"/>
        <v>0.14051897664424154</v>
      </c>
      <c r="AR897" s="28">
        <f t="shared" si="308"/>
        <v>0.14456662668799888</v>
      </c>
      <c r="AS897" s="28">
        <f t="shared" si="308"/>
        <v>0.14869599338087189</v>
      </c>
      <c r="AT897" s="28">
        <f t="shared" si="308"/>
        <v>0.15137911693275455</v>
      </c>
      <c r="AU897" s="28">
        <f t="shared" si="308"/>
        <v>0.1539813872955596</v>
      </c>
      <c r="AV897" s="28">
        <f t="shared" si="308"/>
        <v>0.15681091101615385</v>
      </c>
      <c r="AW897" s="28">
        <f t="shared" si="308"/>
        <v>0.15957796848952543</v>
      </c>
      <c r="AY897" s="85"/>
      <c r="AZ897" s="85"/>
    </row>
    <row r="898" spans="1:52" x14ac:dyDescent="0.25">
      <c r="A898" s="102" t="str">
        <f t="shared" si="270"/>
        <v>BD MM Volatilisation</v>
      </c>
      <c r="B898" s="102" t="s">
        <v>1229</v>
      </c>
      <c r="C898" s="102" t="s">
        <v>1333</v>
      </c>
      <c r="D898" t="s">
        <v>369</v>
      </c>
      <c r="E898" t="s">
        <v>64</v>
      </c>
      <c r="F898" t="s">
        <v>62</v>
      </c>
      <c r="G898" t="s">
        <v>1183</v>
      </c>
      <c r="H898" t="s">
        <v>1306</v>
      </c>
      <c r="I898" t="s">
        <v>139</v>
      </c>
      <c r="J898" t="s">
        <v>287</v>
      </c>
      <c r="K898" s="28">
        <f t="shared" ref="K898:AW898" si="309">K1546</f>
        <v>0.3124157271084777</v>
      </c>
      <c r="L898" s="28">
        <f t="shared" si="309"/>
        <v>0.31821414255231495</v>
      </c>
      <c r="M898" s="28">
        <f t="shared" si="309"/>
        <v>0.32201191440693633</v>
      </c>
      <c r="N898" s="28">
        <f t="shared" si="309"/>
        <v>0.3178348082585094</v>
      </c>
      <c r="O898" s="28">
        <f t="shared" si="309"/>
        <v>0.31378386599173785</v>
      </c>
      <c r="P898" s="28">
        <f t="shared" si="309"/>
        <v>0.31779798966820449</v>
      </c>
      <c r="Q898" s="28">
        <f t="shared" si="309"/>
        <v>0.31934474546532327</v>
      </c>
      <c r="R898" s="28">
        <f t="shared" si="309"/>
        <v>0.3122534460886785</v>
      </c>
      <c r="S898" s="28">
        <f t="shared" si="309"/>
        <v>0.26726842990845273</v>
      </c>
      <c r="T898" s="28">
        <f t="shared" si="309"/>
        <v>0.28155383456320437</v>
      </c>
      <c r="U898" s="28">
        <f t="shared" si="309"/>
        <v>0.29111754321840305</v>
      </c>
      <c r="V898" s="28">
        <f t="shared" si="309"/>
        <v>0.2996184601617527</v>
      </c>
      <c r="W898" s="28">
        <f t="shared" si="309"/>
        <v>0.30988409927740257</v>
      </c>
      <c r="X898" s="28">
        <f t="shared" si="309"/>
        <v>0.32626779257260974</v>
      </c>
      <c r="Y898" s="28">
        <f t="shared" si="309"/>
        <v>0.34459114138127506</v>
      </c>
      <c r="Z898" s="28">
        <f t="shared" si="309"/>
        <v>0.36451721195122694</v>
      </c>
      <c r="AA898" s="28">
        <f t="shared" si="309"/>
        <v>0.38201404405887901</v>
      </c>
      <c r="AB898" s="28">
        <f t="shared" si="309"/>
        <v>0.40238508942677492</v>
      </c>
      <c r="AC898" s="28">
        <f t="shared" si="309"/>
        <v>0.4263053965641187</v>
      </c>
      <c r="AD898" s="28">
        <f t="shared" si="309"/>
        <v>0.44998725989455773</v>
      </c>
      <c r="AE898" s="28">
        <f t="shared" si="309"/>
        <v>0.47482812670868052</v>
      </c>
      <c r="AF898" s="28">
        <f t="shared" si="309"/>
        <v>0.50027841318334143</v>
      </c>
      <c r="AG898" s="28">
        <f t="shared" si="309"/>
        <v>0.52877672683612675</v>
      </c>
      <c r="AH898" s="28">
        <f t="shared" si="309"/>
        <v>0.55394333487777203</v>
      </c>
      <c r="AI898" s="28">
        <f t="shared" si="309"/>
        <v>0.58103945126716949</v>
      </c>
      <c r="AJ898" s="28">
        <f t="shared" si="309"/>
        <v>0.60869953568846558</v>
      </c>
      <c r="AK898" s="28">
        <f t="shared" si="309"/>
        <v>0.6352030919632573</v>
      </c>
      <c r="AL898" s="28">
        <f t="shared" si="309"/>
        <v>0.66171943775292319</v>
      </c>
      <c r="AM898" s="28">
        <f t="shared" si="309"/>
        <v>0.68930855279653469</v>
      </c>
      <c r="AN898" s="28">
        <f t="shared" si="309"/>
        <v>0.71866455371182625</v>
      </c>
      <c r="AO898" s="28">
        <f t="shared" si="309"/>
        <v>0.74635733605458598</v>
      </c>
      <c r="AP898" s="28">
        <f t="shared" si="309"/>
        <v>0.7745069527648214</v>
      </c>
      <c r="AQ898" s="28">
        <f t="shared" si="309"/>
        <v>0.80317067030208755</v>
      </c>
      <c r="AR898" s="28">
        <f t="shared" si="309"/>
        <v>0.83386954359351506</v>
      </c>
      <c r="AS898" s="28">
        <f t="shared" si="309"/>
        <v>0.86568293208899882</v>
      </c>
      <c r="AT898" s="28">
        <f t="shared" si="309"/>
        <v>0.88344012524771687</v>
      </c>
      <c r="AU898" s="28">
        <f t="shared" si="309"/>
        <v>0.90027059680950883</v>
      </c>
      <c r="AV898" s="28">
        <f t="shared" si="309"/>
        <v>0.91908561041712944</v>
      </c>
      <c r="AW898" s="28">
        <f t="shared" si="309"/>
        <v>0.9371463380375723</v>
      </c>
      <c r="AY898" s="85"/>
      <c r="AZ898" s="85"/>
    </row>
    <row r="899" spans="1:52" x14ac:dyDescent="0.25">
      <c r="A899" s="102" t="str">
        <f t="shared" si="270"/>
        <v>BD MM Leaching</v>
      </c>
      <c r="B899" s="102" t="s">
        <v>1229</v>
      </c>
      <c r="C899" s="102" t="s">
        <v>1334</v>
      </c>
      <c r="D899" t="s">
        <v>369</v>
      </c>
      <c r="E899" t="s">
        <v>64</v>
      </c>
      <c r="F899" t="s">
        <v>63</v>
      </c>
      <c r="G899" t="s">
        <v>1153</v>
      </c>
      <c r="H899" t="s">
        <v>1307</v>
      </c>
      <c r="I899" t="s">
        <v>139</v>
      </c>
      <c r="J899" t="s">
        <v>287</v>
      </c>
      <c r="K899" s="28">
        <f t="shared" ref="K899:AW899" si="310">K1547</f>
        <v>8.9301817319657029E-2</v>
      </c>
      <c r="L899" s="28">
        <f t="shared" si="310"/>
        <v>8.9904788204048389E-2</v>
      </c>
      <c r="M899" s="28">
        <f t="shared" si="310"/>
        <v>9.0432234991344826E-2</v>
      </c>
      <c r="N899" s="28">
        <f t="shared" si="310"/>
        <v>9.0500461338876806E-2</v>
      </c>
      <c r="O899" s="28">
        <f t="shared" si="310"/>
        <v>9.0617974533052939E-2</v>
      </c>
      <c r="P899" s="28">
        <f t="shared" si="310"/>
        <v>9.1292243565634368E-2</v>
      </c>
      <c r="Q899" s="28">
        <f t="shared" si="310"/>
        <v>9.1831411898207801E-2</v>
      </c>
      <c r="R899" s="28">
        <f t="shared" si="310"/>
        <v>9.1836139358568436E-2</v>
      </c>
      <c r="S899" s="28">
        <f t="shared" si="310"/>
        <v>8.9403055409342513E-2</v>
      </c>
      <c r="T899" s="28">
        <f t="shared" si="310"/>
        <v>9.0578464795021837E-2</v>
      </c>
      <c r="U899" s="28">
        <f t="shared" si="310"/>
        <v>9.1468229504779536E-2</v>
      </c>
      <c r="V899" s="28">
        <f t="shared" si="310"/>
        <v>9.2307701453058486E-2</v>
      </c>
      <c r="W899" s="28">
        <f t="shared" si="310"/>
        <v>9.3281093922152392E-2</v>
      </c>
      <c r="X899" s="28">
        <f t="shared" si="310"/>
        <v>9.4675817928952744E-2</v>
      </c>
      <c r="Y899" s="28">
        <f t="shared" si="310"/>
        <v>9.6127887906373721E-2</v>
      </c>
      <c r="Z899" s="28">
        <f t="shared" si="310"/>
        <v>9.7705163684132096E-2</v>
      </c>
      <c r="AA899" s="28">
        <f t="shared" si="310"/>
        <v>9.9139534803866503E-2</v>
      </c>
      <c r="AB899" s="28">
        <f t="shared" si="310"/>
        <v>0.10078297415070787</v>
      </c>
      <c r="AC899" s="28">
        <f t="shared" si="310"/>
        <v>0.10268183134860724</v>
      </c>
      <c r="AD899" s="28">
        <f t="shared" si="310"/>
        <v>0.10450996110897502</v>
      </c>
      <c r="AE899" s="28">
        <f t="shared" si="310"/>
        <v>0.1064333985286125</v>
      </c>
      <c r="AF899" s="28">
        <f t="shared" si="310"/>
        <v>0.10841517507268528</v>
      </c>
      <c r="AG899" s="28">
        <f t="shared" si="310"/>
        <v>0.11062033109470952</v>
      </c>
      <c r="AH899" s="28">
        <f t="shared" si="310"/>
        <v>0.11261681982671894</v>
      </c>
      <c r="AI899" s="28">
        <f t="shared" si="310"/>
        <v>0.11469139352660324</v>
      </c>
      <c r="AJ899" s="28">
        <f t="shared" si="310"/>
        <v>0.11682019256305964</v>
      </c>
      <c r="AK899" s="28">
        <f t="shared" si="310"/>
        <v>0.11888535619665287</v>
      </c>
      <c r="AL899" s="28">
        <f t="shared" si="310"/>
        <v>0.12096617191338277</v>
      </c>
      <c r="AM899" s="28">
        <f t="shared" si="310"/>
        <v>0.12313525542688207</v>
      </c>
      <c r="AN899" s="28">
        <f t="shared" si="310"/>
        <v>0.12537615973723265</v>
      </c>
      <c r="AO899" s="28">
        <f t="shared" si="310"/>
        <v>0.12751645286240365</v>
      </c>
      <c r="AP899" s="28">
        <f t="shared" si="310"/>
        <v>0.12970195754720021</v>
      </c>
      <c r="AQ899" s="28">
        <f t="shared" si="310"/>
        <v>0.131936612577774</v>
      </c>
      <c r="AR899" s="28">
        <f t="shared" si="310"/>
        <v>0.13432635811565444</v>
      </c>
      <c r="AS899" s="28">
        <f t="shared" si="310"/>
        <v>0.13674240472836932</v>
      </c>
      <c r="AT899" s="28">
        <f t="shared" si="310"/>
        <v>0.13818843767832675</v>
      </c>
      <c r="AU899" s="28">
        <f t="shared" si="310"/>
        <v>0.13957828911754586</v>
      </c>
      <c r="AV899" s="28">
        <f t="shared" si="310"/>
        <v>0.14111599332781352</v>
      </c>
      <c r="AW899" s="28">
        <f t="shared" si="310"/>
        <v>0.14260938051125654</v>
      </c>
      <c r="AY899" s="85"/>
      <c r="AZ899" s="85"/>
    </row>
    <row r="900" spans="1:52" x14ac:dyDescent="0.25">
      <c r="A900" s="102" t="str">
        <f t="shared" si="270"/>
        <v>BD MM Leaching</v>
      </c>
      <c r="B900" s="102" t="s">
        <v>1229</v>
      </c>
      <c r="C900" s="102" t="s">
        <v>1334</v>
      </c>
      <c r="D900" t="s">
        <v>369</v>
      </c>
      <c r="E900" t="s">
        <v>64</v>
      </c>
      <c r="F900" t="s">
        <v>63</v>
      </c>
      <c r="G900" t="s">
        <v>1155</v>
      </c>
      <c r="H900" t="s">
        <v>1308</v>
      </c>
      <c r="I900" t="s">
        <v>139</v>
      </c>
      <c r="J900" t="s">
        <v>287</v>
      </c>
      <c r="K900" s="28">
        <f t="shared" ref="K900:AW900" si="311">K1548</f>
        <v>2.69668832410737E-2</v>
      </c>
      <c r="L900" s="28">
        <f t="shared" si="311"/>
        <v>2.7148965150772641E-2</v>
      </c>
      <c r="M900" s="28">
        <f t="shared" si="311"/>
        <v>2.730824069919725E-2</v>
      </c>
      <c r="N900" s="28">
        <f t="shared" si="311"/>
        <v>2.7328843325247671E-2</v>
      </c>
      <c r="O900" s="28">
        <f t="shared" si="311"/>
        <v>2.7364329328576024E-2</v>
      </c>
      <c r="P900" s="28">
        <f t="shared" si="311"/>
        <v>2.756794147019246E-2</v>
      </c>
      <c r="Q900" s="28">
        <f t="shared" si="311"/>
        <v>2.7730756627914813E-2</v>
      </c>
      <c r="R900" s="28">
        <f t="shared" si="311"/>
        <v>2.7732184201007922E-2</v>
      </c>
      <c r="S900" s="28">
        <f t="shared" si="311"/>
        <v>2.6997454575745719E-2</v>
      </c>
      <c r="T900" s="28">
        <f t="shared" si="311"/>
        <v>2.7352398390053725E-2</v>
      </c>
      <c r="U900" s="28">
        <f t="shared" si="311"/>
        <v>2.7621084759046378E-2</v>
      </c>
      <c r="V900" s="28">
        <f t="shared" si="311"/>
        <v>2.7874583990001138E-2</v>
      </c>
      <c r="W900" s="28">
        <f t="shared" si="311"/>
        <v>2.8168523820674866E-2</v>
      </c>
      <c r="X900" s="28">
        <f t="shared" si="311"/>
        <v>2.8589695086543694E-2</v>
      </c>
      <c r="Y900" s="28">
        <f t="shared" si="311"/>
        <v>2.9028183380671174E-2</v>
      </c>
      <c r="Z900" s="28">
        <f t="shared" si="311"/>
        <v>2.9504480650026085E-2</v>
      </c>
      <c r="AA900" s="28">
        <f t="shared" si="311"/>
        <v>2.9937624338152707E-2</v>
      </c>
      <c r="AB900" s="28">
        <f t="shared" si="311"/>
        <v>3.0433901326799174E-2</v>
      </c>
      <c r="AC900" s="28">
        <f t="shared" si="311"/>
        <v>3.1007308026507561E-2</v>
      </c>
      <c r="AD900" s="28">
        <f t="shared" si="311"/>
        <v>3.1559356834438362E-2</v>
      </c>
      <c r="AE900" s="28">
        <f t="shared" si="311"/>
        <v>3.2140186137510761E-2</v>
      </c>
      <c r="AF900" s="28">
        <f t="shared" si="311"/>
        <v>3.2738632376097511E-2</v>
      </c>
      <c r="AG900" s="28">
        <f t="shared" si="311"/>
        <v>3.3404533549882341E-2</v>
      </c>
      <c r="AH900" s="28">
        <f t="shared" si="311"/>
        <v>3.4007422495977352E-2</v>
      </c>
      <c r="AI900" s="28">
        <f t="shared" si="311"/>
        <v>3.4633891121352886E-2</v>
      </c>
      <c r="AJ900" s="28">
        <f t="shared" si="311"/>
        <v>3.5276734422674962E-2</v>
      </c>
      <c r="AK900" s="28">
        <f t="shared" si="311"/>
        <v>3.5900361446764215E-2</v>
      </c>
      <c r="AL900" s="28">
        <f t="shared" si="311"/>
        <v>3.6528715002866974E-2</v>
      </c>
      <c r="AM900" s="28">
        <f t="shared" si="311"/>
        <v>3.718372319423778E-2</v>
      </c>
      <c r="AN900" s="28">
        <f t="shared" si="311"/>
        <v>3.7860419444162144E-2</v>
      </c>
      <c r="AO900" s="28">
        <f t="shared" si="311"/>
        <v>3.8506733668670703E-2</v>
      </c>
      <c r="AP900" s="28">
        <f t="shared" si="311"/>
        <v>3.9166700637167727E-2</v>
      </c>
      <c r="AQ900" s="28">
        <f t="shared" si="311"/>
        <v>3.9841509763143906E-2</v>
      </c>
      <c r="AR900" s="28">
        <f t="shared" si="311"/>
        <v>4.0563152287676402E-2</v>
      </c>
      <c r="AS900" s="28">
        <f t="shared" si="311"/>
        <v>4.1292737069549959E-2</v>
      </c>
      <c r="AT900" s="28">
        <f t="shared" si="311"/>
        <v>4.1729402334542996E-2</v>
      </c>
      <c r="AU900" s="28">
        <f t="shared" si="311"/>
        <v>4.2149102208619463E-2</v>
      </c>
      <c r="AV900" s="28">
        <f t="shared" si="311"/>
        <v>4.2613449868523889E-2</v>
      </c>
      <c r="AW900" s="28">
        <f t="shared" si="311"/>
        <v>4.3064414910651432E-2</v>
      </c>
      <c r="AY900" s="85"/>
      <c r="AZ900" s="85"/>
    </row>
    <row r="901" spans="1:52" x14ac:dyDescent="0.25">
      <c r="A901" s="102" t="str">
        <f t="shared" si="270"/>
        <v>BD MM Leaching</v>
      </c>
      <c r="B901" s="102" t="s">
        <v>1229</v>
      </c>
      <c r="C901" s="102" t="s">
        <v>1334</v>
      </c>
      <c r="D901" t="s">
        <v>369</v>
      </c>
      <c r="E901" t="s">
        <v>64</v>
      </c>
      <c r="F901" t="s">
        <v>63</v>
      </c>
      <c r="G901" t="s">
        <v>1157</v>
      </c>
      <c r="H901" t="s">
        <v>1309</v>
      </c>
      <c r="I901" t="s">
        <v>139</v>
      </c>
      <c r="J901" t="s">
        <v>287</v>
      </c>
      <c r="K901" s="28">
        <f t="shared" ref="K901:AW901" si="312">K1549</f>
        <v>1.4498393681804938E-3</v>
      </c>
      <c r="L901" s="28">
        <f t="shared" si="312"/>
        <v>1.4596287649956559E-3</v>
      </c>
      <c r="M901" s="28">
        <f t="shared" si="312"/>
        <v>1.4681920074894272E-3</v>
      </c>
      <c r="N901" s="28">
        <f t="shared" si="312"/>
        <v>1.4692996808556361E-3</v>
      </c>
      <c r="O901" s="28">
        <f t="shared" si="312"/>
        <v>1.4712075396239221E-3</v>
      </c>
      <c r="P901" s="28">
        <f t="shared" si="312"/>
        <v>1.4821544813270488E-3</v>
      </c>
      <c r="Q901" s="28">
        <f t="shared" si="312"/>
        <v>1.4909080263063527E-3</v>
      </c>
      <c r="R901" s="28">
        <f t="shared" si="312"/>
        <v>1.4909847779150886E-3</v>
      </c>
      <c r="S901" s="28">
        <f t="shared" si="312"/>
        <v>1.451482996187078E-3</v>
      </c>
      <c r="T901" s="28">
        <f t="shared" si="312"/>
        <v>1.4705660882476425E-3</v>
      </c>
      <c r="U901" s="28">
        <f t="shared" si="312"/>
        <v>1.4850116610628827E-3</v>
      </c>
      <c r="V901" s="28">
        <f t="shared" si="312"/>
        <v>1.4986407171742647E-3</v>
      </c>
      <c r="W901" s="28">
        <f t="shared" si="312"/>
        <v>1.5144440094782853E-3</v>
      </c>
      <c r="X901" s="28">
        <f t="shared" si="312"/>
        <v>1.5370877342478196E-3</v>
      </c>
      <c r="Y901" s="28">
        <f t="shared" si="312"/>
        <v>1.5606624864959412E-3</v>
      </c>
      <c r="Z901" s="28">
        <f t="shared" si="312"/>
        <v>1.5862699890721308E-3</v>
      </c>
      <c r="AA901" s="28">
        <f t="shared" si="312"/>
        <v>1.6095573955369755E-3</v>
      </c>
      <c r="AB901" s="28">
        <f t="shared" si="312"/>
        <v>1.6362390817084723E-3</v>
      </c>
      <c r="AC901" s="28">
        <f t="shared" si="312"/>
        <v>1.6670675463769219E-3</v>
      </c>
      <c r="AD901" s="28">
        <f t="shared" si="312"/>
        <v>1.6967477318006537E-3</v>
      </c>
      <c r="AE901" s="28">
        <f t="shared" si="312"/>
        <v>1.7279752630751828E-3</v>
      </c>
      <c r="AF901" s="28">
        <f t="shared" si="312"/>
        <v>1.7601499459514404E-3</v>
      </c>
      <c r="AG901" s="28">
        <f t="shared" si="312"/>
        <v>1.7959512555963141E-3</v>
      </c>
      <c r="AH901" s="28">
        <f t="shared" si="312"/>
        <v>1.8283647948576127E-3</v>
      </c>
      <c r="AI901" s="28">
        <f t="shared" si="312"/>
        <v>1.8620460648760904E-3</v>
      </c>
      <c r="AJ901" s="28">
        <f t="shared" si="312"/>
        <v>1.8966076980279822E-3</v>
      </c>
      <c r="AK901" s="28">
        <f t="shared" si="312"/>
        <v>1.9301361930528979E-3</v>
      </c>
      <c r="AL901" s="28">
        <f t="shared" si="312"/>
        <v>1.9639188039178583E-3</v>
      </c>
      <c r="AM901" s="28">
        <f t="shared" si="312"/>
        <v>1.9991344665452565E-3</v>
      </c>
      <c r="AN901" s="28">
        <f t="shared" si="312"/>
        <v>2.0355161594042262E-3</v>
      </c>
      <c r="AO901" s="28">
        <f t="shared" si="312"/>
        <v>2.0702644022223028E-3</v>
      </c>
      <c r="AP901" s="28">
        <f t="shared" si="312"/>
        <v>2.1057466670458603E-3</v>
      </c>
      <c r="AQ901" s="28">
        <f t="shared" si="312"/>
        <v>2.1420269011426783E-3</v>
      </c>
      <c r="AR901" s="28">
        <f t="shared" si="312"/>
        <v>2.1808250719385831E-3</v>
      </c>
      <c r="AS901" s="28">
        <f t="shared" si="312"/>
        <v>2.2200502478600822E-3</v>
      </c>
      <c r="AT901" s="28">
        <f t="shared" si="312"/>
        <v>2.2435269873202655E-3</v>
      </c>
      <c r="AU901" s="28">
        <f t="shared" si="312"/>
        <v>2.2660916046257488E-3</v>
      </c>
      <c r="AV901" s="28">
        <f t="shared" si="312"/>
        <v>2.2910566520075136E-3</v>
      </c>
      <c r="AW901" s="28">
        <f t="shared" si="312"/>
        <v>2.3153022003678742E-3</v>
      </c>
      <c r="AY901" s="85"/>
      <c r="AZ901" s="85"/>
    </row>
    <row r="902" spans="1:52" x14ac:dyDescent="0.25">
      <c r="A902" s="102" t="str">
        <f t="shared" si="270"/>
        <v>BD MM Leaching</v>
      </c>
      <c r="B902" s="102" t="s">
        <v>1229</v>
      </c>
      <c r="C902" s="102" t="s">
        <v>1334</v>
      </c>
      <c r="D902" t="s">
        <v>369</v>
      </c>
      <c r="E902" t="s">
        <v>64</v>
      </c>
      <c r="F902" t="s">
        <v>63</v>
      </c>
      <c r="G902" t="s">
        <v>1159</v>
      </c>
      <c r="H902" t="s">
        <v>1310</v>
      </c>
      <c r="I902" t="s">
        <v>139</v>
      </c>
      <c r="J902" t="s">
        <v>287</v>
      </c>
      <c r="K902" s="28">
        <f t="shared" ref="K902:AW902" si="313">K1550</f>
        <v>3.0452527896293373E-2</v>
      </c>
      <c r="L902" s="28">
        <f t="shared" si="313"/>
        <v>3.0297487464546878E-2</v>
      </c>
      <c r="M902" s="28">
        <f t="shared" si="313"/>
        <v>3.0014510280911927E-2</v>
      </c>
      <c r="N902" s="28">
        <f t="shared" si="313"/>
        <v>2.9239921775422131E-2</v>
      </c>
      <c r="O902" s="28">
        <f t="shared" si="313"/>
        <v>2.8496244024993216E-2</v>
      </c>
      <c r="P902" s="28">
        <f t="shared" si="313"/>
        <v>2.8252813512235145E-2</v>
      </c>
      <c r="Q902" s="28">
        <f t="shared" si="313"/>
        <v>2.7859647334891578E-2</v>
      </c>
      <c r="R902" s="28">
        <f t="shared" si="313"/>
        <v>2.6976279512961457E-2</v>
      </c>
      <c r="S902" s="28">
        <f t="shared" si="313"/>
        <v>2.4012489752417959E-2</v>
      </c>
      <c r="T902" s="28">
        <f t="shared" si="313"/>
        <v>2.4599231081869424E-2</v>
      </c>
      <c r="U902" s="28">
        <f t="shared" si="313"/>
        <v>2.4916145495478388E-2</v>
      </c>
      <c r="V902" s="28">
        <f t="shared" si="313"/>
        <v>2.5168037651579767E-2</v>
      </c>
      <c r="W902" s="28">
        <f t="shared" si="313"/>
        <v>2.5506564506487542E-2</v>
      </c>
      <c r="X902" s="28">
        <f t="shared" si="313"/>
        <v>2.6156489707851342E-2</v>
      </c>
      <c r="Y902" s="28">
        <f t="shared" si="313"/>
        <v>2.6867817810745018E-2</v>
      </c>
      <c r="Z902" s="28">
        <f t="shared" si="313"/>
        <v>2.7642884414901984E-2</v>
      </c>
      <c r="AA902" s="28">
        <f t="shared" si="313"/>
        <v>2.8274857178530011E-2</v>
      </c>
      <c r="AB902" s="28">
        <f t="shared" si="313"/>
        <v>2.903345804669211E-2</v>
      </c>
      <c r="AC902" s="28">
        <f t="shared" si="313"/>
        <v>2.9947210077229128E-2</v>
      </c>
      <c r="AD902" s="28">
        <f t="shared" si="313"/>
        <v>3.0549124720733112E-2</v>
      </c>
      <c r="AE902" s="28">
        <f t="shared" si="313"/>
        <v>3.1163959723064422E-2</v>
      </c>
      <c r="AF902" s="28">
        <f t="shared" si="313"/>
        <v>3.1763059028554627E-2</v>
      </c>
      <c r="AG902" s="28">
        <f t="shared" si="313"/>
        <v>3.2456169201335913E-2</v>
      </c>
      <c r="AH902" s="28">
        <f t="shared" si="313"/>
        <v>3.2950083477417874E-2</v>
      </c>
      <c r="AI902" s="28">
        <f t="shared" si="313"/>
        <v>3.3470414487168046E-2</v>
      </c>
      <c r="AJ902" s="28">
        <f t="shared" si="313"/>
        <v>3.3968324488623199E-2</v>
      </c>
      <c r="AK902" s="28">
        <f t="shared" si="313"/>
        <v>3.4370588247873347E-2</v>
      </c>
      <c r="AL902" s="28">
        <f t="shared" si="313"/>
        <v>3.4728582709762659E-2</v>
      </c>
      <c r="AM902" s="28">
        <f t="shared" si="313"/>
        <v>3.5084969822241303E-2</v>
      </c>
      <c r="AN902" s="28">
        <f t="shared" si="313"/>
        <v>3.563350480133385E-2</v>
      </c>
      <c r="AO902" s="28">
        <f t="shared" si="313"/>
        <v>3.6080223845932187E-2</v>
      </c>
      <c r="AP902" s="28">
        <f t="shared" si="313"/>
        <v>3.6509179844635559E-2</v>
      </c>
      <c r="AQ902" s="28">
        <f t="shared" si="313"/>
        <v>3.6921780538289761E-2</v>
      </c>
      <c r="AR902" s="28">
        <f t="shared" si="313"/>
        <v>3.7372669069064057E-2</v>
      </c>
      <c r="AS902" s="28">
        <f t="shared" si="313"/>
        <v>3.781430947824465E-2</v>
      </c>
      <c r="AT902" s="28">
        <f t="shared" si="313"/>
        <v>3.7723318556611311E-2</v>
      </c>
      <c r="AU902" s="28">
        <f t="shared" si="313"/>
        <v>3.7580542556637592E-2</v>
      </c>
      <c r="AV902" s="28">
        <f t="shared" si="313"/>
        <v>3.7486169646009135E-2</v>
      </c>
      <c r="AW902" s="28">
        <f t="shared" si="313"/>
        <v>3.7345735978641013E-2</v>
      </c>
      <c r="AY902" s="85"/>
      <c r="AZ902" s="85"/>
    </row>
    <row r="903" spans="1:52" x14ac:dyDescent="0.25">
      <c r="A903" s="102" t="str">
        <f t="shared" si="270"/>
        <v>BD MM Leaching</v>
      </c>
      <c r="B903" s="102" t="s">
        <v>1229</v>
      </c>
      <c r="C903" s="102" t="s">
        <v>1334</v>
      </c>
      <c r="D903" t="s">
        <v>369</v>
      </c>
      <c r="E903" t="s">
        <v>64</v>
      </c>
      <c r="F903" t="s">
        <v>63</v>
      </c>
      <c r="G903" t="s">
        <v>1161</v>
      </c>
      <c r="H903" t="s">
        <v>1311</v>
      </c>
      <c r="I903" t="s">
        <v>139</v>
      </c>
      <c r="J903" t="s">
        <v>287</v>
      </c>
      <c r="K903" s="28">
        <f t="shared" ref="K903:AW903" si="314">K1551</f>
        <v>4.0424767632491129E-2</v>
      </c>
      <c r="L903" s="28">
        <f t="shared" si="314"/>
        <v>4.0218956362952633E-2</v>
      </c>
      <c r="M903" s="28">
        <f t="shared" si="314"/>
        <v>3.9843313101654371E-2</v>
      </c>
      <c r="N903" s="28">
        <f t="shared" si="314"/>
        <v>3.8815071359232893E-2</v>
      </c>
      <c r="O903" s="28">
        <f t="shared" si="314"/>
        <v>3.7827862666512127E-2</v>
      </c>
      <c r="P903" s="28">
        <f t="shared" si="314"/>
        <v>3.7504716360024323E-2</v>
      </c>
      <c r="Q903" s="28">
        <f t="shared" si="314"/>
        <v>3.6982800694625562E-2</v>
      </c>
      <c r="R903" s="28">
        <f t="shared" si="314"/>
        <v>3.5810157850092082E-2</v>
      </c>
      <c r="S903" s="28">
        <f t="shared" si="314"/>
        <v>3.1875820681448994E-2</v>
      </c>
      <c r="T903" s="28">
        <f t="shared" si="314"/>
        <v>3.2654701238893337E-2</v>
      </c>
      <c r="U903" s="28">
        <f t="shared" si="314"/>
        <v>3.307539509961839E-2</v>
      </c>
      <c r="V903" s="28">
        <f t="shared" si="314"/>
        <v>3.3409773970020318E-2</v>
      </c>
      <c r="W903" s="28">
        <f t="shared" si="314"/>
        <v>3.3859157663013208E-2</v>
      </c>
      <c r="X903" s="28">
        <f t="shared" si="314"/>
        <v>3.4721912812047291E-2</v>
      </c>
      <c r="Y903" s="28">
        <f t="shared" si="314"/>
        <v>3.5666178370816821E-2</v>
      </c>
      <c r="Z903" s="28">
        <f t="shared" si="314"/>
        <v>3.6695054774097693E-2</v>
      </c>
      <c r="AA903" s="28">
        <f t="shared" si="314"/>
        <v>3.7533978629835658E-2</v>
      </c>
      <c r="AB903" s="28">
        <f t="shared" si="314"/>
        <v>3.8540997289360182E-2</v>
      </c>
      <c r="AC903" s="28">
        <f t="shared" si="314"/>
        <v>3.9753974209830296E-2</v>
      </c>
      <c r="AD903" s="28">
        <f t="shared" si="314"/>
        <v>4.0552996861779135E-2</v>
      </c>
      <c r="AE903" s="28">
        <f t="shared" si="314"/>
        <v>4.1369170881427282E-2</v>
      </c>
      <c r="AF903" s="28">
        <f t="shared" si="314"/>
        <v>4.2164456261206094E-2</v>
      </c>
      <c r="AG903" s="28">
        <f t="shared" si="314"/>
        <v>4.3084538093946481E-2</v>
      </c>
      <c r="AH903" s="28">
        <f t="shared" si="314"/>
        <v>4.3740193673968565E-2</v>
      </c>
      <c r="AI903" s="28">
        <f t="shared" si="314"/>
        <v>4.4430916632429117E-2</v>
      </c>
      <c r="AJ903" s="28">
        <f t="shared" si="314"/>
        <v>4.5091876411507692E-2</v>
      </c>
      <c r="AK903" s="28">
        <f t="shared" si="314"/>
        <v>4.5625868829149929E-2</v>
      </c>
      <c r="AL903" s="28">
        <f t="shared" si="314"/>
        <v>4.610109515469106E-2</v>
      </c>
      <c r="AM903" s="28">
        <f t="shared" si="314"/>
        <v>4.6574187774726626E-2</v>
      </c>
      <c r="AN903" s="28">
        <f t="shared" si="314"/>
        <v>4.730235061045656E-2</v>
      </c>
      <c r="AO903" s="28">
        <f t="shared" si="314"/>
        <v>4.7895356013370721E-2</v>
      </c>
      <c r="AP903" s="28">
        <f t="shared" si="314"/>
        <v>4.8464781534667351E-2</v>
      </c>
      <c r="AQ903" s="28">
        <f t="shared" si="314"/>
        <v>4.9012495905795345E-2</v>
      </c>
      <c r="AR903" s="28">
        <f t="shared" si="314"/>
        <v>4.9611036169735952E-2</v>
      </c>
      <c r="AS903" s="28">
        <f t="shared" si="314"/>
        <v>5.019729984475968E-2</v>
      </c>
      <c r="AT903" s="28">
        <f t="shared" si="314"/>
        <v>5.0076512274144176E-2</v>
      </c>
      <c r="AU903" s="28">
        <f t="shared" si="314"/>
        <v>4.9886981649885677E-2</v>
      </c>
      <c r="AV903" s="28">
        <f t="shared" si="314"/>
        <v>4.9761704595844405E-2</v>
      </c>
      <c r="AW903" s="28">
        <f t="shared" si="314"/>
        <v>4.9575283344036727E-2</v>
      </c>
      <c r="AY903" s="85"/>
      <c r="AZ903" s="85"/>
    </row>
    <row r="904" spans="1:52" x14ac:dyDescent="0.25">
      <c r="A904" s="102" t="str">
        <f t="shared" si="270"/>
        <v>BD MM Leaching</v>
      </c>
      <c r="B904" s="102" t="s">
        <v>1229</v>
      </c>
      <c r="C904" s="102" t="s">
        <v>1334</v>
      </c>
      <c r="D904" t="s">
        <v>369</v>
      </c>
      <c r="E904" t="s">
        <v>64</v>
      </c>
      <c r="F904" t="s">
        <v>63</v>
      </c>
      <c r="G904" t="s">
        <v>1163</v>
      </c>
      <c r="H904" t="s">
        <v>1312</v>
      </c>
      <c r="I904" t="s">
        <v>139</v>
      </c>
      <c r="J904" t="s">
        <v>287</v>
      </c>
      <c r="K904" s="28">
        <f t="shared" ref="K904:AW904" si="315">K1552</f>
        <v>4.2088279910489731E-2</v>
      </c>
      <c r="L904" s="28">
        <f t="shared" si="315"/>
        <v>4.3658426789379527E-2</v>
      </c>
      <c r="M904" s="28">
        <f t="shared" si="315"/>
        <v>4.5069001422451092E-2</v>
      </c>
      <c r="N904" s="28">
        <f t="shared" si="315"/>
        <v>4.5730945940485053E-2</v>
      </c>
      <c r="O904" s="28">
        <f t="shared" si="315"/>
        <v>4.6403018793330496E-2</v>
      </c>
      <c r="P904" s="28">
        <f t="shared" si="315"/>
        <v>4.788652540684897E-2</v>
      </c>
      <c r="Q904" s="28">
        <f t="shared" si="315"/>
        <v>4.9137870108527694E-2</v>
      </c>
      <c r="R904" s="28">
        <f t="shared" si="315"/>
        <v>4.9503165411805869E-2</v>
      </c>
      <c r="S904" s="28">
        <f t="shared" si="315"/>
        <v>4.5839757980885354E-2</v>
      </c>
      <c r="T904" s="28">
        <f t="shared" si="315"/>
        <v>4.8085500350999781E-2</v>
      </c>
      <c r="U904" s="28">
        <f t="shared" si="315"/>
        <v>4.9856457493952649E-2</v>
      </c>
      <c r="V904" s="28">
        <f t="shared" si="315"/>
        <v>5.1535970996810648E-2</v>
      </c>
      <c r="W904" s="28">
        <f t="shared" si="315"/>
        <v>5.3433929282004737E-2</v>
      </c>
      <c r="X904" s="28">
        <f t="shared" si="315"/>
        <v>5.6045654957977475E-2</v>
      </c>
      <c r="Y904" s="28">
        <f t="shared" si="315"/>
        <v>5.8870054591226323E-2</v>
      </c>
      <c r="Z904" s="28">
        <f t="shared" si="315"/>
        <v>6.1923467619543808E-2</v>
      </c>
      <c r="AA904" s="28">
        <f t="shared" si="315"/>
        <v>6.4744057541003291E-2</v>
      </c>
      <c r="AB904" s="28">
        <f t="shared" si="315"/>
        <v>6.7943881457369987E-2</v>
      </c>
      <c r="AC904" s="28">
        <f t="shared" si="315"/>
        <v>7.1612827226360365E-2</v>
      </c>
      <c r="AD904" s="28">
        <f t="shared" si="315"/>
        <v>7.5466807799469487E-2</v>
      </c>
      <c r="AE904" s="28">
        <f t="shared" si="315"/>
        <v>7.9535262123601499E-2</v>
      </c>
      <c r="AF904" s="28">
        <f t="shared" si="315"/>
        <v>8.3755881572647323E-2</v>
      </c>
      <c r="AG904" s="28">
        <f t="shared" si="315"/>
        <v>8.8434352848101333E-2</v>
      </c>
      <c r="AH904" s="28">
        <f t="shared" si="315"/>
        <v>9.2782184706594648E-2</v>
      </c>
      <c r="AI904" s="28">
        <f t="shared" si="315"/>
        <v>9.7412750169741713E-2</v>
      </c>
      <c r="AJ904" s="28">
        <f t="shared" si="315"/>
        <v>0.10219897557201296</v>
      </c>
      <c r="AK904" s="28">
        <f t="shared" si="315"/>
        <v>0.10691951602452639</v>
      </c>
      <c r="AL904" s="28">
        <f t="shared" si="315"/>
        <v>0.11172324406810413</v>
      </c>
      <c r="AM904" s="28">
        <f t="shared" si="315"/>
        <v>0.11675138053848984</v>
      </c>
      <c r="AN904" s="28">
        <f t="shared" si="315"/>
        <v>0.12191034405107851</v>
      </c>
      <c r="AO904" s="28">
        <f t="shared" si="315"/>
        <v>0.12692107733600846</v>
      </c>
      <c r="AP904" s="28">
        <f t="shared" si="315"/>
        <v>0.13206747907789079</v>
      </c>
      <c r="AQ904" s="28">
        <f t="shared" si="315"/>
        <v>0.13735924273618794</v>
      </c>
      <c r="AR904" s="28">
        <f t="shared" si="315"/>
        <v>0.14301065000753557</v>
      </c>
      <c r="AS904" s="28">
        <f t="shared" si="315"/>
        <v>0.14885811067783355</v>
      </c>
      <c r="AT904" s="28">
        <f t="shared" si="315"/>
        <v>0.15279068704125651</v>
      </c>
      <c r="AU904" s="28">
        <f t="shared" si="315"/>
        <v>0.15663721521446686</v>
      </c>
      <c r="AV904" s="28">
        <f t="shared" si="315"/>
        <v>0.16081550018928234</v>
      </c>
      <c r="AW904" s="28">
        <f t="shared" si="315"/>
        <v>0.16493343954400999</v>
      </c>
      <c r="AY904" s="85"/>
      <c r="AZ904" s="85"/>
    </row>
    <row r="905" spans="1:52" x14ac:dyDescent="0.25">
      <c r="A905" s="102" t="str">
        <f t="shared" si="270"/>
        <v>BD MM Leaching</v>
      </c>
      <c r="B905" s="102" t="s">
        <v>1229</v>
      </c>
      <c r="C905" s="102" t="s">
        <v>1334</v>
      </c>
      <c r="D905" t="s">
        <v>369</v>
      </c>
      <c r="E905" t="s">
        <v>64</v>
      </c>
      <c r="F905" t="s">
        <v>63</v>
      </c>
      <c r="G905" t="s">
        <v>1165</v>
      </c>
      <c r="H905" t="s">
        <v>1313</v>
      </c>
      <c r="I905" t="s">
        <v>139</v>
      </c>
      <c r="J905" t="s">
        <v>287</v>
      </c>
      <c r="K905" s="28">
        <f t="shared" ref="K905:AW905" si="316">K1553</f>
        <v>4.3939271631598543E-3</v>
      </c>
      <c r="L905" s="28">
        <f t="shared" si="316"/>
        <v>4.3962984818877171E-3</v>
      </c>
      <c r="M905" s="28">
        <f t="shared" si="316"/>
        <v>4.4017499414647923E-3</v>
      </c>
      <c r="N905" s="28">
        <f t="shared" si="316"/>
        <v>4.4098431410874153E-3</v>
      </c>
      <c r="O905" s="28">
        <f t="shared" si="316"/>
        <v>4.4207667549247352E-3</v>
      </c>
      <c r="P905" s="28">
        <f t="shared" si="316"/>
        <v>4.4347403177031263E-3</v>
      </c>
      <c r="Q905" s="28">
        <f t="shared" si="316"/>
        <v>4.4501377302209226E-3</v>
      </c>
      <c r="R905" s="28">
        <f t="shared" si="316"/>
        <v>4.4667198464041179E-3</v>
      </c>
      <c r="S905" s="28">
        <f t="shared" si="316"/>
        <v>4.4831484324149608E-3</v>
      </c>
      <c r="T905" s="28">
        <f t="shared" si="316"/>
        <v>4.4898717427697809E-3</v>
      </c>
      <c r="U905" s="28">
        <f t="shared" si="316"/>
        <v>4.4975062704204526E-3</v>
      </c>
      <c r="V905" s="28">
        <f t="shared" si="316"/>
        <v>4.5061403809784359E-3</v>
      </c>
      <c r="W905" s="28">
        <f t="shared" si="316"/>
        <v>4.5158367053022919E-3</v>
      </c>
      <c r="X905" s="28">
        <f t="shared" si="316"/>
        <v>4.526732327246351E-3</v>
      </c>
      <c r="Y905" s="28">
        <f t="shared" si="316"/>
        <v>4.5335830197240166E-3</v>
      </c>
      <c r="Z905" s="28">
        <f t="shared" si="316"/>
        <v>4.5412972482123245E-3</v>
      </c>
      <c r="AA905" s="28">
        <f t="shared" si="316"/>
        <v>4.5496603151243516E-3</v>
      </c>
      <c r="AB905" s="28">
        <f t="shared" si="316"/>
        <v>4.558868291538884E-3</v>
      </c>
      <c r="AC905" s="28">
        <f t="shared" si="316"/>
        <v>4.5689201230950608E-3</v>
      </c>
      <c r="AD905" s="28">
        <f t="shared" si="316"/>
        <v>4.5755732338553573E-3</v>
      </c>
      <c r="AE905" s="28">
        <f t="shared" si="316"/>
        <v>4.5828736540396882E-3</v>
      </c>
      <c r="AF905" s="28">
        <f t="shared" si="316"/>
        <v>4.5907723416262498E-3</v>
      </c>
      <c r="AG905" s="28">
        <f t="shared" si="316"/>
        <v>4.5993548004809003E-3</v>
      </c>
      <c r="AH905" s="28">
        <f t="shared" si="316"/>
        <v>4.608317319688404E-3</v>
      </c>
      <c r="AI905" s="28">
        <f t="shared" si="316"/>
        <v>4.614051297103656E-3</v>
      </c>
      <c r="AJ905" s="28">
        <f t="shared" si="316"/>
        <v>4.6202716852182099E-3</v>
      </c>
      <c r="AK905" s="28">
        <f t="shared" si="316"/>
        <v>4.6268842765144489E-3</v>
      </c>
      <c r="AL905" s="28">
        <f t="shared" si="316"/>
        <v>4.6339252685925585E-3</v>
      </c>
      <c r="AM905" s="28">
        <f t="shared" si="316"/>
        <v>4.6414276467124371E-3</v>
      </c>
      <c r="AN905" s="28">
        <f t="shared" si="316"/>
        <v>4.6458494434601398E-3</v>
      </c>
      <c r="AO905" s="28">
        <f t="shared" si="316"/>
        <v>4.650560968895651E-3</v>
      </c>
      <c r="AP905" s="28">
        <f t="shared" si="316"/>
        <v>4.6556452517360746E-3</v>
      </c>
      <c r="AQ905" s="28">
        <f t="shared" si="316"/>
        <v>4.6610933229495489E-3</v>
      </c>
      <c r="AR905" s="28">
        <f t="shared" si="316"/>
        <v>4.6669636754851076E-3</v>
      </c>
      <c r="AS905" s="28">
        <f t="shared" si="316"/>
        <v>4.6696094397021678E-3</v>
      </c>
      <c r="AT905" s="28">
        <f t="shared" si="316"/>
        <v>4.671905929653092E-3</v>
      </c>
      <c r="AU905" s="28">
        <f t="shared" si="316"/>
        <v>4.6744411838373096E-3</v>
      </c>
      <c r="AV905" s="28">
        <f t="shared" si="316"/>
        <v>4.6773396676684084E-3</v>
      </c>
      <c r="AW905" s="28">
        <f t="shared" si="316"/>
        <v>4.6804674678318113E-3</v>
      </c>
      <c r="AY905" s="85"/>
      <c r="AZ905" s="85"/>
    </row>
    <row r="906" spans="1:52" x14ac:dyDescent="0.25">
      <c r="A906" s="102" t="str">
        <f t="shared" si="270"/>
        <v>BD MM Leaching</v>
      </c>
      <c r="B906" s="102" t="s">
        <v>1229</v>
      </c>
      <c r="C906" s="102" t="s">
        <v>1334</v>
      </c>
      <c r="D906" t="s">
        <v>369</v>
      </c>
      <c r="E906" t="s">
        <v>64</v>
      </c>
      <c r="F906" t="s">
        <v>63</v>
      </c>
      <c r="G906" t="s">
        <v>1167</v>
      </c>
      <c r="H906" t="s">
        <v>1314</v>
      </c>
      <c r="I906" t="s">
        <v>139</v>
      </c>
      <c r="J906" t="s">
        <v>287</v>
      </c>
      <c r="K906" s="28">
        <f t="shared" ref="K906:AW906" si="317">K1554</f>
        <v>3.6549565945200539E-3</v>
      </c>
      <c r="L906" s="28">
        <f t="shared" si="317"/>
        <v>3.6569291049191287E-3</v>
      </c>
      <c r="M906" s="28">
        <f t="shared" si="317"/>
        <v>3.6614637381506597E-3</v>
      </c>
      <c r="N906" s="28">
        <f t="shared" si="317"/>
        <v>3.6681958236479987E-3</v>
      </c>
      <c r="O906" s="28">
        <f t="shared" si="317"/>
        <v>3.677282304362893E-3</v>
      </c>
      <c r="P906" s="28">
        <f t="shared" si="317"/>
        <v>3.6889057936765148E-3</v>
      </c>
      <c r="Q906" s="28">
        <f t="shared" si="317"/>
        <v>3.7017136697133114E-3</v>
      </c>
      <c r="R906" s="28">
        <f t="shared" si="317"/>
        <v>3.7155070059804707E-3</v>
      </c>
      <c r="S906" s="28">
        <f t="shared" si="317"/>
        <v>3.7291726327761108E-3</v>
      </c>
      <c r="T906" s="28">
        <f t="shared" si="317"/>
        <v>3.734765216951012E-3</v>
      </c>
      <c r="U906" s="28">
        <f t="shared" si="317"/>
        <v>3.7411157699180305E-3</v>
      </c>
      <c r="V906" s="28">
        <f t="shared" si="317"/>
        <v>3.7482977959621354E-3</v>
      </c>
      <c r="W906" s="28">
        <f t="shared" si="317"/>
        <v>3.7563633926855455E-3</v>
      </c>
      <c r="X906" s="28">
        <f t="shared" si="317"/>
        <v>3.7654265891831403E-3</v>
      </c>
      <c r="Y906" s="28">
        <f t="shared" si="317"/>
        <v>3.7711251323584139E-3</v>
      </c>
      <c r="Z906" s="28">
        <f t="shared" si="317"/>
        <v>3.7775419820780388E-3</v>
      </c>
      <c r="AA906" s="28">
        <f t="shared" si="317"/>
        <v>3.7844985485902928E-3</v>
      </c>
      <c r="AB906" s="28">
        <f t="shared" si="317"/>
        <v>3.7921579277444711E-3</v>
      </c>
      <c r="AC906" s="28">
        <f t="shared" si="317"/>
        <v>3.8005192425020961E-3</v>
      </c>
      <c r="AD906" s="28">
        <f t="shared" si="317"/>
        <v>3.8060534332486559E-3</v>
      </c>
      <c r="AE906" s="28">
        <f t="shared" si="317"/>
        <v>3.812126068935291E-3</v>
      </c>
      <c r="AF906" s="28">
        <f t="shared" si="317"/>
        <v>3.8186963554262946E-3</v>
      </c>
      <c r="AG906" s="28">
        <f t="shared" si="317"/>
        <v>3.8258354165493381E-3</v>
      </c>
      <c r="AH906" s="28">
        <f t="shared" si="317"/>
        <v>3.8332906194838865E-3</v>
      </c>
      <c r="AI906" s="28">
        <f t="shared" si="317"/>
        <v>3.8380602567101062E-3</v>
      </c>
      <c r="AJ906" s="28">
        <f t="shared" si="317"/>
        <v>3.8432345000954712E-3</v>
      </c>
      <c r="AK906" s="28">
        <f t="shared" si="317"/>
        <v>3.8487349859405015E-3</v>
      </c>
      <c r="AL906" s="28">
        <f t="shared" si="317"/>
        <v>3.854591824133819E-3</v>
      </c>
      <c r="AM906" s="28">
        <f t="shared" si="317"/>
        <v>3.860832452475075E-3</v>
      </c>
      <c r="AN906" s="28">
        <f t="shared" si="317"/>
        <v>3.8645105915480556E-3</v>
      </c>
      <c r="AO906" s="28">
        <f t="shared" si="317"/>
        <v>3.868429732744831E-3</v>
      </c>
      <c r="AP906" s="28">
        <f t="shared" si="317"/>
        <v>3.8726589410147858E-3</v>
      </c>
      <c r="AQ906" s="28">
        <f t="shared" si="317"/>
        <v>3.8771907557376274E-3</v>
      </c>
      <c r="AR906" s="28">
        <f t="shared" si="317"/>
        <v>3.8820738325195756E-3</v>
      </c>
      <c r="AS906" s="28">
        <f t="shared" si="317"/>
        <v>3.8842746321718241E-3</v>
      </c>
      <c r="AT906" s="28">
        <f t="shared" si="317"/>
        <v>3.8861848984959361E-3</v>
      </c>
      <c r="AU906" s="28">
        <f t="shared" si="317"/>
        <v>3.8882937736901091E-3</v>
      </c>
      <c r="AV906" s="28">
        <f t="shared" si="317"/>
        <v>3.8907047905775548E-3</v>
      </c>
      <c r="AW906" s="28">
        <f t="shared" si="317"/>
        <v>3.893306557381843E-3</v>
      </c>
      <c r="AY906" s="85"/>
      <c r="AZ906" s="85"/>
    </row>
    <row r="907" spans="1:52" x14ac:dyDescent="0.25">
      <c r="A907" s="102" t="str">
        <f t="shared" si="270"/>
        <v>BD MM Leaching</v>
      </c>
      <c r="B907" s="102" t="s">
        <v>1229</v>
      </c>
      <c r="C907" s="102" t="s">
        <v>1334</v>
      </c>
      <c r="D907" t="s">
        <v>369</v>
      </c>
      <c r="E907" t="s">
        <v>64</v>
      </c>
      <c r="F907" t="s">
        <v>63</v>
      </c>
      <c r="G907" t="s">
        <v>1169</v>
      </c>
      <c r="H907" t="s">
        <v>1315</v>
      </c>
      <c r="I907" t="s">
        <v>139</v>
      </c>
      <c r="J907" t="s">
        <v>287</v>
      </c>
      <c r="K907" s="28">
        <f t="shared" ref="K907:AW907" si="318">K1555</f>
        <v>5.4310526355704706E-4</v>
      </c>
      <c r="L907" s="28">
        <f t="shared" si="318"/>
        <v>5.4451688444022309E-4</v>
      </c>
      <c r="M907" s="28">
        <f t="shared" si="318"/>
        <v>5.4642048272795488E-4</v>
      </c>
      <c r="N907" s="28">
        <f t="shared" si="318"/>
        <v>5.4873901711368408E-4</v>
      </c>
      <c r="O907" s="28">
        <f t="shared" si="318"/>
        <v>5.5151606201275956E-4</v>
      </c>
      <c r="P907" s="28">
        <f t="shared" si="318"/>
        <v>5.5479917019086967E-4</v>
      </c>
      <c r="Q907" s="28">
        <f t="shared" si="318"/>
        <v>5.5827861691807733E-4</v>
      </c>
      <c r="R907" s="28">
        <f t="shared" si="318"/>
        <v>5.6191368988015911E-4</v>
      </c>
      <c r="S907" s="28">
        <f t="shared" si="318"/>
        <v>5.6545265172179603E-4</v>
      </c>
      <c r="T907" s="28">
        <f t="shared" si="318"/>
        <v>5.6707582821690196E-4</v>
      </c>
      <c r="U907" s="28">
        <f t="shared" si="318"/>
        <v>5.688262569994144E-4</v>
      </c>
      <c r="V907" s="28">
        <f t="shared" si="318"/>
        <v>5.7072343735121143E-4</v>
      </c>
      <c r="W907" s="28">
        <f t="shared" si="318"/>
        <v>5.7278141367930822E-4</v>
      </c>
      <c r="X907" s="28">
        <f t="shared" si="318"/>
        <v>5.7502787156601661E-4</v>
      </c>
      <c r="Y907" s="28">
        <f t="shared" si="318"/>
        <v>5.7647376885579151E-4</v>
      </c>
      <c r="Z907" s="28">
        <f t="shared" si="318"/>
        <v>5.7805165552479612E-4</v>
      </c>
      <c r="AA907" s="28">
        <f t="shared" si="318"/>
        <v>5.7972228180818623E-4</v>
      </c>
      <c r="AB907" s="28">
        <f t="shared" si="318"/>
        <v>5.8152362966634491E-4</v>
      </c>
      <c r="AC907" s="28">
        <f t="shared" si="318"/>
        <v>5.8345630636338756E-4</v>
      </c>
      <c r="AD907" s="28">
        <f t="shared" si="318"/>
        <v>5.8472841865727081E-4</v>
      </c>
      <c r="AE907" s="28">
        <f t="shared" si="318"/>
        <v>5.8609967948546591E-4</v>
      </c>
      <c r="AF907" s="28">
        <f t="shared" si="318"/>
        <v>5.8756155218491358E-4</v>
      </c>
      <c r="AG907" s="28">
        <f t="shared" si="318"/>
        <v>5.8913046785545045E-4</v>
      </c>
      <c r="AH907" s="28">
        <f t="shared" si="318"/>
        <v>5.907505198986619E-4</v>
      </c>
      <c r="AI907" s="28">
        <f t="shared" si="318"/>
        <v>5.9175481340963034E-4</v>
      </c>
      <c r="AJ907" s="28">
        <f t="shared" si="318"/>
        <v>5.9283358105937484E-4</v>
      </c>
      <c r="AK907" s="28">
        <f t="shared" si="318"/>
        <v>5.9396979223100309E-4</v>
      </c>
      <c r="AL907" s="28">
        <f t="shared" si="318"/>
        <v>5.951704835417687E-4</v>
      </c>
      <c r="AM907" s="28">
        <f t="shared" si="318"/>
        <v>5.9644200781221212E-4</v>
      </c>
      <c r="AN907" s="28">
        <f t="shared" si="318"/>
        <v>5.9713531651955909E-4</v>
      </c>
      <c r="AO907" s="28">
        <f t="shared" si="318"/>
        <v>5.9787071978947392E-4</v>
      </c>
      <c r="AP907" s="28">
        <f t="shared" si="318"/>
        <v>5.9866365286918302E-4</v>
      </c>
      <c r="AQ907" s="28">
        <f t="shared" si="318"/>
        <v>5.995126405769686E-4</v>
      </c>
      <c r="AR907" s="28">
        <f t="shared" si="318"/>
        <v>6.0042847554345289E-4</v>
      </c>
      <c r="AS907" s="28">
        <f t="shared" si="318"/>
        <v>6.0074837701766222E-4</v>
      </c>
      <c r="AT907" s="28">
        <f t="shared" si="318"/>
        <v>6.009974007852993E-4</v>
      </c>
      <c r="AU907" s="28">
        <f t="shared" si="318"/>
        <v>6.0128274641363551E-4</v>
      </c>
      <c r="AV907" s="28">
        <f t="shared" si="318"/>
        <v>6.0162705109906029E-4</v>
      </c>
      <c r="AW907" s="28">
        <f t="shared" si="318"/>
        <v>6.0200613236202735E-4</v>
      </c>
      <c r="AY907" s="85"/>
      <c r="AZ907" s="85"/>
    </row>
    <row r="908" spans="1:52" x14ac:dyDescent="0.25">
      <c r="A908" s="102" t="str">
        <f t="shared" si="270"/>
        <v>BD MM Leaching</v>
      </c>
      <c r="B908" s="102" t="s">
        <v>1229</v>
      </c>
      <c r="C908" s="102" t="s">
        <v>1334</v>
      </c>
      <c r="D908" t="s">
        <v>369</v>
      </c>
      <c r="E908" t="s">
        <v>64</v>
      </c>
      <c r="F908" t="s">
        <v>63</v>
      </c>
      <c r="G908" t="s">
        <v>1171</v>
      </c>
      <c r="H908" t="s">
        <v>1316</v>
      </c>
      <c r="I908" t="s">
        <v>139</v>
      </c>
      <c r="J908" t="s">
        <v>287</v>
      </c>
      <c r="K908" s="28">
        <f t="shared" ref="K908:AW908" si="319">K1556</f>
        <v>6.697719658610918E-3</v>
      </c>
      <c r="L908" s="28">
        <f t="shared" si="319"/>
        <v>6.7151281456468035E-3</v>
      </c>
      <c r="M908" s="28">
        <f t="shared" si="319"/>
        <v>6.7386038298821848E-3</v>
      </c>
      <c r="N908" s="28">
        <f t="shared" si="319"/>
        <v>6.7671966172780547E-3</v>
      </c>
      <c r="O908" s="28">
        <f t="shared" si="319"/>
        <v>6.801443879202132E-3</v>
      </c>
      <c r="P908" s="28">
        <f t="shared" si="319"/>
        <v>6.8419320491046936E-3</v>
      </c>
      <c r="Q908" s="28">
        <f t="shared" si="319"/>
        <v>6.8848415186120908E-3</v>
      </c>
      <c r="R908" s="28">
        <f t="shared" si="319"/>
        <v>6.9296702125547019E-3</v>
      </c>
      <c r="S908" s="28">
        <f t="shared" si="319"/>
        <v>6.9733136384028775E-3</v>
      </c>
      <c r="T908" s="28">
        <f t="shared" si="319"/>
        <v>6.9933310859405127E-3</v>
      </c>
      <c r="U908" s="28">
        <f t="shared" si="319"/>
        <v>7.0149178427891682E-3</v>
      </c>
      <c r="V908" s="28">
        <f t="shared" si="319"/>
        <v>7.0383143793186411E-3</v>
      </c>
      <c r="W908" s="28">
        <f t="shared" si="319"/>
        <v>7.0636938949200419E-3</v>
      </c>
      <c r="X908" s="28">
        <f t="shared" si="319"/>
        <v>7.0913978156139906E-3</v>
      </c>
      <c r="Y908" s="28">
        <f t="shared" si="319"/>
        <v>7.1092290084818878E-3</v>
      </c>
      <c r="Z908" s="28">
        <f t="shared" si="319"/>
        <v>7.1286879297466866E-3</v>
      </c>
      <c r="AA908" s="28">
        <f t="shared" si="319"/>
        <v>7.1492905407896492E-3</v>
      </c>
      <c r="AB908" s="28">
        <f t="shared" si="319"/>
        <v>7.1715052453251351E-3</v>
      </c>
      <c r="AC908" s="28">
        <f t="shared" si="319"/>
        <v>7.1953395322969481E-3</v>
      </c>
      <c r="AD908" s="28">
        <f t="shared" si="319"/>
        <v>7.2110275620223471E-3</v>
      </c>
      <c r="AE908" s="28">
        <f t="shared" si="319"/>
        <v>7.2279383180439954E-3</v>
      </c>
      <c r="AF908" s="28">
        <f t="shared" si="319"/>
        <v>7.2459665239452764E-3</v>
      </c>
      <c r="AG908" s="28">
        <f t="shared" si="319"/>
        <v>7.2653148124528005E-3</v>
      </c>
      <c r="AH908" s="28">
        <f t="shared" si="319"/>
        <v>7.2852937284123434E-3</v>
      </c>
      <c r="AI908" s="28">
        <f t="shared" si="319"/>
        <v>7.2976789451332669E-3</v>
      </c>
      <c r="AJ908" s="28">
        <f t="shared" si="319"/>
        <v>7.3109825968921283E-3</v>
      </c>
      <c r="AK908" s="28">
        <f t="shared" si="319"/>
        <v>7.3249946575573233E-3</v>
      </c>
      <c r="AL908" s="28">
        <f t="shared" si="319"/>
        <v>7.3398019045785847E-3</v>
      </c>
      <c r="AM908" s="28">
        <f t="shared" si="319"/>
        <v>7.3554826826413384E-3</v>
      </c>
      <c r="AN908" s="28">
        <f t="shared" si="319"/>
        <v>7.3640327514222425E-3</v>
      </c>
      <c r="AO908" s="28">
        <f t="shared" si="319"/>
        <v>7.3731019416297819E-3</v>
      </c>
      <c r="AP908" s="28">
        <f t="shared" si="319"/>
        <v>7.3828806048692958E-3</v>
      </c>
      <c r="AQ908" s="28">
        <f t="shared" si="319"/>
        <v>7.3933505488044948E-3</v>
      </c>
      <c r="AR908" s="28">
        <f t="shared" si="319"/>
        <v>7.4046448710485676E-3</v>
      </c>
      <c r="AS908" s="28">
        <f t="shared" si="319"/>
        <v>7.4085899817598836E-3</v>
      </c>
      <c r="AT908" s="28">
        <f t="shared" si="319"/>
        <v>7.411661009599016E-3</v>
      </c>
      <c r="AU908" s="28">
        <f t="shared" si="319"/>
        <v>7.4151799683582981E-3</v>
      </c>
      <c r="AV908" s="28">
        <f t="shared" si="319"/>
        <v>7.4194260260102111E-3</v>
      </c>
      <c r="AW908" s="28">
        <f t="shared" si="319"/>
        <v>7.4241009577362587E-3</v>
      </c>
      <c r="AY908" s="85"/>
      <c r="AZ908" s="85"/>
    </row>
    <row r="909" spans="1:52" x14ac:dyDescent="0.25">
      <c r="A909" s="102" t="str">
        <f t="shared" si="270"/>
        <v>BD MM Leaching</v>
      </c>
      <c r="B909" s="102" t="s">
        <v>1229</v>
      </c>
      <c r="C909" s="102" t="s">
        <v>1334</v>
      </c>
      <c r="D909" t="s">
        <v>369</v>
      </c>
      <c r="E909" t="s">
        <v>64</v>
      </c>
      <c r="F909" t="s">
        <v>63</v>
      </c>
      <c r="G909" t="s">
        <v>1173</v>
      </c>
      <c r="H909" t="s">
        <v>1317</v>
      </c>
      <c r="I909" t="s">
        <v>139</v>
      </c>
      <c r="J909" t="s">
        <v>287</v>
      </c>
      <c r="K909" s="28">
        <f t="shared" ref="K909:AW909" si="320">K1557</f>
        <v>0</v>
      </c>
      <c r="L909" s="28">
        <f t="shared" si="320"/>
        <v>0</v>
      </c>
      <c r="M909" s="28">
        <f t="shared" si="320"/>
        <v>0</v>
      </c>
      <c r="N909" s="28">
        <f t="shared" si="320"/>
        <v>0</v>
      </c>
      <c r="O909" s="28">
        <f t="shared" si="320"/>
        <v>0</v>
      </c>
      <c r="P909" s="28">
        <f t="shared" si="320"/>
        <v>0</v>
      </c>
      <c r="Q909" s="28">
        <f t="shared" si="320"/>
        <v>0</v>
      </c>
      <c r="R909" s="28">
        <f t="shared" si="320"/>
        <v>0</v>
      </c>
      <c r="S909" s="28">
        <f t="shared" si="320"/>
        <v>0</v>
      </c>
      <c r="T909" s="28">
        <f t="shared" si="320"/>
        <v>0</v>
      </c>
      <c r="U909" s="28">
        <f t="shared" si="320"/>
        <v>0</v>
      </c>
      <c r="V909" s="28">
        <f t="shared" si="320"/>
        <v>0</v>
      </c>
      <c r="W909" s="28">
        <f t="shared" si="320"/>
        <v>0</v>
      </c>
      <c r="X909" s="28">
        <f t="shared" si="320"/>
        <v>0</v>
      </c>
      <c r="Y909" s="28">
        <f t="shared" si="320"/>
        <v>0</v>
      </c>
      <c r="Z909" s="28">
        <f t="shared" si="320"/>
        <v>0</v>
      </c>
      <c r="AA909" s="28">
        <f t="shared" si="320"/>
        <v>0</v>
      </c>
      <c r="AB909" s="28">
        <f t="shared" si="320"/>
        <v>0</v>
      </c>
      <c r="AC909" s="28">
        <f t="shared" si="320"/>
        <v>0</v>
      </c>
      <c r="AD909" s="28">
        <f t="shared" si="320"/>
        <v>0</v>
      </c>
      <c r="AE909" s="28">
        <f t="shared" si="320"/>
        <v>0</v>
      </c>
      <c r="AF909" s="28">
        <f t="shared" si="320"/>
        <v>0</v>
      </c>
      <c r="AG909" s="28">
        <f t="shared" si="320"/>
        <v>0</v>
      </c>
      <c r="AH909" s="28">
        <f t="shared" si="320"/>
        <v>0</v>
      </c>
      <c r="AI909" s="28">
        <f t="shared" si="320"/>
        <v>0</v>
      </c>
      <c r="AJ909" s="28">
        <f t="shared" si="320"/>
        <v>0</v>
      </c>
      <c r="AK909" s="28">
        <f t="shared" si="320"/>
        <v>0</v>
      </c>
      <c r="AL909" s="28">
        <f t="shared" si="320"/>
        <v>0</v>
      </c>
      <c r="AM909" s="28">
        <f t="shared" si="320"/>
        <v>0</v>
      </c>
      <c r="AN909" s="28">
        <f t="shared" si="320"/>
        <v>0</v>
      </c>
      <c r="AO909" s="28">
        <f t="shared" si="320"/>
        <v>0</v>
      </c>
      <c r="AP909" s="28">
        <f t="shared" si="320"/>
        <v>0</v>
      </c>
      <c r="AQ909" s="28">
        <f t="shared" si="320"/>
        <v>0</v>
      </c>
      <c r="AR909" s="28">
        <f t="shared" si="320"/>
        <v>0</v>
      </c>
      <c r="AS909" s="28">
        <f t="shared" si="320"/>
        <v>0</v>
      </c>
      <c r="AT909" s="28">
        <f t="shared" si="320"/>
        <v>0</v>
      </c>
      <c r="AU909" s="28">
        <f t="shared" si="320"/>
        <v>0</v>
      </c>
      <c r="AV909" s="28">
        <f t="shared" si="320"/>
        <v>0</v>
      </c>
      <c r="AW909" s="28">
        <f t="shared" si="320"/>
        <v>0</v>
      </c>
      <c r="AY909" s="85"/>
      <c r="AZ909" s="85"/>
    </row>
    <row r="910" spans="1:52" x14ac:dyDescent="0.25">
      <c r="A910" s="102" t="str">
        <f t="shared" si="270"/>
        <v>BD MM Leaching</v>
      </c>
      <c r="B910" s="102" t="s">
        <v>1229</v>
      </c>
      <c r="C910" s="102" t="s">
        <v>1334</v>
      </c>
      <c r="D910" t="s">
        <v>369</v>
      </c>
      <c r="E910" t="s">
        <v>64</v>
      </c>
      <c r="F910" t="s">
        <v>63</v>
      </c>
      <c r="G910" t="s">
        <v>1175</v>
      </c>
      <c r="H910" t="s">
        <v>1318</v>
      </c>
      <c r="I910" t="s">
        <v>139</v>
      </c>
      <c r="J910" t="s">
        <v>287</v>
      </c>
      <c r="K910" s="28">
        <f t="shared" ref="K910:AW910" si="321">K1558</f>
        <v>0</v>
      </c>
      <c r="L910" s="28">
        <f t="shared" si="321"/>
        <v>0</v>
      </c>
      <c r="M910" s="28">
        <f t="shared" si="321"/>
        <v>0</v>
      </c>
      <c r="N910" s="28">
        <f t="shared" si="321"/>
        <v>0</v>
      </c>
      <c r="O910" s="28">
        <f t="shared" si="321"/>
        <v>0</v>
      </c>
      <c r="P910" s="28">
        <f t="shared" si="321"/>
        <v>0</v>
      </c>
      <c r="Q910" s="28">
        <f t="shared" si="321"/>
        <v>0</v>
      </c>
      <c r="R910" s="28">
        <f t="shared" si="321"/>
        <v>0</v>
      </c>
      <c r="S910" s="28">
        <f t="shared" si="321"/>
        <v>0</v>
      </c>
      <c r="T910" s="28">
        <f t="shared" si="321"/>
        <v>0</v>
      </c>
      <c r="U910" s="28">
        <f t="shared" si="321"/>
        <v>0</v>
      </c>
      <c r="V910" s="28">
        <f t="shared" si="321"/>
        <v>0</v>
      </c>
      <c r="W910" s="28">
        <f t="shared" si="321"/>
        <v>0</v>
      </c>
      <c r="X910" s="28">
        <f t="shared" si="321"/>
        <v>0</v>
      </c>
      <c r="Y910" s="28">
        <f t="shared" si="321"/>
        <v>0</v>
      </c>
      <c r="Z910" s="28">
        <f t="shared" si="321"/>
        <v>0</v>
      </c>
      <c r="AA910" s="28">
        <f t="shared" si="321"/>
        <v>0</v>
      </c>
      <c r="AB910" s="28">
        <f t="shared" si="321"/>
        <v>0</v>
      </c>
      <c r="AC910" s="28">
        <f t="shared" si="321"/>
        <v>0</v>
      </c>
      <c r="AD910" s="28">
        <f t="shared" si="321"/>
        <v>0</v>
      </c>
      <c r="AE910" s="28">
        <f t="shared" si="321"/>
        <v>0</v>
      </c>
      <c r="AF910" s="28">
        <f t="shared" si="321"/>
        <v>0</v>
      </c>
      <c r="AG910" s="28">
        <f t="shared" si="321"/>
        <v>0</v>
      </c>
      <c r="AH910" s="28">
        <f t="shared" si="321"/>
        <v>0</v>
      </c>
      <c r="AI910" s="28">
        <f t="shared" si="321"/>
        <v>0</v>
      </c>
      <c r="AJ910" s="28">
        <f t="shared" si="321"/>
        <v>0</v>
      </c>
      <c r="AK910" s="28">
        <f t="shared" si="321"/>
        <v>0</v>
      </c>
      <c r="AL910" s="28">
        <f t="shared" si="321"/>
        <v>0</v>
      </c>
      <c r="AM910" s="28">
        <f t="shared" si="321"/>
        <v>0</v>
      </c>
      <c r="AN910" s="28">
        <f t="shared" si="321"/>
        <v>0</v>
      </c>
      <c r="AO910" s="28">
        <f t="shared" si="321"/>
        <v>0</v>
      </c>
      <c r="AP910" s="28">
        <f t="shared" si="321"/>
        <v>0</v>
      </c>
      <c r="AQ910" s="28">
        <f t="shared" si="321"/>
        <v>0</v>
      </c>
      <c r="AR910" s="28">
        <f t="shared" si="321"/>
        <v>0</v>
      </c>
      <c r="AS910" s="28">
        <f t="shared" si="321"/>
        <v>0</v>
      </c>
      <c r="AT910" s="28">
        <f t="shared" si="321"/>
        <v>0</v>
      </c>
      <c r="AU910" s="28">
        <f t="shared" si="321"/>
        <v>0</v>
      </c>
      <c r="AV910" s="28">
        <f t="shared" si="321"/>
        <v>0</v>
      </c>
      <c r="AW910" s="28">
        <f t="shared" si="321"/>
        <v>0</v>
      </c>
      <c r="AY910" s="85"/>
      <c r="AZ910" s="85"/>
    </row>
    <row r="911" spans="1:52" x14ac:dyDescent="0.25">
      <c r="A911" s="102" t="str">
        <f t="shared" si="270"/>
        <v>BD MM Leaching</v>
      </c>
      <c r="B911" s="102" t="s">
        <v>1229</v>
      </c>
      <c r="C911" s="102" t="s">
        <v>1334</v>
      </c>
      <c r="D911" t="s">
        <v>369</v>
      </c>
      <c r="E911" t="s">
        <v>64</v>
      </c>
      <c r="F911" t="s">
        <v>63</v>
      </c>
      <c r="G911" t="s">
        <v>1177</v>
      </c>
      <c r="H911" t="s">
        <v>1319</v>
      </c>
      <c r="I911" t="s">
        <v>139</v>
      </c>
      <c r="J911" t="s">
        <v>287</v>
      </c>
      <c r="K911" s="28">
        <f t="shared" ref="K911:AW911" si="322">K1559</f>
        <v>2.6982078121909357E-2</v>
      </c>
      <c r="L911" s="28">
        <f t="shared" si="322"/>
        <v>2.6934390428910333E-2</v>
      </c>
      <c r="M911" s="28">
        <f t="shared" si="322"/>
        <v>2.6783274405865188E-2</v>
      </c>
      <c r="N911" s="28">
        <f t="shared" si="322"/>
        <v>2.6192267209513419E-2</v>
      </c>
      <c r="O911" s="28">
        <f t="shared" si="322"/>
        <v>2.5633374369749509E-2</v>
      </c>
      <c r="P911" s="28">
        <f t="shared" si="322"/>
        <v>2.5543167875320214E-2</v>
      </c>
      <c r="Q911" s="28">
        <f t="shared" si="322"/>
        <v>2.5324190264718272E-2</v>
      </c>
      <c r="R911" s="28">
        <f t="shared" si="322"/>
        <v>2.4649754195953832E-2</v>
      </c>
      <c r="S911" s="28">
        <f t="shared" si="322"/>
        <v>2.1986440242697105E-2</v>
      </c>
      <c r="T911" s="28">
        <f t="shared" si="322"/>
        <v>2.2459382037487714E-2</v>
      </c>
      <c r="U911" s="28">
        <f t="shared" si="322"/>
        <v>2.2677163181325274E-2</v>
      </c>
      <c r="V911" s="28">
        <f t="shared" si="322"/>
        <v>2.2835775026532532E-2</v>
      </c>
      <c r="W911" s="28">
        <f t="shared" si="322"/>
        <v>2.3079286947691565E-2</v>
      </c>
      <c r="X911" s="28">
        <f t="shared" si="322"/>
        <v>2.3620053405793831E-2</v>
      </c>
      <c r="Y911" s="28">
        <f t="shared" si="322"/>
        <v>2.4228655926871678E-2</v>
      </c>
      <c r="Z911" s="28">
        <f t="shared" si="322"/>
        <v>2.4898369682135196E-2</v>
      </c>
      <c r="AA911" s="28">
        <f t="shared" si="322"/>
        <v>2.5433899737352311E-2</v>
      </c>
      <c r="AB911" s="28">
        <f t="shared" si="322"/>
        <v>2.6089827744283384E-2</v>
      </c>
      <c r="AC911" s="28">
        <f t="shared" si="322"/>
        <v>2.6892532780101251E-2</v>
      </c>
      <c r="AD911" s="28">
        <f t="shared" si="322"/>
        <v>2.765233127370078E-2</v>
      </c>
      <c r="AE911" s="28">
        <f t="shared" si="322"/>
        <v>2.844311383554287E-2</v>
      </c>
      <c r="AF911" s="28">
        <f t="shared" si="322"/>
        <v>2.9238533170233168E-2</v>
      </c>
      <c r="AG911" s="28">
        <f t="shared" si="322"/>
        <v>3.0145690863199903E-2</v>
      </c>
      <c r="AH911" s="28">
        <f t="shared" si="322"/>
        <v>3.0881151333925026E-2</v>
      </c>
      <c r="AI911" s="28">
        <f t="shared" si="322"/>
        <v>3.1669222082767075E-2</v>
      </c>
      <c r="AJ911" s="28">
        <f t="shared" si="322"/>
        <v>3.2457441724053543E-2</v>
      </c>
      <c r="AK911" s="28">
        <f t="shared" si="322"/>
        <v>3.3172825686084956E-2</v>
      </c>
      <c r="AL911" s="28">
        <f t="shared" si="322"/>
        <v>3.3866021539857898E-2</v>
      </c>
      <c r="AM911" s="28">
        <f t="shared" si="322"/>
        <v>3.4580695535334494E-2</v>
      </c>
      <c r="AN911" s="28">
        <f t="shared" si="322"/>
        <v>3.533625219682867E-2</v>
      </c>
      <c r="AO911" s="28">
        <f t="shared" si="322"/>
        <v>3.6000537608691721E-2</v>
      </c>
      <c r="AP911" s="28">
        <f t="shared" si="322"/>
        <v>3.6659982916673862E-2</v>
      </c>
      <c r="AQ911" s="28">
        <f t="shared" si="322"/>
        <v>3.7316341493198645E-2</v>
      </c>
      <c r="AR911" s="28">
        <f t="shared" si="322"/>
        <v>3.8027563583719087E-2</v>
      </c>
      <c r="AS911" s="28">
        <f t="shared" si="322"/>
        <v>3.8749103478920827E-2</v>
      </c>
      <c r="AT911" s="28">
        <f t="shared" si="322"/>
        <v>3.891780999751282E-2</v>
      </c>
      <c r="AU911" s="28">
        <f t="shared" si="322"/>
        <v>3.9040104024398906E-2</v>
      </c>
      <c r="AV911" s="28">
        <f t="shared" si="322"/>
        <v>3.9223694745257554E-2</v>
      </c>
      <c r="AW911" s="28">
        <f t="shared" si="322"/>
        <v>3.9367042653132414E-2</v>
      </c>
      <c r="AY911" s="85"/>
      <c r="AZ911" s="85"/>
    </row>
    <row r="912" spans="1:52" x14ac:dyDescent="0.25">
      <c r="A912" s="102" t="str">
        <f t="shared" si="270"/>
        <v>BD MM Leaching</v>
      </c>
      <c r="B912" s="102" t="s">
        <v>1229</v>
      </c>
      <c r="C912" s="102" t="s">
        <v>1334</v>
      </c>
      <c r="D912" t="s">
        <v>369</v>
      </c>
      <c r="E912" t="s">
        <v>64</v>
      </c>
      <c r="F912" t="s">
        <v>63</v>
      </c>
      <c r="G912" t="s">
        <v>1179</v>
      </c>
      <c r="H912" t="s">
        <v>1320</v>
      </c>
      <c r="I912" t="s">
        <v>139</v>
      </c>
      <c r="J912" t="s">
        <v>287</v>
      </c>
      <c r="K912" s="28">
        <f t="shared" ref="K912:AW912" si="323">K1560</f>
        <v>4.0326044819915296E-3</v>
      </c>
      <c r="L912" s="28">
        <f t="shared" si="323"/>
        <v>4.0254773213757008E-3</v>
      </c>
      <c r="M912" s="28">
        <f t="shared" si="323"/>
        <v>4.0028922873735296E-3</v>
      </c>
      <c r="N912" s="28">
        <f t="shared" si="323"/>
        <v>3.9145633507316107E-3</v>
      </c>
      <c r="O912" s="28">
        <f t="shared" si="323"/>
        <v>3.8310340628686856E-3</v>
      </c>
      <c r="P912" s="28">
        <f t="shared" si="323"/>
        <v>3.8175522579425875E-3</v>
      </c>
      <c r="Q912" s="28">
        <f t="shared" si="323"/>
        <v>3.7848249754115887E-3</v>
      </c>
      <c r="R912" s="28">
        <f t="shared" si="323"/>
        <v>3.6840271828387553E-3</v>
      </c>
      <c r="S912" s="28">
        <f t="shared" si="323"/>
        <v>3.2859817937353586E-3</v>
      </c>
      <c r="T912" s="28">
        <f t="shared" si="323"/>
        <v>3.3566652745546173E-3</v>
      </c>
      <c r="U912" s="28">
        <f t="shared" si="323"/>
        <v>3.3892137392341954E-3</v>
      </c>
      <c r="V912" s="28">
        <f t="shared" si="323"/>
        <v>3.4129190607809592E-3</v>
      </c>
      <c r="W912" s="28">
        <f t="shared" si="323"/>
        <v>3.4493131168743213E-3</v>
      </c>
      <c r="X912" s="28">
        <f t="shared" si="323"/>
        <v>3.5301333277120909E-3</v>
      </c>
      <c r="Y912" s="28">
        <f t="shared" si="323"/>
        <v>3.6210919723042977E-3</v>
      </c>
      <c r="Z912" s="28">
        <f t="shared" si="323"/>
        <v>3.7211839918635339E-3</v>
      </c>
      <c r="AA912" s="28">
        <f t="shared" si="323"/>
        <v>3.801221596496966E-3</v>
      </c>
      <c r="AB912" s="28">
        <f t="shared" si="323"/>
        <v>3.8992532680629222E-3</v>
      </c>
      <c r="AC912" s="28">
        <f t="shared" si="323"/>
        <v>4.0192214895813328E-3</v>
      </c>
      <c r="AD912" s="28">
        <f t="shared" si="323"/>
        <v>4.1327771170187903E-3</v>
      </c>
      <c r="AE912" s="28">
        <f t="shared" si="323"/>
        <v>4.250963466074527E-3</v>
      </c>
      <c r="AF912" s="28">
        <f t="shared" si="323"/>
        <v>4.3698428036719628E-3</v>
      </c>
      <c r="AG912" s="28">
        <f t="shared" si="323"/>
        <v>4.5054219893077892E-3</v>
      </c>
      <c r="AH912" s="28">
        <f t="shared" si="323"/>
        <v>4.6153401793439189E-3</v>
      </c>
      <c r="AI912" s="28">
        <f t="shared" si="323"/>
        <v>4.7331212345891162E-3</v>
      </c>
      <c r="AJ912" s="28">
        <f t="shared" si="323"/>
        <v>4.8509245425435391E-3</v>
      </c>
      <c r="AK912" s="28">
        <f t="shared" si="323"/>
        <v>4.9578421994637533E-3</v>
      </c>
      <c r="AL912" s="28">
        <f t="shared" si="323"/>
        <v>5.061443734311913E-3</v>
      </c>
      <c r="AM912" s="28">
        <f t="shared" si="323"/>
        <v>5.1682552832333995E-3</v>
      </c>
      <c r="AN912" s="28">
        <f t="shared" si="323"/>
        <v>5.2811769479685538E-3</v>
      </c>
      <c r="AO912" s="28">
        <f t="shared" si="323"/>
        <v>5.3804576748679887E-3</v>
      </c>
      <c r="AP912" s="28">
        <f t="shared" si="323"/>
        <v>5.4790150244013337E-3</v>
      </c>
      <c r="AQ912" s="28">
        <f t="shared" si="323"/>
        <v>5.5771110467139461E-3</v>
      </c>
      <c r="AR912" s="28">
        <f t="shared" si="323"/>
        <v>5.6834066914365532E-3</v>
      </c>
      <c r="AS912" s="28">
        <f t="shared" si="323"/>
        <v>5.7912443828915926E-3</v>
      </c>
      <c r="AT912" s="28">
        <f t="shared" si="323"/>
        <v>5.8164584030994289E-3</v>
      </c>
      <c r="AU912" s="28">
        <f t="shared" si="323"/>
        <v>5.8347358478060014E-3</v>
      </c>
      <c r="AV912" s="28">
        <f t="shared" si="323"/>
        <v>5.8621743853582847E-3</v>
      </c>
      <c r="AW912" s="28">
        <f t="shared" si="323"/>
        <v>5.8835984362845513E-3</v>
      </c>
      <c r="AY912" s="85"/>
      <c r="AZ912" s="85"/>
    </row>
    <row r="913" spans="1:52" x14ac:dyDescent="0.25">
      <c r="A913" s="102" t="str">
        <f t="shared" si="270"/>
        <v>BD MM Leaching</v>
      </c>
      <c r="B913" s="102" t="s">
        <v>1229</v>
      </c>
      <c r="C913" s="102" t="s">
        <v>1334</v>
      </c>
      <c r="D913" t="s">
        <v>369</v>
      </c>
      <c r="E913" t="s">
        <v>64</v>
      </c>
      <c r="F913" t="s">
        <v>63</v>
      </c>
      <c r="G913" t="s">
        <v>1181</v>
      </c>
      <c r="H913" t="s">
        <v>1321</v>
      </c>
      <c r="I913" t="s">
        <v>139</v>
      </c>
      <c r="J913" t="s">
        <v>287</v>
      </c>
      <c r="K913" s="28">
        <f t="shared" ref="K913:AW913" si="324">K1561</f>
        <v>1.677506639935911E-2</v>
      </c>
      <c r="L913" s="28">
        <f t="shared" si="324"/>
        <v>1.7152115979727815E-2</v>
      </c>
      <c r="M913" s="28">
        <f t="shared" si="324"/>
        <v>1.7493153195060028E-2</v>
      </c>
      <c r="N913" s="28">
        <f t="shared" si="324"/>
        <v>1.7669215882921287E-2</v>
      </c>
      <c r="O913" s="28">
        <f t="shared" si="324"/>
        <v>1.7850132335738296E-2</v>
      </c>
      <c r="P913" s="28">
        <f t="shared" si="324"/>
        <v>1.8210336489694584E-2</v>
      </c>
      <c r="Q913" s="28">
        <f t="shared" si="324"/>
        <v>1.8518344131387941E-2</v>
      </c>
      <c r="R913" s="28">
        <f t="shared" si="324"/>
        <v>1.8635256187528534E-2</v>
      </c>
      <c r="S913" s="28">
        <f t="shared" si="324"/>
        <v>1.7895165383905148E-2</v>
      </c>
      <c r="T913" s="28">
        <f t="shared" si="324"/>
        <v>1.8427726629999096E-2</v>
      </c>
      <c r="U913" s="28">
        <f t="shared" si="324"/>
        <v>1.8858145961209626E-2</v>
      </c>
      <c r="V913" s="28">
        <f t="shared" si="324"/>
        <v>1.926831042987312E-2</v>
      </c>
      <c r="W913" s="28">
        <f t="shared" si="324"/>
        <v>1.9723750272057364E-2</v>
      </c>
      <c r="X913" s="28">
        <f t="shared" si="324"/>
        <v>2.0328305344007466E-2</v>
      </c>
      <c r="Y913" s="28">
        <f t="shared" si="324"/>
        <v>2.0963275174069075E-2</v>
      </c>
      <c r="Z913" s="28">
        <f t="shared" si="324"/>
        <v>2.1643917656498337E-2</v>
      </c>
      <c r="AA913" s="28">
        <f t="shared" si="324"/>
        <v>2.2273513405564039E-2</v>
      </c>
      <c r="AB913" s="28">
        <f t="shared" si="324"/>
        <v>2.2979861002091512E-2</v>
      </c>
      <c r="AC913" s="28">
        <f t="shared" si="324"/>
        <v>2.3781031334877679E-2</v>
      </c>
      <c r="AD913" s="28">
        <f t="shared" si="324"/>
        <v>2.4566308074155798E-2</v>
      </c>
      <c r="AE913" s="28">
        <f t="shared" si="324"/>
        <v>2.5388751226160661E-2</v>
      </c>
      <c r="AF913" s="28">
        <f t="shared" si="324"/>
        <v>2.6235064752699551E-2</v>
      </c>
      <c r="AG913" s="28">
        <f t="shared" si="324"/>
        <v>2.7167046167926586E-2</v>
      </c>
      <c r="AH913" s="28">
        <f t="shared" si="324"/>
        <v>2.8023900018498905E-2</v>
      </c>
      <c r="AI913" s="28">
        <f t="shared" si="324"/>
        <v>2.8920322479741228E-2</v>
      </c>
      <c r="AJ913" s="28">
        <f t="shared" si="324"/>
        <v>2.9839880128135453E-2</v>
      </c>
      <c r="AK913" s="28">
        <f t="shared" si="324"/>
        <v>3.0738135733783801E-2</v>
      </c>
      <c r="AL913" s="28">
        <f t="shared" si="324"/>
        <v>3.1644929602760906E-2</v>
      </c>
      <c r="AM913" s="28">
        <f t="shared" si="324"/>
        <v>3.2587998047109448E-2</v>
      </c>
      <c r="AN913" s="28">
        <f t="shared" si="324"/>
        <v>3.3568837979348017E-2</v>
      </c>
      <c r="AO913" s="28">
        <f t="shared" si="324"/>
        <v>3.451409673179362E-2</v>
      </c>
      <c r="AP913" s="28">
        <f t="shared" si="324"/>
        <v>3.5479549458814943E-2</v>
      </c>
      <c r="AQ913" s="28">
        <f t="shared" si="324"/>
        <v>3.6466862450927735E-2</v>
      </c>
      <c r="AR913" s="28">
        <f t="shared" si="324"/>
        <v>3.7517290662975496E-2</v>
      </c>
      <c r="AS913" s="28">
        <f t="shared" si="324"/>
        <v>3.8588925617873325E-2</v>
      </c>
      <c r="AT913" s="28">
        <f t="shared" si="324"/>
        <v>3.9285237958327314E-2</v>
      </c>
      <c r="AU913" s="28">
        <f t="shared" si="324"/>
        <v>3.9960567637255945E-2</v>
      </c>
      <c r="AV913" s="28">
        <f t="shared" si="324"/>
        <v>4.0694873101077993E-2</v>
      </c>
      <c r="AW913" s="28">
        <f t="shared" si="324"/>
        <v>4.1412967601087917E-2</v>
      </c>
      <c r="AY913" s="85"/>
      <c r="AZ913" s="85"/>
    </row>
    <row r="914" spans="1:52" x14ac:dyDescent="0.25">
      <c r="A914" s="102" t="str">
        <f t="shared" si="270"/>
        <v>BD MM Leaching</v>
      </c>
      <c r="B914" s="102" t="s">
        <v>1229</v>
      </c>
      <c r="C914" s="102" t="s">
        <v>1334</v>
      </c>
      <c r="D914" t="s">
        <v>369</v>
      </c>
      <c r="E914" t="s">
        <v>64</v>
      </c>
      <c r="F914" t="s">
        <v>63</v>
      </c>
      <c r="G914" t="s">
        <v>1183</v>
      </c>
      <c r="H914" t="s">
        <v>1322</v>
      </c>
      <c r="I914" t="s">
        <v>139</v>
      </c>
      <c r="J914" t="s">
        <v>287</v>
      </c>
      <c r="K914" s="28">
        <f t="shared" ref="K914:AW914" si="325">K1562</f>
        <v>7.810393177711944E-2</v>
      </c>
      <c r="L914" s="28">
        <f t="shared" si="325"/>
        <v>7.9553535638078737E-2</v>
      </c>
      <c r="M914" s="28">
        <f t="shared" si="325"/>
        <v>8.0502978601734096E-2</v>
      </c>
      <c r="N914" s="28">
        <f t="shared" si="325"/>
        <v>7.9458702064627351E-2</v>
      </c>
      <c r="O914" s="28">
        <f t="shared" si="325"/>
        <v>7.8445966497934463E-2</v>
      </c>
      <c r="P914" s="28">
        <f t="shared" si="325"/>
        <v>7.944949741705111E-2</v>
      </c>
      <c r="Q914" s="28">
        <f t="shared" si="325"/>
        <v>7.9836186366330816E-2</v>
      </c>
      <c r="R914" s="28">
        <f t="shared" si="325"/>
        <v>7.8063361522169639E-2</v>
      </c>
      <c r="S914" s="28">
        <f t="shared" si="325"/>
        <v>6.6817107477113183E-2</v>
      </c>
      <c r="T914" s="28">
        <f t="shared" si="325"/>
        <v>7.0388458640801108E-2</v>
      </c>
      <c r="U914" s="28">
        <f t="shared" si="325"/>
        <v>7.2779385804600763E-2</v>
      </c>
      <c r="V914" s="28">
        <f t="shared" si="325"/>
        <v>7.4904615040438174E-2</v>
      </c>
      <c r="W914" s="28">
        <f t="shared" si="325"/>
        <v>7.7471024819350642E-2</v>
      </c>
      <c r="X914" s="28">
        <f t="shared" si="325"/>
        <v>8.1566948143152435E-2</v>
      </c>
      <c r="Y914" s="28">
        <f t="shared" si="325"/>
        <v>8.614778534531875E-2</v>
      </c>
      <c r="Z914" s="28">
        <f t="shared" si="325"/>
        <v>9.1129302987806735E-2</v>
      </c>
      <c r="AA914" s="28">
        <f t="shared" si="325"/>
        <v>9.5503511014719752E-2</v>
      </c>
      <c r="AB914" s="28">
        <f t="shared" si="325"/>
        <v>0.10059627235669374</v>
      </c>
      <c r="AC914" s="28">
        <f t="shared" si="325"/>
        <v>0.10657634914102967</v>
      </c>
      <c r="AD914" s="28">
        <f t="shared" si="325"/>
        <v>0.11249681497363943</v>
      </c>
      <c r="AE914" s="28">
        <f t="shared" si="325"/>
        <v>0.11870703167717016</v>
      </c>
      <c r="AF914" s="28">
        <f t="shared" si="325"/>
        <v>0.12506960329583536</v>
      </c>
      <c r="AG914" s="28">
        <f t="shared" si="325"/>
        <v>0.13219418170903169</v>
      </c>
      <c r="AH914" s="28">
        <f t="shared" si="325"/>
        <v>0.13848583371944298</v>
      </c>
      <c r="AI914" s="28">
        <f t="shared" si="325"/>
        <v>0.1452598628167924</v>
      </c>
      <c r="AJ914" s="28">
        <f t="shared" si="325"/>
        <v>0.15217488392211642</v>
      </c>
      <c r="AK914" s="28">
        <f t="shared" si="325"/>
        <v>0.15880077299081433</v>
      </c>
      <c r="AL914" s="28">
        <f t="shared" si="325"/>
        <v>0.16542985943823083</v>
      </c>
      <c r="AM914" s="28">
        <f t="shared" si="325"/>
        <v>0.17232713819913364</v>
      </c>
      <c r="AN914" s="28">
        <f t="shared" si="325"/>
        <v>0.17966613842795656</v>
      </c>
      <c r="AO914" s="28">
        <f t="shared" si="325"/>
        <v>0.1865893340136465</v>
      </c>
      <c r="AP914" s="28">
        <f t="shared" si="325"/>
        <v>0.19362673819120535</v>
      </c>
      <c r="AQ914" s="28">
        <f t="shared" si="325"/>
        <v>0.20079266757552186</v>
      </c>
      <c r="AR914" s="28">
        <f t="shared" si="325"/>
        <v>0.20846738589837877</v>
      </c>
      <c r="AS914" s="28">
        <f t="shared" si="325"/>
        <v>0.21642073302224971</v>
      </c>
      <c r="AT914" s="28">
        <f t="shared" si="325"/>
        <v>0.22086003131192922</v>
      </c>
      <c r="AU914" s="28">
        <f t="shared" si="325"/>
        <v>0.22506764920237721</v>
      </c>
      <c r="AV914" s="28">
        <f t="shared" si="325"/>
        <v>0.22977140260428236</v>
      </c>
      <c r="AW914" s="28">
        <f t="shared" si="325"/>
        <v>0.23428658450939308</v>
      </c>
      <c r="AY914" s="85"/>
      <c r="AZ914" s="85"/>
    </row>
    <row r="916" spans="1:52" x14ac:dyDescent="0.25">
      <c r="A916" s="102" t="str">
        <f t="shared" ref="A916:A979" si="326">B916&amp;" "&amp;C916</f>
        <v>DS Cattle</v>
      </c>
      <c r="B916" s="102" t="s">
        <v>975</v>
      </c>
      <c r="C916" s="102" t="s">
        <v>1109</v>
      </c>
      <c r="D916" t="s">
        <v>15</v>
      </c>
      <c r="E916" t="s">
        <v>16</v>
      </c>
      <c r="F916" t="s">
        <v>6</v>
      </c>
      <c r="G916" t="s">
        <v>136</v>
      </c>
      <c r="H916" t="s">
        <v>1021</v>
      </c>
      <c r="I916" t="s">
        <v>121</v>
      </c>
      <c r="J916" t="s">
        <v>286</v>
      </c>
      <c r="K916" s="28">
        <f>K1379</f>
        <v>72.319515891788683</v>
      </c>
      <c r="L916" s="28">
        <f t="shared" ref="L916:AW918" si="327">L1379</f>
        <v>72.807821323468076</v>
      </c>
      <c r="M916" s="28">
        <f t="shared" si="327"/>
        <v>73.234964885165326</v>
      </c>
      <c r="N916" s="28">
        <f t="shared" si="327"/>
        <v>73.290216800217806</v>
      </c>
      <c r="O916" s="28">
        <f t="shared" si="327"/>
        <v>73.385382806563399</v>
      </c>
      <c r="P916" s="28">
        <f t="shared" si="327"/>
        <v>73.931427797367633</v>
      </c>
      <c r="Q916" s="28">
        <f t="shared" si="327"/>
        <v>74.368063847632101</v>
      </c>
      <c r="R916" s="28">
        <f t="shared" si="327"/>
        <v>74.371892298776103</v>
      </c>
      <c r="S916" s="28">
        <f t="shared" si="327"/>
        <v>72.401501789227453</v>
      </c>
      <c r="T916" s="28">
        <f t="shared" si="327"/>
        <v>73.35338653579106</v>
      </c>
      <c r="U916" s="28">
        <f t="shared" si="327"/>
        <v>74.073946934208749</v>
      </c>
      <c r="V916" s="28">
        <f t="shared" si="327"/>
        <v>74.753778618786441</v>
      </c>
      <c r="W916" s="28">
        <f t="shared" si="327"/>
        <v>75.542063496412212</v>
      </c>
      <c r="X916" s="28">
        <f t="shared" si="327"/>
        <v>76.67155635559341</v>
      </c>
      <c r="Y916" s="28">
        <f t="shared" si="327"/>
        <v>77.847489846758435</v>
      </c>
      <c r="Z916" s="28">
        <f t="shared" si="327"/>
        <v>79.124819066913304</v>
      </c>
      <c r="AA916" s="28">
        <f t="shared" si="327"/>
        <v>80.286419447530889</v>
      </c>
      <c r="AB916" s="28">
        <f t="shared" si="327"/>
        <v>81.617330077665642</v>
      </c>
      <c r="AC916" s="28">
        <f t="shared" si="327"/>
        <v>83.15508639015107</v>
      </c>
      <c r="AD916" s="28">
        <f t="shared" si="327"/>
        <v>84.635565323563185</v>
      </c>
      <c r="AE916" s="28">
        <f t="shared" si="327"/>
        <v>86.193227498997032</v>
      </c>
      <c r="AF916" s="28">
        <f t="shared" si="327"/>
        <v>87.798134594672661</v>
      </c>
      <c r="AG916" s="28">
        <f t="shared" si="327"/>
        <v>89.583941656222265</v>
      </c>
      <c r="AH916" s="28">
        <f t="shared" si="327"/>
        <v>91.200763160150927</v>
      </c>
      <c r="AI916" s="28">
        <f t="shared" si="327"/>
        <v>92.880820410502608</v>
      </c>
      <c r="AJ916" s="28">
        <f t="shared" si="327"/>
        <v>94.604791101897987</v>
      </c>
      <c r="AK916" s="28">
        <f t="shared" si="327"/>
        <v>96.277227774537934</v>
      </c>
      <c r="AL916" s="28">
        <f t="shared" si="327"/>
        <v>97.962340013130714</v>
      </c>
      <c r="AM916" s="28">
        <f t="shared" si="327"/>
        <v>99.718934384145854</v>
      </c>
      <c r="AN916" s="28">
        <f t="shared" si="327"/>
        <v>101.53369157216896</v>
      </c>
      <c r="AO916" s="28">
        <f t="shared" si="327"/>
        <v>103.26697055041011</v>
      </c>
      <c r="AP916" s="28">
        <f t="shared" si="327"/>
        <v>105.03686331998236</v>
      </c>
      <c r="AQ916" s="28">
        <f t="shared" si="327"/>
        <v>106.8465596380065</v>
      </c>
      <c r="AR916" s="28">
        <f t="shared" si="327"/>
        <v>108.78185329261875</v>
      </c>
      <c r="AS916" s="28">
        <f t="shared" si="327"/>
        <v>110.73844641298153</v>
      </c>
      <c r="AT916" s="28">
        <f t="shared" si="327"/>
        <v>111.90949092297359</v>
      </c>
      <c r="AU916" s="28">
        <f t="shared" si="327"/>
        <v>113.03503781846446</v>
      </c>
      <c r="AV916" s="28">
        <f t="shared" si="327"/>
        <v>114.28032069633981</v>
      </c>
      <c r="AW916" s="28">
        <f t="shared" si="327"/>
        <v>115.48971420463774</v>
      </c>
      <c r="AY916" s="85"/>
      <c r="AZ916" s="85"/>
    </row>
    <row r="917" spans="1:52" x14ac:dyDescent="0.25">
      <c r="A917" s="102" t="str">
        <f t="shared" si="326"/>
        <v>DS Cattle</v>
      </c>
      <c r="B917" s="102" t="s">
        <v>975</v>
      </c>
      <c r="C917" s="102" t="s">
        <v>1109</v>
      </c>
      <c r="D917" t="s">
        <v>15</v>
      </c>
      <c r="E917" t="s">
        <v>16</v>
      </c>
      <c r="F917" t="s">
        <v>6</v>
      </c>
      <c r="G917" t="s">
        <v>137</v>
      </c>
      <c r="H917" t="s">
        <v>1021</v>
      </c>
      <c r="I917" t="s">
        <v>121</v>
      </c>
      <c r="J917" t="s">
        <v>286</v>
      </c>
      <c r="K917" s="28">
        <f t="shared" ref="K917:Z918" si="328">K1380</f>
        <v>57.842346035228502</v>
      </c>
      <c r="L917" s="28">
        <f t="shared" si="328"/>
        <v>58.232900803215919</v>
      </c>
      <c r="M917" s="28">
        <f t="shared" si="328"/>
        <v>58.574537295077718</v>
      </c>
      <c r="N917" s="28">
        <f t="shared" si="328"/>
        <v>58.618728691413338</v>
      </c>
      <c r="O917" s="28">
        <f t="shared" si="328"/>
        <v>58.6948440387294</v>
      </c>
      <c r="P917" s="28">
        <f t="shared" si="328"/>
        <v>59.13157986196363</v>
      </c>
      <c r="Q917" s="28">
        <f t="shared" si="328"/>
        <v>59.480808603326388</v>
      </c>
      <c r="R917" s="28">
        <f t="shared" si="328"/>
        <v>59.483870661930055</v>
      </c>
      <c r="S917" s="28">
        <f t="shared" si="328"/>
        <v>57.907919713248667</v>
      </c>
      <c r="T917" s="28">
        <f t="shared" si="328"/>
        <v>58.669252891678312</v>
      </c>
      <c r="U917" s="28">
        <f t="shared" si="328"/>
        <v>59.245569026964958</v>
      </c>
      <c r="V917" s="28">
        <f t="shared" si="328"/>
        <v>59.78930966267238</v>
      </c>
      <c r="W917" s="28">
        <f t="shared" si="328"/>
        <v>60.419792957585386</v>
      </c>
      <c r="X917" s="28">
        <f t="shared" si="328"/>
        <v>61.323180044728431</v>
      </c>
      <c r="Y917" s="28">
        <f t="shared" si="328"/>
        <v>62.263711118141018</v>
      </c>
      <c r="Z917" s="28">
        <f t="shared" si="328"/>
        <v>63.285340174171438</v>
      </c>
      <c r="AA917" s="28">
        <f t="shared" si="327"/>
        <v>64.214407388488411</v>
      </c>
      <c r="AB917" s="28">
        <f t="shared" si="327"/>
        <v>65.278891743242767</v>
      </c>
      <c r="AC917" s="28">
        <f t="shared" si="327"/>
        <v>66.508814699001078</v>
      </c>
      <c r="AD917" s="28">
        <f t="shared" si="327"/>
        <v>67.692926258769063</v>
      </c>
      <c r="AE917" s="28">
        <f t="shared" si="327"/>
        <v>68.938770253248308</v>
      </c>
      <c r="AF917" s="28">
        <f t="shared" si="327"/>
        <v>70.222401517060504</v>
      </c>
      <c r="AG917" s="28">
        <f t="shared" si="327"/>
        <v>71.650719568316063</v>
      </c>
      <c r="AH917" s="28">
        <f t="shared" si="327"/>
        <v>72.943880173088047</v>
      </c>
      <c r="AI917" s="28">
        <f t="shared" si="327"/>
        <v>74.287617774695377</v>
      </c>
      <c r="AJ917" s="28">
        <f t="shared" si="327"/>
        <v>75.66647807342153</v>
      </c>
      <c r="AK917" s="28">
        <f t="shared" si="327"/>
        <v>77.004120610818973</v>
      </c>
      <c r="AL917" s="28">
        <f t="shared" si="327"/>
        <v>78.351901275705174</v>
      </c>
      <c r="AM917" s="28">
        <f t="shared" si="327"/>
        <v>79.75685453346513</v>
      </c>
      <c r="AN917" s="28">
        <f t="shared" si="327"/>
        <v>81.20832737513372</v>
      </c>
      <c r="AO917" s="28">
        <f t="shared" si="327"/>
        <v>82.594632595774641</v>
      </c>
      <c r="AP917" s="28">
        <f t="shared" si="327"/>
        <v>84.010222132851055</v>
      </c>
      <c r="AQ917" s="28">
        <f t="shared" si="327"/>
        <v>85.457647206913492</v>
      </c>
      <c r="AR917" s="28">
        <f t="shared" si="327"/>
        <v>87.005527110000244</v>
      </c>
      <c r="AS917" s="28">
        <f t="shared" si="327"/>
        <v>88.570442678399701</v>
      </c>
      <c r="AT917" s="28">
        <f t="shared" si="327"/>
        <v>89.50706346373471</v>
      </c>
      <c r="AU917" s="28">
        <f t="shared" si="327"/>
        <v>90.407294503794148</v>
      </c>
      <c r="AV917" s="28">
        <f t="shared" si="327"/>
        <v>91.403292364753156</v>
      </c>
      <c r="AW917" s="28">
        <f t="shared" si="327"/>
        <v>92.370585313787814</v>
      </c>
      <c r="AY917" s="85"/>
      <c r="AZ917" s="85"/>
    </row>
    <row r="918" spans="1:52" x14ac:dyDescent="0.25">
      <c r="A918" s="102" t="str">
        <f t="shared" si="326"/>
        <v>DS Cattle</v>
      </c>
      <c r="B918" s="102" t="s">
        <v>975</v>
      </c>
      <c r="C918" s="102" t="s">
        <v>1109</v>
      </c>
      <c r="D918" t="s">
        <v>15</v>
      </c>
      <c r="E918" t="s">
        <v>16</v>
      </c>
      <c r="F918" t="s">
        <v>67</v>
      </c>
      <c r="G918" t="s">
        <v>307</v>
      </c>
      <c r="H918" t="s">
        <v>1021</v>
      </c>
      <c r="I918" t="s">
        <v>121</v>
      </c>
      <c r="J918" t="s">
        <v>286</v>
      </c>
      <c r="K918" s="28">
        <f t="shared" si="328"/>
        <v>26.152753652516633</v>
      </c>
      <c r="L918" s="28">
        <f t="shared" si="327"/>
        <v>26.329338513524345</v>
      </c>
      <c r="M918" s="28">
        <f t="shared" si="327"/>
        <v>26.483805536783215</v>
      </c>
      <c r="N918" s="28">
        <f t="shared" si="327"/>
        <v>26.503786170024174</v>
      </c>
      <c r="O918" s="28">
        <f t="shared" si="327"/>
        <v>26.538200851723289</v>
      </c>
      <c r="P918" s="28">
        <f t="shared" si="327"/>
        <v>26.735665947439109</v>
      </c>
      <c r="Q918" s="28">
        <f t="shared" si="327"/>
        <v>26.893565719271944</v>
      </c>
      <c r="R918" s="28">
        <f t="shared" si="327"/>
        <v>26.894950193966014</v>
      </c>
      <c r="S918" s="28">
        <f t="shared" si="327"/>
        <v>26.182402039293791</v>
      </c>
      <c r="T918" s="28">
        <f t="shared" si="327"/>
        <v>26.526630107962227</v>
      </c>
      <c r="U918" s="28">
        <f t="shared" si="327"/>
        <v>26.787204841617442</v>
      </c>
      <c r="V918" s="28">
        <f t="shared" si="327"/>
        <v>27.033050936584925</v>
      </c>
      <c r="W918" s="28">
        <f t="shared" si="327"/>
        <v>27.318116730490384</v>
      </c>
      <c r="X918" s="28">
        <f t="shared" si="327"/>
        <v>27.72657284547105</v>
      </c>
      <c r="Y918" s="28">
        <f t="shared" si="327"/>
        <v>28.151823188023119</v>
      </c>
      <c r="Z918" s="28">
        <f t="shared" si="327"/>
        <v>28.61374105370485</v>
      </c>
      <c r="AA918" s="28">
        <f t="shared" si="327"/>
        <v>29.033808143789049</v>
      </c>
      <c r="AB918" s="28">
        <f t="shared" si="327"/>
        <v>29.515102541493693</v>
      </c>
      <c r="AC918" s="28">
        <f t="shared" si="327"/>
        <v>30.071198106046545</v>
      </c>
      <c r="AD918" s="28">
        <f t="shared" si="327"/>
        <v>30.606580573086323</v>
      </c>
      <c r="AE918" s="28">
        <f t="shared" si="327"/>
        <v>31.169874652777334</v>
      </c>
      <c r="AF918" s="28">
        <f t="shared" si="327"/>
        <v>31.750253813102248</v>
      </c>
      <c r="AG918" s="28">
        <f t="shared" si="327"/>
        <v>32.396051445673713</v>
      </c>
      <c r="AH918" s="28">
        <f t="shared" si="327"/>
        <v>32.980739188268778</v>
      </c>
      <c r="AI918" s="28">
        <f t="shared" si="327"/>
        <v>33.588294740165949</v>
      </c>
      <c r="AJ918" s="28">
        <f t="shared" si="327"/>
        <v>34.211730616917187</v>
      </c>
      <c r="AK918" s="28">
        <f t="shared" si="327"/>
        <v>34.816530355405931</v>
      </c>
      <c r="AL918" s="28">
        <f t="shared" si="327"/>
        <v>35.42591393201478</v>
      </c>
      <c r="AM918" s="28">
        <f t="shared" si="327"/>
        <v>36.061147441062253</v>
      </c>
      <c r="AN918" s="28">
        <f t="shared" si="327"/>
        <v>36.717414246671382</v>
      </c>
      <c r="AO918" s="28">
        <f t="shared" si="327"/>
        <v>37.344216259517445</v>
      </c>
      <c r="AP918" s="28">
        <f t="shared" si="327"/>
        <v>37.984258840323065</v>
      </c>
      <c r="AQ918" s="28">
        <f t="shared" si="327"/>
        <v>38.638695494212854</v>
      </c>
      <c r="AR918" s="28">
        <f t="shared" si="327"/>
        <v>39.338551647427231</v>
      </c>
      <c r="AS918" s="28">
        <f t="shared" si="327"/>
        <v>40.046110281415082</v>
      </c>
      <c r="AT918" s="28">
        <f t="shared" si="327"/>
        <v>40.469592632040602</v>
      </c>
      <c r="AU918" s="28">
        <f t="shared" si="327"/>
        <v>40.876621776513481</v>
      </c>
      <c r="AV918" s="28">
        <f t="shared" si="327"/>
        <v>41.326950791180863</v>
      </c>
      <c r="AW918" s="28">
        <f t="shared" si="327"/>
        <v>41.764301208996081</v>
      </c>
      <c r="AY918" s="85"/>
      <c r="AZ918" s="85"/>
    </row>
    <row r="919" spans="1:52" x14ac:dyDescent="0.25">
      <c r="A919" s="102" t="str">
        <f t="shared" si="326"/>
        <v>DS Cattle</v>
      </c>
      <c r="B919" s="102" t="s">
        <v>975</v>
      </c>
      <c r="C919" s="102" t="s">
        <v>1109</v>
      </c>
      <c r="D919" t="s">
        <v>15</v>
      </c>
      <c r="E919" t="s">
        <v>16</v>
      </c>
      <c r="F919" t="s">
        <v>67</v>
      </c>
      <c r="G919" t="s">
        <v>122</v>
      </c>
      <c r="H919" t="s">
        <v>1021</v>
      </c>
      <c r="I919" t="s">
        <v>121</v>
      </c>
      <c r="J919" t="s">
        <v>286</v>
      </c>
      <c r="K919" s="100">
        <f>IF('Net zero activities &amp; levers'!$C$12="Off",('Activity data'!AD8*EF!$H7)*kgtoGg,('Net zero Activity data'!AD8*EF!$H7)*kgtoGg)</f>
        <v>465.52056336079949</v>
      </c>
      <c r="L919" s="100">
        <f>IF('Net zero activities &amp; levers'!$C$12="Off",('Activity data'!AE8*EF!$H7)*kgtoGg,('Net zero Activity data'!AE8*EF!$H7)*kgtoGg)</f>
        <v>463.15049709319385</v>
      </c>
      <c r="M919" s="100">
        <f>IF('Net zero activities &amp; levers'!$C$12="Off",('Activity data'!AF8*EF!$H7)*kgtoGg,('Net zero Activity data'!AF8*EF!$H7)*kgtoGg)</f>
        <v>458.82469207652616</v>
      </c>
      <c r="N919" s="100">
        <f>IF('Net zero activities &amp; levers'!$C$12="Off",('Activity data'!AG8*EF!$H7)*kgtoGg,('Net zero Activity data'!AG8*EF!$H7)*kgtoGg)</f>
        <v>446.98374150991339</v>
      </c>
      <c r="O919" s="100">
        <f>IF('Net zero activities &amp; levers'!$C$12="Off",('Activity data'!AH8*EF!$H7)*kgtoGg,('Net zero Activity data'!AH8*EF!$H7)*kgtoGg)</f>
        <v>435.61531631652565</v>
      </c>
      <c r="P919" s="100">
        <f>IF('Net zero activities &amp; levers'!$C$12="Off",('Activity data'!AI8*EF!$H7)*kgtoGg,('Net zero Activity data'!AI8*EF!$H7)*kgtoGg)</f>
        <v>431.8940518676672</v>
      </c>
      <c r="Q919" s="100">
        <f>IF('Net zero activities &amp; levers'!$C$12="Off",('Activity data'!AJ8*EF!$H7)*kgtoGg,('Net zero Activity data'!AJ8*EF!$H7)*kgtoGg)</f>
        <v>425.88381386723944</v>
      </c>
      <c r="R919" s="100">
        <f>IF('Net zero activities &amp; levers'!$C$12="Off",('Activity data'!AK8*EF!$H7)*kgtoGg,('Net zero Activity data'!AK8*EF!$H7)*kgtoGg)</f>
        <v>412.37997971855566</v>
      </c>
      <c r="S919" s="100">
        <f>IF('Net zero activities &amp; levers'!$C$12="Off",('Activity data'!AL8*EF!$H7)*kgtoGg,('Net zero Activity data'!AL8*EF!$H7)*kgtoGg)</f>
        <v>367.07322936568551</v>
      </c>
      <c r="T919" s="100">
        <f>IF('Net zero activities &amp; levers'!$C$12="Off",('Activity data'!AM8*EF!$H7)*kgtoGg,('Net zero Activity data'!AM8*EF!$H7)*kgtoGg)</f>
        <v>366.51408233747708</v>
      </c>
      <c r="U919" s="100">
        <f>IF('Net zero activities &amp; levers'!$C$12="Off",('Activity data'!AN8*EF!$H7)*kgtoGg,('Net zero Activity data'!AN8*EF!$H7)*kgtoGg)</f>
        <v>361.74651888828032</v>
      </c>
      <c r="V919" s="100">
        <f>IF('Net zero activities &amp; levers'!$C$12="Off",('Activity data'!AO8*EF!$H7)*kgtoGg,('Net zero Activity data'!AO8*EF!$H7)*kgtoGg)</f>
        <v>355.97160763210996</v>
      </c>
      <c r="W919" s="100">
        <f>IF('Net zero activities &amp; levers'!$C$12="Off",('Activity data'!AP8*EF!$H7)*kgtoGg,('Net zero Activity data'!AP8*EF!$H7)*kgtoGg)</f>
        <v>351.36352987179083</v>
      </c>
      <c r="X919" s="100">
        <f>IF('Net zero activities &amp; levers'!$C$12="Off",('Activity data'!AQ8*EF!$H7)*kgtoGg,('Net zero Activity data'!AQ8*EF!$H7)*kgtoGg)</f>
        <v>350.87800323023703</v>
      </c>
      <c r="Y919" s="100">
        <f>IF('Net zero activities &amp; levers'!$C$12="Off",('Activity data'!AR8*EF!$H7)*kgtoGg,('Net zero Activity data'!AR8*EF!$H7)*kgtoGg)</f>
        <v>350.9013133501698</v>
      </c>
      <c r="Z919" s="100">
        <f>IF('Net zero activities &amp; levers'!$C$12="Off",('Activity data'!AS8*EF!$H7)*kgtoGg,('Net zero Activity data'!AS8*EF!$H7)*kgtoGg)</f>
        <v>351.40810690653524</v>
      </c>
      <c r="AA919" s="100">
        <f>IF('Net zero activities &amp; levers'!$C$12="Off",('Activity data'!AT8*EF!$H7)*kgtoGg,('Net zero Activity data'!AT8*EF!$H7)*kgtoGg)</f>
        <v>349.74834175859473</v>
      </c>
      <c r="AB919" s="100">
        <f>IF('Net zero activities &amp; levers'!$C$12="Off",('Activity data'!AU8*EF!$H7)*kgtoGg,('Net zero Activity data'!AU8*EF!$H7)*kgtoGg)</f>
        <v>349.36416360988835</v>
      </c>
      <c r="AC919" s="100">
        <f>IF('Net zero activities &amp; levers'!$C$12="Off",('Activity data'!AV8*EF!$H7)*kgtoGg,('Net zero Activity data'!AV8*EF!$H7)*kgtoGg)</f>
        <v>350.47881085875036</v>
      </c>
      <c r="AD919" s="100">
        <f>IF('Net zero activities &amp; levers'!$C$12="Off",('Activity data'!AW8*EF!$H7)*kgtoGg,('Net zero Activity data'!AW8*EF!$H7)*kgtoGg)</f>
        <v>352.46380494221881</v>
      </c>
      <c r="AE919" s="100">
        <f>IF('Net zero activities &amp; levers'!$C$12="Off",('Activity data'!AX8*EF!$H7)*kgtoGg,('Net zero Activity data'!AX8*EF!$H7)*kgtoGg)</f>
        <v>354.43685940599278</v>
      </c>
      <c r="AF919" s="100">
        <f>IF('Net zero activities &amp; levers'!$C$12="Off",('Activity data'!AY8*EF!$H7)*kgtoGg,('Net zero Activity data'!AY8*EF!$H7)*kgtoGg)</f>
        <v>356.0651727008642</v>
      </c>
      <c r="AG919" s="100">
        <f>IF('Net zero activities &amp; levers'!$C$12="Off",('Activity data'!AZ8*EF!$H7)*kgtoGg,('Net zero Activity data'!AZ8*EF!$H7)*kgtoGg)</f>
        <v>358.59111814956049</v>
      </c>
      <c r="AH919" s="100">
        <f>IF('Net zero activities &amp; levers'!$C$12="Off",('Activity data'!BA8*EF!$H7)*kgtoGg,('Net zero Activity data'!BA8*EF!$H7)*kgtoGg)</f>
        <v>358.71915574628997</v>
      </c>
      <c r="AI919" s="100">
        <f>IF('Net zero activities &amp; levers'!$C$12="Off",('Activity data'!BB8*EF!$H7)*kgtoGg,('Net zero Activity data'!BB8*EF!$H7)*kgtoGg)</f>
        <v>359.01069497492028</v>
      </c>
      <c r="AJ919" s="100">
        <f>IF('Net zero activities &amp; levers'!$C$12="Off",('Activity data'!BC8*EF!$H7)*kgtoGg,('Net zero Activity data'!BC8*EF!$H7)*kgtoGg)</f>
        <v>358.92755506897754</v>
      </c>
      <c r="AK919" s="100">
        <f>IF('Net zero activities &amp; levers'!$C$12="Off",('Activity data'!BD8*EF!$H7)*kgtoGg,('Net zero Activity data'!BD8*EF!$H7)*kgtoGg)</f>
        <v>357.70396172773826</v>
      </c>
      <c r="AL919" s="100">
        <f>IF('Net zero activities &amp; levers'!$C$12="Off",('Activity data'!BE8*EF!$H7)*kgtoGg,('Net zero Activity data'!BE8*EF!$H7)*kgtoGg)</f>
        <v>355.92259839644197</v>
      </c>
      <c r="AM919" s="100">
        <f>IF('Net zero activities &amp; levers'!$C$12="Off",('Activity data'!BF8*EF!$H7)*kgtoGg,('Net zero Activity data'!BF8*EF!$H7)*kgtoGg)</f>
        <v>354.04374509834804</v>
      </c>
      <c r="AN919" s="100">
        <f>IF('Net zero activities &amp; levers'!$C$12="Off",('Activity data'!BG8*EF!$H7)*kgtoGg,('Net zero Activity data'!BG8*EF!$H7)*kgtoGg)</f>
        <v>356.61006956043531</v>
      </c>
      <c r="AO919" s="100">
        <f>IF('Net zero activities &amp; levers'!$C$12="Off",('Activity data'!BH8*EF!$H7)*kgtoGg,('Net zero Activity data'!BH8*EF!$H7)*kgtoGg)</f>
        <v>358.0627941974372</v>
      </c>
      <c r="AP919" s="100">
        <f>IF('Net zero activities &amp; levers'!$C$12="Off",('Activity data'!BI8*EF!$H7)*kgtoGg,('Net zero Activity data'!BI8*EF!$H7)*kgtoGg)</f>
        <v>359.27198392574047</v>
      </c>
      <c r="AQ919" s="100">
        <f>IF('Net zero activities &amp; levers'!$C$12="Off",('Activity data'!BJ8*EF!$H7)*kgtoGg,('Net zero Activity data'!BJ8*EF!$H7)*kgtoGg)</f>
        <v>360.25652970840838</v>
      </c>
      <c r="AR919" s="100">
        <f>IF('Net zero activities &amp; levers'!$C$12="Off",('Activity data'!BK8*EF!$H7)*kgtoGg,('Net zero Activity data'!BK8*EF!$H7)*kgtoGg)</f>
        <v>361.55957075423362</v>
      </c>
      <c r="AS919" s="100">
        <f>IF('Net zero activities &amp; levers'!$C$12="Off",('Activity data'!BL8*EF!$H7)*kgtoGg,('Net zero Activity data'!BL8*EF!$H7)*kgtoGg)</f>
        <v>362.70695732422104</v>
      </c>
      <c r="AT919" s="100">
        <f>IF('Net zero activities &amp; levers'!$C$12="Off",('Activity data'!BM8*EF!$H7)*kgtoGg,('Net zero Activity data'!BM8*EF!$H7)*kgtoGg)</f>
        <v>358.63237704526551</v>
      </c>
      <c r="AU919" s="100">
        <f>IF('Net zero activities &amp; levers'!$C$12="Off",('Activity data'!BN8*EF!$H7)*kgtoGg,('Net zero Activity data'!BN8*EF!$H7)*kgtoGg)</f>
        <v>354.08893538727949</v>
      </c>
      <c r="AV919" s="100">
        <f>IF('Net zero activities &amp; levers'!$C$12="Off",('Activity data'!BO8*EF!$H7)*kgtoGg,('Net zero Activity data'!BO8*EF!$H7)*kgtoGg)</f>
        <v>350.04293179338441</v>
      </c>
      <c r="AW919" s="100">
        <f>IF('Net zero activities &amp; levers'!$C$12="Off",('Activity data'!BP8*EF!$H7)*kgtoGg,('Net zero Activity data'!BP8*EF!$H7)*kgtoGg)</f>
        <v>345.59115341749447</v>
      </c>
      <c r="AY919" s="85"/>
      <c r="AZ919" s="85"/>
    </row>
    <row r="920" spans="1:52" x14ac:dyDescent="0.25">
      <c r="A920" s="102" t="str">
        <f t="shared" si="326"/>
        <v>DS Cattle</v>
      </c>
      <c r="B920" s="102" t="s">
        <v>975</v>
      </c>
      <c r="C920" s="102" t="s">
        <v>1109</v>
      </c>
      <c r="D920" t="s">
        <v>15</v>
      </c>
      <c r="E920" t="s">
        <v>16</v>
      </c>
      <c r="F920" t="s">
        <v>67</v>
      </c>
      <c r="G920" t="s">
        <v>123</v>
      </c>
      <c r="H920" t="s">
        <v>1021</v>
      </c>
      <c r="I920" t="s">
        <v>121</v>
      </c>
      <c r="J920" t="s">
        <v>286</v>
      </c>
      <c r="K920" s="100">
        <f>IF('Net zero activities &amp; levers'!$C$12="Off",('Activity data'!AD9*EF!$H8)*kgtoGg,('Net zero Activity data'!AD9*EF!$H8)*kgtoGg)</f>
        <v>327.80986528142375</v>
      </c>
      <c r="L920" s="100">
        <f>IF('Net zero activities &amp; levers'!$C$12="Off",('Activity data'!AE9*EF!$H8)*kgtoGg,('Net zero Activity data'!AE9*EF!$H8)*kgtoGg)</f>
        <v>326.14091407917653</v>
      </c>
      <c r="M920" s="100">
        <f>IF('Net zero activities &amp; levers'!$C$12="Off",('Activity data'!AF9*EF!$H8)*kgtoGg,('Net zero Activity data'!AF9*EF!$H8)*kgtoGg)</f>
        <v>323.0947724662044</v>
      </c>
      <c r="N920" s="100">
        <f>IF('Net zero activities &amp; levers'!$C$12="Off",('Activity data'!AG9*EF!$H8)*kgtoGg,('Net zero Activity data'!AG9*EF!$H8)*kgtoGg)</f>
        <v>314.75662219842133</v>
      </c>
      <c r="O920" s="100">
        <f>IF('Net zero activities &amp; levers'!$C$12="Off",('Activity data'!AH9*EF!$H8)*kgtoGg,('Net zero Activity data'!AH9*EF!$H8)*kgtoGg)</f>
        <v>306.75121443683565</v>
      </c>
      <c r="P920" s="100">
        <f>IF('Net zero activities &amp; levers'!$C$12="Off",('Activity data'!AI9*EF!$H8)*kgtoGg,('Net zero Activity data'!AI9*EF!$H8)*kgtoGg)</f>
        <v>304.13077767492297</v>
      </c>
      <c r="Q920" s="100">
        <f>IF('Net zero activities &amp; levers'!$C$12="Off",('Activity data'!AJ9*EF!$H8)*kgtoGg,('Net zero Activity data'!AJ9*EF!$H8)*kgtoGg)</f>
        <v>299.89849350898703</v>
      </c>
      <c r="R920" s="100">
        <f>IF('Net zero activities &amp; levers'!$C$12="Off",('Activity data'!AK9*EF!$H8)*kgtoGg,('Net zero Activity data'!AK9*EF!$H8)*kgtoGg)</f>
        <v>290.38937532717256</v>
      </c>
      <c r="S920" s="100">
        <f>IF('Net zero activities &amp; levers'!$C$12="Off",('Activity data'!AL9*EF!$H8)*kgtoGg,('Net zero Activity data'!AL9*EF!$H8)*kgtoGg)</f>
        <v>258.48530728280883</v>
      </c>
      <c r="T920" s="100">
        <f>IF('Net zero activities &amp; levers'!$C$12="Off",('Activity data'!AM9*EF!$H8)*kgtoGg,('Net zero Activity data'!AM9*EF!$H8)*kgtoGg)</f>
        <v>258.09156761497064</v>
      </c>
      <c r="U920" s="100">
        <f>IF('Net zero activities &amp; levers'!$C$12="Off",('Activity data'!AN9*EF!$H8)*kgtoGg,('Net zero Activity data'!AN9*EF!$H8)*kgtoGg)</f>
        <v>254.734348933332</v>
      </c>
      <c r="V920" s="100">
        <f>IF('Net zero activities &amp; levers'!$C$12="Off",('Activity data'!AO9*EF!$H8)*kgtoGg,('Net zero Activity data'!AO9*EF!$H8)*kgtoGg)</f>
        <v>250.66777694942124</v>
      </c>
      <c r="W920" s="100">
        <f>IF('Net zero activities &amp; levers'!$C$12="Off",('Activity data'!AP9*EF!$H8)*kgtoGg,('Net zero Activity data'!AP9*EF!$H8)*kgtoGg)</f>
        <v>247.42286476141595</v>
      </c>
      <c r="X920" s="100">
        <f>IF('Net zero activities &amp; levers'!$C$12="Off",('Activity data'!AQ9*EF!$H8)*kgtoGg,('Net zero Activity data'!AQ9*EF!$H8)*kgtoGg)</f>
        <v>247.08096703339891</v>
      </c>
      <c r="Y920" s="100">
        <f>IF('Net zero activities &amp; levers'!$C$12="Off",('Activity data'!AR9*EF!$H8)*kgtoGg,('Net zero Activity data'!AR9*EF!$H8)*kgtoGg)</f>
        <v>247.09738153337221</v>
      </c>
      <c r="Z920" s="100">
        <f>IF('Net zero activities &amp; levers'!$C$12="Off",('Activity data'!AS9*EF!$H8)*kgtoGg,('Net zero Activity data'!AS9*EF!$H8)*kgtoGg)</f>
        <v>247.45425497895809</v>
      </c>
      <c r="AA920" s="100">
        <f>IF('Net zero activities &amp; levers'!$C$12="Off",('Activity data'!AT9*EF!$H8)*kgtoGg,('Net zero Activity data'!AT9*EF!$H8)*kgtoGg)</f>
        <v>246.28548300115935</v>
      </c>
      <c r="AB920" s="100">
        <f>IF('Net zero activities &amp; levers'!$C$12="Off",('Activity data'!AU9*EF!$H8)*kgtoGg,('Net zero Activity data'!AU9*EF!$H8)*kgtoGg)</f>
        <v>246.01495276665733</v>
      </c>
      <c r="AC920" s="100">
        <f>IF('Net zero activities &amp; levers'!$C$12="Off",('Activity data'!AV9*EF!$H8)*kgtoGg,('Net zero Activity data'!AV9*EF!$H8)*kgtoGg)</f>
        <v>246.79986409656257</v>
      </c>
      <c r="AD920" s="100">
        <f>IF('Net zero activities &amp; levers'!$C$12="Off",('Activity data'!AW9*EF!$H8)*kgtoGg,('Net zero Activity data'!AW9*EF!$H8)*kgtoGg)</f>
        <v>248.19765550321605</v>
      </c>
      <c r="AE920" s="100">
        <f>IF('Net zero activities &amp; levers'!$C$12="Off",('Activity data'!AX9*EF!$H8)*kgtoGg,('Net zero Activity data'!AX9*EF!$H8)*kgtoGg)</f>
        <v>249.58703927886114</v>
      </c>
      <c r="AF920" s="100">
        <f>IF('Net zero activities &amp; levers'!$C$12="Off",('Activity data'!AY9*EF!$H8)*kgtoGg,('Net zero Activity data'!AY9*EF!$H8)*kgtoGg)</f>
        <v>250.73366351813033</v>
      </c>
      <c r="AG920" s="100">
        <f>IF('Net zero activities &amp; levers'!$C$12="Off",('Activity data'!AZ9*EF!$H8)*kgtoGg,('Net zero Activity data'!AZ9*EF!$H8)*kgtoGg)</f>
        <v>252.51238158649545</v>
      </c>
      <c r="AH920" s="100">
        <f>IF('Net zero activities &amp; levers'!$C$12="Off",('Activity data'!BA9*EF!$H8)*kgtoGg,('Net zero Activity data'!BA9*EF!$H8)*kgtoGg)</f>
        <v>252.60254298996134</v>
      </c>
      <c r="AI920" s="100">
        <f>IF('Net zero activities &amp; levers'!$C$12="Off",('Activity data'!BB9*EF!$H8)*kgtoGg,('Net zero Activity data'!BB9*EF!$H8)*kgtoGg)</f>
        <v>252.80783883032467</v>
      </c>
      <c r="AJ920" s="100">
        <f>IF('Net zero activities &amp; levers'!$C$12="Off",('Activity data'!BC9*EF!$H8)*kgtoGg,('Net zero Activity data'!BC9*EF!$H8)*kgtoGg)</f>
        <v>252.74929344369372</v>
      </c>
      <c r="AK920" s="100">
        <f>IF('Net zero activities &amp; levers'!$C$12="Off",('Activity data'!BD9*EF!$H8)*kgtoGg,('Net zero Activity data'!BD9*EF!$H8)*kgtoGg)</f>
        <v>251.88766454924675</v>
      </c>
      <c r="AL920" s="100">
        <f>IF('Net zero activities &amp; levers'!$C$12="Off",('Activity data'!BE9*EF!$H8)*kgtoGg,('Net zero Activity data'!BE9*EF!$H8)*kgtoGg)</f>
        <v>250.63326566848909</v>
      </c>
      <c r="AM920" s="100">
        <f>IF('Net zero activities &amp; levers'!$C$12="Off",('Activity data'!BF9*EF!$H8)*kgtoGg,('Net zero Activity data'!BF9*EF!$H8)*kgtoGg)</f>
        <v>249.31021638773285</v>
      </c>
      <c r="AN920" s="100">
        <f>IF('Net zero activities &amp; levers'!$C$12="Off",('Activity data'!BG9*EF!$H8)*kgtoGg,('Net zero Activity data'!BG9*EF!$H8)*kgtoGg)</f>
        <v>251.11736851461586</v>
      </c>
      <c r="AO920" s="100">
        <f>IF('Net zero activities &amp; levers'!$C$12="Off",('Activity data'!BH9*EF!$H8)*kgtoGg,('Net zero Activity data'!BH9*EF!$H8)*kgtoGg)</f>
        <v>252.14034688555736</v>
      </c>
      <c r="AP920" s="100">
        <f>IF('Net zero activities &amp; levers'!$C$12="Off",('Activity data'!BI9*EF!$H8)*kgtoGg,('Net zero Activity data'!BI9*EF!$H8)*kgtoGg)</f>
        <v>252.99183305637885</v>
      </c>
      <c r="AQ920" s="100">
        <f>IF('Net zero activities &amp; levers'!$C$12="Off",('Activity data'!BJ9*EF!$H8)*kgtoGg,('Net zero Activity data'!BJ9*EF!$H8)*kgtoGg)</f>
        <v>253.6851296490143</v>
      </c>
      <c r="AR920" s="100">
        <f>IF('Net zero activities &amp; levers'!$C$12="Off",('Activity data'!BK9*EF!$H8)*kgtoGg,('Net zero Activity data'!BK9*EF!$H8)*kgtoGg)</f>
        <v>254.60270395895319</v>
      </c>
      <c r="AS920" s="100">
        <f>IF('Net zero activities &amp; levers'!$C$12="Off",('Activity data'!BL9*EF!$H8)*kgtoGg,('Net zero Activity data'!BL9*EF!$H8)*kgtoGg)</f>
        <v>255.41066963552367</v>
      </c>
      <c r="AT920" s="100">
        <f>IF('Net zero activities &amp; levers'!$C$12="Off",('Activity data'!BM9*EF!$H8)*kgtoGg,('Net zero Activity data'!BM9*EF!$H8)*kgtoGg)</f>
        <v>252.54143523977578</v>
      </c>
      <c r="AU920" s="100">
        <f>IF('Net zero activities &amp; levers'!$C$12="Off",('Activity data'!BN9*EF!$H8)*kgtoGg,('Net zero Activity data'!BN9*EF!$H8)*kgtoGg)</f>
        <v>249.34203844607481</v>
      </c>
      <c r="AV920" s="100">
        <f>IF('Net zero activities &amp; levers'!$C$12="Off",('Activity data'!BO9*EF!$H8)*kgtoGg,('Net zero Activity data'!BO9*EF!$H8)*kgtoGg)</f>
        <v>246.49292715554961</v>
      </c>
      <c r="AW920" s="100">
        <f>IF('Net zero activities &amp; levers'!$C$12="Off",('Activity data'!BP9*EF!$H8)*kgtoGg,('Net zero Activity data'!BP9*EF!$H8)*kgtoGg)</f>
        <v>243.35807773208339</v>
      </c>
      <c r="AY920" s="85"/>
      <c r="AZ920" s="85"/>
    </row>
    <row r="921" spans="1:52" x14ac:dyDescent="0.25">
      <c r="A921" s="102" t="str">
        <f t="shared" si="326"/>
        <v>DS Cattle</v>
      </c>
      <c r="B921" s="102" t="s">
        <v>975</v>
      </c>
      <c r="C921" s="102" t="s">
        <v>1109</v>
      </c>
      <c r="D921" t="s">
        <v>15</v>
      </c>
      <c r="E921" t="s">
        <v>16</v>
      </c>
      <c r="F921" t="s">
        <v>67</v>
      </c>
      <c r="G921" t="s">
        <v>135</v>
      </c>
      <c r="H921" t="s">
        <v>1021</v>
      </c>
      <c r="I921" t="s">
        <v>121</v>
      </c>
      <c r="J921" t="s">
        <v>286</v>
      </c>
      <c r="K921" s="100">
        <f>IF('Net zero activities &amp; levers'!$C$12="Off",('Activity data'!AD10*EF!$H9)*kgtoGg,('Net zero Activity data'!AD10*EF!$H9)*kgtoGg)</f>
        <v>31.983141266454435</v>
      </c>
      <c r="L921" s="100">
        <f>IF('Net zero activities &amp; levers'!$C$12="Off",('Activity data'!AE10*EF!$H9)*kgtoGg,('Net zero Activity data'!AE10*EF!$H9)*kgtoGg)</f>
        <v>33.176305480896438</v>
      </c>
      <c r="M921" s="100">
        <f>IF('Net zero activities &amp; levers'!$C$12="Off",('Activity data'!AF10*EF!$H9)*kgtoGg,('Net zero Activity data'!AF10*EF!$H9)*kgtoGg)</f>
        <v>34.248209769984797</v>
      </c>
      <c r="N921" s="100">
        <f>IF('Net zero activities &amp; levers'!$C$12="Off",('Activity data'!AG10*EF!$H9)*kgtoGg,('Net zero Activity data'!AG10*EF!$H9)*kgtoGg)</f>
        <v>34.751225456913808</v>
      </c>
      <c r="O921" s="100">
        <f>IF('Net zero activities &amp; levers'!$C$12="Off",('Activity data'!AH10*EF!$H9)*kgtoGg,('Net zero Activity data'!AH10*EF!$H9)*kgtoGg)</f>
        <v>35.261937727399058</v>
      </c>
      <c r="P921" s="100">
        <f>IF('Net zero activities &amp; levers'!$C$12="Off",('Activity data'!AI10*EF!$H9)*kgtoGg,('Net zero Activity data'!AI10*EF!$H9)*kgtoGg)</f>
        <v>36.389263474395328</v>
      </c>
      <c r="Q921" s="100">
        <f>IF('Net zero activities &amp; levers'!$C$12="Off",('Activity data'!AJ10*EF!$H9)*kgtoGg,('Net zero Activity data'!AJ10*EF!$H9)*kgtoGg)</f>
        <v>37.34016796495505</v>
      </c>
      <c r="R921" s="100">
        <f>IF('Net zero activities &amp; levers'!$C$12="Off",('Activity data'!AK10*EF!$H9)*kgtoGg,('Net zero Activity data'!AK10*EF!$H9)*kgtoGg)</f>
        <v>37.617758099633058</v>
      </c>
      <c r="S921" s="100">
        <f>IF('Net zero activities &amp; levers'!$C$12="Off",('Activity data'!AL10*EF!$H9)*kgtoGg,('Net zero Activity data'!AL10*EF!$H9)*kgtoGg)</f>
        <v>34.833912391780601</v>
      </c>
      <c r="T921" s="100">
        <f>IF('Net zero activities &amp; levers'!$C$12="Off",('Activity data'!AM10*EF!$H9)*kgtoGg,('Net zero Activity data'!AM10*EF!$H9)*kgtoGg)</f>
        <v>36.000042148422146</v>
      </c>
      <c r="U921" s="100">
        <f>IF('Net zero activities &amp; levers'!$C$12="Off",('Activity data'!AN10*EF!$H9)*kgtoGg,('Net zero Activity data'!AN10*EF!$H9)*kgtoGg)</f>
        <v>36.768123962525195</v>
      </c>
      <c r="V921" s="100">
        <f>IF('Net zero activities &amp; levers'!$C$12="Off",('Activity data'!AO10*EF!$H9)*kgtoGg,('Net zero Activity data'!AO10*EF!$H9)*kgtoGg)</f>
        <v>37.431895004009547</v>
      </c>
      <c r="W921" s="100">
        <f>IF('Net zero activities &amp; levers'!$C$12="Off",('Activity data'!AP10*EF!$H9)*kgtoGg,('Net zero Activity data'!AP10*EF!$H9)*kgtoGg)</f>
        <v>38.217162078562176</v>
      </c>
      <c r="X921" s="100">
        <f>IF('Net zero activities &amp; levers'!$C$12="Off",('Activity data'!AQ10*EF!$H9)*kgtoGg,('Net zero Activity data'!AQ10*EF!$H9)*kgtoGg)</f>
        <v>39.469304541772296</v>
      </c>
      <c r="Y921" s="100">
        <f>IF('Net zero activities &amp; levers'!$C$12="Off",('Activity data'!AR10*EF!$H9)*kgtoGg,('Net zero Activity data'!AR10*EF!$H9)*kgtoGg)</f>
        <v>40.815544941865276</v>
      </c>
      <c r="Z921" s="100">
        <f>IF('Net zero activities &amp; levers'!$C$12="Off",('Activity data'!AS10*EF!$H9)*kgtoGg,('Net zero Activity data'!AS10*EF!$H9)*kgtoGg)</f>
        <v>42.260436791465395</v>
      </c>
      <c r="AA921" s="100">
        <f>IF('Net zero activities &amp; levers'!$C$12="Off",('Activity data'!AT10*EF!$H9)*kgtoGg,('Net zero Activity data'!AT10*EF!$H9)*kgtoGg)</f>
        <v>43.482223039161575</v>
      </c>
      <c r="AB921" s="100">
        <f>IF('Net zero activities &amp; levers'!$C$12="Off",('Activity data'!AU10*EF!$H9)*kgtoGg,('Net zero Activity data'!AU10*EF!$H9)*kgtoGg)</f>
        <v>44.898095526830183</v>
      </c>
      <c r="AC921" s="100">
        <f>IF('Net zero activities &amp; levers'!$C$12="Off",('Activity data'!AV10*EF!$H9)*kgtoGg,('Net zero Activity data'!AV10*EF!$H9)*kgtoGg)</f>
        <v>46.555529106963192</v>
      </c>
      <c r="AD921" s="100">
        <f>IF('Net zero activities &amp; levers'!$C$12="Off",('Activity data'!AW10*EF!$H9)*kgtoGg,('Net zero Activity data'!AW10*EF!$H9)*kgtoGg)</f>
        <v>48.394800512669953</v>
      </c>
      <c r="AE921" s="100">
        <f>IF('Net zero activities &amp; levers'!$C$12="Off",('Activity data'!AX10*EF!$H9)*kgtoGg,('Net zero Activity data'!AX10*EF!$H9)*kgtoGg)</f>
        <v>50.306776644349213</v>
      </c>
      <c r="AF921" s="100">
        <f>IF('Net zero activities &amp; levers'!$C$12="Off",('Activity data'!AY10*EF!$H9)*kgtoGg,('Net zero Activity data'!AY10*EF!$H9)*kgtoGg)</f>
        <v>52.24662221054885</v>
      </c>
      <c r="AG921" s="100">
        <f>IF('Net zero activities &amp; levers'!$C$12="Off",('Activity data'!AZ10*EF!$H9)*kgtoGg,('Net zero Activity data'!AZ10*EF!$H9)*kgtoGg)</f>
        <v>54.402122519977191</v>
      </c>
      <c r="AH921" s="100">
        <f>IF('Net zero activities &amp; levers'!$C$12="Off",('Activity data'!BA10*EF!$H9)*kgtoGg,('Net zero Activity data'!BA10*EF!$H9)*kgtoGg)</f>
        <v>56.274767139331679</v>
      </c>
      <c r="AI921" s="100">
        <f>IF('Net zero activities &amp; levers'!$C$12="Off",('Activity data'!BB10*EF!$H9)*kgtoGg,('Net zero Activity data'!BB10*EF!$H9)*kgtoGg)</f>
        <v>58.246965185623765</v>
      </c>
      <c r="AJ921" s="100">
        <f>IF('Net zero activities &amp; levers'!$C$12="Off",('Activity data'!BC10*EF!$H9)*kgtoGg,('Net zero Activity data'!BC10*EF!$H9)*kgtoGg)</f>
        <v>60.235457231546185</v>
      </c>
      <c r="AK921" s="100">
        <f>IF('Net zero activities &amp; levers'!$C$12="Off",('Activity data'!BD10*EF!$H9)*kgtoGg,('Net zero Activity data'!BD10*EF!$H9)*kgtoGg)</f>
        <v>62.10552106392641</v>
      </c>
      <c r="AL921" s="100">
        <f>IF('Net zero activities &amp; levers'!$C$12="Off",('Activity data'!BE10*EF!$H9)*kgtoGg,('Net zero Activity data'!BE10*EF!$H9)*kgtoGg)</f>
        <v>63.946029919102472</v>
      </c>
      <c r="AM921" s="100">
        <f>IF('Net zero activities &amp; levers'!$C$12="Off",('Activity data'!BF10*EF!$H9)*kgtoGg,('Net zero Activity data'!BF10*EF!$H9)*kgtoGg)</f>
        <v>65.836412074860831</v>
      </c>
      <c r="AN921" s="100">
        <f>IF('Net zero activities &amp; levers'!$C$12="Off",('Activity data'!BG10*EF!$H9)*kgtoGg,('Net zero Activity data'!BG10*EF!$H9)*kgtoGg)</f>
        <v>68.220101328114737</v>
      </c>
      <c r="AO921" s="100">
        <f>IF('Net zero activities &amp; levers'!$C$12="Off",('Activity data'!BH10*EF!$H9)*kgtoGg,('Net zero Activity data'!BH10*EF!$H9)*kgtoGg)</f>
        <v>70.474265992352315</v>
      </c>
      <c r="AP921" s="100">
        <f>IF('Net zero activities &amp; levers'!$C$12="Off",('Activity data'!BI10*EF!$H9)*kgtoGg,('Net zero Activity data'!BI10*EF!$H9)*kgtoGg)</f>
        <v>72.760515700181472</v>
      </c>
      <c r="AQ921" s="100">
        <f>IF('Net zero activities &amp; levers'!$C$12="Off",('Activity data'!BJ10*EF!$H9)*kgtoGg,('Net zero Activity data'!BJ10*EF!$H9)*kgtoGg)</f>
        <v>75.082574842043257</v>
      </c>
      <c r="AR921" s="100">
        <f>IF('Net zero activities &amp; levers'!$C$12="Off",('Activity data'!BK10*EF!$H9)*kgtoGg,('Net zero Activity data'!BK10*EF!$H9)*kgtoGg)</f>
        <v>77.557051225224725</v>
      </c>
      <c r="AS921" s="100">
        <f>IF('Net zero activities &amp; levers'!$C$12="Off",('Activity data'!BL10*EF!$H9)*kgtoGg,('Net zero Activity data'!BL10*EF!$H9)*kgtoGg)</f>
        <v>80.089608497367124</v>
      </c>
      <c r="AT921" s="100">
        <f>IF('Net zero activities &amp; levers'!$C$12="Off",('Activity data'!BM10*EF!$H9)*kgtoGg,('Net zero Activity data'!BM10*EF!$H9)*kgtoGg)</f>
        <v>81.530277591774478</v>
      </c>
      <c r="AU921" s="100">
        <f>IF('Net zero activities &amp; levers'!$C$12="Off",('Activity data'!BN10*EF!$H9)*kgtoGg,('Net zero Activity data'!BN10*EF!$H9)*kgtoGg)</f>
        <v>82.890900928322495</v>
      </c>
      <c r="AV921" s="100">
        <f>IF('Net zero activities &amp; levers'!$C$12="Off",('Activity data'!BO10*EF!$H9)*kgtoGg,('Net zero Activity data'!BO10*EF!$H9)*kgtoGg)</f>
        <v>84.396143074361007</v>
      </c>
      <c r="AW921" s="100">
        <f>IF('Net zero activities &amp; levers'!$C$12="Off",('Activity data'!BP10*EF!$H9)*kgtoGg,('Net zero Activity data'!BP10*EF!$H9)*kgtoGg)</f>
        <v>85.833792209866019</v>
      </c>
      <c r="AY921" s="85"/>
      <c r="AZ921" s="85"/>
    </row>
    <row r="922" spans="1:52" x14ac:dyDescent="0.25">
      <c r="A922" s="102" t="str">
        <f t="shared" si="326"/>
        <v>DS Sheep</v>
      </c>
      <c r="B922" s="102" t="s">
        <v>975</v>
      </c>
      <c r="C922" s="102" t="s">
        <v>152</v>
      </c>
      <c r="D922" t="s">
        <v>15</v>
      </c>
      <c r="E922" t="s">
        <v>16</v>
      </c>
      <c r="F922" t="s">
        <v>18</v>
      </c>
      <c r="G922" t="s">
        <v>122</v>
      </c>
      <c r="H922" t="s">
        <v>1021</v>
      </c>
      <c r="I922" t="s">
        <v>121</v>
      </c>
      <c r="J922" t="s">
        <v>286</v>
      </c>
      <c r="K922" s="100">
        <f>IF('Net zero activities &amp; levers'!$C$12="Off",('Activity data'!AD11*EF!$H10)*kgtoGg,('Net zero Activity data'!AD11*EF!$H10)*kgtoGg)</f>
        <v>132.57119038642557</v>
      </c>
      <c r="L922" s="100">
        <f>IF('Net zero activities &amp; levers'!$C$12="Off",('Activity data'!AE11*EF!$H10)*kgtoGg,('Net zero Activity data'!AE11*EF!$H10)*kgtoGg)</f>
        <v>132.64273653065254</v>
      </c>
      <c r="M922" s="100">
        <f>IF('Net zero activities &amp; levers'!$C$12="Off",('Activity data'!AF11*EF!$H10)*kgtoGg,('Net zero Activity data'!AF11*EF!$H10)*kgtoGg)</f>
        <v>132.80721501621684</v>
      </c>
      <c r="N922" s="100">
        <f>IF('Net zero activities &amp; levers'!$C$12="Off",('Activity data'!AG11*EF!$H10)*kgtoGg,('Net zero Activity data'!AG11*EF!$H10)*kgtoGg)</f>
        <v>133.051398651531</v>
      </c>
      <c r="O922" s="100">
        <f>IF('Net zero activities &amp; levers'!$C$12="Off",('Activity data'!AH11*EF!$H10)*kgtoGg,('Net zero Activity data'!AH11*EF!$H10)*kgtoGg)</f>
        <v>133.38098001143086</v>
      </c>
      <c r="P922" s="100">
        <f>IF('Net zero activities &amp; levers'!$C$12="Off",('Activity data'!AI11*EF!$H10)*kgtoGg,('Net zero Activity data'!AI11*EF!$H10)*kgtoGg)</f>
        <v>133.80258277876908</v>
      </c>
      <c r="Q922" s="100">
        <f>IF('Net zero activities &amp; levers'!$C$12="Off",('Activity data'!AJ11*EF!$H10)*kgtoGg,('Net zero Activity data'!AJ11*EF!$H10)*kgtoGg)</f>
        <v>134.26714516921325</v>
      </c>
      <c r="R922" s="100">
        <f>IF('Net zero activities &amp; levers'!$C$12="Off",('Activity data'!AK11*EF!$H10)*kgtoGg,('Net zero Activity data'!AK11*EF!$H10)*kgtoGg)</f>
        <v>134.76745179695249</v>
      </c>
      <c r="S922" s="100">
        <f>IF('Net zero activities &amp; levers'!$C$12="Off",('Activity data'!AL11*EF!$H10)*kgtoGg,('Net zero Activity data'!AL11*EF!$H10)*kgtoGg)</f>
        <v>135.2631261954914</v>
      </c>
      <c r="T922" s="100">
        <f>IF('Net zero activities &amp; levers'!$C$12="Off",('Activity data'!AM11*EF!$H10)*kgtoGg,('Net zero Activity data'!AM11*EF!$H10)*kgtoGg)</f>
        <v>135.43888507816629</v>
      </c>
      <c r="U922" s="100">
        <f>IF('Net zero activities &amp; levers'!$C$12="Off",('Activity data'!AN11*EF!$H10)*kgtoGg,('Net zero Activity data'!AN11*EF!$H10)*kgtoGg)</f>
        <v>135.64204457759547</v>
      </c>
      <c r="V922" s="100">
        <f>IF('Net zero activities &amp; levers'!$C$12="Off",('Activity data'!AO11*EF!$H10)*kgtoGg,('Net zero Activity data'!AO11*EF!$H10)*kgtoGg)</f>
        <v>135.87525271782013</v>
      </c>
      <c r="W922" s="100">
        <f>IF('Net zero activities &amp; levers'!$C$12="Off",('Activity data'!AP11*EF!$H10)*kgtoGg,('Net zero Activity data'!AP11*EF!$H10)*kgtoGg)</f>
        <v>136.14037955612463</v>
      </c>
      <c r="X922" s="100">
        <f>IF('Net zero activities &amp; levers'!$C$12="Off",('Activity data'!AQ11*EF!$H10)*kgtoGg,('Net zero Activity data'!AQ11*EF!$H10)*kgtoGg)</f>
        <v>136.44153774716742</v>
      </c>
      <c r="Y922" s="100">
        <f>IF('Net zero activities &amp; levers'!$C$12="Off",('Activity data'!AR11*EF!$H10)*kgtoGg,('Net zero Activity data'!AR11*EF!$H10)*kgtoGg)</f>
        <v>136.62066947227879</v>
      </c>
      <c r="Z922" s="100">
        <f>IF('Net zero activities &amp; levers'!$C$12="Off",('Activity data'!AS11*EF!$H10)*kgtoGg,('Net zero Activity data'!AS11*EF!$H10)*kgtoGg)</f>
        <v>136.82573618421691</v>
      </c>
      <c r="AA922" s="100">
        <f>IF('Net zero activities &amp; levers'!$C$12="Off",('Activity data'!AT11*EF!$H10)*kgtoGg,('Net zero Activity data'!AT11*EF!$H10)*kgtoGg)</f>
        <v>137.0502548755789</v>
      </c>
      <c r="AB922" s="100">
        <f>IF('Net zero activities &amp; levers'!$C$12="Off",('Activity data'!AU11*EF!$H10)*kgtoGg,('Net zero Activity data'!AU11*EF!$H10)*kgtoGg)</f>
        <v>137.30011890256006</v>
      </c>
      <c r="AC922" s="100">
        <f>IF('Net zero activities &amp; levers'!$C$12="Off",('Activity data'!AV11*EF!$H10)*kgtoGg,('Net zero Activity data'!AV11*EF!$H10)*kgtoGg)</f>
        <v>137.57528122188762</v>
      </c>
      <c r="AD922" s="100">
        <f>IF('Net zero activities &amp; levers'!$C$12="Off",('Activity data'!AW11*EF!$H10)*kgtoGg,('Net zero Activity data'!AW11*EF!$H10)*kgtoGg)</f>
        <v>137.76180863624239</v>
      </c>
      <c r="AE922" s="100">
        <f>IF('Net zero activities &amp; levers'!$C$12="Off",('Activity data'!AX11*EF!$H10)*kgtoGg,('Net zero Activity data'!AX11*EF!$H10)*kgtoGg)</f>
        <v>137.96778320651916</v>
      </c>
      <c r="AF922" s="100">
        <f>IF('Net zero activities &amp; levers'!$C$12="Off",('Activity data'!AY11*EF!$H10)*kgtoGg,('Net zero Activity data'!AY11*EF!$H10)*kgtoGg)</f>
        <v>138.19172280755853</v>
      </c>
      <c r="AG922" s="100">
        <f>IF('Net zero activities &amp; levers'!$C$12="Off",('Activity data'!AZ11*EF!$H10)*kgtoGg,('Net zero Activity data'!AZ11*EF!$H10)*kgtoGg)</f>
        <v>138.43619560904446</v>
      </c>
      <c r="AH922" s="100">
        <f>IF('Net zero activities &amp; levers'!$C$12="Off",('Activity data'!BA11*EF!$H10)*kgtoGg,('Net zero Activity data'!BA11*EF!$H10)*kgtoGg)</f>
        <v>138.69205492913844</v>
      </c>
      <c r="AI922" s="100">
        <f>IF('Net zero activities &amp; levers'!$C$12="Off",('Activity data'!BB11*EF!$H10)*kgtoGg,('Net zero Activity data'!BB11*EF!$H10)*kgtoGg)</f>
        <v>138.85070361808542</v>
      </c>
      <c r="AJ922" s="100">
        <f>IF('Net zero activities &amp; levers'!$C$12="Off",('Activity data'!BC11*EF!$H10)*kgtoGg,('Net zero Activity data'!BC11*EF!$H10)*kgtoGg)</f>
        <v>139.02395380224971</v>
      </c>
      <c r="AK922" s="100">
        <f>IF('Net zero activities &amp; levers'!$C$12="Off",('Activity data'!BD11*EF!$H10)*kgtoGg,('Net zero Activity data'!BD11*EF!$H10)*kgtoGg)</f>
        <v>139.20896665938039</v>
      </c>
      <c r="AL922" s="100">
        <f>IF('Net zero activities &amp; levers'!$C$12="Off",('Activity data'!BE11*EF!$H10)*kgtoGg,('Net zero Activity data'!BE11*EF!$H10)*kgtoGg)</f>
        <v>139.40682760667147</v>
      </c>
      <c r="AM922" s="100">
        <f>IF('Net zero activities &amp; levers'!$C$12="Off",('Activity data'!BF11*EF!$H10)*kgtoGg,('Net zero Activity data'!BF11*EF!$H10)*kgtoGg)</f>
        <v>139.61852499423495</v>
      </c>
      <c r="AN922" s="100">
        <f>IF('Net zero activities &amp; levers'!$C$12="Off",('Activity data'!BG11*EF!$H10)*kgtoGg,('Net zero Activity data'!BG11*EF!$H10)*kgtoGg)</f>
        <v>139.73751960916408</v>
      </c>
      <c r="AO922" s="100">
        <f>IF('Net zero activities &amp; levers'!$C$12="Off",('Activity data'!BH11*EF!$H10)*kgtoGg,('Net zero Activity data'!BH11*EF!$H10)*kgtoGg)</f>
        <v>139.86520110579977</v>
      </c>
      <c r="AP922" s="100">
        <f>IF('Net zero activities &amp; levers'!$C$12="Off",('Activity data'!BI11*EF!$H10)*kgtoGg,('Net zero Activity data'!BI11*EF!$H10)*kgtoGg)</f>
        <v>140.004063692339</v>
      </c>
      <c r="AQ922" s="100">
        <f>IF('Net zero activities &amp; levers'!$C$12="Off",('Activity data'!BJ11*EF!$H10)*kgtoGg,('Net zero Activity data'!BJ11*EF!$H10)*kgtoGg)</f>
        <v>140.15383430609006</v>
      </c>
      <c r="AR922" s="100">
        <f>IF('Net zero activities &amp; levers'!$C$12="Off",('Activity data'!BK11*EF!$H10)*kgtoGg,('Net zero Activity data'!BK11*EF!$H10)*kgtoGg)</f>
        <v>140.31626829495895</v>
      </c>
      <c r="AS922" s="100">
        <f>IF('Net zero activities &amp; levers'!$C$12="Off",('Activity data'!BL11*EF!$H10)*kgtoGg,('Net zero Activity data'!BL11*EF!$H10)*kgtoGg)</f>
        <v>140.38172657418394</v>
      </c>
      <c r="AT922" s="100">
        <f>IF('Net zero activities &amp; levers'!$C$12="Off",('Activity data'!BM11*EF!$H10)*kgtoGg,('Net zero Activity data'!BM11*EF!$H10)*kgtoGg)</f>
        <v>140.43666976514496</v>
      </c>
      <c r="AU922" s="100">
        <f>IF('Net zero activities &amp; levers'!$C$12="Off",('Activity data'!BN11*EF!$H10)*kgtoGg,('Net zero Activity data'!BN11*EF!$H10)*kgtoGg)</f>
        <v>140.49877558884813</v>
      </c>
      <c r="AV922" s="100">
        <f>IF('Net zero activities &amp; levers'!$C$12="Off",('Activity data'!BO11*EF!$H10)*kgtoGg,('Net zero Activity data'!BO11*EF!$H10)*kgtoGg)</f>
        <v>140.57178254149377</v>
      </c>
      <c r="AW922" s="100">
        <f>IF('Net zero activities &amp; levers'!$C$12="Off",('Activity data'!BP11*EF!$H10)*kgtoGg,('Net zero Activity data'!BP11*EF!$H10)*kgtoGg)</f>
        <v>140.65166313677847</v>
      </c>
      <c r="AY922" s="85"/>
      <c r="AZ922" s="85"/>
    </row>
    <row r="923" spans="1:52" x14ac:dyDescent="0.25">
      <c r="A923" s="102" t="str">
        <f t="shared" si="326"/>
        <v>DS Sheep</v>
      </c>
      <c r="B923" s="102" t="s">
        <v>975</v>
      </c>
      <c r="C923" s="102" t="s">
        <v>152</v>
      </c>
      <c r="D923" t="s">
        <v>15</v>
      </c>
      <c r="E923" t="s">
        <v>16</v>
      </c>
      <c r="F923" t="s">
        <v>18</v>
      </c>
      <c r="G923" t="s">
        <v>123</v>
      </c>
      <c r="H923" t="s">
        <v>1021</v>
      </c>
      <c r="I923" t="s">
        <v>121</v>
      </c>
      <c r="J923" t="s">
        <v>286</v>
      </c>
      <c r="K923" s="100">
        <f>IF('Net zero activities &amp; levers'!$C$12="Off",('Activity data'!AD12*EF!$H11)*kgtoGg,('Net zero Activity data'!AD12*EF!$H11)*kgtoGg)</f>
        <v>14.367245816070934</v>
      </c>
      <c r="L923" s="100">
        <f>IF('Net zero activities &amp; levers'!$C$12="Off",('Activity data'!AE12*EF!$H11)*kgtoGg,('Net zero Activity data'!AE12*EF!$H11)*kgtoGg)</f>
        <v>14.374999544752898</v>
      </c>
      <c r="M923" s="100">
        <f>IF('Net zero activities &amp; levers'!$C$12="Off",('Activity data'!AF12*EF!$H11)*kgtoGg,('Net zero Activity data'!AF12*EF!$H11)*kgtoGg)</f>
        <v>14.392824705910984</v>
      </c>
      <c r="N923" s="100">
        <f>IF('Net zero activities &amp; levers'!$C$12="Off",('Activity data'!AG12*EF!$H11)*kgtoGg,('Net zero Activity data'!AG12*EF!$H11)*kgtoGg)</f>
        <v>14.419287818315681</v>
      </c>
      <c r="O923" s="100">
        <f>IF('Net zero activities &amp; levers'!$C$12="Off",('Activity data'!AH12*EF!$H11)*kgtoGg,('Net zero Activity data'!AH12*EF!$H11)*kgtoGg)</f>
        <v>14.455005808025765</v>
      </c>
      <c r="P923" s="100">
        <f>IF('Net zero activities &amp; levers'!$C$12="Off",('Activity data'!AI12*EF!$H11)*kgtoGg,('Net zero Activity data'!AI12*EF!$H11)*kgtoGg)</f>
        <v>14.500696508829069</v>
      </c>
      <c r="Q923" s="100">
        <f>IF('Net zero activities &amp; levers'!$C$12="Off",('Activity data'!AJ12*EF!$H11)*kgtoGg,('Net zero Activity data'!AJ12*EF!$H11)*kgtoGg)</f>
        <v>14.551042907929491</v>
      </c>
      <c r="R923" s="100">
        <f>IF('Net zero activities &amp; levers'!$C$12="Off",('Activity data'!AK12*EF!$H11)*kgtoGg,('Net zero Activity data'!AK12*EF!$H11)*kgtoGg)</f>
        <v>14.605263046431578</v>
      </c>
      <c r="S923" s="100">
        <f>IF('Net zero activities &amp; levers'!$C$12="Off",('Activity data'!AL12*EF!$H11)*kgtoGg,('Net zero Activity data'!AL12*EF!$H11)*kgtoGg)</f>
        <v>14.658981172577873</v>
      </c>
      <c r="T923" s="100">
        <f>IF('Net zero activities &amp; levers'!$C$12="Off",('Activity data'!AM12*EF!$H11)*kgtoGg,('Net zero Activity data'!AM12*EF!$H11)*kgtoGg)</f>
        <v>14.678028833418718</v>
      </c>
      <c r="U923" s="100">
        <f>IF('Net zero activities &amp; levers'!$C$12="Off",('Activity data'!AN12*EF!$H11)*kgtoGg,('Net zero Activity data'!AN12*EF!$H11)*kgtoGg)</f>
        <v>14.700046003662575</v>
      </c>
      <c r="V923" s="100">
        <f>IF('Net zero activities &amp; levers'!$C$12="Off",('Activity data'!AO12*EF!$H11)*kgtoGg,('Net zero Activity data'!AO12*EF!$H11)*kgtoGg)</f>
        <v>14.725319659780093</v>
      </c>
      <c r="W923" s="100">
        <f>IF('Net zero activities &amp; levers'!$C$12="Off",('Activity data'!AP12*EF!$H11)*kgtoGg,('Net zero Activity data'!AP12*EF!$H11)*kgtoGg)</f>
        <v>14.754052467015629</v>
      </c>
      <c r="X923" s="100">
        <f>IF('Net zero activities &amp; levers'!$C$12="Off",('Activity data'!AQ12*EF!$H11)*kgtoGg,('Net zero Activity data'!AQ12*EF!$H11)*kgtoGg)</f>
        <v>14.786690129449095</v>
      </c>
      <c r="Y923" s="100">
        <f>IF('Net zero activities &amp; levers'!$C$12="Off",('Activity data'!AR12*EF!$H11)*kgtoGg,('Net zero Activity data'!AR12*EF!$H11)*kgtoGg)</f>
        <v>14.806103318096119</v>
      </c>
      <c r="Z923" s="100">
        <f>IF('Net zero activities &amp; levers'!$C$12="Off",('Activity data'!AS12*EF!$H11)*kgtoGg,('Net zero Activity data'!AS12*EF!$H11)*kgtoGg)</f>
        <v>14.828327180237812</v>
      </c>
      <c r="AA923" s="100">
        <f>IF('Net zero activities &amp; levers'!$C$12="Off",('Activity data'!AT12*EF!$H11)*kgtoGg,('Net zero Activity data'!AT12*EF!$H11)*kgtoGg)</f>
        <v>14.852659127621687</v>
      </c>
      <c r="AB923" s="100">
        <f>IF('Net zero activities &amp; levers'!$C$12="Off",('Activity data'!AU12*EF!$H11)*kgtoGg,('Net zero Activity data'!AU12*EF!$H11)*kgtoGg)</f>
        <v>14.879737845748659</v>
      </c>
      <c r="AC923" s="100">
        <f>IF('Net zero activities &amp; levers'!$C$12="Off",('Activity data'!AV12*EF!$H11)*kgtoGg,('Net zero Activity data'!AV12*EF!$H11)*kgtoGg)</f>
        <v>14.909558236359745</v>
      </c>
      <c r="AD923" s="100">
        <f>IF('Net zero activities &amp; levers'!$C$12="Off",('Activity data'!AW12*EF!$H11)*kgtoGg,('Net zero Activity data'!AW12*EF!$H11)*kgtoGg)</f>
        <v>14.929772924073262</v>
      </c>
      <c r="AE923" s="100">
        <f>IF('Net zero activities &amp; levers'!$C$12="Off",('Activity data'!AX12*EF!$H11)*kgtoGg,('Net zero Activity data'!AX12*EF!$H11)*kgtoGg)</f>
        <v>14.952095174287658</v>
      </c>
      <c r="AF923" s="100">
        <f>IF('Net zero activities &amp; levers'!$C$12="Off",('Activity data'!AY12*EF!$H11)*kgtoGg,('Net zero Activity data'!AY12*EF!$H11)*kgtoGg)</f>
        <v>14.976364363443366</v>
      </c>
      <c r="AG923" s="100">
        <f>IF('Net zero activities &amp; levers'!$C$12="Off",('Activity data'!AZ12*EF!$H11)*kgtoGg,('Net zero Activity data'!AZ12*EF!$H11)*kgtoGg)</f>
        <v>15.002858813889603</v>
      </c>
      <c r="AH923" s="100">
        <f>IF('Net zero activities &amp; levers'!$C$12="Off",('Activity data'!BA12*EF!$H11)*kgtoGg,('Net zero Activity data'!BA12*EF!$H11)*kgtoGg)</f>
        <v>15.030587264810261</v>
      </c>
      <c r="AI923" s="100">
        <f>IF('Net zero activities &amp; levers'!$C$12="Off",('Activity data'!BB12*EF!$H11)*kgtoGg,('Net zero Activity data'!BB12*EF!$H11)*kgtoGg)</f>
        <v>15.047780628661446</v>
      </c>
      <c r="AJ923" s="100">
        <f>IF('Net zero activities &amp; levers'!$C$12="Off",('Activity data'!BC12*EF!$H11)*kgtoGg,('Net zero Activity data'!BC12*EF!$H11)*kgtoGg)</f>
        <v>15.066556412271085</v>
      </c>
      <c r="AK923" s="100">
        <f>IF('Net zero activities &amp; levers'!$C$12="Off",('Activity data'!BD12*EF!$H11)*kgtoGg,('Net zero Activity data'!BD12*EF!$H11)*kgtoGg)</f>
        <v>15.086606961638427</v>
      </c>
      <c r="AL923" s="100">
        <f>IF('Net zero activities &amp; levers'!$C$12="Off",('Activity data'!BE12*EF!$H11)*kgtoGg,('Net zero Activity data'!BE12*EF!$H11)*kgtoGg)</f>
        <v>15.108049907566919</v>
      </c>
      <c r="AM923" s="100">
        <f>IF('Net zero activities &amp; levers'!$C$12="Off",('Activity data'!BF12*EF!$H11)*kgtoGg,('Net zero Activity data'!BF12*EF!$H11)*kgtoGg)</f>
        <v>15.130992361329902</v>
      </c>
      <c r="AN923" s="100">
        <f>IF('Net zero activities &amp; levers'!$C$12="Off",('Activity data'!BG12*EF!$H11)*kgtoGg,('Net zero Activity data'!BG12*EF!$H11)*kgtoGg)</f>
        <v>15.143888261853176</v>
      </c>
      <c r="AO923" s="100">
        <f>IF('Net zero activities &amp; levers'!$C$12="Off",('Activity data'!BH12*EF!$H11)*kgtoGg,('Net zero Activity data'!BH12*EF!$H11)*kgtoGg)</f>
        <v>15.157725592897588</v>
      </c>
      <c r="AP923" s="100">
        <f>IF('Net zero activities &amp; levers'!$C$12="Off",('Activity data'!BI12*EF!$H11)*kgtoGg,('Net zero Activity data'!BI12*EF!$H11)*kgtoGg)</f>
        <v>15.172774661323762</v>
      </c>
      <c r="AQ923" s="100">
        <f>IF('Net zero activities &amp; levers'!$C$12="Off",('Activity data'!BJ12*EF!$H11)*kgtoGg,('Net zero Activity data'!BJ12*EF!$H11)*kgtoGg)</f>
        <v>15.189005874285739</v>
      </c>
      <c r="AR923" s="100">
        <f>IF('Net zero activities &amp; levers'!$C$12="Off",('Activity data'!BK12*EF!$H11)*kgtoGg,('Net zero Activity data'!BK12*EF!$H11)*kgtoGg)</f>
        <v>15.206609465534806</v>
      </c>
      <c r="AS923" s="100">
        <f>IF('Net zero activities &amp; levers'!$C$12="Off",('Activity data'!BL12*EF!$H11)*kgtoGg,('Net zero Activity data'!BL12*EF!$H11)*kgtoGg)</f>
        <v>15.213703429054187</v>
      </c>
      <c r="AT923" s="100">
        <f>IF('Net zero activities &amp; levers'!$C$12="Off",('Activity data'!BM12*EF!$H11)*kgtoGg,('Net zero Activity data'!BM12*EF!$H11)*kgtoGg)</f>
        <v>15.219657832331064</v>
      </c>
      <c r="AU923" s="100">
        <f>IF('Net zero activities &amp; levers'!$C$12="Off",('Activity data'!BN12*EF!$H11)*kgtoGg,('Net zero Activity data'!BN12*EF!$H11)*kgtoGg)</f>
        <v>15.226388477452012</v>
      </c>
      <c r="AV923" s="100">
        <f>IF('Net zero activities &amp; levers'!$C$12="Off",('Activity data'!BO12*EF!$H11)*kgtoGg,('Net zero Activity data'!BO12*EF!$H11)*kgtoGg)</f>
        <v>15.234300519516996</v>
      </c>
      <c r="AW923" s="100">
        <f>IF('Net zero activities &amp; levers'!$C$12="Off",('Activity data'!BP12*EF!$H11)*kgtoGg,('Net zero Activity data'!BP12*EF!$H11)*kgtoGg)</f>
        <v>15.242957484465748</v>
      </c>
      <c r="AY923" s="85"/>
      <c r="AZ923" s="85"/>
    </row>
    <row r="924" spans="1:52" x14ac:dyDescent="0.25">
      <c r="A924" s="102" t="str">
        <f t="shared" si="326"/>
        <v>DS Goats</v>
      </c>
      <c r="B924" s="102" t="s">
        <v>975</v>
      </c>
      <c r="C924" s="102" t="s">
        <v>153</v>
      </c>
      <c r="D924" t="s">
        <v>15</v>
      </c>
      <c r="E924" t="s">
        <v>16</v>
      </c>
      <c r="F924" t="s">
        <v>19</v>
      </c>
      <c r="G924" t="s">
        <v>122</v>
      </c>
      <c r="H924" t="s">
        <v>1021</v>
      </c>
      <c r="I924" t="s">
        <v>121</v>
      </c>
      <c r="J924" t="s">
        <v>286</v>
      </c>
      <c r="K924" s="28">
        <f t="shared" ref="K924:Z927" si="329">K1387</f>
        <v>15.11994504352057</v>
      </c>
      <c r="L924" s="28">
        <f t="shared" si="329"/>
        <v>15.159244294711982</v>
      </c>
      <c r="M924" s="28">
        <f t="shared" si="329"/>
        <v>15.212240101283504</v>
      </c>
      <c r="N924" s="28">
        <f t="shared" si="329"/>
        <v>15.276787648225215</v>
      </c>
      <c r="O924" s="28">
        <f t="shared" si="329"/>
        <v>15.354100038796439</v>
      </c>
      <c r="P924" s="28">
        <f t="shared" si="329"/>
        <v>15.445501132757192</v>
      </c>
      <c r="Q924" s="28">
        <f t="shared" si="329"/>
        <v>15.542368253787608</v>
      </c>
      <c r="R924" s="28">
        <f t="shared" si="329"/>
        <v>15.643567978967758</v>
      </c>
      <c r="S924" s="28">
        <f t="shared" si="329"/>
        <v>15.742091989223546</v>
      </c>
      <c r="T924" s="28">
        <f t="shared" si="329"/>
        <v>15.787280907558081</v>
      </c>
      <c r="U924" s="28">
        <f t="shared" si="329"/>
        <v>15.836012504856258</v>
      </c>
      <c r="V924" s="28">
        <f t="shared" si="329"/>
        <v>15.888829637337995</v>
      </c>
      <c r="W924" s="28">
        <f t="shared" si="329"/>
        <v>15.946123298566558</v>
      </c>
      <c r="X924" s="28">
        <f t="shared" si="329"/>
        <v>16.008664249775823</v>
      </c>
      <c r="Y924" s="28">
        <f t="shared" si="329"/>
        <v>16.048917749469023</v>
      </c>
      <c r="Z924" s="28">
        <f t="shared" si="329"/>
        <v>16.092845807842092</v>
      </c>
      <c r="AA924" s="28">
        <f t="shared" ref="L924:AW927" si="330">AA1387</f>
        <v>16.139355719065712</v>
      </c>
      <c r="AB924" s="28">
        <f t="shared" si="330"/>
        <v>16.189504893539258</v>
      </c>
      <c r="AC924" s="28">
        <f t="shared" si="330"/>
        <v>16.243310237377745</v>
      </c>
      <c r="AD924" s="28">
        <f t="shared" si="330"/>
        <v>16.27872559654169</v>
      </c>
      <c r="AE924" s="28">
        <f t="shared" si="330"/>
        <v>16.316901231642056</v>
      </c>
      <c r="AF924" s="28">
        <f t="shared" si="330"/>
        <v>16.357599483637454</v>
      </c>
      <c r="AG924" s="28">
        <f t="shared" si="330"/>
        <v>16.401277791155717</v>
      </c>
      <c r="AH924" s="28">
        <f t="shared" si="330"/>
        <v>16.446379725356415</v>
      </c>
      <c r="AI924" s="28">
        <f t="shared" si="330"/>
        <v>16.474339061625695</v>
      </c>
      <c r="AJ924" s="28">
        <f t="shared" si="330"/>
        <v>16.504371743452488</v>
      </c>
      <c r="AK924" s="28">
        <f t="shared" si="330"/>
        <v>16.53600364177057</v>
      </c>
      <c r="AL924" s="28">
        <f t="shared" si="330"/>
        <v>16.569430654637483</v>
      </c>
      <c r="AM924" s="28">
        <f t="shared" si="330"/>
        <v>16.604829643343088</v>
      </c>
      <c r="AN924" s="28">
        <f t="shared" si="330"/>
        <v>16.624131223085882</v>
      </c>
      <c r="AO924" s="28">
        <f t="shared" si="330"/>
        <v>16.644604707274034</v>
      </c>
      <c r="AP924" s="28">
        <f t="shared" si="330"/>
        <v>16.66667981019215</v>
      </c>
      <c r="AQ924" s="28">
        <f t="shared" si="330"/>
        <v>16.690315463067741</v>
      </c>
      <c r="AR924" s="28">
        <f t="shared" si="330"/>
        <v>16.715812130640956</v>
      </c>
      <c r="AS924" s="28">
        <f t="shared" si="330"/>
        <v>16.724718125544612</v>
      </c>
      <c r="AT924" s="28">
        <f t="shared" si="330"/>
        <v>16.731650898864725</v>
      </c>
      <c r="AU924" s="28">
        <f t="shared" si="330"/>
        <v>16.739594865731469</v>
      </c>
      <c r="AV924" s="28">
        <f t="shared" si="330"/>
        <v>16.749180241295228</v>
      </c>
      <c r="AW924" s="28">
        <f t="shared" si="330"/>
        <v>16.759733790022693</v>
      </c>
      <c r="AY924" s="85"/>
      <c r="AZ924" s="85"/>
    </row>
    <row r="925" spans="1:52" x14ac:dyDescent="0.25">
      <c r="A925" s="102" t="str">
        <f t="shared" si="326"/>
        <v>DS Goats</v>
      </c>
      <c r="B925" s="102" t="s">
        <v>975</v>
      </c>
      <c r="C925" s="102" t="s">
        <v>153</v>
      </c>
      <c r="D925" t="s">
        <v>15</v>
      </c>
      <c r="E925" t="s">
        <v>16</v>
      </c>
      <c r="F925" t="s">
        <v>19</v>
      </c>
      <c r="G925" t="s">
        <v>123</v>
      </c>
      <c r="H925" t="s">
        <v>1021</v>
      </c>
      <c r="I925" t="s">
        <v>121</v>
      </c>
      <c r="J925" t="s">
        <v>286</v>
      </c>
      <c r="K925" s="28">
        <f t="shared" si="329"/>
        <v>22.375967695369447</v>
      </c>
      <c r="L925" s="28">
        <f t="shared" si="330"/>
        <v>22.434126555906317</v>
      </c>
      <c r="M925" s="28">
        <f t="shared" si="330"/>
        <v>22.512554913444735</v>
      </c>
      <c r="N925" s="28">
        <f t="shared" si="330"/>
        <v>22.60807866178018</v>
      </c>
      <c r="O925" s="28">
        <f t="shared" si="330"/>
        <v>22.722493069299134</v>
      </c>
      <c r="P925" s="28">
        <f t="shared" si="330"/>
        <v>22.85775731264793</v>
      </c>
      <c r="Q925" s="28">
        <f t="shared" si="330"/>
        <v>23.001110715367403</v>
      </c>
      <c r="R925" s="28">
        <f t="shared" si="330"/>
        <v>23.150875927799948</v>
      </c>
      <c r="S925" s="28">
        <f t="shared" si="330"/>
        <v>23.296681356613096</v>
      </c>
      <c r="T925" s="28">
        <f t="shared" si="330"/>
        <v>23.363556320373338</v>
      </c>
      <c r="U925" s="28">
        <f t="shared" si="330"/>
        <v>23.435674085599938</v>
      </c>
      <c r="V925" s="28">
        <f t="shared" si="330"/>
        <v>23.513838023813449</v>
      </c>
      <c r="W925" s="28">
        <f t="shared" si="330"/>
        <v>23.598626765380281</v>
      </c>
      <c r="X925" s="28">
        <f t="shared" si="330"/>
        <v>23.691180957863665</v>
      </c>
      <c r="Y925" s="28">
        <f t="shared" si="330"/>
        <v>23.750752008298576</v>
      </c>
      <c r="Z925" s="28">
        <f t="shared" si="330"/>
        <v>23.815761028651949</v>
      </c>
      <c r="AA925" s="28">
        <f t="shared" si="330"/>
        <v>23.884590926383627</v>
      </c>
      <c r="AB925" s="28">
        <f t="shared" si="330"/>
        <v>23.958806560417987</v>
      </c>
      <c r="AC925" s="28">
        <f t="shared" si="330"/>
        <v>24.038432950071041</v>
      </c>
      <c r="AD925" s="28">
        <f t="shared" si="330"/>
        <v>24.090844048807938</v>
      </c>
      <c r="AE925" s="28">
        <f t="shared" si="330"/>
        <v>24.147340072788001</v>
      </c>
      <c r="AF925" s="28">
        <f t="shared" si="330"/>
        <v>24.207569311008498</v>
      </c>
      <c r="AG925" s="28">
        <f t="shared" si="330"/>
        <v>24.272208725715629</v>
      </c>
      <c r="AH925" s="28">
        <f t="shared" si="330"/>
        <v>24.338954961880422</v>
      </c>
      <c r="AI925" s="28">
        <f t="shared" si="330"/>
        <v>24.380331911554812</v>
      </c>
      <c r="AJ925" s="28">
        <f t="shared" si="330"/>
        <v>24.424777199975328</v>
      </c>
      <c r="AK925" s="28">
        <f t="shared" si="330"/>
        <v>24.471589164759028</v>
      </c>
      <c r="AL925" s="28">
        <f t="shared" si="330"/>
        <v>24.521057714936269</v>
      </c>
      <c r="AM925" s="28">
        <f t="shared" si="330"/>
        <v>24.573444587074068</v>
      </c>
      <c r="AN925" s="28">
        <f t="shared" si="330"/>
        <v>24.602008945181939</v>
      </c>
      <c r="AO925" s="28">
        <f t="shared" si="330"/>
        <v>24.632307601657676</v>
      </c>
      <c r="AP925" s="28">
        <f t="shared" si="330"/>
        <v>24.664976489563418</v>
      </c>
      <c r="AQ925" s="28">
        <f t="shared" si="330"/>
        <v>24.699954831328611</v>
      </c>
      <c r="AR925" s="28">
        <f t="shared" si="330"/>
        <v>24.737687283947693</v>
      </c>
      <c r="AS925" s="28">
        <f t="shared" si="330"/>
        <v>24.75086724284872</v>
      </c>
      <c r="AT925" s="28">
        <f t="shared" si="330"/>
        <v>24.76112703621461</v>
      </c>
      <c r="AU925" s="28">
        <f t="shared" si="330"/>
        <v>24.772883292303622</v>
      </c>
      <c r="AV925" s="28">
        <f t="shared" si="330"/>
        <v>24.787068664892292</v>
      </c>
      <c r="AW925" s="28">
        <f t="shared" si="330"/>
        <v>24.802686834450295</v>
      </c>
      <c r="AY925" s="85"/>
      <c r="AZ925" s="85"/>
    </row>
    <row r="926" spans="1:52" x14ac:dyDescent="0.25">
      <c r="A926" s="102" t="str">
        <f t="shared" si="326"/>
        <v>DS Horses</v>
      </c>
      <c r="B926" s="102" t="s">
        <v>975</v>
      </c>
      <c r="C926" s="102" t="s">
        <v>3</v>
      </c>
      <c r="D926" t="s">
        <v>15</v>
      </c>
      <c r="E926" t="s">
        <v>16</v>
      </c>
      <c r="F926" t="s">
        <v>20</v>
      </c>
      <c r="G926" t="s">
        <v>3</v>
      </c>
      <c r="H926" t="s">
        <v>1021</v>
      </c>
      <c r="I926" t="s">
        <v>121</v>
      </c>
      <c r="J926" t="s">
        <v>286</v>
      </c>
      <c r="K926" s="28">
        <f t="shared" si="329"/>
        <v>5.5625078668475236</v>
      </c>
      <c r="L926" s="28">
        <f t="shared" si="330"/>
        <v>5.5999708339814545</v>
      </c>
      <c r="M926" s="28">
        <f t="shared" si="330"/>
        <v>5.6226370840776179</v>
      </c>
      <c r="N926" s="28">
        <f t="shared" si="330"/>
        <v>5.5928142970106265</v>
      </c>
      <c r="O926" s="28">
        <f t="shared" si="330"/>
        <v>5.5623376589201499</v>
      </c>
      <c r="P926" s="28">
        <f t="shared" si="330"/>
        <v>5.5812216853376206</v>
      </c>
      <c r="Q926" s="28">
        <f t="shared" si="330"/>
        <v>5.5836612172513842</v>
      </c>
      <c r="R926" s="28">
        <f t="shared" si="330"/>
        <v>5.5315877353552168</v>
      </c>
      <c r="S926" s="28">
        <f t="shared" si="330"/>
        <v>5.2455147526194601</v>
      </c>
      <c r="T926" s="28">
        <f t="shared" si="330"/>
        <v>5.332808287437901</v>
      </c>
      <c r="U926" s="28">
        <f t="shared" si="330"/>
        <v>5.3901753132609427</v>
      </c>
      <c r="V926" s="28">
        <f t="shared" si="330"/>
        <v>5.440230309739654</v>
      </c>
      <c r="W926" s="28">
        <f t="shared" si="330"/>
        <v>5.5003068027462358</v>
      </c>
      <c r="X926" s="28">
        <f t="shared" si="330"/>
        <v>5.5968430891840955</v>
      </c>
      <c r="Y926" s="28">
        <f t="shared" si="330"/>
        <v>5.7072120457799942</v>
      </c>
      <c r="Z926" s="28">
        <f t="shared" si="330"/>
        <v>5.8264820494807026</v>
      </c>
      <c r="AA926" s="28">
        <f t="shared" si="330"/>
        <v>5.9301104930204529</v>
      </c>
      <c r="AB926" s="28">
        <f t="shared" si="330"/>
        <v>6.0502396904604057</v>
      </c>
      <c r="AC926" s="28">
        <f t="shared" si="330"/>
        <v>6.1907930019013007</v>
      </c>
      <c r="AD926" s="28">
        <f t="shared" si="330"/>
        <v>6.3320471664105931</v>
      </c>
      <c r="AE926" s="28">
        <f t="shared" si="330"/>
        <v>6.4794646415598249</v>
      </c>
      <c r="AF926" s="28">
        <f t="shared" si="330"/>
        <v>6.6296689370175557</v>
      </c>
      <c r="AG926" s="28">
        <f t="shared" si="330"/>
        <v>6.7972348352901832</v>
      </c>
      <c r="AH926" s="28">
        <f t="shared" si="330"/>
        <v>6.9438088425470355</v>
      </c>
      <c r="AI926" s="28">
        <f t="shared" si="330"/>
        <v>7.1048815884414847</v>
      </c>
      <c r="AJ926" s="28">
        <f t="shared" si="330"/>
        <v>7.268627225560472</v>
      </c>
      <c r="AK926" s="28">
        <f t="shared" si="330"/>
        <v>7.42471904610154</v>
      </c>
      <c r="AL926" s="28">
        <f t="shared" si="330"/>
        <v>7.5801220888649867</v>
      </c>
      <c r="AM926" s="28">
        <f t="shared" si="330"/>
        <v>7.7411228012577773</v>
      </c>
      <c r="AN926" s="28">
        <f t="shared" si="330"/>
        <v>7.9163247577118536</v>
      </c>
      <c r="AO926" s="28">
        <f t="shared" si="330"/>
        <v>8.0810947340099517</v>
      </c>
      <c r="AP926" s="28">
        <f t="shared" si="330"/>
        <v>8.2480372843312519</v>
      </c>
      <c r="AQ926" s="28">
        <f t="shared" si="330"/>
        <v>8.4174605770969908</v>
      </c>
      <c r="AR926" s="28">
        <f t="shared" si="330"/>
        <v>8.5983802423376101</v>
      </c>
      <c r="AS926" s="28">
        <f t="shared" si="330"/>
        <v>8.7907471853609671</v>
      </c>
      <c r="AT926" s="28">
        <f t="shared" si="330"/>
        <v>8.8991507547228217</v>
      </c>
      <c r="AU926" s="28">
        <f t="shared" si="330"/>
        <v>9.0016825973480952</v>
      </c>
      <c r="AV926" s="28">
        <f t="shared" si="330"/>
        <v>9.1156705075973274</v>
      </c>
      <c r="AW926" s="28">
        <f t="shared" si="330"/>
        <v>9.2247946500114306</v>
      </c>
      <c r="AY926" s="85"/>
      <c r="AZ926" s="85"/>
    </row>
    <row r="927" spans="1:52" x14ac:dyDescent="0.25">
      <c r="A927" s="102" t="str">
        <f t="shared" si="326"/>
        <v>DS Mules&amp;Asses</v>
      </c>
      <c r="B927" s="102" t="s">
        <v>975</v>
      </c>
      <c r="C927" s="102" t="s">
        <v>1324</v>
      </c>
      <c r="D927" t="s">
        <v>15</v>
      </c>
      <c r="E927" t="s">
        <v>16</v>
      </c>
      <c r="F927" t="s">
        <v>140</v>
      </c>
      <c r="G927" t="s">
        <v>124</v>
      </c>
      <c r="H927" t="s">
        <v>1021</v>
      </c>
      <c r="I927" t="s">
        <v>121</v>
      </c>
      <c r="J927" t="s">
        <v>286</v>
      </c>
      <c r="K927" s="28">
        <f t="shared" si="329"/>
        <v>1.67</v>
      </c>
      <c r="L927" s="28">
        <f t="shared" si="330"/>
        <v>1.67</v>
      </c>
      <c r="M927" s="28">
        <f t="shared" si="330"/>
        <v>1.67</v>
      </c>
      <c r="N927" s="28">
        <f t="shared" si="330"/>
        <v>1.67</v>
      </c>
      <c r="O927" s="28">
        <f t="shared" si="330"/>
        <v>1.67</v>
      </c>
      <c r="P927" s="28">
        <f t="shared" si="330"/>
        <v>1.67</v>
      </c>
      <c r="Q927" s="28">
        <f t="shared" si="330"/>
        <v>1.67</v>
      </c>
      <c r="R927" s="28">
        <f t="shared" si="330"/>
        <v>1.67</v>
      </c>
      <c r="S927" s="28">
        <f t="shared" si="330"/>
        <v>1.67</v>
      </c>
      <c r="T927" s="28">
        <f t="shared" si="330"/>
        <v>1.67</v>
      </c>
      <c r="U927" s="28">
        <f t="shared" si="330"/>
        <v>1.67</v>
      </c>
      <c r="V927" s="28">
        <f t="shared" si="330"/>
        <v>1.67</v>
      </c>
      <c r="W927" s="28">
        <f t="shared" si="330"/>
        <v>1.67</v>
      </c>
      <c r="X927" s="28">
        <f t="shared" si="330"/>
        <v>1.67</v>
      </c>
      <c r="Y927" s="28">
        <f t="shared" si="330"/>
        <v>1.67</v>
      </c>
      <c r="Z927" s="28">
        <f t="shared" si="330"/>
        <v>1.67</v>
      </c>
      <c r="AA927" s="28">
        <f t="shared" si="330"/>
        <v>1.67</v>
      </c>
      <c r="AB927" s="28">
        <f t="shared" si="330"/>
        <v>1.67</v>
      </c>
      <c r="AC927" s="28">
        <f t="shared" si="330"/>
        <v>1.67</v>
      </c>
      <c r="AD927" s="28">
        <f t="shared" si="330"/>
        <v>1.67</v>
      </c>
      <c r="AE927" s="28">
        <f t="shared" si="330"/>
        <v>1.67</v>
      </c>
      <c r="AF927" s="28">
        <f t="shared" si="330"/>
        <v>1.67</v>
      </c>
      <c r="AG927" s="28">
        <f t="shared" si="330"/>
        <v>1.67</v>
      </c>
      <c r="AH927" s="28">
        <f t="shared" si="330"/>
        <v>1.67</v>
      </c>
      <c r="AI927" s="28">
        <f t="shared" si="330"/>
        <v>1.67</v>
      </c>
      <c r="AJ927" s="28">
        <f t="shared" si="330"/>
        <v>1.67</v>
      </c>
      <c r="AK927" s="28">
        <f t="shared" si="330"/>
        <v>1.67</v>
      </c>
      <c r="AL927" s="28">
        <f t="shared" si="330"/>
        <v>1.67</v>
      </c>
      <c r="AM927" s="28">
        <f t="shared" si="330"/>
        <v>1.67</v>
      </c>
      <c r="AN927" s="28">
        <f t="shared" si="330"/>
        <v>1.67</v>
      </c>
      <c r="AO927" s="28">
        <f t="shared" si="330"/>
        <v>1.67</v>
      </c>
      <c r="AP927" s="28">
        <f t="shared" si="330"/>
        <v>1.67</v>
      </c>
      <c r="AQ927" s="28">
        <f t="shared" si="330"/>
        <v>1.67</v>
      </c>
      <c r="AR927" s="28">
        <f t="shared" si="330"/>
        <v>1.67</v>
      </c>
      <c r="AS927" s="28">
        <f t="shared" si="330"/>
        <v>1.67</v>
      </c>
      <c r="AT927" s="28">
        <f t="shared" si="330"/>
        <v>1.67</v>
      </c>
      <c r="AU927" s="28">
        <f t="shared" si="330"/>
        <v>1.67</v>
      </c>
      <c r="AV927" s="28">
        <f t="shared" si="330"/>
        <v>1.67</v>
      </c>
      <c r="AW927" s="28">
        <f t="shared" si="330"/>
        <v>1.67</v>
      </c>
      <c r="AY927" s="85"/>
      <c r="AZ927" s="85"/>
    </row>
    <row r="928" spans="1:52" x14ac:dyDescent="0.25">
      <c r="A928" s="102" t="str">
        <f t="shared" si="326"/>
        <v>DS Swine</v>
      </c>
      <c r="B928" s="102" t="s">
        <v>975</v>
      </c>
      <c r="C928" s="102" t="s">
        <v>155</v>
      </c>
      <c r="D928" t="s">
        <v>15</v>
      </c>
      <c r="E928" t="s">
        <v>16</v>
      </c>
      <c r="F928" t="s">
        <v>21</v>
      </c>
      <c r="G928" t="s">
        <v>122</v>
      </c>
      <c r="H928" t="s">
        <v>1021</v>
      </c>
      <c r="I928" t="s">
        <v>121</v>
      </c>
      <c r="J928" t="s">
        <v>286</v>
      </c>
      <c r="K928" s="100">
        <f>IF('Net zero activities &amp; levers'!$C$12="Off",('Activity data'!AD17*EF!$H16)*kgtoGg,('Net zero Activity data'!AD17*EF!$H16)*kgtoGg)</f>
        <v>1.8474255451679995</v>
      </c>
      <c r="L928" s="100">
        <f>IF('Net zero activities &amp; levers'!$C$12="Off",('Activity data'!AE17*EF!$H16)*kgtoGg,('Net zero Activity data'!AE17*EF!$H16)*kgtoGg)</f>
        <v>1.8441604348292597</v>
      </c>
      <c r="M928" s="100">
        <f>IF('Net zero activities &amp; levers'!$C$12="Off",('Activity data'!AF17*EF!$H16)*kgtoGg,('Net zero Activity data'!AF17*EF!$H16)*kgtoGg)</f>
        <v>1.8338137298795358</v>
      </c>
      <c r="N928" s="100">
        <f>IF('Net zero activities &amp; levers'!$C$12="Off",('Activity data'!AG17*EF!$H16)*kgtoGg,('Net zero Activity data'!AG17*EF!$H16)*kgtoGg)</f>
        <v>1.7933482851133742</v>
      </c>
      <c r="O928" s="100">
        <f>IF('Net zero activities &amp; levers'!$C$12="Off",('Activity data'!AH17*EF!$H16)*kgtoGg,('Net zero Activity data'!AH17*EF!$H16)*kgtoGg)</f>
        <v>1.7550816658957487</v>
      </c>
      <c r="P928" s="100">
        <f>IF('Net zero activities &amp; levers'!$C$12="Off",('Activity data'!AI17*EF!$H16)*kgtoGg,('Net zero Activity data'!AI17*EF!$H16)*kgtoGg)</f>
        <v>1.7489053520701128</v>
      </c>
      <c r="Q928" s="100">
        <f>IF('Net zero activities &amp; levers'!$C$12="Off",('Activity data'!AJ17*EF!$H16)*kgtoGg,('Net zero Activity data'!AJ17*EF!$H16)*kgtoGg)</f>
        <v>1.7339122581424293</v>
      </c>
      <c r="R928" s="100">
        <f>IF('Net zero activities &amp; levers'!$C$12="Off",('Activity data'!AK17*EF!$H16)*kgtoGg,('Net zero Activity data'!AK17*EF!$H16)*kgtoGg)</f>
        <v>1.6877345539497199</v>
      </c>
      <c r="S928" s="100">
        <f>IF('Net zero activities &amp; levers'!$C$12="Off",('Activity data'!AL17*EF!$H16)*kgtoGg,('Net zero Activity data'!AL17*EF!$H16)*kgtoGg)</f>
        <v>1.5053811336602128</v>
      </c>
      <c r="T928" s="100">
        <f>IF('Net zero activities &amp; levers'!$C$12="Off",('Activity data'!AM17*EF!$H16)*kgtoGg,('Net zero Activity data'!AM17*EF!$H16)*kgtoGg)</f>
        <v>1.5374552512260542</v>
      </c>
      <c r="U928" s="100">
        <f>IF('Net zero activities &amp; levers'!$C$12="Off",('Activity data'!AN17*EF!$H16)*kgtoGg,('Net zero Activity data'!AN17*EF!$H16)*kgtoGg)</f>
        <v>1.5520529077001597</v>
      </c>
      <c r="V928" s="100">
        <f>IF('Net zero activities &amp; levers'!$C$12="Off",('Activity data'!AO17*EF!$H16)*kgtoGg,('Net zero Activity data'!AO17*EF!$H16)*kgtoGg)</f>
        <v>1.5625957904633574</v>
      </c>
      <c r="W928" s="100">
        <f>IF('Net zero activities &amp; levers'!$C$12="Off",('Activity data'!AP17*EF!$H16)*kgtoGg,('Net zero Activity data'!AP17*EF!$H16)*kgtoGg)</f>
        <v>1.5789426695572797</v>
      </c>
      <c r="X928" s="100">
        <f>IF('Net zero activities &amp; levers'!$C$12="Off",('Activity data'!AQ17*EF!$H16)*kgtoGg,('Net zero Activity data'!AQ17*EF!$H16)*kgtoGg)</f>
        <v>1.6156151336119193</v>
      </c>
      <c r="Y928" s="100">
        <f>IF('Net zero activities &amp; levers'!$C$12="Off",('Activity data'!AR17*EF!$H16)*kgtoGg,('Net zero Activity data'!AR17*EF!$H16)*kgtoGg)</f>
        <v>1.6569118552297739</v>
      </c>
      <c r="Z928" s="100">
        <f>IF('Net zero activities &amp; levers'!$C$12="Off",('Activity data'!AS17*EF!$H16)*kgtoGg,('Net zero Activity data'!AS17*EF!$H16)*kgtoGg)</f>
        <v>1.7023702525217213</v>
      </c>
      <c r="AA928" s="100">
        <f>IF('Net zero activities &amp; levers'!$C$12="Off",('Activity data'!AT17*EF!$H16)*kgtoGg,('Net zero Activity data'!AT17*EF!$H16)*kgtoGg)</f>
        <v>1.7386376356309281</v>
      </c>
      <c r="AB928" s="100">
        <f>IF('Net zero activities &amp; levers'!$C$12="Off",('Activity data'!AU17*EF!$H16)*kgtoGg,('Net zero Activity data'!AU17*EF!$H16)*kgtoGg)</f>
        <v>1.7831189947936608</v>
      </c>
      <c r="AC928" s="100">
        <f>IF('Net zero activities &amp; levers'!$C$12="Off",('Activity data'!AV17*EF!$H16)*kgtoGg,('Net zero Activity data'!AV17*EF!$H16)*kgtoGg)</f>
        <v>1.8376119105481905</v>
      </c>
      <c r="AD928" s="100">
        <f>IF('Net zero activities &amp; levers'!$C$12="Off",('Activity data'!AW17*EF!$H16)*kgtoGg,('Net zero Activity data'!AW17*EF!$H16)*kgtoGg)</f>
        <v>1.8893408854380913</v>
      </c>
      <c r="AE928" s="100">
        <f>IF('Net zero activities &amp; levers'!$C$12="Off",('Activity data'!AX17*EF!$H16)*kgtoGg,('Net zero Activity data'!AX17*EF!$H16)*kgtoGg)</f>
        <v>1.9431762249678213</v>
      </c>
      <c r="AF928" s="100">
        <f>IF('Net zero activities &amp; levers'!$C$12="Off",('Activity data'!AY17*EF!$H16)*kgtoGg,('Net zero Activity data'!AY17*EF!$H16)*kgtoGg)</f>
        <v>1.9973174789706905</v>
      </c>
      <c r="AG928" s="100">
        <f>IF('Net zero activities &amp; levers'!$C$12="Off",('Activity data'!AZ17*EF!$H16)*kgtoGg,('Net zero Activity data'!AZ17*EF!$H16)*kgtoGg)</f>
        <v>2.0590800500942197</v>
      </c>
      <c r="AH928" s="100">
        <f>IF('Net zero activities &amp; levers'!$C$12="Off",('Activity data'!BA17*EF!$H16)*kgtoGg,('Net zero Activity data'!BA17*EF!$H16)*kgtoGg)</f>
        <v>2.1091037173555063</v>
      </c>
      <c r="AI928" s="100">
        <f>IF('Net zero activities &amp; levers'!$C$12="Off",('Activity data'!BB17*EF!$H16)*kgtoGg,('Net zero Activity data'!BB17*EF!$H16)*kgtoGg)</f>
        <v>2.162710100755858</v>
      </c>
      <c r="AJ928" s="100">
        <f>IF('Net zero activities &amp; levers'!$C$12="Off",('Activity data'!BC17*EF!$H16)*kgtoGg,('Net zero Activity data'!BC17*EF!$H16)*kgtoGg)</f>
        <v>2.2163158594680743</v>
      </c>
      <c r="AK928" s="100">
        <f>IF('Net zero activities &amp; levers'!$C$12="Off",('Activity data'!BD17*EF!$H16)*kgtoGg,('Net zero Activity data'!BD17*EF!$H16)*kgtoGg)</f>
        <v>2.2649378298492557</v>
      </c>
      <c r="AL928" s="100">
        <f>IF('Net zero activities &amp; levers'!$C$12="Off",('Activity data'!BE17*EF!$H16)*kgtoGg,('Net zero Activity data'!BE17*EF!$H16)*kgtoGg)</f>
        <v>2.3120352205451793</v>
      </c>
      <c r="AM928" s="100">
        <f>IF('Net zero activities &amp; levers'!$C$12="Off",('Activity data'!BF17*EF!$H16)*kgtoGg,('Net zero Activity data'!BF17*EF!$H16)*kgtoGg)</f>
        <v>2.3605892857092416</v>
      </c>
      <c r="AN928" s="100">
        <f>IF('Net zero activities &amp; levers'!$C$12="Off",('Activity data'!BG17*EF!$H16)*kgtoGg,('Net zero Activity data'!BG17*EF!$H16)*kgtoGg)</f>
        <v>2.41192406642844</v>
      </c>
      <c r="AO928" s="100">
        <f>IF('Net zero activities &amp; levers'!$C$12="Off",('Activity data'!BH17*EF!$H16)*kgtoGg,('Net zero Activity data'!BH17*EF!$H16)*kgtoGg)</f>
        <v>2.4570192821148487</v>
      </c>
      <c r="AP928" s="100">
        <f>IF('Net zero activities &amp; levers'!$C$12="Off",('Activity data'!BI17*EF!$H16)*kgtoGg,('Net zero Activity data'!BI17*EF!$H16)*kgtoGg)</f>
        <v>2.5017750996510042</v>
      </c>
      <c r="AQ928" s="100">
        <f>IF('Net zero activities &amp; levers'!$C$12="Off",('Activity data'!BJ17*EF!$H16)*kgtoGg,('Net zero Activity data'!BJ17*EF!$H16)*kgtoGg)</f>
        <v>2.5463112612652603</v>
      </c>
      <c r="AR928" s="100">
        <f>IF('Net zero activities &amp; levers'!$C$12="Off",('Activity data'!BK17*EF!$H16)*kgtoGg,('Net zero Activity data'!BK17*EF!$H16)*kgtoGg)</f>
        <v>2.5945817162566742</v>
      </c>
      <c r="AS928" s="100">
        <f>IF('Net zero activities &amp; levers'!$C$12="Off",('Activity data'!BL17*EF!$H16)*kgtoGg,('Net zero Activity data'!BL17*EF!$H16)*kgtoGg)</f>
        <v>2.64354633457119</v>
      </c>
      <c r="AT928" s="100">
        <f>IF('Net zero activities &amp; levers'!$C$12="Off",('Activity data'!BM17*EF!$H16)*kgtoGg,('Net zero Activity data'!BM17*EF!$H16)*kgtoGg)</f>
        <v>2.6547893875800033</v>
      </c>
      <c r="AU928" s="100">
        <f>IF('Net zero activities &amp; levers'!$C$12="Off",('Activity data'!BN17*EF!$H16)*kgtoGg,('Net zero Activity data'!BN17*EF!$H16)*kgtoGg)</f>
        <v>2.662864406933811</v>
      </c>
      <c r="AV928" s="100">
        <f>IF('Net zero activities &amp; levers'!$C$12="Off",('Activity data'!BO17*EF!$H16)*kgtoGg,('Net zero Activity data'!BO17*EF!$H16)*kgtoGg)</f>
        <v>2.6751182835180614</v>
      </c>
      <c r="AW928" s="100">
        <f>IF('Net zero activities &amp; levers'!$C$12="Off",('Activity data'!BP17*EF!$H16)*kgtoGg,('Net zero Activity data'!BP17*EF!$H16)*kgtoGg)</f>
        <v>2.6846252978326444</v>
      </c>
      <c r="AY928" s="85"/>
      <c r="AZ928" s="85"/>
    </row>
    <row r="929" spans="1:52" x14ac:dyDescent="0.25">
      <c r="A929" s="102" t="str">
        <f t="shared" si="326"/>
        <v>DS Swine</v>
      </c>
      <c r="B929" s="102" t="s">
        <v>975</v>
      </c>
      <c r="C929" s="102" t="s">
        <v>155</v>
      </c>
      <c r="D929" t="s">
        <v>15</v>
      </c>
      <c r="E929" t="s">
        <v>16</v>
      </c>
      <c r="F929" t="s">
        <v>21</v>
      </c>
      <c r="G929" t="s">
        <v>123</v>
      </c>
      <c r="H929" t="s">
        <v>1021</v>
      </c>
      <c r="I929" t="s">
        <v>121</v>
      </c>
      <c r="J929" t="s">
        <v>286</v>
      </c>
      <c r="K929" s="100">
        <f>IF('Net zero activities &amp; levers'!$C$12="Off",('Activity data'!AD18*EF!$H17)*kgtoGg,('Net zero Activity data'!AD18*EF!$H17)*kgtoGg)</f>
        <v>0.25598228499623599</v>
      </c>
      <c r="L929" s="100">
        <f>IF('Net zero activities &amp; levers'!$C$12="Off",('Activity data'!AE18*EF!$H17)*kgtoGg,('Net zero Activity data'!AE18*EF!$H17)*kgtoGg)</f>
        <v>0.25552986600297178</v>
      </c>
      <c r="M929" s="100">
        <f>IF('Net zero activities &amp; levers'!$C$12="Off",('Activity data'!AF18*EF!$H17)*kgtoGg,('Net zero Activity data'!AF18*EF!$H17)*kgtoGg)</f>
        <v>0.2540962097551519</v>
      </c>
      <c r="N929" s="100">
        <f>IF('Net zero activities &amp; levers'!$C$12="Off",('Activity data'!AG18*EF!$H17)*kgtoGg,('Net zero Activity data'!AG18*EF!$H17)*kgtoGg)</f>
        <v>0.24848925198533875</v>
      </c>
      <c r="O929" s="100">
        <f>IF('Net zero activities &amp; levers'!$C$12="Off",('Activity data'!AH18*EF!$H17)*kgtoGg,('Net zero Activity data'!AH18*EF!$H17)*kgtoGg)</f>
        <v>0.24318696705589768</v>
      </c>
      <c r="P929" s="100">
        <f>IF('Net zero activities &amp; levers'!$C$12="Off",('Activity data'!AI18*EF!$H17)*kgtoGg,('Net zero Activity data'!AI18*EF!$H17)*kgtoGg)</f>
        <v>0.24233116697774282</v>
      </c>
      <c r="Q929" s="100">
        <f>IF('Net zero activities &amp; levers'!$C$12="Off",('Activity data'!AJ18*EF!$H17)*kgtoGg,('Net zero Activity data'!AJ18*EF!$H17)*kgtoGg)</f>
        <v>0.24025369952428582</v>
      </c>
      <c r="R929" s="100">
        <f>IF('Net zero activities &amp; levers'!$C$12="Off",('Activity data'!AK18*EF!$H17)*kgtoGg,('Net zero Activity data'!AK18*EF!$H17)*kgtoGg)</f>
        <v>0.23385524180779091</v>
      </c>
      <c r="S929" s="100">
        <f>IF('Net zero activities &amp; levers'!$C$12="Off",('Activity data'!AL18*EF!$H17)*kgtoGg,('Net zero Activity data'!AL18*EF!$H17)*kgtoGg)</f>
        <v>0.20858805562825686</v>
      </c>
      <c r="T929" s="100">
        <f>IF('Net zero activities &amp; levers'!$C$12="Off",('Activity data'!AM18*EF!$H17)*kgtoGg,('Net zero Activity data'!AM18*EF!$H17)*kgtoGg)</f>
        <v>0.21303229746805197</v>
      </c>
      <c r="U929" s="100">
        <f>IF('Net zero activities &amp; levers'!$C$12="Off",('Activity data'!AN18*EF!$H17)*kgtoGg,('Net zero Activity data'!AN18*EF!$H17)*kgtoGg)</f>
        <v>0.21505497246548572</v>
      </c>
      <c r="V929" s="100">
        <f>IF('Net zero activities &amp; levers'!$C$12="Off",('Activity data'!AO18*EF!$H17)*kgtoGg,('Net zero Activity data'!AO18*EF!$H17)*kgtoGg)</f>
        <v>0.21651581142986484</v>
      </c>
      <c r="W929" s="100">
        <f>IF('Net zero activities &amp; levers'!$C$12="Off",('Activity data'!AP18*EF!$H17)*kgtoGg,('Net zero Activity data'!AP18*EF!$H17)*kgtoGg)</f>
        <v>0.21878086155541068</v>
      </c>
      <c r="X929" s="100">
        <f>IF('Net zero activities &amp; levers'!$C$12="Off",('Activity data'!AQ18*EF!$H17)*kgtoGg,('Net zero Activity data'!AQ18*EF!$H17)*kgtoGg)</f>
        <v>0.22386225775549154</v>
      </c>
      <c r="Y929" s="100">
        <f>IF('Net zero activities &amp; levers'!$C$12="Off",('Activity data'!AR18*EF!$H17)*kgtoGg,('Net zero Activity data'!AR18*EF!$H17)*kgtoGg)</f>
        <v>0.22958439859642629</v>
      </c>
      <c r="Z929" s="100">
        <f>IF('Net zero activities &amp; levers'!$C$12="Off",('Activity data'!AS18*EF!$H17)*kgtoGg,('Net zero Activity data'!AS18*EF!$H17)*kgtoGg)</f>
        <v>0.23588318798011493</v>
      </c>
      <c r="AA929" s="100">
        <f>IF('Net zero activities &amp; levers'!$C$12="Off",('Activity data'!AT18*EF!$H17)*kgtoGg,('Net zero Activity data'!AT18*EF!$H17)*kgtoGg)</f>
        <v>0.24090845550627357</v>
      </c>
      <c r="AB929" s="100">
        <f>IF('Net zero activities &amp; levers'!$C$12="Off",('Activity data'!AU18*EF!$H17)*kgtoGg,('Net zero Activity data'!AU18*EF!$H17)*kgtoGg)</f>
        <v>0.24707186489941318</v>
      </c>
      <c r="AC929" s="100">
        <f>IF('Net zero activities &amp; levers'!$C$12="Off",('Activity data'!AV18*EF!$H17)*kgtoGg,('Net zero Activity data'!AV18*EF!$H17)*kgtoGg)</f>
        <v>0.25462249183939273</v>
      </c>
      <c r="AD929" s="100">
        <f>IF('Net zero activities &amp; levers'!$C$12="Off",('Activity data'!AW18*EF!$H17)*kgtoGg,('Net zero Activity data'!AW18*EF!$H17)*kgtoGg)</f>
        <v>0.26179014264267614</v>
      </c>
      <c r="AE929" s="100">
        <f>IF('Net zero activities &amp; levers'!$C$12="Off",('Activity data'!AX18*EF!$H17)*kgtoGg,('Net zero Activity data'!AX18*EF!$H17)*kgtoGg)</f>
        <v>0.26924965475260271</v>
      </c>
      <c r="AF929" s="100">
        <f>IF('Net zero activities &amp; levers'!$C$12="Off",('Activity data'!AY18*EF!$H17)*kgtoGg,('Net zero Activity data'!AY18*EF!$H17)*kgtoGg)</f>
        <v>0.27675155486893777</v>
      </c>
      <c r="AG929" s="100">
        <f>IF('Net zero activities &amp; levers'!$C$12="Off",('Activity data'!AZ18*EF!$H17)*kgtoGg,('Net zero Activity data'!AZ18*EF!$H17)*kgtoGg)</f>
        <v>0.28530947706764037</v>
      </c>
      <c r="AH929" s="100">
        <f>IF('Net zero activities &amp; levers'!$C$12="Off",('Activity data'!BA18*EF!$H17)*kgtoGg,('Net zero Activity data'!BA18*EF!$H17)*kgtoGg)</f>
        <v>0.29224083767534004</v>
      </c>
      <c r="AI929" s="100">
        <f>IF('Net zero activities &amp; levers'!$C$12="Off",('Activity data'!BB18*EF!$H17)*kgtoGg,('Net zero Activity data'!BB18*EF!$H17)*kgtoGg)</f>
        <v>0.29966862525200177</v>
      </c>
      <c r="AJ929" s="100">
        <f>IF('Net zero activities &amp; levers'!$C$12="Off",('Activity data'!BC18*EF!$H17)*kgtoGg,('Net zero Activity data'!BC18*EF!$H17)*kgtoGg)</f>
        <v>0.30709632627086053</v>
      </c>
      <c r="AK929" s="100">
        <f>IF('Net zero activities &amp; levers'!$C$12="Off",('Activity data'!BD18*EF!$H17)*kgtoGg,('Net zero Activity data'!BD18*EF!$H17)*kgtoGg)</f>
        <v>0.31383346548155716</v>
      </c>
      <c r="AL929" s="100">
        <f>IF('Net zero activities &amp; levers'!$C$12="Off",('Activity data'!BE18*EF!$H17)*kgtoGg,('Net zero Activity data'!BE18*EF!$H17)*kgtoGg)</f>
        <v>0.320359356454125</v>
      </c>
      <c r="AM929" s="100">
        <f>IF('Net zero activities &amp; levers'!$C$12="Off",('Activity data'!BF18*EF!$H17)*kgtoGg,('Net zero Activity data'!BF18*EF!$H17)*kgtoGg)</f>
        <v>0.32708708660761415</v>
      </c>
      <c r="AN929" s="100">
        <f>IF('Net zero activities &amp; levers'!$C$12="Off",('Activity data'!BG18*EF!$H17)*kgtoGg,('Net zero Activity data'!BG18*EF!$H17)*kgtoGg)</f>
        <v>0.33420011722616944</v>
      </c>
      <c r="AO929" s="100">
        <f>IF('Net zero activities &amp; levers'!$C$12="Off",('Activity data'!BH18*EF!$H17)*kgtoGg,('Net zero Activity data'!BH18*EF!$H17)*kgtoGg)</f>
        <v>0.34044858357654423</v>
      </c>
      <c r="AP929" s="100">
        <f>IF('Net zero activities &amp; levers'!$C$12="Off",('Activity data'!BI18*EF!$H17)*kgtoGg,('Net zero Activity data'!BI18*EF!$H17)*kgtoGg)</f>
        <v>0.34665002236780973</v>
      </c>
      <c r="AQ929" s="100">
        <f>IF('Net zero activities &amp; levers'!$C$12="Off",('Activity data'!BJ18*EF!$H17)*kgtoGg,('Net zero Activity data'!BJ18*EF!$H17)*kgtoGg)</f>
        <v>0.3528210252776684</v>
      </c>
      <c r="AR929" s="100">
        <f>IF('Net zero activities &amp; levers'!$C$12="Off",('Activity data'!BK18*EF!$H17)*kgtoGg,('Net zero Activity data'!BK18*EF!$H17)*kgtoGg)</f>
        <v>0.35950945794486222</v>
      </c>
      <c r="AS929" s="100">
        <f>IF('Net zero activities &amp; levers'!$C$12="Off",('Activity data'!BL18*EF!$H17)*kgtoGg,('Net zero Activity data'!BL18*EF!$H17)*kgtoGg)</f>
        <v>0.36629407500989175</v>
      </c>
      <c r="AT929" s="100">
        <f>IF('Net zero activities &amp; levers'!$C$12="Off",('Activity data'!BM18*EF!$H17)*kgtoGg,('Net zero Activity data'!BM18*EF!$H17)*kgtoGg)</f>
        <v>0.36785193070104932</v>
      </c>
      <c r="AU929" s="100">
        <f>IF('Net zero activities &amp; levers'!$C$12="Off",('Activity data'!BN18*EF!$H17)*kgtoGg,('Net zero Activity data'!BN18*EF!$H17)*kgtoGg)</f>
        <v>0.36897081850195851</v>
      </c>
      <c r="AV929" s="100">
        <f>IF('Net zero activities &amp; levers'!$C$12="Off",('Activity data'!BO18*EF!$H17)*kgtoGg,('Net zero Activity data'!BO18*EF!$H17)*kgtoGg)</f>
        <v>0.37066873554998397</v>
      </c>
      <c r="AW929" s="100">
        <f>IF('Net zero activities &amp; levers'!$C$12="Off",('Activity data'!BP18*EF!$H17)*kgtoGg,('Net zero Activity data'!BP18*EF!$H17)*kgtoGg)</f>
        <v>0.37198604289917808</v>
      </c>
      <c r="AY929" s="85"/>
      <c r="AZ929" s="85"/>
    </row>
    <row r="930" spans="1:52" x14ac:dyDescent="0.25">
      <c r="A930" s="102" t="str">
        <f t="shared" si="326"/>
        <v>DS Cattle MMCH4</v>
      </c>
      <c r="B930" s="102" t="s">
        <v>975</v>
      </c>
      <c r="C930" s="102" t="s">
        <v>1230</v>
      </c>
      <c r="D930" t="s">
        <v>15</v>
      </c>
      <c r="E930" t="s">
        <v>22</v>
      </c>
      <c r="F930" t="s">
        <v>6</v>
      </c>
      <c r="G930" t="s">
        <v>136</v>
      </c>
      <c r="H930" t="s">
        <v>1228</v>
      </c>
      <c r="I930" t="s">
        <v>121</v>
      </c>
      <c r="J930" t="s">
        <v>286</v>
      </c>
      <c r="K930" s="28">
        <f t="shared" ref="K930:Z932" si="331">K1393</f>
        <v>7.3588045650103595</v>
      </c>
      <c r="L930" s="28">
        <f t="shared" si="331"/>
        <v>7.4084916265932694</v>
      </c>
      <c r="M930" s="28">
        <f t="shared" si="331"/>
        <v>7.4519552194142697</v>
      </c>
      <c r="N930" s="28">
        <f t="shared" si="331"/>
        <v>7.4575773262508553</v>
      </c>
      <c r="O930" s="28">
        <f t="shared" si="331"/>
        <v>7.4672608540413012</v>
      </c>
      <c r="P930" s="28">
        <f t="shared" si="331"/>
        <v>7.5228231503520746</v>
      </c>
      <c r="Q930" s="28">
        <f t="shared" si="331"/>
        <v>7.5672526424513036</v>
      </c>
      <c r="R930" s="28">
        <f t="shared" si="331"/>
        <v>7.5676422029096111</v>
      </c>
      <c r="S930" s="28">
        <f t="shared" si="331"/>
        <v>7.3671469631707884</v>
      </c>
      <c r="T930" s="28">
        <f t="shared" si="331"/>
        <v>7.4640051034943111</v>
      </c>
      <c r="U930" s="28">
        <f t="shared" si="331"/>
        <v>7.5373250515588941</v>
      </c>
      <c r="V930" s="28">
        <f t="shared" si="331"/>
        <v>7.6065006875157843</v>
      </c>
      <c r="W930" s="28">
        <f t="shared" si="331"/>
        <v>7.686711876493888</v>
      </c>
      <c r="X930" s="28">
        <f t="shared" si="331"/>
        <v>7.801642363870573</v>
      </c>
      <c r="Y930" s="28">
        <f t="shared" si="331"/>
        <v>7.9212983742327268</v>
      </c>
      <c r="Z930" s="28">
        <f t="shared" si="331"/>
        <v>8.051271811974777</v>
      </c>
      <c r="AA930" s="28">
        <f t="shared" ref="L930:AW932" si="332">AA1393</f>
        <v>8.1694693701055154</v>
      </c>
      <c r="AB930" s="28">
        <f t="shared" si="332"/>
        <v>8.304894934006013</v>
      </c>
      <c r="AC930" s="28">
        <f t="shared" si="332"/>
        <v>8.4613678864677428</v>
      </c>
      <c r="AD930" s="28">
        <f t="shared" si="332"/>
        <v>8.6120126328996225</v>
      </c>
      <c r="AE930" s="28">
        <f t="shared" si="332"/>
        <v>8.7705110877908012</v>
      </c>
      <c r="AF930" s="28">
        <f t="shared" si="332"/>
        <v>8.9338169052653935</v>
      </c>
      <c r="AG930" s="28">
        <f t="shared" si="332"/>
        <v>9.1155300292362771</v>
      </c>
      <c r="AH930" s="28">
        <f t="shared" si="332"/>
        <v>9.2800481861570177</v>
      </c>
      <c r="AI930" s="28">
        <f t="shared" si="332"/>
        <v>9.4510008371933658</v>
      </c>
      <c r="AJ930" s="28">
        <f t="shared" si="332"/>
        <v>9.6264218592694402</v>
      </c>
      <c r="AK930" s="28">
        <f t="shared" si="332"/>
        <v>9.7965990855623915</v>
      </c>
      <c r="AL930" s="28">
        <f t="shared" si="332"/>
        <v>9.9680661021899084</v>
      </c>
      <c r="AM930" s="28">
        <f t="shared" si="332"/>
        <v>10.146806716212263</v>
      </c>
      <c r="AN930" s="28">
        <f t="shared" si="332"/>
        <v>10.331465633171717</v>
      </c>
      <c r="AO930" s="28">
        <f t="shared" si="332"/>
        <v>10.50783381125248</v>
      </c>
      <c r="AP930" s="28">
        <f t="shared" si="332"/>
        <v>10.68792759135736</v>
      </c>
      <c r="AQ930" s="28">
        <f t="shared" si="332"/>
        <v>10.872071544232886</v>
      </c>
      <c r="AR930" s="28">
        <f t="shared" si="332"/>
        <v>11.068995536388829</v>
      </c>
      <c r="AS930" s="28">
        <f t="shared" si="332"/>
        <v>11.268086835721329</v>
      </c>
      <c r="AT930" s="28">
        <f t="shared" si="332"/>
        <v>11.387245372385955</v>
      </c>
      <c r="AU930" s="28">
        <f t="shared" si="332"/>
        <v>11.501774341925307</v>
      </c>
      <c r="AV930" s="28">
        <f t="shared" si="332"/>
        <v>11.628486934141081</v>
      </c>
      <c r="AW930" s="28">
        <f t="shared" si="332"/>
        <v>11.75154763718939</v>
      </c>
      <c r="AY930" s="85"/>
      <c r="AZ930" s="85"/>
    </row>
    <row r="931" spans="1:52" x14ac:dyDescent="0.25">
      <c r="A931" s="102" t="str">
        <f t="shared" si="326"/>
        <v>DS Cattle MMCH4</v>
      </c>
      <c r="B931" s="102" t="s">
        <v>975</v>
      </c>
      <c r="C931" s="102" t="s">
        <v>1230</v>
      </c>
      <c r="D931" t="s">
        <v>15</v>
      </c>
      <c r="E931" t="s">
        <v>22</v>
      </c>
      <c r="F931" t="s">
        <v>6</v>
      </c>
      <c r="G931" t="s">
        <v>137</v>
      </c>
      <c r="H931" t="s">
        <v>1228</v>
      </c>
      <c r="I931" t="s">
        <v>121</v>
      </c>
      <c r="J931" t="s">
        <v>286</v>
      </c>
      <c r="K931" s="28">
        <f t="shared" si="331"/>
        <v>2.0965784624729791</v>
      </c>
      <c r="L931" s="28">
        <f t="shared" si="332"/>
        <v>2.11073467796396</v>
      </c>
      <c r="M931" s="28">
        <f t="shared" si="332"/>
        <v>2.123117780654781</v>
      </c>
      <c r="N931" s="28">
        <f t="shared" si="332"/>
        <v>2.1247195609443885</v>
      </c>
      <c r="O931" s="28">
        <f t="shared" si="332"/>
        <v>2.1274784704420999</v>
      </c>
      <c r="P931" s="28">
        <f t="shared" si="332"/>
        <v>2.1433085842522419</v>
      </c>
      <c r="Q931" s="28">
        <f t="shared" si="332"/>
        <v>2.1559668788721003</v>
      </c>
      <c r="R931" s="28">
        <f t="shared" si="332"/>
        <v>2.1560778675604801</v>
      </c>
      <c r="S931" s="28">
        <f t="shared" si="332"/>
        <v>2.0989552741078059</v>
      </c>
      <c r="T931" s="28">
        <f t="shared" si="332"/>
        <v>2.1265508827591137</v>
      </c>
      <c r="U931" s="28">
        <f t="shared" si="332"/>
        <v>2.14744028437643</v>
      </c>
      <c r="V931" s="28">
        <f t="shared" si="332"/>
        <v>2.1671489404759119</v>
      </c>
      <c r="W931" s="28">
        <f t="shared" si="332"/>
        <v>2.1900017081741403</v>
      </c>
      <c r="X931" s="28">
        <f t="shared" si="332"/>
        <v>2.2227462636772444</v>
      </c>
      <c r="Y931" s="28">
        <f t="shared" si="332"/>
        <v>2.2568371560245644</v>
      </c>
      <c r="Z931" s="28">
        <f t="shared" si="332"/>
        <v>2.2938675606040304</v>
      </c>
      <c r="AA931" s="28">
        <f t="shared" si="332"/>
        <v>2.3275429290017851</v>
      </c>
      <c r="AB931" s="28">
        <f t="shared" si="332"/>
        <v>2.3661266851042466</v>
      </c>
      <c r="AC931" s="28">
        <f t="shared" si="332"/>
        <v>2.4107069996366737</v>
      </c>
      <c r="AD931" s="28">
        <f t="shared" si="332"/>
        <v>2.4536268146777656</v>
      </c>
      <c r="AE931" s="28">
        <f t="shared" si="332"/>
        <v>2.4987842100025621</v>
      </c>
      <c r="AF931" s="28">
        <f t="shared" si="332"/>
        <v>2.545311258885167</v>
      </c>
      <c r="AG931" s="28">
        <f t="shared" si="332"/>
        <v>2.5970826870703236</v>
      </c>
      <c r="AH931" s="28">
        <f t="shared" si="332"/>
        <v>2.6439551405291128</v>
      </c>
      <c r="AI931" s="28">
        <f t="shared" si="332"/>
        <v>2.6926608294897441</v>
      </c>
      <c r="AJ931" s="28">
        <f t="shared" si="332"/>
        <v>2.74263959078182</v>
      </c>
      <c r="AK931" s="28">
        <f t="shared" si="332"/>
        <v>2.7911243554330865</v>
      </c>
      <c r="AL931" s="28">
        <f t="shared" si="332"/>
        <v>2.83997659099796</v>
      </c>
      <c r="AM931" s="28">
        <f t="shared" si="332"/>
        <v>2.8909011288651962</v>
      </c>
      <c r="AN931" s="28">
        <f t="shared" si="332"/>
        <v>2.9435118355065453</v>
      </c>
      <c r="AO931" s="28">
        <f t="shared" si="332"/>
        <v>2.9937604486288318</v>
      </c>
      <c r="AP931" s="28">
        <f t="shared" si="332"/>
        <v>3.045070513634303</v>
      </c>
      <c r="AQ931" s="28">
        <f t="shared" si="332"/>
        <v>3.0975345031563459</v>
      </c>
      <c r="AR931" s="28">
        <f t="shared" si="332"/>
        <v>3.1536396214606754</v>
      </c>
      <c r="AS931" s="28">
        <f t="shared" si="332"/>
        <v>3.2103622217904881</v>
      </c>
      <c r="AT931" s="28">
        <f t="shared" si="332"/>
        <v>3.2443113801604118</v>
      </c>
      <c r="AU931" s="28">
        <f t="shared" si="332"/>
        <v>3.2769415402284139</v>
      </c>
      <c r="AV931" s="28">
        <f t="shared" si="332"/>
        <v>3.3130429055271864</v>
      </c>
      <c r="AW931" s="28">
        <f t="shared" si="332"/>
        <v>3.3481038202869873</v>
      </c>
      <c r="AY931" s="85"/>
      <c r="AZ931" s="85"/>
    </row>
    <row r="932" spans="1:52" x14ac:dyDescent="0.25">
      <c r="A932" s="102" t="str">
        <f t="shared" si="326"/>
        <v>DS Cattle MMCH4</v>
      </c>
      <c r="B932" s="102" t="s">
        <v>975</v>
      </c>
      <c r="C932" s="102" t="s">
        <v>1230</v>
      </c>
      <c r="D932" t="s">
        <v>15</v>
      </c>
      <c r="E932" t="s">
        <v>22</v>
      </c>
      <c r="F932" t="s">
        <v>67</v>
      </c>
      <c r="G932" t="s">
        <v>307</v>
      </c>
      <c r="H932" t="s">
        <v>1228</v>
      </c>
      <c r="I932" t="s">
        <v>121</v>
      </c>
      <c r="J932" t="s">
        <v>286</v>
      </c>
      <c r="K932" s="28">
        <f t="shared" si="331"/>
        <v>0.43302356896670435</v>
      </c>
      <c r="L932" s="28">
        <f t="shared" si="332"/>
        <v>0.43594736841646864</v>
      </c>
      <c r="M932" s="28">
        <f t="shared" si="332"/>
        <v>0.43850495231711395</v>
      </c>
      <c r="N932" s="28">
        <f t="shared" si="332"/>
        <v>0.43883578115568184</v>
      </c>
      <c r="O932" s="28">
        <f t="shared" si="332"/>
        <v>0.43940560139305368</v>
      </c>
      <c r="P932" s="28">
        <f t="shared" si="332"/>
        <v>0.44267512481033205</v>
      </c>
      <c r="Q932" s="28">
        <f t="shared" si="332"/>
        <v>0.44528954636022133</v>
      </c>
      <c r="R932" s="28">
        <f t="shared" si="332"/>
        <v>0.44531246976557798</v>
      </c>
      <c r="S932" s="28">
        <f t="shared" si="332"/>
        <v>0.43351447139430072</v>
      </c>
      <c r="T932" s="28">
        <f t="shared" si="332"/>
        <v>0.43921401909064739</v>
      </c>
      <c r="U932" s="28">
        <f t="shared" si="332"/>
        <v>0.44352847877046275</v>
      </c>
      <c r="V932" s="28">
        <f t="shared" si="332"/>
        <v>0.44759906938106581</v>
      </c>
      <c r="W932" s="28">
        <f t="shared" si="332"/>
        <v>0.45231903918261634</v>
      </c>
      <c r="X932" s="28">
        <f t="shared" si="332"/>
        <v>0.45908204116035195</v>
      </c>
      <c r="Y932" s="28">
        <f t="shared" si="332"/>
        <v>0.46612311314393218</v>
      </c>
      <c r="Z932" s="28">
        <f t="shared" si="332"/>
        <v>0.47377130673090989</v>
      </c>
      <c r="AA932" s="28">
        <f t="shared" si="332"/>
        <v>0.48072655714050544</v>
      </c>
      <c r="AB932" s="28">
        <f t="shared" si="332"/>
        <v>0.48869557717513923</v>
      </c>
      <c r="AC932" s="28">
        <f t="shared" si="332"/>
        <v>0.4979031156717999</v>
      </c>
      <c r="AD932" s="28">
        <f t="shared" si="332"/>
        <v>0.50676769757090157</v>
      </c>
      <c r="AE932" s="28">
        <f t="shared" si="332"/>
        <v>0.51609442530315108</v>
      </c>
      <c r="AF932" s="28">
        <f t="shared" si="332"/>
        <v>0.52570403883360262</v>
      </c>
      <c r="AG932" s="28">
        <f t="shared" si="332"/>
        <v>0.53639681709328069</v>
      </c>
      <c r="AH932" s="28">
        <f t="shared" si="332"/>
        <v>0.54607776986764511</v>
      </c>
      <c r="AI932" s="28">
        <f t="shared" si="332"/>
        <v>0.55613735582649237</v>
      </c>
      <c r="AJ932" s="28">
        <f t="shared" si="332"/>
        <v>0.5664598798696433</v>
      </c>
      <c r="AK932" s="28">
        <f t="shared" si="332"/>
        <v>0.57647383651643525</v>
      </c>
      <c r="AL932" s="28">
        <f t="shared" si="332"/>
        <v>0.58656368994903785</v>
      </c>
      <c r="AM932" s="28">
        <f t="shared" si="332"/>
        <v>0.5970815529958805</v>
      </c>
      <c r="AN932" s="28">
        <f t="shared" si="332"/>
        <v>0.60794767432807506</v>
      </c>
      <c r="AO932" s="28">
        <f t="shared" si="332"/>
        <v>0.61832593308600126</v>
      </c>
      <c r="AP932" s="28">
        <f t="shared" si="332"/>
        <v>0.62892342221902187</v>
      </c>
      <c r="AQ932" s="28">
        <f t="shared" si="332"/>
        <v>0.63975924085958458</v>
      </c>
      <c r="AR932" s="28">
        <f t="shared" si="332"/>
        <v>0.65134709173199301</v>
      </c>
      <c r="AS932" s="28">
        <f t="shared" si="332"/>
        <v>0.66306247623847858</v>
      </c>
      <c r="AT932" s="28">
        <f t="shared" si="332"/>
        <v>0.67007427473965175</v>
      </c>
      <c r="AU932" s="28">
        <f t="shared" si="332"/>
        <v>0.67681364968865065</v>
      </c>
      <c r="AV932" s="28">
        <f t="shared" si="332"/>
        <v>0.68426996116282568</v>
      </c>
      <c r="AW932" s="28">
        <f t="shared" si="332"/>
        <v>0.6915113798420095</v>
      </c>
      <c r="AY932" s="85"/>
      <c r="AZ932" s="85"/>
    </row>
    <row r="933" spans="1:52" x14ac:dyDescent="0.25">
      <c r="A933" s="102" t="str">
        <f t="shared" si="326"/>
        <v>DS Cattle MMCH4</v>
      </c>
      <c r="B933" s="102" t="s">
        <v>975</v>
      </c>
      <c r="C933" s="102" t="s">
        <v>1230</v>
      </c>
      <c r="D933" t="s">
        <v>15</v>
      </c>
      <c r="E933" t="s">
        <v>22</v>
      </c>
      <c r="F933" t="s">
        <v>67</v>
      </c>
      <c r="G933" t="s">
        <v>122</v>
      </c>
      <c r="H933" t="s">
        <v>1228</v>
      </c>
      <c r="I933" t="s">
        <v>121</v>
      </c>
      <c r="J933" t="s">
        <v>286</v>
      </c>
      <c r="K933" s="100">
        <f>IF('Net zero activities &amp; levers'!$C$12="Off",('Activity data'!AD8*EF!$H21)*kgtoGg,('Net zero Activity data'!AD8*EF!$H21)*kgtoGg)</f>
        <v>9.5339728940472587E-2</v>
      </c>
      <c r="L933" s="100">
        <f>IF('Net zero activities &amp; levers'!$C$12="Off",('Activity data'!AE8*EF!$H21)*kgtoGg,('Net zero Activity data'!AE8*EF!$H21)*kgtoGg)</f>
        <v>9.4854333679105063E-2</v>
      </c>
      <c r="M933" s="100">
        <f>IF('Net zero activities &amp; levers'!$C$12="Off",('Activity data'!AF8*EF!$H21)*kgtoGg,('Net zero Activity data'!AF8*EF!$H21)*kgtoGg)</f>
        <v>9.3968398426833952E-2</v>
      </c>
      <c r="N933" s="100">
        <f>IF('Net zero activities &amp; levers'!$C$12="Off",('Activity data'!AG8*EF!$H21)*kgtoGg,('Net zero Activity data'!AG8*EF!$H21)*kgtoGg)</f>
        <v>9.1543343324502313E-2</v>
      </c>
      <c r="O933" s="100">
        <f>IF('Net zero activities &amp; levers'!$C$12="Off",('Activity data'!AH8*EF!$H21)*kgtoGg,('Net zero Activity data'!AH8*EF!$H21)*kgtoGg)</f>
        <v>8.9215062552987667E-2</v>
      </c>
      <c r="P933" s="100">
        <f>IF('Net zero activities &amp; levers'!$C$12="Off",('Activity data'!AI8*EF!$H21)*kgtoGg,('Net zero Activity data'!AI8*EF!$H21)*kgtoGg)</f>
        <v>8.8452938660310093E-2</v>
      </c>
      <c r="Q933" s="100">
        <f>IF('Net zero activities &amp; levers'!$C$12="Off",('Activity data'!AJ8*EF!$H21)*kgtoGg,('Net zero Activity data'!AJ8*EF!$H21)*kgtoGg)</f>
        <v>8.7222027489186615E-2</v>
      </c>
      <c r="R933" s="100">
        <f>IF('Net zero activities &amp; levers'!$C$12="Off",('Activity data'!AK8*EF!$H21)*kgtoGg,('Net zero Activity data'!AK8*EF!$H21)*kgtoGg)</f>
        <v>8.4456409837201651E-2</v>
      </c>
      <c r="S933" s="100">
        <f>IF('Net zero activities &amp; levers'!$C$12="Off",('Activity data'!AL8*EF!$H21)*kgtoGg,('Net zero Activity data'!AL8*EF!$H21)*kgtoGg)</f>
        <v>7.5177478598092318E-2</v>
      </c>
      <c r="T933" s="100">
        <f>IF('Net zero activities &amp; levers'!$C$12="Off",('Activity data'!AM8*EF!$H21)*kgtoGg,('Net zero Activity data'!AM8*EF!$H21)*kgtoGg)</f>
        <v>7.506296394438422E-2</v>
      </c>
      <c r="U933" s="100">
        <f>IF('Net zero activities &amp; levers'!$C$12="Off",('Activity data'!AN8*EF!$H21)*kgtoGg,('Net zero Activity data'!AN8*EF!$H21)*kgtoGg)</f>
        <v>7.4086555504612156E-2</v>
      </c>
      <c r="V933" s="100">
        <f>IF('Net zero activities &amp; levers'!$C$12="Off",('Activity data'!AO8*EF!$H21)*kgtoGg,('Net zero Activity data'!AO8*EF!$H21)*kgtoGg)</f>
        <v>7.290383981565593E-2</v>
      </c>
      <c r="W933" s="100">
        <f>IF('Net zero activities &amp; levers'!$C$12="Off",('Activity data'!AP8*EF!$H21)*kgtoGg,('Net zero Activity data'!AP8*EF!$H21)*kgtoGg)</f>
        <v>7.1960094427839516E-2</v>
      </c>
      <c r="X933" s="100">
        <f>IF('Net zero activities &amp; levers'!$C$12="Off",('Activity data'!AQ8*EF!$H21)*kgtoGg,('Net zero Activity data'!AQ8*EF!$H21)*kgtoGg)</f>
        <v>7.1860657406057016E-2</v>
      </c>
      <c r="Y933" s="100">
        <f>IF('Net zero activities &amp; levers'!$C$12="Off",('Activity data'!AR8*EF!$H21)*kgtoGg,('Net zero Activity data'!AR8*EF!$H21)*kgtoGg)</f>
        <v>7.1865431374579292E-2</v>
      </c>
      <c r="Z933" s="100">
        <f>IF('Net zero activities &amp; levers'!$C$12="Off",('Activity data'!AS8*EF!$H21)*kgtoGg,('Net zero Activity data'!AS8*EF!$H21)*kgtoGg)</f>
        <v>7.1969223911570207E-2</v>
      </c>
      <c r="AA933" s="100">
        <f>IF('Net zero activities &amp; levers'!$C$12="Off",('Activity data'!AT8*EF!$H21)*kgtoGg,('Net zero Activity data'!AT8*EF!$H21)*kgtoGg)</f>
        <v>7.1629300024713155E-2</v>
      </c>
      <c r="AB933" s="100">
        <f>IF('Net zero activities &amp; levers'!$C$12="Off",('Activity data'!AU8*EF!$H21)*kgtoGg,('Net zero Activity data'!AU8*EF!$H21)*kgtoGg)</f>
        <v>7.1550619417570724E-2</v>
      </c>
      <c r="AC933" s="100">
        <f>IF('Net zero activities &amp; levers'!$C$12="Off",('Activity data'!AV8*EF!$H21)*kgtoGg,('Net zero Activity data'!AV8*EF!$H21)*kgtoGg)</f>
        <v>7.1778901850044874E-2</v>
      </c>
      <c r="AD933" s="100">
        <f>IF('Net zero activities &amp; levers'!$C$12="Off",('Activity data'!AW8*EF!$H21)*kgtoGg,('Net zero Activity data'!AW8*EF!$H21)*kgtoGg)</f>
        <v>7.2185433403667454E-2</v>
      </c>
      <c r="AE933" s="100">
        <f>IF('Net zero activities &amp; levers'!$C$12="Off",('Activity data'!AX8*EF!$H21)*kgtoGg,('Net zero Activity data'!AX8*EF!$H21)*kgtoGg)</f>
        <v>7.2589519694513438E-2</v>
      </c>
      <c r="AF933" s="100">
        <f>IF('Net zero activities &amp; levers'!$C$12="Off",('Activity data'!AY8*EF!$H21)*kgtoGg,('Net zero Activity data'!AY8*EF!$H21)*kgtoGg)</f>
        <v>7.2923002166356221E-2</v>
      </c>
      <c r="AG933" s="100">
        <f>IF('Net zero activities &amp; levers'!$C$12="Off",('Activity data'!AZ8*EF!$H21)*kgtoGg,('Net zero Activity data'!AZ8*EF!$H21)*kgtoGg)</f>
        <v>7.344032185822659E-2</v>
      </c>
      <c r="AH933" s="100">
        <f>IF('Net zero activities &amp; levers'!$C$12="Off",('Activity data'!BA8*EF!$H21)*kgtoGg,('Net zero Activity data'!BA8*EF!$H21)*kgtoGg)</f>
        <v>7.3466544265413616E-2</v>
      </c>
      <c r="AI933" s="100">
        <f>IF('Net zero activities &amp; levers'!$C$12="Off",('Activity data'!BB8*EF!$H21)*kgtoGg,('Net zero Activity data'!BB8*EF!$H21)*kgtoGg)</f>
        <v>7.3526252199328415E-2</v>
      </c>
      <c r="AJ933" s="100">
        <f>IF('Net zero activities &amp; levers'!$C$12="Off",('Activity data'!BC8*EF!$H21)*kgtoGg,('Net zero Activity data'!BC8*EF!$H21)*kgtoGg)</f>
        <v>7.3509224946999324E-2</v>
      </c>
      <c r="AK933" s="100">
        <f>IF('Net zero activities &amp; levers'!$C$12="Off",('Activity data'!BD8*EF!$H21)*kgtoGg,('Net zero Activity data'!BD8*EF!$H21)*kgtoGg)</f>
        <v>7.3258630093262E-2</v>
      </c>
      <c r="AL933" s="100">
        <f>IF('Net zero activities &amp; levers'!$C$12="Off",('Activity data'!BE8*EF!$H21)*kgtoGg,('Net zero Activity data'!BE8*EF!$H21)*kgtoGg)</f>
        <v>7.2893802606535815E-2</v>
      </c>
      <c r="AM933" s="100">
        <f>IF('Net zero activities &amp; levers'!$C$12="Off",('Activity data'!BF8*EF!$H21)*kgtoGg,('Net zero Activity data'!BF8*EF!$H21)*kgtoGg)</f>
        <v>7.2509008940567596E-2</v>
      </c>
      <c r="AN933" s="100">
        <f>IF('Net zero activities &amp; levers'!$C$12="Off",('Activity data'!BG8*EF!$H21)*kgtoGg,('Net zero Activity data'!BG8*EF!$H21)*kgtoGg)</f>
        <v>7.3034598351317356E-2</v>
      </c>
      <c r="AO933" s="100">
        <f>IF('Net zero activities &amp; levers'!$C$12="Off",('Activity data'!BH8*EF!$H21)*kgtoGg,('Net zero Activity data'!BH8*EF!$H21)*kgtoGg)</f>
        <v>7.333211984449696E-2</v>
      </c>
      <c r="AP933" s="100">
        <f>IF('Net zero activities &amp; levers'!$C$12="Off",('Activity data'!BI8*EF!$H21)*kgtoGg,('Net zero Activity data'!BI8*EF!$H21)*kgtoGg)</f>
        <v>7.3579764803726577E-2</v>
      </c>
      <c r="AQ933" s="100">
        <f>IF('Net zero activities &amp; levers'!$C$12="Off",('Activity data'!BJ8*EF!$H21)*kgtoGg,('Net zero Activity data'!BJ8*EF!$H21)*kgtoGg)</f>
        <v>7.3781402143592689E-2</v>
      </c>
      <c r="AR933" s="100">
        <f>IF('Net zero activities &amp; levers'!$C$12="Off",('Activity data'!BK8*EF!$H21)*kgtoGg,('Net zero Activity data'!BK8*EF!$H21)*kgtoGg)</f>
        <v>7.404826807795746E-2</v>
      </c>
      <c r="AS933" s="100">
        <f>IF('Net zero activities &amp; levers'!$C$12="Off",('Activity data'!BL8*EF!$H21)*kgtoGg,('Net zero Activity data'!BL8*EF!$H21)*kgtoGg)</f>
        <v>7.4283255601994599E-2</v>
      </c>
      <c r="AT933" s="100">
        <f>IF('Net zero activities &amp; levers'!$C$12="Off",('Activity data'!BM8*EF!$H21)*kgtoGg,('Net zero Activity data'!BM8*EF!$H21)*kgtoGg)</f>
        <v>7.344877177911624E-2</v>
      </c>
      <c r="AU933" s="100">
        <f>IF('Net zero activities &amp; levers'!$C$12="Off",('Activity data'!BN8*EF!$H21)*kgtoGg,('Net zero Activity data'!BN8*EF!$H21)*kgtoGg)</f>
        <v>7.2518264020228013E-2</v>
      </c>
      <c r="AV933" s="100">
        <f>IF('Net zero activities &amp; levers'!$C$12="Off",('Activity data'!BO8*EF!$H21)*kgtoGg,('Net zero Activity data'!BO8*EF!$H21)*kgtoGg)</f>
        <v>7.1689632771053391E-2</v>
      </c>
      <c r="AW933" s="100">
        <f>IF('Net zero activities &amp; levers'!$C$12="Off",('Activity data'!BP8*EF!$H21)*kgtoGg,('Net zero Activity data'!BP8*EF!$H21)*kgtoGg)</f>
        <v>7.0777897872392304E-2</v>
      </c>
      <c r="AY933" s="85"/>
      <c r="AZ933" s="85"/>
    </row>
    <row r="934" spans="1:52" x14ac:dyDescent="0.25">
      <c r="A934" s="102" t="str">
        <f t="shared" si="326"/>
        <v>DS Cattle MMCH4</v>
      </c>
      <c r="B934" s="102" t="s">
        <v>975</v>
      </c>
      <c r="C934" s="102" t="s">
        <v>1230</v>
      </c>
      <c r="D934" t="s">
        <v>15</v>
      </c>
      <c r="E934" t="s">
        <v>22</v>
      </c>
      <c r="F934" t="s">
        <v>67</v>
      </c>
      <c r="G934" t="s">
        <v>123</v>
      </c>
      <c r="H934" t="s">
        <v>1228</v>
      </c>
      <c r="I934" t="s">
        <v>121</v>
      </c>
      <c r="J934" t="s">
        <v>286</v>
      </c>
      <c r="K934" s="100">
        <f>IF('Net zero activities &amp; levers'!$C$12="Off",('Activity data'!AD9*EF!$H22)*kgtoGg,('Net zero Activity data'!AD9*EF!$H22)*kgtoGg)</f>
        <v>7.0033293869835936E-2</v>
      </c>
      <c r="L934" s="100">
        <f>IF('Net zero activities &amp; levers'!$C$12="Off",('Activity data'!AE9*EF!$H22)*kgtoGg,('Net zero Activity data'!AE9*EF!$H22)*kgtoGg)</f>
        <v>6.9676739164256679E-2</v>
      </c>
      <c r="M934" s="100">
        <f>IF('Net zero activities &amp; levers'!$C$12="Off",('Activity data'!AF9*EF!$H22)*kgtoGg,('Net zero Activity data'!AF9*EF!$H22)*kgtoGg)</f>
        <v>6.9025961523482296E-2</v>
      </c>
      <c r="N934" s="100">
        <f>IF('Net zero activities &amp; levers'!$C$12="Off",('Activity data'!AG9*EF!$H22)*kgtoGg,('Net zero Activity data'!AG9*EF!$H22)*kgtoGg)</f>
        <v>6.724459924650146E-2</v>
      </c>
      <c r="O934" s="100">
        <f>IF('Net zero activities &amp; levers'!$C$12="Off",('Activity data'!AH9*EF!$H22)*kgtoGg,('Net zero Activity data'!AH9*EF!$H22)*kgtoGg)</f>
        <v>6.5534324072709205E-2</v>
      </c>
      <c r="P934" s="100">
        <f>IF('Net zero activities &amp; levers'!$C$12="Off",('Activity data'!AI9*EF!$H22)*kgtoGg,('Net zero Activity data'!AI9*EF!$H22)*kgtoGg)</f>
        <v>6.4974494008849484E-2</v>
      </c>
      <c r="Q934" s="100">
        <f>IF('Net zero activities &amp; levers'!$C$12="Off",('Activity data'!AJ9*EF!$H22)*kgtoGg,('Net zero Activity data'!AJ9*EF!$H22)*kgtoGg)</f>
        <v>6.4070308893861602E-2</v>
      </c>
      <c r="R934" s="100">
        <f>IF('Net zero activities &amp; levers'!$C$12="Off",('Activity data'!AK9*EF!$H22)*kgtoGg,('Net zero Activity data'!AK9*EF!$H22)*kgtoGg)</f>
        <v>6.2038781052262654E-2</v>
      </c>
      <c r="S934" s="100">
        <f>IF('Net zero activities &amp; levers'!$C$12="Off",('Activity data'!AL9*EF!$H22)*kgtoGg,('Net zero Activity data'!AL9*EF!$H22)*kgtoGg)</f>
        <v>5.5222796514774769E-2</v>
      </c>
      <c r="T934" s="100">
        <f>IF('Net zero activities &amp; levers'!$C$12="Off",('Activity data'!AM9*EF!$H22)*kgtoGg,('Net zero Activity data'!AM9*EF!$H22)*kgtoGg)</f>
        <v>5.5138677979042941E-2</v>
      </c>
      <c r="U934" s="100">
        <f>IF('Net zero activities &amp; levers'!$C$12="Off",('Activity data'!AN9*EF!$H22)*kgtoGg,('Net zero Activity data'!AN9*EF!$H22)*kgtoGg)</f>
        <v>5.4421441838774086E-2</v>
      </c>
      <c r="V934" s="100">
        <f>IF('Net zero activities &amp; levers'!$C$12="Off",('Activity data'!AO9*EF!$H22)*kgtoGg,('Net zero Activity data'!AO9*EF!$H22)*kgtoGg)</f>
        <v>5.3552659471447925E-2</v>
      </c>
      <c r="W934" s="100">
        <f>IF('Net zero activities &amp; levers'!$C$12="Off",('Activity data'!AP9*EF!$H22)*kgtoGg,('Net zero Activity data'!AP9*EF!$H22)*kgtoGg)</f>
        <v>5.285941648850935E-2</v>
      </c>
      <c r="X934" s="100">
        <f>IF('Net zero activities &amp; levers'!$C$12="Off",('Activity data'!AQ9*EF!$H22)*kgtoGg,('Net zero Activity data'!AQ9*EF!$H22)*kgtoGg)</f>
        <v>5.2786373463891742E-2</v>
      </c>
      <c r="Y934" s="100">
        <f>IF('Net zero activities &amp; levers'!$C$12="Off",('Activity data'!AR9*EF!$H22)*kgtoGg,('Net zero Activity data'!AR9*EF!$H22)*kgtoGg)</f>
        <v>5.2789880257378172E-2</v>
      </c>
      <c r="Z934" s="100">
        <f>IF('Net zero activities &amp; levers'!$C$12="Off",('Activity data'!AS9*EF!$H22)*kgtoGg,('Net zero Activity data'!AS9*EF!$H22)*kgtoGg)</f>
        <v>5.2866122694034554E-2</v>
      </c>
      <c r="AA934" s="100">
        <f>IF('Net zero activities &amp; levers'!$C$12="Off",('Activity data'!AT9*EF!$H22)*kgtoGg,('Net zero Activity data'!AT9*EF!$H22)*kgtoGg)</f>
        <v>5.2616426269194688E-2</v>
      </c>
      <c r="AB934" s="100">
        <f>IF('Net zero activities &amp; levers'!$C$12="Off",('Activity data'!AU9*EF!$H22)*kgtoGg,('Net zero Activity data'!AU9*EF!$H22)*kgtoGg)</f>
        <v>5.2558630194640042E-2</v>
      </c>
      <c r="AC934" s="100">
        <f>IF('Net zero activities &amp; levers'!$C$12="Off",('Activity data'!AV9*EF!$H22)*kgtoGg,('Net zero Activity data'!AV9*EF!$H22)*kgtoGg)</f>
        <v>5.2726318637395797E-2</v>
      </c>
      <c r="AD934" s="100">
        <f>IF('Net zero activities &amp; levers'!$C$12="Off",('Activity data'!AW9*EF!$H22)*kgtoGg,('Net zero Activity data'!AW9*EF!$H22)*kgtoGg)</f>
        <v>5.3024942768999807E-2</v>
      </c>
      <c r="AE934" s="100">
        <f>IF('Net zero activities &amp; levers'!$C$12="Off",('Activity data'!AX9*EF!$H22)*kgtoGg,('Net zero Activity data'!AX9*EF!$H22)*kgtoGg)</f>
        <v>5.3321770694462645E-2</v>
      </c>
      <c r="AF934" s="100">
        <f>IF('Net zero activities &amp; levers'!$C$12="Off",('Activity data'!AY9*EF!$H22)*kgtoGg,('Net zero Activity data'!AY9*EF!$H22)*kgtoGg)</f>
        <v>5.356673547683146E-2</v>
      </c>
      <c r="AG934" s="100">
        <f>IF('Net zero activities &amp; levers'!$C$12="Off",('Activity data'!AZ9*EF!$H22)*kgtoGg,('Net zero Activity data'!AZ9*EF!$H22)*kgtoGg)</f>
        <v>5.3946740773763144E-2</v>
      </c>
      <c r="AH934" s="100">
        <f>IF('Net zero activities &amp; levers'!$C$12="Off",('Activity data'!BA9*EF!$H22)*kgtoGg,('Net zero Activity data'!BA9*EF!$H22)*kgtoGg)</f>
        <v>5.3966002854418417E-2</v>
      </c>
      <c r="AI934" s="100">
        <f>IF('Net zero activities &amp; levers'!$C$12="Off",('Activity data'!BB9*EF!$H22)*kgtoGg,('Net zero Activity data'!BB9*EF!$H22)*kgtoGg)</f>
        <v>5.4009862254153308E-2</v>
      </c>
      <c r="AJ934" s="100">
        <f>IF('Net zero activities &amp; levers'!$C$12="Off",('Activity data'!BC9*EF!$H22)*kgtoGg,('Net zero Activity data'!BC9*EF!$H22)*kgtoGg)</f>
        <v>5.3997354618780198E-2</v>
      </c>
      <c r="AK934" s="100">
        <f>IF('Net zero activities &amp; levers'!$C$12="Off",('Activity data'!BD9*EF!$H22)*kgtoGg,('Net zero Activity data'!BD9*EF!$H22)*kgtoGg)</f>
        <v>5.3813276236881161E-2</v>
      </c>
      <c r="AL934" s="100">
        <f>IF('Net zero activities &amp; levers'!$C$12="Off",('Activity data'!BE9*EF!$H22)*kgtoGg,('Net zero Activity data'!BE9*EF!$H22)*kgtoGg)</f>
        <v>5.354528648199481E-2</v>
      </c>
      <c r="AM934" s="100">
        <f>IF('Net zero activities &amp; levers'!$C$12="Off",('Activity data'!BF9*EF!$H22)*kgtoGg,('Net zero Activity data'!BF9*EF!$H22)*kgtoGg)</f>
        <v>5.3262630256856708E-2</v>
      </c>
      <c r="AN934" s="100">
        <f>IF('Net zero activities &amp; levers'!$C$12="Off",('Activity data'!BG9*EF!$H22)*kgtoGg,('Net zero Activity data'!BG9*EF!$H22)*kgtoGg)</f>
        <v>5.3648710205551495E-2</v>
      </c>
      <c r="AO934" s="100">
        <f>IF('Net zero activities &amp; levers'!$C$12="Off",('Activity data'!BH9*EF!$H22)*kgtoGg,('Net zero Activity data'!BH9*EF!$H22)*kgtoGg)</f>
        <v>5.3867259286779205E-2</v>
      </c>
      <c r="AP934" s="100">
        <f>IF('Net zero activities &amp; levers'!$C$12="Off",('Activity data'!BI9*EF!$H22)*kgtoGg,('Net zero Activity data'!BI9*EF!$H22)*kgtoGg)</f>
        <v>5.4049170777380771E-2</v>
      </c>
      <c r="AQ934" s="100">
        <f>IF('Net zero activities &amp; levers'!$C$12="Off",('Activity data'!BJ9*EF!$H22)*kgtoGg,('Net zero Activity data'!BJ9*EF!$H22)*kgtoGg)</f>
        <v>5.4197286649272883E-2</v>
      </c>
      <c r="AR934" s="100">
        <f>IF('Net zero activities &amp; levers'!$C$12="Off",('Activity data'!BK9*EF!$H22)*kgtoGg,('Net zero Activity data'!BK9*EF!$H22)*kgtoGg)</f>
        <v>5.4393317208756488E-2</v>
      </c>
      <c r="AS934" s="100">
        <f>IF('Net zero activities &amp; levers'!$C$12="Off",('Activity data'!BL9*EF!$H22)*kgtoGg,('Net zero Activity data'!BL9*EF!$H22)*kgtoGg)</f>
        <v>5.4565930981729495E-2</v>
      </c>
      <c r="AT934" s="100">
        <f>IF('Net zero activities &amp; levers'!$C$12="Off",('Activity data'!BM9*EF!$H22)*kgtoGg,('Net zero Activity data'!BM9*EF!$H22)*kgtoGg)</f>
        <v>5.3952947795740426E-2</v>
      </c>
      <c r="AU934" s="100">
        <f>IF('Net zero activities &amp; levers'!$C$12="Off",('Activity data'!BN9*EF!$H22)*kgtoGg,('Net zero Activity data'!BN9*EF!$H22)*kgtoGg)</f>
        <v>5.3269428720842817E-2</v>
      </c>
      <c r="AV934" s="100">
        <f>IF('Net zero activities &amp; levers'!$C$12="Off",('Activity data'!BO9*EF!$H22)*kgtoGg,('Net zero Activity data'!BO9*EF!$H22)*kgtoGg)</f>
        <v>5.2660744634700614E-2</v>
      </c>
      <c r="AW934" s="100">
        <f>IF('Net zero activities &amp; levers'!$C$12="Off",('Activity data'!BP9*EF!$H22)*kgtoGg,('Net zero Activity data'!BP9*EF!$H22)*kgtoGg)</f>
        <v>5.1991015458847975E-2</v>
      </c>
      <c r="AY934" s="85"/>
      <c r="AZ934" s="85"/>
    </row>
    <row r="935" spans="1:52" x14ac:dyDescent="0.25">
      <c r="A935" s="102" t="str">
        <f t="shared" si="326"/>
        <v>DS Cattle MMCH4</v>
      </c>
      <c r="B935" s="102" t="s">
        <v>975</v>
      </c>
      <c r="C935" s="102" t="s">
        <v>1230</v>
      </c>
      <c r="D935" t="s">
        <v>15</v>
      </c>
      <c r="E935" t="s">
        <v>22</v>
      </c>
      <c r="F935" t="s">
        <v>67</v>
      </c>
      <c r="G935" t="s">
        <v>135</v>
      </c>
      <c r="H935" t="s">
        <v>1228</v>
      </c>
      <c r="I935" t="s">
        <v>121</v>
      </c>
      <c r="J935" t="s">
        <v>286</v>
      </c>
      <c r="K935" s="100">
        <f>IF('Net zero activities &amp; levers'!$C$12="Off",('Activity data'!AD10*EF!$H23)*kgtoGg,('Net zero Activity data'!AD10*EF!$H23)*kgtoGg)</f>
        <v>0.47241651785764616</v>
      </c>
      <c r="L935" s="100">
        <f>IF('Net zero activities &amp; levers'!$C$12="Off",('Activity data'!AE10*EF!$H23)*kgtoGg,('Net zero Activity data'!AE10*EF!$H23)*kgtoGg)</f>
        <v>0.49004050540543137</v>
      </c>
      <c r="M935" s="100">
        <f>IF('Net zero activities &amp; levers'!$C$12="Off",('Activity data'!AF10*EF!$H23)*kgtoGg,('Net zero Activity data'!AF10*EF!$H23)*kgtoGg)</f>
        <v>0.50587338709485186</v>
      </c>
      <c r="N935" s="100">
        <f>IF('Net zero activities &amp; levers'!$C$12="Off",('Activity data'!AG10*EF!$H23)*kgtoGg,('Net zero Activity data'!AG10*EF!$H23)*kgtoGg)</f>
        <v>0.51330333017852303</v>
      </c>
      <c r="O935" s="100">
        <f>IF('Net zero activities &amp; levers'!$C$12="Off",('Activity data'!AH10*EF!$H23)*kgtoGg,('Net zero Activity data'!AH10*EF!$H23)*kgtoGg)</f>
        <v>0.52084695794290625</v>
      </c>
      <c r="P935" s="100">
        <f>IF('Net zero activities &amp; levers'!$C$12="Off",('Activity data'!AI10*EF!$H23)*kgtoGg,('Net zero Activity data'!AI10*EF!$H23)*kgtoGg)</f>
        <v>0.53749845878988001</v>
      </c>
      <c r="Q935" s="100">
        <f>IF('Net zero activities &amp; levers'!$C$12="Off",('Activity data'!AJ10*EF!$H23)*kgtoGg,('Net zero Activity data'!AJ10*EF!$H23)*kgtoGg)</f>
        <v>0.55154407690171303</v>
      </c>
      <c r="R935" s="100">
        <f>IF('Net zero activities &amp; levers'!$C$12="Off",('Activity data'!AK10*EF!$H23)*kgtoGg,('Net zero Activity data'!AK10*EF!$H23)*kgtoGg)</f>
        <v>0.55564430469746628</v>
      </c>
      <c r="S935" s="100">
        <f>IF('Net zero activities &amp; levers'!$C$12="Off",('Activity data'!AL10*EF!$H23)*kgtoGg,('Net zero Activity data'!AL10*EF!$H23)*kgtoGg)</f>
        <v>0.51452468218759118</v>
      </c>
      <c r="T935" s="100">
        <f>IF('Net zero activities &amp; levers'!$C$12="Off",('Activity data'!AM10*EF!$H23)*kgtoGg,('Net zero Activity data'!AM10*EF!$H23)*kgtoGg)</f>
        <v>0.531749349221176</v>
      </c>
      <c r="U935" s="100">
        <f>IF('Net zero activities &amp; levers'!$C$12="Off",('Activity data'!AN10*EF!$H23)*kgtoGg,('Net zero Activity data'!AN10*EF!$H23)*kgtoGg)</f>
        <v>0.54309453051607681</v>
      </c>
      <c r="V935" s="100">
        <f>IF('Net zero activities &amp; levers'!$C$12="Off",('Activity data'!AO10*EF!$H23)*kgtoGg,('Net zero Activity data'!AO10*EF!$H23)*kgtoGg)</f>
        <v>0.55289895846329906</v>
      </c>
      <c r="W935" s="100">
        <f>IF('Net zero activities &amp; levers'!$C$12="Off",('Activity data'!AP10*EF!$H23)*kgtoGg,('Net zero Activity data'!AP10*EF!$H23)*kgtoGg)</f>
        <v>0.5644979797682359</v>
      </c>
      <c r="X935" s="100">
        <f>IF('Net zero activities &amp; levers'!$C$12="Off",('Activity data'!AQ10*EF!$H23)*kgtoGg,('Net zero Activity data'!AQ10*EF!$H23)*kgtoGg)</f>
        <v>0.58299312311276574</v>
      </c>
      <c r="Y935" s="100">
        <f>IF('Net zero activities &amp; levers'!$C$12="Off",('Activity data'!AR10*EF!$H23)*kgtoGg,('Net zero Activity data'!AR10*EF!$H23)*kgtoGg)</f>
        <v>0.60287816807169425</v>
      </c>
      <c r="Z935" s="100">
        <f>IF('Net zero activities &amp; levers'!$C$12="Off",('Activity data'!AS10*EF!$H23)*kgtoGg,('Net zero Activity data'!AS10*EF!$H23)*kgtoGg)</f>
        <v>0.62422037366001515</v>
      </c>
      <c r="AA935" s="100">
        <f>IF('Net zero activities &amp; levers'!$C$12="Off",('Activity data'!AT10*EF!$H23)*kgtoGg,('Net zero Activity data'!AT10*EF!$H23)*kgtoGg)</f>
        <v>0.64226713147827807</v>
      </c>
      <c r="AB935" s="100">
        <f>IF('Net zero activities &amp; levers'!$C$12="Off",('Activity data'!AU10*EF!$H23)*kgtoGg,('Net zero Activity data'!AU10*EF!$H23)*kgtoGg)</f>
        <v>0.66318069793450352</v>
      </c>
      <c r="AC935" s="100">
        <f>IF('Net zero activities &amp; levers'!$C$12="Off",('Activity data'!AV10*EF!$H23)*kgtoGg,('Net zero Activity data'!AV10*EF!$H23)*kgtoGg)</f>
        <v>0.68766231448315751</v>
      </c>
      <c r="AD935" s="100">
        <f>IF('Net zero activities &amp; levers'!$C$12="Off",('Activity data'!AW10*EF!$H23)*kgtoGg,('Net zero Activity data'!AW10*EF!$H23)*kgtoGg)</f>
        <v>0.71482982081532875</v>
      </c>
      <c r="AE935" s="100">
        <f>IF('Net zero activities &amp; levers'!$C$12="Off",('Activity data'!AX10*EF!$H23)*kgtoGg,('Net zero Activity data'!AX10*EF!$H23)*kgtoGg)</f>
        <v>0.74307123396576935</v>
      </c>
      <c r="AF935" s="100">
        <f>IF('Net zero activities &amp; levers'!$C$12="Off",('Activity data'!AY10*EF!$H23)*kgtoGg,('Net zero Activity data'!AY10*EF!$H23)*kgtoGg)</f>
        <v>0.77172430090284394</v>
      </c>
      <c r="AG935" s="100">
        <f>IF('Net zero activities &amp; levers'!$C$12="Off",('Activity data'!AZ10*EF!$H23)*kgtoGg,('Net zero Activity data'!AZ10*EF!$H23)*kgtoGg)</f>
        <v>0.80356276048183628</v>
      </c>
      <c r="AH935" s="100">
        <f>IF('Net zero activities &amp; levers'!$C$12="Off",('Activity data'!BA10*EF!$H23)*kgtoGg,('Net zero Activity data'!BA10*EF!$H23)*kgtoGg)</f>
        <v>0.83122321581016234</v>
      </c>
      <c r="AI935" s="100">
        <f>IF('Net zero activities &amp; levers'!$C$12="Off",('Activity data'!BB10*EF!$H23)*kgtoGg,('Net zero Activity data'!BB10*EF!$H23)*kgtoGg)</f>
        <v>0.8603541546942729</v>
      </c>
      <c r="AJ935" s="100">
        <f>IF('Net zero activities &amp; levers'!$C$12="Off",('Activity data'!BC10*EF!$H23)*kgtoGg,('Net zero Activity data'!BC10*EF!$H23)*kgtoGg)</f>
        <v>0.88972576895492672</v>
      </c>
      <c r="AK935" s="100">
        <f>IF('Net zero activities &amp; levers'!$C$12="Off",('Activity data'!BD10*EF!$H23)*kgtoGg,('Net zero Activity data'!BD10*EF!$H23)*kgtoGg)</f>
        <v>0.91734810400027123</v>
      </c>
      <c r="AL935" s="100">
        <f>IF('Net zero activities &amp; levers'!$C$12="Off",('Activity data'!BE10*EF!$H23)*kgtoGg,('Net zero Activity data'!BE10*EF!$H23)*kgtoGg)</f>
        <v>0.94453388844854247</v>
      </c>
      <c r="AM935" s="100">
        <f>IF('Net zero activities &amp; levers'!$C$12="Off",('Activity data'!BF10*EF!$H23)*kgtoGg,('Net zero Activity data'!BF10*EF!$H23)*kgtoGg)</f>
        <v>0.97245634134344516</v>
      </c>
      <c r="AN935" s="100">
        <f>IF('Net zero activities &amp; levers'!$C$12="Off",('Activity data'!BG10*EF!$H23)*kgtoGg,('Net zero Activity data'!BG10*EF!$H23)*kgtoGg)</f>
        <v>1.0076653337089951</v>
      </c>
      <c r="AO935" s="100">
        <f>IF('Net zero activities &amp; levers'!$C$12="Off",('Activity data'!BH10*EF!$H23)*kgtoGg,('Net zero Activity data'!BH10*EF!$H23)*kgtoGg)</f>
        <v>1.0409611445389901</v>
      </c>
      <c r="AP935" s="100">
        <f>IF('Net zero activities &amp; levers'!$C$12="Off",('Activity data'!BI10*EF!$H23)*kgtoGg,('Net zero Activity data'!BI10*EF!$H23)*kgtoGg)</f>
        <v>1.0747308770654986</v>
      </c>
      <c r="AQ935" s="100">
        <f>IF('Net zero activities &amp; levers'!$C$12="Off",('Activity data'!BJ10*EF!$H23)*kgtoGg,('Net zero Activity data'!BJ10*EF!$H23)*kgtoGg)</f>
        <v>1.1090295435072604</v>
      </c>
      <c r="AR935" s="100">
        <f>IF('Net zero activities &amp; levers'!$C$12="Off",('Activity data'!BK10*EF!$H23)*kgtoGg,('Net zero Activity data'!BK10*EF!$H23)*kgtoGg)</f>
        <v>1.1455795342265791</v>
      </c>
      <c r="AS935" s="100">
        <f>IF('Net zero activities &amp; levers'!$C$12="Off",('Activity data'!BL10*EF!$H23)*kgtoGg,('Net zero Activity data'!BL10*EF!$H23)*kgtoGg)</f>
        <v>1.1829874260222308</v>
      </c>
      <c r="AT935" s="100">
        <f>IF('Net zero activities &amp; levers'!$C$12="Off",('Activity data'!BM10*EF!$H23)*kgtoGg,('Net zero Activity data'!BM10*EF!$H23)*kgtoGg)</f>
        <v>1.2042672581467537</v>
      </c>
      <c r="AU935" s="100">
        <f>IF('Net zero activities &amp; levers'!$C$12="Off",('Activity data'!BN10*EF!$H23)*kgtoGg,('Net zero Activity data'!BN10*EF!$H23)*kgtoGg)</f>
        <v>1.2243647505541693</v>
      </c>
      <c r="AV935" s="100">
        <f>IF('Net zero activities &amp; levers'!$C$12="Off",('Activity data'!BO10*EF!$H23)*kgtoGg,('Net zero Activity data'!BO10*EF!$H23)*kgtoGg)</f>
        <v>1.2465983781781678</v>
      </c>
      <c r="AW935" s="100">
        <f>IF('Net zero activities &amp; levers'!$C$12="Off",('Activity data'!BP10*EF!$H23)*kgtoGg,('Net zero Activity data'!BP10*EF!$H23)*kgtoGg)</f>
        <v>1.2678336030998885</v>
      </c>
      <c r="AY935" s="85"/>
      <c r="AZ935" s="85"/>
    </row>
    <row r="936" spans="1:52" x14ac:dyDescent="0.25">
      <c r="A936" s="102" t="str">
        <f t="shared" si="326"/>
        <v>DS Sheep MMCH4</v>
      </c>
      <c r="B936" s="102" t="s">
        <v>975</v>
      </c>
      <c r="C936" s="102" t="s">
        <v>1325</v>
      </c>
      <c r="D936" t="s">
        <v>15</v>
      </c>
      <c r="E936" t="s">
        <v>22</v>
      </c>
      <c r="F936" t="s">
        <v>18</v>
      </c>
      <c r="G936" t="s">
        <v>122</v>
      </c>
      <c r="H936" t="s">
        <v>1228</v>
      </c>
      <c r="I936" t="s">
        <v>121</v>
      </c>
      <c r="J936" t="s">
        <v>286</v>
      </c>
      <c r="K936" s="100">
        <f>IF('Net zero activities &amp; levers'!$C$12="Off",('Activity data'!AD11*EF!$H24)*kgtoGg,IF('Net zero activities &amp; levers'!$C$12="PB",('Activity data'!AD11*EF!$H24)*kgtoGg,IF('Net zero activities &amp; levers'!$C$12="MS",('Net zero Activity data'!AD11*EF!$H24)*kgtoGg,"ERROR")))</f>
        <v>3.6049467288640238E-2</v>
      </c>
      <c r="L936" s="100">
        <f>IF('Net zero activities &amp; levers'!$C$12="Off",('Activity data'!AE11*EF!$H24)*kgtoGg,IF('Net zero activities &amp; levers'!$C$12="PB",('Activity data'!AE11*EF!$H24)*kgtoGg,IF('Net zero activities &amp; levers'!$C$12="MS",('Net zero Activity data'!AE11*EF!$H24)*kgtoGg,"ERROR")))</f>
        <v>3.6068922498919492E-2</v>
      </c>
      <c r="M936" s="100">
        <f>IF('Net zero activities &amp; levers'!$C$12="Off",('Activity data'!AF11*EF!$H24)*kgtoGg,IF('Net zero activities &amp; levers'!$C$12="PB",('Activity data'!AF11*EF!$H24)*kgtoGg,IF('Net zero activities &amp; levers'!$C$12="MS",('Net zero Activity data'!AF11*EF!$H24)*kgtoGg,"ERROR")))</f>
        <v>3.6113648368603188E-2</v>
      </c>
      <c r="N936" s="100">
        <f>IF('Net zero activities &amp; levers'!$C$12="Off",('Activity data'!AG11*EF!$H24)*kgtoGg,IF('Net zero activities &amp; levers'!$C$12="PB",('Activity data'!AG11*EF!$H24)*kgtoGg,IF('Net zero activities &amp; levers'!$C$12="MS",('Net zero Activity data'!AG11*EF!$H24)*kgtoGg,"ERROR")))</f>
        <v>3.6180048088995075E-2</v>
      </c>
      <c r="O936" s="100">
        <f>IF('Net zero activities &amp; levers'!$C$12="Off",('Activity data'!AH11*EF!$H24)*kgtoGg,IF('Net zero activities &amp; levers'!$C$12="PB",('Activity data'!AH11*EF!$H24)*kgtoGg,IF('Net zero activities &amp; levers'!$C$12="MS",('Net zero Activity data'!AH11*EF!$H24)*kgtoGg,"ERROR")))</f>
        <v>3.6269669615497352E-2</v>
      </c>
      <c r="P936" s="100">
        <f>IF('Net zero activities &amp; levers'!$C$12="Off",('Activity data'!AI11*EF!$H24)*kgtoGg,IF('Net zero activities &amp; levers'!$C$12="PB",('Activity data'!AI11*EF!$H24)*kgtoGg,IF('Net zero activities &amp; levers'!$C$12="MS",('Net zero Activity data'!AI11*EF!$H24)*kgtoGg,"ERROR")))</f>
        <v>3.6384314095385159E-2</v>
      </c>
      <c r="Q936" s="100">
        <f>IF('Net zero activities &amp; levers'!$C$12="Off",('Activity data'!AJ11*EF!$H24)*kgtoGg,IF('Net zero activities &amp; levers'!$C$12="PB",('Activity data'!AJ11*EF!$H24)*kgtoGg,IF('Net zero activities &amp; levers'!$C$12="MS",('Net zero Activity data'!AJ11*EF!$H24)*kgtoGg,"ERROR")))</f>
        <v>3.6510640385803414E-2</v>
      </c>
      <c r="R936" s="100">
        <f>IF('Net zero activities &amp; levers'!$C$12="Off",('Activity data'!AK11*EF!$H24)*kgtoGg,IF('Net zero activities &amp; levers'!$C$12="PB",('Activity data'!AK11*EF!$H24)*kgtoGg,IF('Net zero activities &amp; levers'!$C$12="MS",('Net zero Activity data'!AK11*EF!$H24)*kgtoGg,"ERROR")))</f>
        <v>3.6646686440443228E-2</v>
      </c>
      <c r="S936" s="100">
        <f>IF('Net zero activities &amp; levers'!$C$12="Off",('Activity data'!AL11*EF!$H24)*kgtoGg,IF('Net zero activities &amp; levers'!$C$12="PB",('Activity data'!AL11*EF!$H24)*kgtoGg,IF('Net zero activities &amp; levers'!$C$12="MS",('Net zero Activity data'!AL11*EF!$H24)*kgtoGg,"ERROR")))</f>
        <v>3.6781472874538444E-2</v>
      </c>
      <c r="T936" s="100">
        <f>IF('Net zero activities &amp; levers'!$C$12="Off",('Activity data'!AM11*EF!$H24)*kgtoGg,IF('Net zero activities &amp; levers'!$C$12="PB",('Activity data'!AM11*EF!$H24)*kgtoGg,IF('Net zero activities &amp; levers'!$C$12="MS",('Net zero Activity data'!AM11*EF!$H24)*kgtoGg,"ERROR")))</f>
        <v>3.6836633496849083E-2</v>
      </c>
      <c r="U936" s="100">
        <f>IF('Net zero activities &amp; levers'!$C$12="Off",('Activity data'!AN11*EF!$H24)*kgtoGg,IF('Net zero activities &amp; levers'!$C$12="PB",('Activity data'!AN11*EF!$H24)*kgtoGg,IF('Net zero activities &amp; levers'!$C$12="MS",('Net zero Activity data'!AN11*EF!$H24)*kgtoGg,"ERROR")))</f>
        <v>3.6899270096088746E-2</v>
      </c>
      <c r="V936" s="100">
        <f>IF('Net zero activities &amp; levers'!$C$12="Off",('Activity data'!AO11*EF!$H24)*kgtoGg,IF('Net zero activities &amp; levers'!$C$12="PB",('Activity data'!AO11*EF!$H24)*kgtoGg,IF('Net zero activities &amp; levers'!$C$12="MS",('Net zero Activity data'!AO11*EF!$H24)*kgtoGg,"ERROR")))</f>
        <v>3.6970107657697912E-2</v>
      </c>
      <c r="W936" s="100">
        <f>IF('Net zero activities &amp; levers'!$C$12="Off",('Activity data'!AP11*EF!$H24)*kgtoGg,IF('Net zero activities &amp; levers'!$C$12="PB",('Activity data'!AP11*EF!$H24)*kgtoGg,IF('Net zero activities &amp; levers'!$C$12="MS",('Net zero Activity data'!AP11*EF!$H24)*kgtoGg,"ERROR")))</f>
        <v>3.7049660029312891E-2</v>
      </c>
      <c r="X936" s="100">
        <f>IF('Net zero activities &amp; levers'!$C$12="Off",('Activity data'!AQ11*EF!$H24)*kgtoGg,IF('Net zero activities &amp; levers'!$C$12="PB",('Activity data'!AQ11*EF!$H24)*kgtoGg,IF('Net zero activities &amp; levers'!$C$12="MS",('Net zero Activity data'!AQ11*EF!$H24)*kgtoGg,"ERROR")))</f>
        <v>3.7139051899563943E-2</v>
      </c>
      <c r="Y936" s="100">
        <f>IF('Net zero activities &amp; levers'!$C$12="Off",('Activity data'!AR11*EF!$H24)*kgtoGg,IF('Net zero activities &amp; levers'!$C$12="PB",('Activity data'!AR11*EF!$H24)*kgtoGg,IF('Net zero activities &amp; levers'!$C$12="MS",('Net zero Activity data'!AR11*EF!$H24)*kgtoGg,"ERROR")))</f>
        <v>3.7195257613770766E-2</v>
      </c>
      <c r="Z936" s="100">
        <f>IF('Net zero activities &amp; levers'!$C$12="Off",('Activity data'!AS11*EF!$H24)*kgtoGg,IF('Net zero activities &amp; levers'!$C$12="PB",('Activity data'!AS11*EF!$H24)*kgtoGg,IF('Net zero activities &amp; levers'!$C$12="MS",('Net zero Activity data'!AS11*EF!$H24)*kgtoGg,"ERROR")))</f>
        <v>3.7258548109316066E-2</v>
      </c>
      <c r="AA936" s="100">
        <f>IF('Net zero activities &amp; levers'!$C$12="Off",('Activity data'!AT11*EF!$H24)*kgtoGg,IF('Net zero activities &amp; levers'!$C$12="PB",('Activity data'!AT11*EF!$H24)*kgtoGg,IF('Net zero activities &amp; levers'!$C$12="MS",('Net zero Activity data'!AT11*EF!$H24)*kgtoGg,"ERROR")))</f>
        <v>3.7327161924675951E-2</v>
      </c>
      <c r="AB936" s="100">
        <f>IF('Net zero activities &amp; levers'!$C$12="Off",('Activity data'!AU11*EF!$H24)*kgtoGg,IF('Net zero activities &amp; levers'!$C$12="PB",('Activity data'!AU11*EF!$H24)*kgtoGg,IF('Net zero activities &amp; levers'!$C$12="MS",('Net zero Activity data'!AU11*EF!$H24)*kgtoGg,"ERROR")))</f>
        <v>3.740270770234231E-2</v>
      </c>
      <c r="AC936" s="100">
        <f>IF('Net zero activities &amp; levers'!$C$12="Off",('Activity data'!AV11*EF!$H24)*kgtoGg,IF('Net zero activities &amp; levers'!$C$12="PB",('Activity data'!AV11*EF!$H24)*kgtoGg,IF('Net zero activities &amp; levers'!$C$12="MS",('Net zero Activity data'!AV11*EF!$H24)*kgtoGg,"ERROR")))</f>
        <v>3.7485176791933403E-2</v>
      </c>
      <c r="AD936" s="100">
        <f>IF('Net zero activities &amp; levers'!$C$12="Off",('Activity data'!AW11*EF!$H24)*kgtoGg,IF('Net zero activities &amp; levers'!$C$12="PB",('Activity data'!AW11*EF!$H24)*kgtoGg,IF('Net zero activities &amp; levers'!$C$12="MS",('Net zero Activity data'!AW11*EF!$H24)*kgtoGg,"ERROR")))</f>
        <v>3.7539761469788754E-2</v>
      </c>
      <c r="AE936" s="100">
        <f>IF('Net zero activities &amp; levers'!$C$12="Off",('Activity data'!AX11*EF!$H24)*kgtoGg,IF('Net zero activities &amp; levers'!$C$12="PB",('Activity data'!AX11*EF!$H24)*kgtoGg,IF('Net zero activities &amp; levers'!$C$12="MS",('Net zero Activity data'!AX11*EF!$H24)*kgtoGg,"ERROR")))</f>
        <v>3.7599656922957594E-2</v>
      </c>
      <c r="AF936" s="100">
        <f>IF('Net zero activities &amp; levers'!$C$12="Off",('Activity data'!AY11*EF!$H24)*kgtoGg,IF('Net zero activities &amp; levers'!$C$12="PB",('Activity data'!AY11*EF!$H24)*kgtoGg,IF('Net zero activities &amp; levers'!$C$12="MS",('Net zero Activity data'!AY11*EF!$H24)*kgtoGg,"ERROR")))</f>
        <v>3.7664460791843352E-2</v>
      </c>
      <c r="AG936" s="100">
        <f>IF('Net zero activities &amp; levers'!$C$12="Off",('Activity data'!AZ11*EF!$H24)*kgtoGg,IF('Net zero activities &amp; levers'!$C$12="PB",('Activity data'!AZ11*EF!$H24)*kgtoGg,IF('Net zero activities &amp; levers'!$C$12="MS",('Net zero Activity data'!AZ11*EF!$H24)*kgtoGg,"ERROR")))</f>
        <v>3.7734874583025615E-2</v>
      </c>
      <c r="AH936" s="100">
        <f>IF('Net zero activities &amp; levers'!$C$12="Off",('Activity data'!BA11*EF!$H24)*kgtoGg,IF('Net zero activities &amp; levers'!$C$12="PB",('Activity data'!BA11*EF!$H24)*kgtoGg,IF('Net zero activities &amp; levers'!$C$12="MS",('Net zero Activity data'!BA11*EF!$H24)*kgtoGg,"ERROR")))</f>
        <v>3.7808406535422022E-2</v>
      </c>
      <c r="AI936" s="100">
        <f>IF('Net zero activities &amp; levers'!$C$12="Off",('Activity data'!BB11*EF!$H24)*kgtoGg,IF('Net zero activities &amp; levers'!$C$12="PB",('Activity data'!BB11*EF!$H24)*kgtoGg,IF('Net zero activities &amp; levers'!$C$12="MS",('Net zero Activity data'!BB11*EF!$H24)*kgtoGg,"ERROR")))</f>
        <v>3.7855450290038166E-2</v>
      </c>
      <c r="AJ936" s="100">
        <f>IF('Net zero activities &amp; levers'!$C$12="Off",('Activity data'!BC11*EF!$H24)*kgtoGg,IF('Net zero activities &amp; levers'!$C$12="PB",('Activity data'!BC11*EF!$H24)*kgtoGg,IF('Net zero activities &amp; levers'!$C$12="MS",('Net zero Activity data'!BC11*EF!$H24)*kgtoGg,"ERROR")))</f>
        <v>3.790648474498734E-2</v>
      </c>
      <c r="AK936" s="100">
        <f>IF('Net zero activities &amp; levers'!$C$12="Off",('Activity data'!BD11*EF!$H24)*kgtoGg,IF('Net zero activities &amp; levers'!$C$12="PB",('Activity data'!BD11*EF!$H24)*kgtoGg,IF('Net zero activities &amp; levers'!$C$12="MS",('Net zero Activity data'!BD11*EF!$H24)*kgtoGg,"ERROR")))</f>
        <v>3.7960736985585587E-2</v>
      </c>
      <c r="AL936" s="100">
        <f>IF('Net zero activities &amp; levers'!$C$12="Off",('Activity data'!BE11*EF!$H24)*kgtoGg,IF('Net zero activities &amp; levers'!$C$12="PB",('Activity data'!BE11*EF!$H24)*kgtoGg,IF('Net zero activities &amp; levers'!$C$12="MS",('Net zero Activity data'!BE11*EF!$H24)*kgtoGg,"ERROR")))</f>
        <v>3.8018503990857662E-2</v>
      </c>
      <c r="AM936" s="100">
        <f>IF('Net zero activities &amp; levers'!$C$12="Off",('Activity data'!BF11*EF!$H24)*kgtoGg,IF('Net zero activities &amp; levers'!$C$12="PB",('Activity data'!BF11*EF!$H24)*kgtoGg,IF('Net zero activities &amp; levers'!$C$12="MS",('Net zero Activity data'!BF11*EF!$H24)*kgtoGg,"ERROR")))</f>
        <v>3.8080056384553931E-2</v>
      </c>
      <c r="AN936" s="100">
        <f>IF('Net zero activities &amp; levers'!$C$12="Off",('Activity data'!BG11*EF!$H24)*kgtoGg,IF('Net zero activities &amp; levers'!$C$12="PB",('Activity data'!BG11*EF!$H24)*kgtoGg,IF('Net zero activities &amp; levers'!$C$12="MS",('Net zero Activity data'!BG11*EF!$H24)*kgtoGg,"ERROR")))</f>
        <v>3.8116334504626079E-2</v>
      </c>
      <c r="AO936" s="100">
        <f>IF('Net zero activities &amp; levers'!$C$12="Off",('Activity data'!BH11*EF!$H24)*kgtoGg,IF('Net zero activities &amp; levers'!$C$12="PB",('Activity data'!BH11*EF!$H24)*kgtoGg,IF('Net zero activities &amp; levers'!$C$12="MS",('Net zero Activity data'!BH11*EF!$H24)*kgtoGg,"ERROR")))</f>
        <v>3.8154989670212594E-2</v>
      </c>
      <c r="AP936" s="100">
        <f>IF('Net zero activities &amp; levers'!$C$12="Off",('Activity data'!BI11*EF!$H24)*kgtoGg,IF('Net zero activities &amp; levers'!$C$12="PB",('Activity data'!BI11*EF!$H24)*kgtoGg,IF('Net zero activities &amp; levers'!$C$12="MS",('Net zero Activity data'!BI11*EF!$H24)*kgtoGg,"ERROR")))</f>
        <v>3.8196703080821404E-2</v>
      </c>
      <c r="AQ936" s="100">
        <f>IF('Net zero activities &amp; levers'!$C$12="Off",('Activity data'!BJ11*EF!$H24)*kgtoGg,IF('Net zero activities &amp; levers'!$C$12="PB",('Activity data'!BJ11*EF!$H24)*kgtoGg,IF('Net zero activities &amp; levers'!$C$12="MS",('Net zero Activity data'!BJ11*EF!$H24)*kgtoGg,"ERROR")))</f>
        <v>3.8241401151067764E-2</v>
      </c>
      <c r="AR936" s="100">
        <f>IF('Net zero activities &amp; levers'!$C$12="Off",('Activity data'!BK11*EF!$H24)*kgtoGg,IF('Net zero activities &amp; levers'!$C$12="PB",('Activity data'!BK11*EF!$H24)*kgtoGg,IF('Net zero activities &amp; levers'!$C$12="MS",('Net zero Activity data'!BK11*EF!$H24)*kgtoGg,"ERROR")))</f>
        <v>3.828956377958781E-2</v>
      </c>
      <c r="AS936" s="100">
        <f>IF('Net zero activities &amp; levers'!$C$12="Off",('Activity data'!BL11*EF!$H24)*kgtoGg,IF('Net zero activities &amp; levers'!$C$12="PB",('Activity data'!BL11*EF!$H24)*kgtoGg,IF('Net zero activities &amp; levers'!$C$12="MS",('Net zero Activity data'!BL11*EF!$H24)*kgtoGg,"ERROR")))</f>
        <v>3.8311270646145826E-2</v>
      </c>
      <c r="AT936" s="100">
        <f>IF('Net zero activities &amp; levers'!$C$12="Off",('Activity data'!BM11*EF!$H24)*kgtoGg,IF('Net zero activities &amp; levers'!$C$12="PB",('Activity data'!BM11*EF!$H24)*kgtoGg,IF('Net zero activities &amp; levers'!$C$12="MS",('Net zero Activity data'!BM11*EF!$H24)*kgtoGg,"ERROR")))</f>
        <v>3.8330111932378036E-2</v>
      </c>
      <c r="AU936" s="100">
        <f>IF('Net zero activities &amp; levers'!$C$12="Off",('Activity data'!BN11*EF!$H24)*kgtoGg,IF('Net zero activities &amp; levers'!$C$12="PB",('Activity data'!BN11*EF!$H24)*kgtoGg,IF('Net zero activities &amp; levers'!$C$12="MS",('Net zero Activity data'!BN11*EF!$H24)*kgtoGg,"ERROR")))</f>
        <v>3.8350912132151166E-2</v>
      </c>
      <c r="AV936" s="100">
        <f>IF('Net zero activities &amp; levers'!$C$12="Off",('Activity data'!BO11*EF!$H24)*kgtoGg,IF('Net zero activities &amp; levers'!$C$12="PB",('Activity data'!BO11*EF!$H24)*kgtoGg,IF('Net zero activities &amp; levers'!$C$12="MS",('Net zero Activity data'!BO11*EF!$H24)*kgtoGg,"ERROR")))</f>
        <v>3.8374692407557622E-2</v>
      </c>
      <c r="AW936" s="100">
        <f>IF('Net zero activities &amp; levers'!$C$12="Off",('Activity data'!BP11*EF!$H24)*kgtoGg,IF('Net zero activities &amp; levers'!$C$12="PB",('Activity data'!BP11*EF!$H24)*kgtoGg,IF('Net zero activities &amp; levers'!$C$12="MS",('Net zero Activity data'!BP11*EF!$H24)*kgtoGg,"ERROR")))</f>
        <v>3.8400354082293926E-2</v>
      </c>
      <c r="AY936" s="85"/>
      <c r="AZ936" s="85"/>
    </row>
    <row r="937" spans="1:52" x14ac:dyDescent="0.25">
      <c r="A937" s="102" t="str">
        <f t="shared" si="326"/>
        <v>DS Sheep MMCH4</v>
      </c>
      <c r="B937" s="102" t="s">
        <v>975</v>
      </c>
      <c r="C937" s="102" t="s">
        <v>1325</v>
      </c>
      <c r="D937" t="s">
        <v>15</v>
      </c>
      <c r="E937" t="s">
        <v>22</v>
      </c>
      <c r="F937" t="s">
        <v>18</v>
      </c>
      <c r="G937" t="s">
        <v>123</v>
      </c>
      <c r="H937" t="s">
        <v>1228</v>
      </c>
      <c r="I937" t="s">
        <v>121</v>
      </c>
      <c r="J937" t="s">
        <v>286</v>
      </c>
      <c r="K937" s="100">
        <f>IF('Net zero activities &amp; levers'!$C$12="Off",('Activity data'!AD12*EF!$H25)*kgtoGg,IF('Net zero activities &amp; levers'!$C$12="PB",('Activity data'!AD12*EF!$H25)*kgtoGg,IF('Net zero activities &amp; levers'!$C$12="MS",('Net zero Activity data'!AD12*EF!$H25)*kgtoGg,"ERROR")))</f>
        <v>4.1170209951421942E-3</v>
      </c>
      <c r="L937" s="100">
        <f>IF('Net zero activities &amp; levers'!$C$12="Off",('Activity data'!AE12*EF!$H25)*kgtoGg,IF('Net zero activities &amp; levers'!$C$12="PB",('Activity data'!AE12*EF!$H25)*kgtoGg,IF('Net zero activities &amp; levers'!$C$12="MS",('Net zero Activity data'!AE12*EF!$H25)*kgtoGg,"ERROR")))</f>
        <v>4.1192428728898823E-3</v>
      </c>
      <c r="M937" s="100">
        <f>IF('Net zero activities &amp; levers'!$C$12="Off",('Activity data'!AF12*EF!$H25)*kgtoGg,IF('Net zero activities &amp; levers'!$C$12="PB",('Activity data'!AF12*EF!$H25)*kgtoGg,IF('Net zero activities &amp; levers'!$C$12="MS",('Net zero Activity data'!AF12*EF!$H25)*kgtoGg,"ERROR")))</f>
        <v>4.12435078039485E-3</v>
      </c>
      <c r="N937" s="100">
        <f>IF('Net zero activities &amp; levers'!$C$12="Off",('Activity data'!AG12*EF!$H25)*kgtoGg,IF('Net zero activities &amp; levers'!$C$12="PB",('Activity data'!AG12*EF!$H25)*kgtoGg,IF('Net zero activities &amp; levers'!$C$12="MS",('Net zero Activity data'!AG12*EF!$H25)*kgtoGg,"ERROR")))</f>
        <v>4.1319339449597016E-3</v>
      </c>
      <c r="O937" s="100">
        <f>IF('Net zero activities &amp; levers'!$C$12="Off",('Activity data'!AH12*EF!$H25)*kgtoGg,IF('Net zero activities &amp; levers'!$C$12="PB",('Activity data'!AH12*EF!$H25)*kgtoGg,IF('Net zero activities &amp; levers'!$C$12="MS",('Net zero Activity data'!AH12*EF!$H25)*kgtoGg,"ERROR")))</f>
        <v>4.1421691504697385E-3</v>
      </c>
      <c r="P937" s="100">
        <f>IF('Net zero activities &amp; levers'!$C$12="Off",('Activity data'!AI12*EF!$H25)*kgtoGg,IF('Net zero activities &amp; levers'!$C$12="PB",('Activity data'!AI12*EF!$H25)*kgtoGg,IF('Net zero activities &amp; levers'!$C$12="MS",('Net zero Activity data'!AI12*EF!$H25)*kgtoGg,"ERROR")))</f>
        <v>4.1552620965289999E-3</v>
      </c>
      <c r="Q937" s="100">
        <f>IF('Net zero activities &amp; levers'!$C$12="Off",('Activity data'!AJ12*EF!$H25)*kgtoGg,IF('Net zero activities &amp; levers'!$C$12="PB",('Activity data'!AJ12*EF!$H25)*kgtoGg,IF('Net zero activities &amp; levers'!$C$12="MS",('Net zero Activity data'!AJ12*EF!$H25)*kgtoGg,"ERROR")))</f>
        <v>4.1696891610325101E-3</v>
      </c>
      <c r="R937" s="100">
        <f>IF('Net zero activities &amp; levers'!$C$12="Off",('Activity data'!AK12*EF!$H25)*kgtoGg,IF('Net zero activities &amp; levers'!$C$12="PB",('Activity data'!AK12*EF!$H25)*kgtoGg,IF('Net zero activities &amp; levers'!$C$12="MS",('Net zero Activity data'!AK12*EF!$H25)*kgtoGg,"ERROR")))</f>
        <v>4.1852262689396433E-3</v>
      </c>
      <c r="S937" s="100">
        <f>IF('Net zero activities &amp; levers'!$C$12="Off",('Activity data'!AL12*EF!$H25)*kgtoGg,IF('Net zero activities &amp; levers'!$C$12="PB",('Activity data'!AL12*EF!$H25)*kgtoGg,IF('Net zero activities &amp; levers'!$C$12="MS",('Net zero Activity data'!AL12*EF!$H25)*kgtoGg,"ERROR")))</f>
        <v>4.2006195221765729E-3</v>
      </c>
      <c r="T937" s="100">
        <f>IF('Net zero activities &amp; levers'!$C$12="Off",('Activity data'!AM12*EF!$H25)*kgtoGg,IF('Net zero activities &amp; levers'!$C$12="PB",('Activity data'!AM12*EF!$H25)*kgtoGg,IF('Net zero activities &amp; levers'!$C$12="MS",('Net zero Activity data'!AM12*EF!$H25)*kgtoGg,"ERROR")))</f>
        <v>4.2069191281690734E-3</v>
      </c>
      <c r="U937" s="100">
        <f>IF('Net zero activities &amp; levers'!$C$12="Off",('Activity data'!AN12*EF!$H25)*kgtoGg,IF('Net zero activities &amp; levers'!$C$12="PB",('Activity data'!AN12*EF!$H25)*kgtoGg,IF('Net zero activities &amp; levers'!$C$12="MS",('Net zero Activity data'!AN12*EF!$H25)*kgtoGg,"ERROR")))</f>
        <v>4.2140725263613192E-3</v>
      </c>
      <c r="V937" s="100">
        <f>IF('Net zero activities &amp; levers'!$C$12="Off",('Activity data'!AO12*EF!$H25)*kgtoGg,IF('Net zero activities &amp; levers'!$C$12="PB",('Activity data'!AO12*EF!$H25)*kgtoGg,IF('Net zero activities &amp; levers'!$C$12="MS",('Net zero Activity data'!AO12*EF!$H25)*kgtoGg,"ERROR")))</f>
        <v>4.2221625135462756E-3</v>
      </c>
      <c r="W937" s="100">
        <f>IF('Net zero activities &amp; levers'!$C$12="Off",('Activity data'!AP12*EF!$H25)*kgtoGg,IF('Net zero activities &amp; levers'!$C$12="PB",('Activity data'!AP12*EF!$H25)*kgtoGg,IF('Net zero activities &amp; levers'!$C$12="MS",('Net zero Activity data'!AP12*EF!$H25)*kgtoGg,"ERROR")))</f>
        <v>4.2312477735732788E-3</v>
      </c>
      <c r="X937" s="100">
        <f>IF('Net zero activities &amp; levers'!$C$12="Off",('Activity data'!AQ12*EF!$H25)*kgtoGg,IF('Net zero activities &amp; levers'!$C$12="PB",('Activity data'!AQ12*EF!$H25)*kgtoGg,IF('Net zero activities &amp; levers'!$C$12="MS",('Net zero Activity data'!AQ12*EF!$H25)*kgtoGg,"ERROR")))</f>
        <v>4.2414567512447637E-3</v>
      </c>
      <c r="Y937" s="100">
        <f>IF('Net zero activities &amp; levers'!$C$12="Off",('Activity data'!AR12*EF!$H25)*kgtoGg,IF('Net zero activities &amp; levers'!$C$12="PB",('Activity data'!AR12*EF!$H25)*kgtoGg,IF('Net zero activities &amp; levers'!$C$12="MS",('Net zero Activity data'!AR12*EF!$H25)*kgtoGg,"ERROR")))</f>
        <v>4.2478757117132681E-3</v>
      </c>
      <c r="Z937" s="100">
        <f>IF('Net zero activities &amp; levers'!$C$12="Off",('Activity data'!AS12*EF!$H25)*kgtoGg,IF('Net zero activities &amp; levers'!$C$12="PB",('Activity data'!AS12*EF!$H25)*kgtoGg,IF('Net zero activities &amp; levers'!$C$12="MS",('Net zero Activity data'!AS12*EF!$H25)*kgtoGg,"ERROR")))</f>
        <v>4.2551037879804332E-3</v>
      </c>
      <c r="AA937" s="100">
        <f>IF('Net zero activities &amp; levers'!$C$12="Off",('Activity data'!AT12*EF!$H25)*kgtoGg,IF('Net zero activities &amp; levers'!$C$12="PB",('Activity data'!AT12*EF!$H25)*kgtoGg,IF('Net zero activities &amp; levers'!$C$12="MS",('Net zero Activity data'!AT12*EF!$H25)*kgtoGg,"ERROR")))</f>
        <v>4.2629398127441735E-3</v>
      </c>
      <c r="AB937" s="100">
        <f>IF('Net zero activities &amp; levers'!$C$12="Off",('Activity data'!AU12*EF!$H25)*kgtoGg,IF('Net zero activities &amp; levers'!$C$12="PB",('Activity data'!AU12*EF!$H25)*kgtoGg,IF('Net zero activities &amp; levers'!$C$12="MS",('Net zero Activity data'!AU12*EF!$H25)*kgtoGg,"ERROR")))</f>
        <v>4.2715675006447032E-3</v>
      </c>
      <c r="AC937" s="100">
        <f>IF('Net zero activities &amp; levers'!$C$12="Off",('Activity data'!AV12*EF!$H25)*kgtoGg,IF('Net zero activities &amp; levers'!$C$12="PB",('Activity data'!AV12*EF!$H25)*kgtoGg,IF('Net zero activities &amp; levers'!$C$12="MS",('Net zero Activity data'!AV12*EF!$H25)*kgtoGg,"ERROR")))</f>
        <v>4.2809858637671951E-3</v>
      </c>
      <c r="AD937" s="100">
        <f>IF('Net zero activities &amp; levers'!$C$12="Off",('Activity data'!AW12*EF!$H25)*kgtoGg,IF('Net zero activities &amp; levers'!$C$12="PB",('Activity data'!AW12*EF!$H25)*kgtoGg,IF('Net zero activities &amp; levers'!$C$12="MS",('Net zero Activity data'!AW12*EF!$H25)*kgtoGg,"ERROR")))</f>
        <v>4.2872196941576481E-3</v>
      </c>
      <c r="AE937" s="100">
        <f>IF('Net zero activities &amp; levers'!$C$12="Off",('Activity data'!AX12*EF!$H25)*kgtoGg,IF('Net zero activities &amp; levers'!$C$12="PB",('Activity data'!AX12*EF!$H25)*kgtoGg,IF('Net zero activities &amp; levers'!$C$12="MS",('Net zero Activity data'!AX12*EF!$H25)*kgtoGg,"ERROR")))</f>
        <v>4.294060040402857E-3</v>
      </c>
      <c r="AF937" s="100">
        <f>IF('Net zero activities &amp; levers'!$C$12="Off",('Activity data'!AY12*EF!$H25)*kgtoGg,IF('Net zero activities &amp; levers'!$C$12="PB",('Activity data'!AY12*EF!$H25)*kgtoGg,IF('Net zero activities &amp; levers'!$C$12="MS",('Net zero Activity data'!AY12*EF!$H25)*kgtoGg,"ERROR")))</f>
        <v>4.3014609511190394E-3</v>
      </c>
      <c r="AG937" s="100">
        <f>IF('Net zero activities &amp; levers'!$C$12="Off",('Activity data'!AZ12*EF!$H25)*kgtoGg,IF('Net zero activities &amp; levers'!$C$12="PB",('Activity data'!AZ12*EF!$H25)*kgtoGg,IF('Net zero activities &amp; levers'!$C$12="MS",('Net zero Activity data'!AZ12*EF!$H25)*kgtoGg,"ERROR")))</f>
        <v>4.3095025417013294E-3</v>
      </c>
      <c r="AH937" s="100">
        <f>IF('Net zero activities &amp; levers'!$C$12="Off",('Activity data'!BA12*EF!$H25)*kgtoGg,IF('Net zero activities &amp; levers'!$C$12="PB",('Activity data'!BA12*EF!$H25)*kgtoGg,IF('Net zero activities &amp; levers'!$C$12="MS",('Net zero Activity data'!BA12*EF!$H25)*kgtoGg,"ERROR")))</f>
        <v>4.3179002411570773E-3</v>
      </c>
      <c r="AI937" s="100">
        <f>IF('Net zero activities &amp; levers'!$C$12="Off",('Activity data'!BB12*EF!$H25)*kgtoGg,IF('Net zero activities &amp; levers'!$C$12="PB",('Activity data'!BB12*EF!$H25)*kgtoGg,IF('Net zero activities &amp; levers'!$C$12="MS",('Net zero Activity data'!BB12*EF!$H25)*kgtoGg,"ERROR")))</f>
        <v>4.3232728621695939E-3</v>
      </c>
      <c r="AJ937" s="100">
        <f>IF('Net zero activities &amp; levers'!$C$12="Off",('Activity data'!BC12*EF!$H25)*kgtoGg,IF('Net zero activities &amp; levers'!$C$12="PB",('Activity data'!BC12*EF!$H25)*kgtoGg,IF('Net zero activities &amp; levers'!$C$12="MS",('Net zero Activity data'!BC12*EF!$H25)*kgtoGg,"ERROR")))</f>
        <v>4.3291012401819257E-3</v>
      </c>
      <c r="AK937" s="100">
        <f>IF('Net zero activities &amp; levers'!$C$12="Off",('Activity data'!BD12*EF!$H25)*kgtoGg,IF('Net zero activities &amp; levers'!$C$12="PB",('Activity data'!BD12*EF!$H25)*kgtoGg,IF('Net zero activities &amp; levers'!$C$12="MS",('Net zero Activity data'!BD12*EF!$H25)*kgtoGg,"ERROR")))</f>
        <v>4.335297104653045E-3</v>
      </c>
      <c r="AL937" s="100">
        <f>IF('Net zero activities &amp; levers'!$C$12="Off",('Activity data'!BE12*EF!$H25)*kgtoGg,IF('Net zero activities &amp; levers'!$C$12="PB",('Activity data'!BE12*EF!$H25)*kgtoGg,IF('Net zero activities &amp; levers'!$C$12="MS",('Net zero Activity data'!BE12*EF!$H25)*kgtoGg,"ERROR")))</f>
        <v>4.3418943720031399E-3</v>
      </c>
      <c r="AM937" s="100">
        <f>IF('Net zero activities &amp; levers'!$C$12="Off",('Activity data'!BF12*EF!$H25)*kgtoGg,IF('Net zero activities &amp; levers'!$C$12="PB",('Activity data'!BF12*EF!$H25)*kgtoGg,IF('Net zero activities &amp; levers'!$C$12="MS",('Net zero Activity data'!BF12*EF!$H25)*kgtoGg,"ERROR")))</f>
        <v>4.3489239487544346E-3</v>
      </c>
      <c r="AN937" s="100">
        <f>IF('Net zero activities &amp; levers'!$C$12="Off",('Activity data'!BG12*EF!$H25)*kgtoGg,IF('Net zero activities &amp; levers'!$C$12="PB",('Activity data'!BG12*EF!$H25)*kgtoGg,IF('Net zero activities &amp; levers'!$C$12="MS",('Net zero Activity data'!BG12*EF!$H25)*kgtoGg,"ERROR")))</f>
        <v>4.3530670829873327E-3</v>
      </c>
      <c r="AO937" s="100">
        <f>IF('Net zero activities &amp; levers'!$C$12="Off",('Activity data'!BH12*EF!$H25)*kgtoGg,IF('Net zero activities &amp; levers'!$C$12="PB",('Activity data'!BH12*EF!$H25)*kgtoGg,IF('Net zero activities &amp; levers'!$C$12="MS",('Net zero Activity data'!BH12*EF!$H25)*kgtoGg,"ERROR")))</f>
        <v>4.3574816871482253E-3</v>
      </c>
      <c r="AP937" s="100">
        <f>IF('Net zero activities &amp; levers'!$C$12="Off",('Activity data'!BI12*EF!$H25)*kgtoGg,IF('Net zero activities &amp; levers'!$C$12="PB",('Activity data'!BI12*EF!$H25)*kgtoGg,IF('Net zero activities &amp; levers'!$C$12="MS",('Net zero Activity data'!BI12*EF!$H25)*kgtoGg,"ERROR")))</f>
        <v>4.362245557467872E-3</v>
      </c>
      <c r="AQ937" s="100">
        <f>IF('Net zero activities &amp; levers'!$C$12="Off",('Activity data'!BJ12*EF!$H25)*kgtoGg,IF('Net zero activities &amp; levers'!$C$12="PB",('Activity data'!BJ12*EF!$H25)*kgtoGg,IF('Net zero activities &amp; levers'!$C$12="MS",('Net zero Activity data'!BJ12*EF!$H25)*kgtoGg,"ERROR")))</f>
        <v>4.3673502901445905E-3</v>
      </c>
      <c r="AR937" s="100">
        <f>IF('Net zero activities &amp; levers'!$C$12="Off",('Activity data'!BK12*EF!$H25)*kgtoGg,IF('Net zero activities &amp; levers'!$C$12="PB",('Activity data'!BK12*EF!$H25)*kgtoGg,IF('Net zero activities &amp; levers'!$C$12="MS",('Net zero Activity data'!BK12*EF!$H25)*kgtoGg,"ERROR")))</f>
        <v>4.3728506918900767E-3</v>
      </c>
      <c r="AS937" s="100">
        <f>IF('Net zero activities &amp; levers'!$C$12="Off",('Activity data'!BL12*EF!$H25)*kgtoGg,IF('Net zero activities &amp; levers'!$C$12="PB",('Activity data'!BL12*EF!$H25)*kgtoGg,IF('Net zero activities &amp; levers'!$C$12="MS",('Net zero Activity data'!BL12*EF!$H25)*kgtoGg,"ERROR")))</f>
        <v>4.3753297195173796E-3</v>
      </c>
      <c r="AT937" s="100">
        <f>IF('Net zero activities &amp; levers'!$C$12="Off",('Activity data'!BM12*EF!$H25)*kgtoGg,IF('Net zero activities &amp; levers'!$C$12="PB",('Activity data'!BM12*EF!$H25)*kgtoGg,IF('Net zero activities &amp; levers'!$C$12="MS",('Net zero Activity data'!BM12*EF!$H25)*kgtoGg,"ERROR")))</f>
        <v>4.3774814842126074E-3</v>
      </c>
      <c r="AU937" s="100">
        <f>IF('Net zero activities &amp; levers'!$C$12="Off",('Activity data'!BN12*EF!$H25)*kgtoGg,IF('Net zero activities &amp; levers'!$C$12="PB",('Activity data'!BN12*EF!$H25)*kgtoGg,IF('Net zero activities &amp; levers'!$C$12="MS",('Net zero Activity data'!BN12*EF!$H25)*kgtoGg,"ERROR")))</f>
        <v>4.3798569661714264E-3</v>
      </c>
      <c r="AV937" s="100">
        <f>IF('Net zero activities &amp; levers'!$C$12="Off",('Activity data'!BO12*EF!$H25)*kgtoGg,IF('Net zero activities &amp; levers'!$C$12="PB",('Activity data'!BO12*EF!$H25)*kgtoGg,IF('Net zero activities &amp; levers'!$C$12="MS",('Net zero Activity data'!BO12*EF!$H25)*kgtoGg,"ERROR")))</f>
        <v>4.3825727869721814E-3</v>
      </c>
      <c r="AW937" s="100">
        <f>IF('Net zero activities &amp; levers'!$C$12="Off",('Activity data'!BP12*EF!$H25)*kgtoGg,IF('Net zero activities &amp; levers'!$C$12="PB",('Activity data'!BP12*EF!$H25)*kgtoGg,IF('Net zero activities &amp; levers'!$C$12="MS",('Net zero Activity data'!BP12*EF!$H25)*kgtoGg,"ERROR")))</f>
        <v>4.385503472544146E-3</v>
      </c>
      <c r="AY937" s="85"/>
      <c r="AZ937" s="85"/>
    </row>
    <row r="938" spans="1:52" x14ac:dyDescent="0.25">
      <c r="A938" s="102" t="str">
        <f t="shared" si="326"/>
        <v>DS Goats MMCH4</v>
      </c>
      <c r="B938" s="102" t="s">
        <v>975</v>
      </c>
      <c r="C938" s="102" t="s">
        <v>1326</v>
      </c>
      <c r="D938" t="s">
        <v>15</v>
      </c>
      <c r="E938" t="s">
        <v>22</v>
      </c>
      <c r="F938" t="s">
        <v>19</v>
      </c>
      <c r="G938" t="s">
        <v>122</v>
      </c>
      <c r="H938" t="s">
        <v>1228</v>
      </c>
      <c r="I938" t="s">
        <v>121</v>
      </c>
      <c r="J938" t="s">
        <v>286</v>
      </c>
      <c r="K938" s="28">
        <f t="shared" ref="K938:Z941" si="333">K1401</f>
        <v>1.5786050776084536E-2</v>
      </c>
      <c r="L938" s="28">
        <f t="shared" si="333"/>
        <v>1.5827081346829606E-2</v>
      </c>
      <c r="M938" s="28">
        <f t="shared" si="333"/>
        <v>1.5882411871580165E-2</v>
      </c>
      <c r="N938" s="28">
        <f t="shared" si="333"/>
        <v>1.5949803045989901E-2</v>
      </c>
      <c r="O938" s="28">
        <f t="shared" si="333"/>
        <v>1.6030521416305728E-2</v>
      </c>
      <c r="P938" s="28">
        <f t="shared" si="333"/>
        <v>1.6125949164627635E-2</v>
      </c>
      <c r="Q938" s="28">
        <f t="shared" si="333"/>
        <v>1.6227083744595871E-2</v>
      </c>
      <c r="R938" s="28">
        <f t="shared" si="333"/>
        <v>1.6332741800602117E-2</v>
      </c>
      <c r="S938" s="28">
        <f t="shared" si="333"/>
        <v>1.6435606263672888E-2</v>
      </c>
      <c r="T938" s="28">
        <f t="shared" si="333"/>
        <v>1.6482785969504622E-2</v>
      </c>
      <c r="U938" s="28">
        <f t="shared" si="333"/>
        <v>1.6533664426214255E-2</v>
      </c>
      <c r="V938" s="28">
        <f t="shared" si="333"/>
        <v>1.6588808405428729E-2</v>
      </c>
      <c r="W938" s="28">
        <f t="shared" si="333"/>
        <v>1.6648626125843623E-2</v>
      </c>
      <c r="X938" s="28">
        <f t="shared" si="333"/>
        <v>1.671392230440329E-2</v>
      </c>
      <c r="Y938" s="28">
        <f t="shared" si="333"/>
        <v>1.6755949162850392E-2</v>
      </c>
      <c r="Z938" s="28">
        <f t="shared" si="333"/>
        <v>1.6801812461822448E-2</v>
      </c>
      <c r="AA938" s="28">
        <f t="shared" ref="L938:AW941" si="334">AA1401</f>
        <v>1.6850371356583897E-2</v>
      </c>
      <c r="AB938" s="28">
        <f t="shared" si="334"/>
        <v>1.6902729841508243E-2</v>
      </c>
      <c r="AC938" s="28">
        <f t="shared" si="334"/>
        <v>1.6958905567505546E-2</v>
      </c>
      <c r="AD938" s="28">
        <f t="shared" si="334"/>
        <v>1.6995881142245144E-2</v>
      </c>
      <c r="AE938" s="28">
        <f t="shared" si="334"/>
        <v>1.7035738596248386E-2</v>
      </c>
      <c r="AF938" s="28">
        <f t="shared" si="334"/>
        <v>1.7078229800458981E-2</v>
      </c>
      <c r="AG938" s="28">
        <f t="shared" si="334"/>
        <v>1.7123832345859253E-2</v>
      </c>
      <c r="AH938" s="28">
        <f t="shared" si="334"/>
        <v>1.7170921235490962E-2</v>
      </c>
      <c r="AI938" s="28">
        <f t="shared" si="334"/>
        <v>1.720011231394674E-2</v>
      </c>
      <c r="AJ938" s="28">
        <f t="shared" si="334"/>
        <v>1.7231468078725984E-2</v>
      </c>
      <c r="AK938" s="28">
        <f t="shared" si="334"/>
        <v>1.7264493513114532E-2</v>
      </c>
      <c r="AL938" s="28">
        <f t="shared" si="334"/>
        <v>1.7299393145414187E-2</v>
      </c>
      <c r="AM938" s="28">
        <f t="shared" si="334"/>
        <v>1.7336351628498631E-2</v>
      </c>
      <c r="AN938" s="28">
        <f t="shared" si="334"/>
        <v>1.7356503534937538E-2</v>
      </c>
      <c r="AO938" s="28">
        <f t="shared" si="334"/>
        <v>1.7377878973805026E-2</v>
      </c>
      <c r="AP938" s="28">
        <f t="shared" si="334"/>
        <v>1.7400926590350561E-2</v>
      </c>
      <c r="AQ938" s="28">
        <f t="shared" si="334"/>
        <v>1.7425603506526253E-2</v>
      </c>
      <c r="AR938" s="28">
        <f t="shared" si="334"/>
        <v>1.7452223423977883E-2</v>
      </c>
      <c r="AS938" s="28">
        <f t="shared" si="334"/>
        <v>1.7461521770457056E-2</v>
      </c>
      <c r="AT938" s="28">
        <f t="shared" si="334"/>
        <v>1.7468759965525583E-2</v>
      </c>
      <c r="AU938" s="28">
        <f t="shared" si="334"/>
        <v>1.7477053902041951E-2</v>
      </c>
      <c r="AV938" s="28">
        <f t="shared" si="334"/>
        <v>1.7487061559141349E-2</v>
      </c>
      <c r="AW938" s="28">
        <f t="shared" si="334"/>
        <v>1.7498080042052506E-2</v>
      </c>
      <c r="AY938" s="85"/>
      <c r="AZ938" s="85"/>
    </row>
    <row r="939" spans="1:52" x14ac:dyDescent="0.25">
      <c r="A939" s="102" t="str">
        <f t="shared" si="326"/>
        <v>DS Goats MMCH4</v>
      </c>
      <c r="B939" s="102" t="s">
        <v>975</v>
      </c>
      <c r="C939" s="102" t="s">
        <v>1326</v>
      </c>
      <c r="D939" t="s">
        <v>15</v>
      </c>
      <c r="E939" t="s">
        <v>22</v>
      </c>
      <c r="F939" t="s">
        <v>19</v>
      </c>
      <c r="G939" t="s">
        <v>123</v>
      </c>
      <c r="H939" t="s">
        <v>1228</v>
      </c>
      <c r="I939" t="s">
        <v>121</v>
      </c>
      <c r="J939" t="s">
        <v>286</v>
      </c>
      <c r="K939" s="28">
        <f t="shared" si="333"/>
        <v>2.6586118821625565E-2</v>
      </c>
      <c r="L939" s="28">
        <f t="shared" si="334"/>
        <v>2.6655220564969766E-2</v>
      </c>
      <c r="M939" s="28">
        <f t="shared" si="334"/>
        <v>2.674840561336134E-2</v>
      </c>
      <c r="N939" s="28">
        <f t="shared" si="334"/>
        <v>2.6861902636511708E-2</v>
      </c>
      <c r="O939" s="28">
        <f t="shared" si="334"/>
        <v>2.6997844691604787E-2</v>
      </c>
      <c r="P939" s="28">
        <f t="shared" si="334"/>
        <v>2.7158559584249745E-2</v>
      </c>
      <c r="Q939" s="28">
        <f t="shared" si="334"/>
        <v>2.7328885652380994E-2</v>
      </c>
      <c r="R939" s="28">
        <f t="shared" si="334"/>
        <v>2.7506829944546809E-2</v>
      </c>
      <c r="S939" s="28">
        <f t="shared" si="334"/>
        <v>2.7680069399842709E-2</v>
      </c>
      <c r="T939" s="28">
        <f t="shared" si="334"/>
        <v>2.7759527225172408E-2</v>
      </c>
      <c r="U939" s="28">
        <f t="shared" si="334"/>
        <v>2.7845214311494997E-2</v>
      </c>
      <c r="V939" s="28">
        <f t="shared" si="334"/>
        <v>2.7938085188732656E-2</v>
      </c>
      <c r="W939" s="28">
        <f t="shared" si="334"/>
        <v>2.8038827359472312E-2</v>
      </c>
      <c r="X939" s="28">
        <f t="shared" si="334"/>
        <v>2.814879608986658E-2</v>
      </c>
      <c r="Y939" s="28">
        <f t="shared" si="334"/>
        <v>2.821957573375743E-2</v>
      </c>
      <c r="Z939" s="28">
        <f t="shared" si="334"/>
        <v>2.8296816529021451E-2</v>
      </c>
      <c r="AA939" s="28">
        <f t="shared" si="334"/>
        <v>2.8378597119004759E-2</v>
      </c>
      <c r="AB939" s="28">
        <f t="shared" si="334"/>
        <v>2.8466776798727306E-2</v>
      </c>
      <c r="AC939" s="28">
        <f t="shared" si="334"/>
        <v>2.8561385295015548E-2</v>
      </c>
      <c r="AD939" s="28">
        <f t="shared" si="334"/>
        <v>2.8623657806200815E-2</v>
      </c>
      <c r="AE939" s="28">
        <f t="shared" si="334"/>
        <v>2.8690783841907163E-2</v>
      </c>
      <c r="AF939" s="28">
        <f t="shared" si="334"/>
        <v>2.876234551493359E-2</v>
      </c>
      <c r="AG939" s="28">
        <f t="shared" si="334"/>
        <v>2.8839147161385727E-2</v>
      </c>
      <c r="AH939" s="28">
        <f t="shared" si="334"/>
        <v>2.891845203837394E-2</v>
      </c>
      <c r="AI939" s="28">
        <f t="shared" si="334"/>
        <v>2.8967614269723933E-2</v>
      </c>
      <c r="AJ939" s="28">
        <f t="shared" si="334"/>
        <v>2.9020422163223609E-2</v>
      </c>
      <c r="AK939" s="28">
        <f t="shared" si="334"/>
        <v>2.9076042035175369E-2</v>
      </c>
      <c r="AL939" s="28">
        <f t="shared" si="334"/>
        <v>2.9134818342455165E-2</v>
      </c>
      <c r="AM939" s="28">
        <f t="shared" si="334"/>
        <v>2.9197062068684575E-2</v>
      </c>
      <c r="AN939" s="28">
        <f t="shared" si="334"/>
        <v>2.9231000954772463E-2</v>
      </c>
      <c r="AO939" s="28">
        <f t="shared" si="334"/>
        <v>2.926700045620928E-2</v>
      </c>
      <c r="AP939" s="28">
        <f t="shared" si="334"/>
        <v>2.9305816160068741E-2</v>
      </c>
      <c r="AQ939" s="28">
        <f t="shared" si="334"/>
        <v>2.9347375853174006E-2</v>
      </c>
      <c r="AR939" s="28">
        <f t="shared" si="334"/>
        <v>2.9392207856974665E-2</v>
      </c>
      <c r="AS939" s="28">
        <f t="shared" si="334"/>
        <v>2.9407867691587285E-2</v>
      </c>
      <c r="AT939" s="28">
        <f t="shared" si="334"/>
        <v>2.9420057916797852E-2</v>
      </c>
      <c r="AU939" s="28">
        <f t="shared" si="334"/>
        <v>2.9434026171737036E-2</v>
      </c>
      <c r="AV939" s="28">
        <f t="shared" si="334"/>
        <v>2.9450880593691244E-2</v>
      </c>
      <c r="AW939" s="28">
        <f t="shared" si="334"/>
        <v>2.9469437400587745E-2</v>
      </c>
      <c r="AY939" s="85"/>
      <c r="AZ939" s="85"/>
    </row>
    <row r="940" spans="1:52" x14ac:dyDescent="0.25">
      <c r="A940" s="102" t="str">
        <f t="shared" si="326"/>
        <v>DS Horses MMCH4</v>
      </c>
      <c r="B940" s="102" t="s">
        <v>975</v>
      </c>
      <c r="C940" s="102" t="s">
        <v>1327</v>
      </c>
      <c r="D940" t="s">
        <v>15</v>
      </c>
      <c r="E940" t="s">
        <v>22</v>
      </c>
      <c r="F940" t="s">
        <v>20</v>
      </c>
      <c r="G940" t="s">
        <v>3</v>
      </c>
      <c r="H940" t="s">
        <v>1228</v>
      </c>
      <c r="I940" t="s">
        <v>121</v>
      </c>
      <c r="J940" t="s">
        <v>286</v>
      </c>
      <c r="K940" s="28">
        <f t="shared" si="333"/>
        <v>4.1409780786531561E-3</v>
      </c>
      <c r="L940" s="28">
        <f t="shared" si="334"/>
        <v>4.1688671764084162E-3</v>
      </c>
      <c r="M940" s="28">
        <f t="shared" si="334"/>
        <v>4.1857409403688933E-3</v>
      </c>
      <c r="N940" s="28">
        <f t="shared" si="334"/>
        <v>4.1635395322190223E-3</v>
      </c>
      <c r="O940" s="28">
        <f t="shared" si="334"/>
        <v>4.1408513683072233E-3</v>
      </c>
      <c r="P940" s="28">
        <f t="shared" si="334"/>
        <v>4.1549094768624506E-3</v>
      </c>
      <c r="Q940" s="28">
        <f t="shared" si="334"/>
        <v>4.1567255728426969E-3</v>
      </c>
      <c r="R940" s="28">
        <f t="shared" si="334"/>
        <v>4.1179597585422178E-3</v>
      </c>
      <c r="S940" s="28">
        <f t="shared" si="334"/>
        <v>3.9049943158389311E-3</v>
      </c>
      <c r="T940" s="28">
        <f t="shared" si="334"/>
        <v>3.9699795028704365E-3</v>
      </c>
      <c r="U940" s="28">
        <f t="shared" si="334"/>
        <v>4.0126860665387013E-3</v>
      </c>
      <c r="V940" s="28">
        <f t="shared" si="334"/>
        <v>4.0499492305839649E-3</v>
      </c>
      <c r="W940" s="28">
        <f t="shared" si="334"/>
        <v>4.09467284204442E-3</v>
      </c>
      <c r="X940" s="28">
        <f t="shared" si="334"/>
        <v>4.1665387441703824E-3</v>
      </c>
      <c r="Y940" s="28">
        <f t="shared" si="334"/>
        <v>4.248702300747329E-3</v>
      </c>
      <c r="Z940" s="28">
        <f t="shared" si="334"/>
        <v>4.3374921923911899E-3</v>
      </c>
      <c r="AA940" s="28">
        <f t="shared" si="334"/>
        <v>4.414637811470782E-3</v>
      </c>
      <c r="AB940" s="28">
        <f t="shared" si="334"/>
        <v>4.5040673251205239E-3</v>
      </c>
      <c r="AC940" s="28">
        <f t="shared" si="334"/>
        <v>4.6087014569709678E-3</v>
      </c>
      <c r="AD940" s="28">
        <f t="shared" si="334"/>
        <v>4.7138573349945522E-3</v>
      </c>
      <c r="AE940" s="28">
        <f t="shared" si="334"/>
        <v>4.8236014553834257E-3</v>
      </c>
      <c r="AF940" s="28">
        <f t="shared" si="334"/>
        <v>4.9354202086686252E-3</v>
      </c>
      <c r="AG940" s="28">
        <f t="shared" si="334"/>
        <v>5.0601637107160246E-3</v>
      </c>
      <c r="AH940" s="28">
        <f t="shared" si="334"/>
        <v>5.1692799161183493E-3</v>
      </c>
      <c r="AI940" s="28">
        <f t="shared" si="334"/>
        <v>5.2891896269508833E-3</v>
      </c>
      <c r="AJ940" s="28">
        <f t="shared" si="334"/>
        <v>5.4110891568061297E-3</v>
      </c>
      <c r="AK940" s="28">
        <f t="shared" si="334"/>
        <v>5.5272908454311459E-3</v>
      </c>
      <c r="AL940" s="28">
        <f t="shared" si="334"/>
        <v>5.6429797772661562E-3</v>
      </c>
      <c r="AM940" s="28">
        <f t="shared" si="334"/>
        <v>5.7628358631585681E-3</v>
      </c>
      <c r="AN940" s="28">
        <f t="shared" si="334"/>
        <v>5.8932639862966018E-3</v>
      </c>
      <c r="AO940" s="28">
        <f t="shared" si="334"/>
        <v>6.015926079762964E-3</v>
      </c>
      <c r="AP940" s="28">
        <f t="shared" si="334"/>
        <v>6.1402055338910435E-3</v>
      </c>
      <c r="AQ940" s="28">
        <f t="shared" si="334"/>
        <v>6.266331762949981E-3</v>
      </c>
      <c r="AR940" s="28">
        <f t="shared" si="334"/>
        <v>6.4010164026291104E-3</v>
      </c>
      <c r="AS940" s="28">
        <f t="shared" si="334"/>
        <v>6.544222904657609E-3</v>
      </c>
      <c r="AT940" s="28">
        <f t="shared" si="334"/>
        <v>6.6249233396269902E-3</v>
      </c>
      <c r="AU940" s="28">
        <f t="shared" si="334"/>
        <v>6.7012526002480271E-3</v>
      </c>
      <c r="AV940" s="28">
        <f t="shared" si="334"/>
        <v>6.7861102667668991E-3</v>
      </c>
      <c r="AW940" s="28">
        <f t="shared" si="334"/>
        <v>6.8673471283418426E-3</v>
      </c>
      <c r="AY940" s="85"/>
      <c r="AZ940" s="85"/>
    </row>
    <row r="941" spans="1:52" x14ac:dyDescent="0.25">
      <c r="A941" s="102" t="str">
        <f t="shared" si="326"/>
        <v>DS Mules MMCH4</v>
      </c>
      <c r="B941" s="102" t="s">
        <v>975</v>
      </c>
      <c r="C941" s="102" t="s">
        <v>1328</v>
      </c>
      <c r="D941" t="s">
        <v>15</v>
      </c>
      <c r="E941" t="s">
        <v>22</v>
      </c>
      <c r="F941" t="s">
        <v>140</v>
      </c>
      <c r="G941" t="s">
        <v>124</v>
      </c>
      <c r="H941" t="s">
        <v>1228</v>
      </c>
      <c r="I941" t="s">
        <v>121</v>
      </c>
      <c r="J941" t="s">
        <v>286</v>
      </c>
      <c r="K941" s="28">
        <f t="shared" si="333"/>
        <v>7.515E-4</v>
      </c>
      <c r="L941" s="28">
        <f t="shared" si="334"/>
        <v>7.515E-4</v>
      </c>
      <c r="M941" s="28">
        <f t="shared" si="334"/>
        <v>7.515E-4</v>
      </c>
      <c r="N941" s="28">
        <f t="shared" si="334"/>
        <v>7.515E-4</v>
      </c>
      <c r="O941" s="28">
        <f t="shared" si="334"/>
        <v>7.515E-4</v>
      </c>
      <c r="P941" s="28">
        <f t="shared" si="334"/>
        <v>7.515E-4</v>
      </c>
      <c r="Q941" s="28">
        <f t="shared" si="334"/>
        <v>7.515E-4</v>
      </c>
      <c r="R941" s="28">
        <f t="shared" si="334"/>
        <v>7.515E-4</v>
      </c>
      <c r="S941" s="28">
        <f t="shared" si="334"/>
        <v>7.515E-4</v>
      </c>
      <c r="T941" s="28">
        <f t="shared" si="334"/>
        <v>7.515E-4</v>
      </c>
      <c r="U941" s="28">
        <f t="shared" si="334"/>
        <v>7.515E-4</v>
      </c>
      <c r="V941" s="28">
        <f t="shared" si="334"/>
        <v>7.515E-4</v>
      </c>
      <c r="W941" s="28">
        <f t="shared" si="334"/>
        <v>7.515E-4</v>
      </c>
      <c r="X941" s="28">
        <f t="shared" si="334"/>
        <v>7.515E-4</v>
      </c>
      <c r="Y941" s="28">
        <f t="shared" si="334"/>
        <v>7.515E-4</v>
      </c>
      <c r="Z941" s="28">
        <f t="shared" si="334"/>
        <v>7.515E-4</v>
      </c>
      <c r="AA941" s="28">
        <f t="shared" si="334"/>
        <v>7.515E-4</v>
      </c>
      <c r="AB941" s="28">
        <f t="shared" si="334"/>
        <v>7.515E-4</v>
      </c>
      <c r="AC941" s="28">
        <f t="shared" si="334"/>
        <v>7.515E-4</v>
      </c>
      <c r="AD941" s="28">
        <f t="shared" si="334"/>
        <v>7.515E-4</v>
      </c>
      <c r="AE941" s="28">
        <f t="shared" si="334"/>
        <v>7.515E-4</v>
      </c>
      <c r="AF941" s="28">
        <f t="shared" si="334"/>
        <v>7.515E-4</v>
      </c>
      <c r="AG941" s="28">
        <f t="shared" si="334"/>
        <v>7.515E-4</v>
      </c>
      <c r="AH941" s="28">
        <f t="shared" si="334"/>
        <v>7.515E-4</v>
      </c>
      <c r="AI941" s="28">
        <f t="shared" si="334"/>
        <v>7.515E-4</v>
      </c>
      <c r="AJ941" s="28">
        <f t="shared" si="334"/>
        <v>7.515E-4</v>
      </c>
      <c r="AK941" s="28">
        <f t="shared" si="334"/>
        <v>7.515E-4</v>
      </c>
      <c r="AL941" s="28">
        <f t="shared" si="334"/>
        <v>7.515E-4</v>
      </c>
      <c r="AM941" s="28">
        <f t="shared" si="334"/>
        <v>7.515E-4</v>
      </c>
      <c r="AN941" s="28">
        <f t="shared" si="334"/>
        <v>7.515E-4</v>
      </c>
      <c r="AO941" s="28">
        <f t="shared" si="334"/>
        <v>7.515E-4</v>
      </c>
      <c r="AP941" s="28">
        <f t="shared" si="334"/>
        <v>7.515E-4</v>
      </c>
      <c r="AQ941" s="28">
        <f t="shared" si="334"/>
        <v>7.515E-4</v>
      </c>
      <c r="AR941" s="28">
        <f t="shared" si="334"/>
        <v>7.515E-4</v>
      </c>
      <c r="AS941" s="28">
        <f t="shared" si="334"/>
        <v>7.515E-4</v>
      </c>
      <c r="AT941" s="28">
        <f t="shared" si="334"/>
        <v>7.515E-4</v>
      </c>
      <c r="AU941" s="28">
        <f t="shared" si="334"/>
        <v>7.515E-4</v>
      </c>
      <c r="AV941" s="28">
        <f t="shared" si="334"/>
        <v>7.515E-4</v>
      </c>
      <c r="AW941" s="28">
        <f t="shared" si="334"/>
        <v>7.515E-4</v>
      </c>
      <c r="AY941" s="85"/>
      <c r="AZ941" s="85"/>
    </row>
    <row r="942" spans="1:52" x14ac:dyDescent="0.25">
      <c r="A942" s="102" t="str">
        <f t="shared" si="326"/>
        <v>DS Swine MMCH4</v>
      </c>
      <c r="B942" s="102" t="s">
        <v>975</v>
      </c>
      <c r="C942" s="102" t="s">
        <v>1231</v>
      </c>
      <c r="D942" t="s">
        <v>15</v>
      </c>
      <c r="E942" t="s">
        <v>22</v>
      </c>
      <c r="F942" t="s">
        <v>21</v>
      </c>
      <c r="G942" t="s">
        <v>122</v>
      </c>
      <c r="H942" t="s">
        <v>1228</v>
      </c>
      <c r="I942" t="s">
        <v>121</v>
      </c>
      <c r="J942" t="s">
        <v>286</v>
      </c>
      <c r="K942" s="100">
        <f>IF('Net zero activities &amp; levers'!$C$12="Off",('Activity data'!AD17*EF!$H30)*kgtoGg,IF('Net zero activities &amp; levers'!$C$12="PB",('Activity data'!AD17*EF!$H30)*kgtoGg,IF('Net zero activities &amp; levers'!$C$12="MS",('Net zero Activity data'!AD17*EF!$H30)*kgtoGg,"ERROR")))</f>
        <v>23.371743761076022</v>
      </c>
      <c r="L942" s="100">
        <f>IF('Net zero activities &amp; levers'!$C$12="Off",('Activity data'!AE17*EF!$H30)*kgtoGg,IF('Net zero activities &amp; levers'!$C$12="PB",('Activity data'!AE17*EF!$H30)*kgtoGg,IF('Net zero activities &amp; levers'!$C$12="MS",('Net zero Activity data'!AE17*EF!$H30)*kgtoGg,"ERROR")))</f>
        <v>23.330436915239524</v>
      </c>
      <c r="M942" s="100">
        <f>IF('Net zero activities &amp; levers'!$C$12="Off",('Activity data'!AF17*EF!$H30)*kgtoGg,IF('Net zero activities &amp; levers'!$C$12="PB",('Activity data'!AF17*EF!$H30)*kgtoGg,IF('Net zero activities &amp; levers'!$C$12="MS",('Net zero Activity data'!AF17*EF!$H30)*kgtoGg,"ERROR")))</f>
        <v>23.199540957083649</v>
      </c>
      <c r="N942" s="100">
        <f>IF('Net zero activities &amp; levers'!$C$12="Off",('Activity data'!AG17*EF!$H30)*kgtoGg,IF('Net zero activities &amp; levers'!$C$12="PB",('Activity data'!AG17*EF!$H30)*kgtoGg,IF('Net zero activities &amp; levers'!$C$12="MS",('Net zero Activity data'!AG17*EF!$H30)*kgtoGg,"ERROR")))</f>
        <v>22.687613421640428</v>
      </c>
      <c r="O942" s="100">
        <f>IF('Net zero activities &amp; levers'!$C$12="Off",('Activity data'!AH17*EF!$H30)*kgtoGg,IF('Net zero activities &amp; levers'!$C$12="PB",('Activity data'!AH17*EF!$H30)*kgtoGg,IF('Net zero activities &amp; levers'!$C$12="MS",('Net zero Activity data'!AH17*EF!$H30)*kgtoGg,"ERROR")))</f>
        <v>22.203503184399075</v>
      </c>
      <c r="P942" s="100">
        <f>IF('Net zero activities &amp; levers'!$C$12="Off",('Activity data'!AI17*EF!$H30)*kgtoGg,IF('Net zero activities &amp; levers'!$C$12="PB",('Activity data'!AI17*EF!$H30)*kgtoGg,IF('Net zero activities &amp; levers'!$C$12="MS",('Net zero Activity data'!AI17*EF!$H30)*kgtoGg,"ERROR")))</f>
        <v>22.125366761256988</v>
      </c>
      <c r="Q942" s="100">
        <f>IF('Net zero activities &amp; levers'!$C$12="Off",('Activity data'!AJ17*EF!$H30)*kgtoGg,IF('Net zero activities &amp; levers'!$C$12="PB",('Activity data'!AJ17*EF!$H30)*kgtoGg,IF('Net zero activities &amp; levers'!$C$12="MS",('Net zero Activity data'!AJ17*EF!$H30)*kgtoGg,"ERROR")))</f>
        <v>21.935689428722483</v>
      </c>
      <c r="R942" s="100">
        <f>IF('Net zero activities &amp; levers'!$C$12="Off",('Activity data'!AK17*EF!$H30)*kgtoGg,IF('Net zero activities &amp; levers'!$C$12="PB",('Activity data'!AK17*EF!$H30)*kgtoGg,IF('Net zero activities &amp; levers'!$C$12="MS",('Net zero Activity data'!AK17*EF!$H30)*kgtoGg,"ERROR")))</f>
        <v>21.35149621309353</v>
      </c>
      <c r="S942" s="100">
        <f>IF('Net zero activities &amp; levers'!$C$12="Off",('Activity data'!AL17*EF!$H30)*kgtoGg,IF('Net zero activities &amp; levers'!$C$12="PB",('Activity data'!AL17*EF!$H30)*kgtoGg,IF('Net zero activities &amp; levers'!$C$12="MS",('Net zero Activity data'!AL17*EF!$H30)*kgtoGg,"ERROR")))</f>
        <v>19.044546726490758</v>
      </c>
      <c r="T942" s="100">
        <f>IF('Net zero activities &amp; levers'!$C$12="Off",('Activity data'!AM17*EF!$H30)*kgtoGg,IF('Net zero activities &amp; levers'!$C$12="PB",('Activity data'!AM17*EF!$H30)*kgtoGg,IF('Net zero activities &amp; levers'!$C$12="MS",('Net zero Activity data'!AM17*EF!$H30)*kgtoGg,"ERROR")))</f>
        <v>19.454206590041967</v>
      </c>
      <c r="U942" s="100">
        <f>IF('Net zero activities &amp; levers'!$C$12="Off",('Activity data'!AN17*EF!$H30)*kgtoGg,IF('Net zero activities &amp; levers'!$C$12="PB",('Activity data'!AN17*EF!$H30)*kgtoGg,IF('Net zero activities &amp; levers'!$C$12="MS",('Net zero Activity data'!AN17*EF!$H30)*kgtoGg,"ERROR")))</f>
        <v>19.642847548932107</v>
      </c>
      <c r="V942" s="100">
        <f>IF('Net zero activities &amp; levers'!$C$12="Off",('Activity data'!AO17*EF!$H30)*kgtoGg,IF('Net zero activities &amp; levers'!$C$12="PB",('Activity data'!AO17*EF!$H30)*kgtoGg,IF('Net zero activities &amp; levers'!$C$12="MS",('Net zero Activity data'!AO17*EF!$H30)*kgtoGg,"ERROR")))</f>
        <v>19.780236351488622</v>
      </c>
      <c r="W942" s="100">
        <f>IF('Net zero activities &amp; levers'!$C$12="Off",('Activity data'!AP17*EF!$H30)*kgtoGg,IF('Net zero activities &amp; levers'!$C$12="PB",('Activity data'!AP17*EF!$H30)*kgtoGg,IF('Net zero activities &amp; levers'!$C$12="MS",('Net zero Activity data'!AP17*EF!$H30)*kgtoGg,"ERROR")))</f>
        <v>19.991165183522316</v>
      </c>
      <c r="X942" s="100">
        <f>IF('Net zero activities &amp; levers'!$C$12="Off",('Activity data'!AQ17*EF!$H30)*kgtoGg,IF('Net zero activities &amp; levers'!$C$12="PB",('Activity data'!AQ17*EF!$H30)*kgtoGg,IF('Net zero activities &amp; levers'!$C$12="MS",('Net zero Activity data'!AQ17*EF!$H30)*kgtoGg,"ERROR")))</f>
        <v>20.459574437852073</v>
      </c>
      <c r="Y942" s="100">
        <f>IF('Net zero activities &amp; levers'!$C$12="Off",('Activity data'!AR17*EF!$H30)*kgtoGg,IF('Net zero activities &amp; levers'!$C$12="PB",('Activity data'!AR17*EF!$H30)*kgtoGg,IF('Net zero activities &amp; levers'!$C$12="MS",('Net zero Activity data'!AR17*EF!$H30)*kgtoGg,"ERROR")))</f>
        <v>20.986742957293373</v>
      </c>
      <c r="Z942" s="100">
        <f>IF('Net zero activities &amp; levers'!$C$12="Off",('Activity data'!AS17*EF!$H30)*kgtoGg,IF('Net zero activities &amp; levers'!$C$12="PB",('Activity data'!AS17*EF!$H30)*kgtoGg,IF('Net zero activities &amp; levers'!$C$12="MS",('Net zero Activity data'!AS17*EF!$H30)*kgtoGg,"ERROR")))</f>
        <v>21.566845728123951</v>
      </c>
      <c r="AA942" s="100">
        <f>IF('Net zero activities &amp; levers'!$C$12="Off",('Activity data'!AT17*EF!$H30)*kgtoGg,IF('Net zero activities &amp; levers'!$C$12="PB",('Activity data'!AT17*EF!$H30)*kgtoGg,IF('Net zero activities &amp; levers'!$C$12="MS",('Net zero Activity data'!AT17*EF!$H30)*kgtoGg,"ERROR")))</f>
        <v>22.030719235951583</v>
      </c>
      <c r="AB942" s="100">
        <f>IF('Net zero activities &amp; levers'!$C$12="Off",('Activity data'!AU17*EF!$H30)*kgtoGg,IF('Net zero activities &amp; levers'!$C$12="PB",('Activity data'!AU17*EF!$H30)*kgtoGg,IF('Net zero activities &amp; levers'!$C$12="MS",('Net zero Activity data'!AU17*EF!$H30)*kgtoGg,"ERROR")))</f>
        <v>22.598880859175789</v>
      </c>
      <c r="AC942" s="100">
        <f>IF('Net zero activities &amp; levers'!$C$12="Off",('Activity data'!AV17*EF!$H30)*kgtoGg,IF('Net zero activities &amp; levers'!$C$12="PB",('Activity data'!AV17*EF!$H30)*kgtoGg,IF('Net zero activities &amp; levers'!$C$12="MS",('Net zero Activity data'!AV17*EF!$H30)*kgtoGg,"ERROR")))</f>
        <v>23.294180025092402</v>
      </c>
      <c r="AD942" s="100">
        <f>IF('Net zero activities &amp; levers'!$C$12="Off",('Activity data'!AW17*EF!$H30)*kgtoGg,IF('Net zero activities &amp; levers'!$C$12="PB",('Activity data'!AW17*EF!$H30)*kgtoGg,IF('Net zero activities &amp; levers'!$C$12="MS",('Net zero Activity data'!AW17*EF!$H30)*kgtoGg,"ERROR")))</f>
        <v>23.952313754534117</v>
      </c>
      <c r="AE942" s="100">
        <f>IF('Net zero activities &amp; levers'!$C$12="Off",('Activity data'!AX17*EF!$H30)*kgtoGg,IF('Net zero activities &amp; levers'!$C$12="PB",('Activity data'!AX17*EF!$H30)*kgtoGg,IF('Net zero activities &amp; levers'!$C$12="MS",('Net zero Activity data'!AX17*EF!$H30)*kgtoGg,"ERROR")))</f>
        <v>24.63728573195543</v>
      </c>
      <c r="AF942" s="100">
        <f>IF('Net zero activities &amp; levers'!$C$12="Off",('Activity data'!AY17*EF!$H30)*kgtoGg,IF('Net zero activities &amp; levers'!$C$12="PB",('Activity data'!AY17*EF!$H30)*kgtoGg,IF('Net zero activities &amp; levers'!$C$12="MS",('Net zero Activity data'!AY17*EF!$H30)*kgtoGg,"ERROR")))</f>
        <v>25.326274059281189</v>
      </c>
      <c r="AG942" s="100">
        <f>IF('Net zero activities &amp; levers'!$C$12="Off",('Activity data'!AZ17*EF!$H30)*kgtoGg,IF('Net zero activities &amp; levers'!$C$12="PB",('Activity data'!AZ17*EF!$H30)*kgtoGg,IF('Net zero activities &amp; levers'!$C$12="MS",('Net zero Activity data'!AZ17*EF!$H30)*kgtoGg,"ERROR")))</f>
        <v>26.11204960463073</v>
      </c>
      <c r="AH942" s="100">
        <f>IF('Net zero activities &amp; levers'!$C$12="Off",('Activity data'!BA17*EF!$H30)*kgtoGg,IF('Net zero activities &amp; levers'!$C$12="PB",('Activity data'!BA17*EF!$H30)*kgtoGg,IF('Net zero activities &amp; levers'!$C$12="MS",('Net zero Activity data'!BA17*EF!$H30)*kgtoGg,"ERROR")))</f>
        <v>26.749101858001481</v>
      </c>
      <c r="AI942" s="100">
        <f>IF('Net zero activities &amp; levers'!$C$12="Off",('Activity data'!BB17*EF!$H30)*kgtoGg,IF('Net zero activities &amp; levers'!$C$12="PB",('Activity data'!BB17*EF!$H30)*kgtoGg,IF('Net zero activities &amp; levers'!$C$12="MS",('Net zero Activity data'!BB17*EF!$H30)*kgtoGg,"ERROR")))</f>
        <v>27.431724876299679</v>
      </c>
      <c r="AJ942" s="100">
        <f>IF('Net zero activities &amp; levers'!$C$12="Off",('Activity data'!BC17*EF!$H30)*kgtoGg,IF('Net zero activities &amp; levers'!$C$12="PB",('Activity data'!BC17*EF!$H30)*kgtoGg,IF('Net zero activities &amp; levers'!$C$12="MS",('Net zero Activity data'!BC17*EF!$H30)*kgtoGg,"ERROR")))</f>
        <v>28.114476864503132</v>
      </c>
      <c r="AK942" s="100">
        <f>IF('Net zero activities &amp; levers'!$C$12="Off",('Activity data'!BD17*EF!$H30)*kgtoGg,IF('Net zero activities &amp; levers'!$C$12="PB",('Activity data'!BD17*EF!$H30)*kgtoGg,IF('Net zero activities &amp; levers'!$C$12="MS",('Net zero Activity data'!BD17*EF!$H30)*kgtoGg,"ERROR")))</f>
        <v>28.734138944489672</v>
      </c>
      <c r="AL942" s="100">
        <f>IF('Net zero activities &amp; levers'!$C$12="Off",('Activity data'!BE17*EF!$H30)*kgtoGg,IF('Net zero activities &amp; levers'!$C$12="PB",('Activity data'!BE17*EF!$H30)*kgtoGg,IF('Net zero activities &amp; levers'!$C$12="MS",('Net zero Activity data'!BE17*EF!$H30)*kgtoGg,"ERROR")))</f>
        <v>29.334581793903347</v>
      </c>
      <c r="AM942" s="100">
        <f>IF('Net zero activities &amp; levers'!$C$12="Off",('Activity data'!BF17*EF!$H30)*kgtoGg,IF('Net zero activities &amp; levers'!$C$12="PB",('Activity data'!BF17*EF!$H30)*kgtoGg,IF('Net zero activities &amp; levers'!$C$12="MS",('Net zero Activity data'!BF17*EF!$H30)*kgtoGg,"ERROR")))</f>
        <v>29.953628904341453</v>
      </c>
      <c r="AN942" s="100">
        <f>IF('Net zero activities &amp; levers'!$C$12="Off",('Activity data'!BG17*EF!$H30)*kgtoGg,IF('Net zero activities &amp; levers'!$C$12="PB",('Activity data'!BG17*EF!$H30)*kgtoGg,IF('Net zero activities &amp; levers'!$C$12="MS",('Net zero Activity data'!BG17*EF!$H30)*kgtoGg,"ERROR")))</f>
        <v>30.608088379613569</v>
      </c>
      <c r="AO942" s="100">
        <f>IF('Net zero activities &amp; levers'!$C$12="Off",('Activity data'!BH17*EF!$H30)*kgtoGg,IF('Net zero activities &amp; levers'!$C$12="PB",('Activity data'!BH17*EF!$H30)*kgtoGg,IF('Net zero activities &amp; levers'!$C$12="MS",('Net zero Activity data'!BH17*EF!$H30)*kgtoGg,"ERROR")))</f>
        <v>31.183489146008849</v>
      </c>
      <c r="AP942" s="100">
        <f>IF('Net zero activities &amp; levers'!$C$12="Off",('Activity data'!BI17*EF!$H30)*kgtoGg,IF('Net zero activities &amp; levers'!$C$12="PB",('Activity data'!BI17*EF!$H30)*kgtoGg,IF('Net zero activities &amp; levers'!$C$12="MS",('Net zero Activity data'!BI17*EF!$H30)*kgtoGg,"ERROR")))</f>
        <v>31.754697438156203</v>
      </c>
      <c r="AQ942" s="100">
        <f>IF('Net zero activities &amp; levers'!$C$12="Off",('Activity data'!BJ17*EF!$H30)*kgtoGg,IF('Net zero activities &amp; levers'!$C$12="PB",('Activity data'!BJ17*EF!$H30)*kgtoGg,IF('Net zero activities &amp; levers'!$C$12="MS",('Net zero Activity data'!BJ17*EF!$H30)*kgtoGg,"ERROR")))</f>
        <v>32.323232018651169</v>
      </c>
      <c r="AR942" s="100">
        <f>IF('Net zero activities &amp; levers'!$C$12="Off",('Activity data'!BK17*EF!$H30)*kgtoGg,IF('Net zero activities &amp; levers'!$C$12="PB",('Activity data'!BK17*EF!$H30)*kgtoGg,IF('Net zero activities &amp; levers'!$C$12="MS",('Net zero Activity data'!BK17*EF!$H30)*kgtoGg,"ERROR")))</f>
        <v>32.939289105942862</v>
      </c>
      <c r="AS942" s="100">
        <f>IF('Net zero activities &amp; levers'!$C$12="Off",('Activity data'!BL17*EF!$H30)*kgtoGg,IF('Net zero activities &amp; levers'!$C$12="PB",('Activity data'!BL17*EF!$H30)*kgtoGg,IF('Net zero activities &amp; levers'!$C$12="MS",('Net zero Activity data'!BL17*EF!$H30)*kgtoGg,"ERROR")))</f>
        <v>33.564283425055578</v>
      </c>
      <c r="AT942" s="100">
        <f>IF('Net zero activities &amp; levers'!$C$12="Off",('Activity data'!BM17*EF!$H30)*kgtoGg,IF('Net zero activities &amp; levers'!$C$12="PB",('Activity data'!BM17*EF!$H30)*kgtoGg,IF('Net zero activities &amp; levers'!$C$12="MS",('Net zero Activity data'!BM17*EF!$H30)*kgtoGg,"ERROR")))</f>
        <v>33.710416184198159</v>
      </c>
      <c r="AU942" s="100">
        <f>IF('Net zero activities &amp; levers'!$C$12="Off",('Activity data'!BN17*EF!$H30)*kgtoGg,IF('Net zero activities &amp; levers'!$C$12="PB",('Activity data'!BN17*EF!$H30)*kgtoGg,IF('Net zero activities &amp; levers'!$C$12="MS",('Net zero Activity data'!BN17*EF!$H30)*kgtoGg,"ERROR")))</f>
        <v>33.816346670611303</v>
      </c>
      <c r="AV942" s="100">
        <f>IF('Net zero activities &amp; levers'!$C$12="Off",('Activity data'!BO17*EF!$H30)*kgtoGg,IF('Net zero activities &amp; levers'!$C$12="PB",('Activity data'!BO17*EF!$H30)*kgtoGg,IF('Net zero activities &amp; levers'!$C$12="MS",('Net zero Activity data'!BO17*EF!$H30)*kgtoGg,"ERROR")))</f>
        <v>33.97537205277176</v>
      </c>
      <c r="AW942" s="100">
        <f>IF('Net zero activities &amp; levers'!$C$12="Off",('Activity data'!BP17*EF!$H30)*kgtoGg,IF('Net zero activities &amp; levers'!$C$12="PB",('Activity data'!BP17*EF!$H30)*kgtoGg,IF('Net zero activities &amp; levers'!$C$12="MS",('Net zero Activity data'!BP17*EF!$H30)*kgtoGg,"ERROR")))</f>
        <v>34.099539307658524</v>
      </c>
      <c r="AY942" s="85"/>
      <c r="AZ942" s="85"/>
    </row>
    <row r="943" spans="1:52" x14ac:dyDescent="0.25">
      <c r="A943" s="102" t="str">
        <f t="shared" si="326"/>
        <v>DS Swine MMCH4</v>
      </c>
      <c r="B943" s="102" t="s">
        <v>975</v>
      </c>
      <c r="C943" s="102" t="s">
        <v>1231</v>
      </c>
      <c r="D943" t="s">
        <v>15</v>
      </c>
      <c r="E943" t="s">
        <v>22</v>
      </c>
      <c r="F943" t="s">
        <v>21</v>
      </c>
      <c r="G943" t="s">
        <v>123</v>
      </c>
      <c r="H943" t="s">
        <v>1228</v>
      </c>
      <c r="I943" t="s">
        <v>121</v>
      </c>
      <c r="J943" t="s">
        <v>286</v>
      </c>
      <c r="K943" s="100">
        <f>IF('Net zero activities &amp; levers'!$C$12="Off",('Activity data'!AD18*EF!$H31)*kgtoGg,IF('Net zero activities &amp; levers'!$C$12="PB",('Activity data'!AD18*EF!$H31)*kgtoGg,IF('Net zero activities &amp; levers'!$C$12="MS",('Net zero Activity data'!AD18*EF!$H31)*kgtoGg,"ERROR")))</f>
        <v>7.8242315709845453E-2</v>
      </c>
      <c r="L943" s="100">
        <f>IF('Net zero activities &amp; levers'!$C$12="Off",('Activity data'!AE18*EF!$H31)*kgtoGg,IF('Net zero activities &amp; levers'!$C$12="PB",('Activity data'!AE18*EF!$H31)*kgtoGg,IF('Net zero activities &amp; levers'!$C$12="MS",('Net zero Activity data'!AE18*EF!$H31)*kgtoGg,"ERROR")))</f>
        <v>7.8104031493402004E-2</v>
      </c>
      <c r="M943" s="100">
        <f>IF('Net zero activities &amp; levers'!$C$12="Off",('Activity data'!AF18*EF!$H31)*kgtoGg,IF('Net zero activities &amp; levers'!$C$12="PB",('Activity data'!AF18*EF!$H31)*kgtoGg,IF('Net zero activities &amp; levers'!$C$12="MS",('Net zero Activity data'!AF18*EF!$H31)*kgtoGg,"ERROR")))</f>
        <v>7.7665827010763841E-2</v>
      </c>
      <c r="N943" s="100">
        <f>IF('Net zero activities &amp; levers'!$C$12="Off",('Activity data'!AG18*EF!$H31)*kgtoGg,IF('Net zero activities &amp; levers'!$C$12="PB",('Activity data'!AG18*EF!$H31)*kgtoGg,IF('Net zero activities &amp; levers'!$C$12="MS",('Net zero Activity data'!AG18*EF!$H31)*kgtoGg,"ERROR")))</f>
        <v>7.5952031229919295E-2</v>
      </c>
      <c r="O943" s="100">
        <f>IF('Net zero activities &amp; levers'!$C$12="Off",('Activity data'!AH18*EF!$H31)*kgtoGg,IF('Net zero activities &amp; levers'!$C$12="PB",('Activity data'!AH18*EF!$H31)*kgtoGg,IF('Net zero activities &amp; levers'!$C$12="MS",('Net zero Activity data'!AH18*EF!$H31)*kgtoGg,"ERROR")))</f>
        <v>7.4331360286072609E-2</v>
      </c>
      <c r="P943" s="100">
        <f>IF('Net zero activities &amp; levers'!$C$12="Off",('Activity data'!AI18*EF!$H31)*kgtoGg,IF('Net zero activities &amp; levers'!$C$12="PB",('Activity data'!AI18*EF!$H31)*kgtoGg,IF('Net zero activities &amp; levers'!$C$12="MS",('Net zero Activity data'!AI18*EF!$H31)*kgtoGg,"ERROR")))</f>
        <v>7.4069780544722574E-2</v>
      </c>
      <c r="Q943" s="100">
        <f>IF('Net zero activities &amp; levers'!$C$12="Off",('Activity data'!AJ18*EF!$H31)*kgtoGg,IF('Net zero activities &amp; levers'!$C$12="PB",('Activity data'!AJ18*EF!$H31)*kgtoGg,IF('Net zero activities &amp; levers'!$C$12="MS",('Net zero Activity data'!AJ18*EF!$H31)*kgtoGg,"ERROR")))</f>
        <v>7.343479182129313E-2</v>
      </c>
      <c r="R943" s="100">
        <f>IF('Net zero activities &amp; levers'!$C$12="Off",('Activity data'!AK18*EF!$H31)*kgtoGg,IF('Net zero activities &amp; levers'!$C$12="PB",('Activity data'!AK18*EF!$H31)*kgtoGg,IF('Net zero activities &amp; levers'!$C$12="MS",('Net zero Activity data'!AK18*EF!$H31)*kgtoGg,"ERROR")))</f>
        <v>7.1479069968441278E-2</v>
      </c>
      <c r="S943" s="100">
        <f>IF('Net zero activities &amp; levers'!$C$12="Off",('Activity data'!AL18*EF!$H31)*kgtoGg,IF('Net zero activities &amp; levers'!$C$12="PB",('Activity data'!AL18*EF!$H31)*kgtoGg,IF('Net zero activities &amp; levers'!$C$12="MS",('Net zero Activity data'!AL18*EF!$H31)*kgtoGg,"ERROR")))</f>
        <v>6.3756023202968359E-2</v>
      </c>
      <c r="T943" s="100">
        <f>IF('Net zero activities &amp; levers'!$C$12="Off",('Activity data'!AM18*EF!$H31)*kgtoGg,IF('Net zero activities &amp; levers'!$C$12="PB",('Activity data'!AM18*EF!$H31)*kgtoGg,IF('Net zero activities &amp; levers'!$C$12="MS",('Net zero Activity data'!AM18*EF!$H31)*kgtoGg,"ERROR")))</f>
        <v>6.5127454308207822E-2</v>
      </c>
      <c r="U943" s="100">
        <f>IF('Net zero activities &amp; levers'!$C$12="Off",('Activity data'!AN18*EF!$H31)*kgtoGg,IF('Net zero activities &amp; levers'!$C$12="PB",('Activity data'!AN18*EF!$H31)*kgtoGg,IF('Net zero activities &amp; levers'!$C$12="MS",('Net zero Activity data'!AN18*EF!$H31)*kgtoGg,"ERROR")))</f>
        <v>6.5758973531256606E-2</v>
      </c>
      <c r="V943" s="100">
        <f>IF('Net zero activities &amp; levers'!$C$12="Off",('Activity data'!AO18*EF!$H31)*kgtoGg,IF('Net zero activities &amp; levers'!$C$12="PB",('Activity data'!AO18*EF!$H31)*kgtoGg,IF('Net zero activities &amp; levers'!$C$12="MS",('Net zero Activity data'!AO18*EF!$H31)*kgtoGg,"ERROR")))</f>
        <v>6.6218914311650043E-2</v>
      </c>
      <c r="W943" s="100">
        <f>IF('Net zero activities &amp; levers'!$C$12="Off",('Activity data'!AP18*EF!$H31)*kgtoGg,IF('Net zero activities &amp; levers'!$C$12="PB",('Activity data'!AP18*EF!$H31)*kgtoGg,IF('Net zero activities &amp; levers'!$C$12="MS",('Net zero Activity data'!AP18*EF!$H31)*kgtoGg,"ERROR")))</f>
        <v>6.6925047342929228E-2</v>
      </c>
      <c r="X943" s="100">
        <f>IF('Net zero activities &amp; levers'!$C$12="Off",('Activity data'!AQ18*EF!$H31)*kgtoGg,IF('Net zero activities &amp; levers'!$C$12="PB",('Activity data'!AQ18*EF!$H31)*kgtoGg,IF('Net zero activities &amp; levers'!$C$12="MS",('Net zero Activity data'!AQ18*EF!$H31)*kgtoGg,"ERROR")))</f>
        <v>6.8493155616464185E-2</v>
      </c>
      <c r="Y943" s="100">
        <f>IF('Net zero activities &amp; levers'!$C$12="Off",('Activity data'!AR18*EF!$H31)*kgtoGg,IF('Net zero activities &amp; levers'!$C$12="PB",('Activity data'!AR18*EF!$H31)*kgtoGg,IF('Net zero activities &amp; levers'!$C$12="MS",('Net zero Activity data'!AR18*EF!$H31)*kgtoGg,"ERROR")))</f>
        <v>7.0257974114907237E-2</v>
      </c>
      <c r="Z943" s="100">
        <f>IF('Net zero activities &amp; levers'!$C$12="Off",('Activity data'!AS18*EF!$H31)*kgtoGg,IF('Net zero activities &amp; levers'!$C$12="PB",('Activity data'!AS18*EF!$H31)*kgtoGg,IF('Net zero activities &amp; levers'!$C$12="MS",('Net zero Activity data'!AS18*EF!$H31)*kgtoGg,"ERROR")))</f>
        <v>7.2200002258099263E-2</v>
      </c>
      <c r="AA943" s="100">
        <f>IF('Net zero activities &amp; levers'!$C$12="Off",('Activity data'!AT18*EF!$H31)*kgtoGg,IF('Net zero activities &amp; levers'!$C$12="PB",('Activity data'!AT18*EF!$H31)*kgtoGg,IF('Net zero activities &amp; levers'!$C$12="MS",('Net zero Activity data'!AT18*EF!$H31)*kgtoGg,"ERROR")))</f>
        <v>7.3752926071568817E-2</v>
      </c>
      <c r="AB943" s="100">
        <f>IF('Net zero activities &amp; levers'!$C$12="Off",('Activity data'!AU18*EF!$H31)*kgtoGg,IF('Net zero activities &amp; levers'!$C$12="PB",('Activity data'!AU18*EF!$H31)*kgtoGg,IF('Net zero activities &amp; levers'!$C$12="MS",('Net zero Activity data'!AU18*EF!$H31)*kgtoGg,"ERROR")))</f>
        <v>7.5654978462394759E-2</v>
      </c>
      <c r="AC943" s="100">
        <f>IF('Net zero activities &amp; levers'!$C$12="Off",('Activity data'!AV18*EF!$H31)*kgtoGg,IF('Net zero activities &amp; levers'!$C$12="PB",('Activity data'!AV18*EF!$H31)*kgtoGg,IF('Net zero activities &amp; levers'!$C$12="MS",('Net zero Activity data'!AV18*EF!$H31)*kgtoGg,"ERROR")))</f>
        <v>7.7982653171161778E-2</v>
      </c>
      <c r="AD943" s="100">
        <f>IF('Net zero activities &amp; levers'!$C$12="Off",('Activity data'!AW18*EF!$H31)*kgtoGg,IF('Net zero activities &amp; levers'!$C$12="PB",('Activity data'!AW18*EF!$H31)*kgtoGg,IF('Net zero activities &amp; levers'!$C$12="MS",('Net zero Activity data'!AW18*EF!$H31)*kgtoGg,"ERROR")))</f>
        <v>8.0185907988803429E-2</v>
      </c>
      <c r="AE943" s="100">
        <f>IF('Net zero activities &amp; levers'!$C$12="Off",('Activity data'!AX18*EF!$H31)*kgtoGg,IF('Net zero activities &amp; levers'!$C$12="PB",('Activity data'!AX18*EF!$H31)*kgtoGg,IF('Net zero activities &amp; levers'!$C$12="MS",('Net zero Activity data'!AX18*EF!$H31)*kgtoGg,"ERROR")))</f>
        <v>8.247901004647068E-2</v>
      </c>
      <c r="AF943" s="100">
        <f>IF('Net zero activities &amp; levers'!$C$12="Off",('Activity data'!AY18*EF!$H31)*kgtoGg,IF('Net zero activities &amp; levers'!$C$12="PB",('Activity data'!AY18*EF!$H31)*kgtoGg,IF('Net zero activities &amp; levers'!$C$12="MS",('Net zero Activity data'!AY18*EF!$H31)*kgtoGg,"ERROR")))</f>
        <v>8.4785557764009881E-2</v>
      </c>
      <c r="AG943" s="100">
        <f>IF('Net zero activities &amp; levers'!$C$12="Off",('Activity data'!AZ18*EF!$H31)*kgtoGg,IF('Net zero activities &amp; levers'!$C$12="PB",('Activity data'!AZ18*EF!$H31)*kgtoGg,IF('Net zero activities &amp; levers'!$C$12="MS",('Net zero Activity data'!AZ18*EF!$H31)*kgtoGg,"ERROR")))</f>
        <v>8.7416123070767446E-2</v>
      </c>
      <c r="AH943" s="100">
        <f>IF('Net zero activities &amp; levers'!$C$12="Off",('Activity data'!BA18*EF!$H31)*kgtoGg,IF('Net zero activities &amp; levers'!$C$12="PB",('Activity data'!BA18*EF!$H31)*kgtoGg,IF('Net zero activities &amp; levers'!$C$12="MS",('Net zero Activity data'!BA18*EF!$H31)*kgtoGg,"ERROR")))</f>
        <v>8.9548802773294175E-2</v>
      </c>
      <c r="AI943" s="100">
        <f>IF('Net zero activities &amp; levers'!$C$12="Off",('Activity data'!BB18*EF!$H31)*kgtoGg,IF('Net zero activities &amp; levers'!$C$12="PB",('Activity data'!BB18*EF!$H31)*kgtoGg,IF('Net zero activities &amp; levers'!$C$12="MS",('Net zero Activity data'!BB18*EF!$H31)*kgtoGg,"ERROR")))</f>
        <v>9.1834041147225251E-2</v>
      </c>
      <c r="AJ943" s="100">
        <f>IF('Net zero activities &amp; levers'!$C$12="Off",('Activity data'!BC18*EF!$H31)*kgtoGg,IF('Net zero activities &amp; levers'!$C$12="PB",('Activity data'!BC18*EF!$H31)*kgtoGg,IF('Net zero activities &amp; levers'!$C$12="MS",('Net zero Activity data'!BC18*EF!$H31)*kgtoGg,"ERROR")))</f>
        <v>9.4119711277731624E-2</v>
      </c>
      <c r="AK943" s="100">
        <f>IF('Net zero activities &amp; levers'!$C$12="Off",('Activity data'!BD18*EF!$H31)*kgtoGg,IF('Net zero activities &amp; levers'!$C$12="PB",('Activity data'!BD18*EF!$H31)*kgtoGg,IF('Net zero activities &amp; levers'!$C$12="MS",('Net zero Activity data'!BD18*EF!$H31)*kgtoGg,"ERROR")))</f>
        <v>9.6194173354304288E-2</v>
      </c>
      <c r="AL943" s="100">
        <f>IF('Net zero activities &amp; levers'!$C$12="Off",('Activity data'!BE18*EF!$H31)*kgtoGg,IF('Net zero activities &amp; levers'!$C$12="PB",('Activity data'!BE18*EF!$H31)*kgtoGg,IF('Net zero activities &amp; levers'!$C$12="MS",('Net zero Activity data'!BE18*EF!$H31)*kgtoGg,"ERROR")))</f>
        <v>9.820429461311192E-2</v>
      </c>
      <c r="AM943" s="100">
        <f>IF('Net zero activities &amp; levers'!$C$12="Off",('Activity data'!BF18*EF!$H31)*kgtoGg,IF('Net zero activities &amp; levers'!$C$12="PB",('Activity data'!BF18*EF!$H31)*kgtoGg,IF('Net zero activities &amp; levers'!$C$12="MS",('Net zero Activity data'!BF18*EF!$H31)*kgtoGg,"ERROR")))</f>
        <v>0.10027669793694233</v>
      </c>
      <c r="AN943" s="100">
        <f>IF('Net zero activities &amp; levers'!$C$12="Off",('Activity data'!BG18*EF!$H31)*kgtoGg,IF('Net zero activities &amp; levers'!$C$12="PB",('Activity data'!BG18*EF!$H31)*kgtoGg,IF('Net zero activities &amp; levers'!$C$12="MS",('Net zero Activity data'!BG18*EF!$H31)*kgtoGg,"ERROR")))</f>
        <v>0.10246765233927585</v>
      </c>
      <c r="AO943" s="100">
        <f>IF('Net zero activities &amp; levers'!$C$12="Off",('Activity data'!BH18*EF!$H31)*kgtoGg,IF('Net zero activities &amp; levers'!$C$12="PB",('Activity data'!BH18*EF!$H31)*kgtoGg,IF('Net zero activities &amp; levers'!$C$12="MS",('Net zero Activity data'!BH18*EF!$H31)*kgtoGg,"ERROR")))</f>
        <v>0.10439393943553288</v>
      </c>
      <c r="AP943" s="100">
        <f>IF('Net zero activities &amp; levers'!$C$12="Off",('Activity data'!BI18*EF!$H31)*kgtoGg,IF('Net zero activities &amp; levers'!$C$12="PB",('Activity data'!BI18*EF!$H31)*kgtoGg,IF('Net zero activities &amp; levers'!$C$12="MS",('Net zero Activity data'!BI18*EF!$H31)*kgtoGg,"ERROR")))</f>
        <v>0.10630619125495884</v>
      </c>
      <c r="AQ943" s="100">
        <f>IF('Net zero activities &amp; levers'!$C$12="Off",('Activity data'!BJ18*EF!$H31)*kgtoGg,IF('Net zero activities &amp; levers'!$C$12="PB",('Activity data'!BJ18*EF!$H31)*kgtoGg,IF('Net zero activities &amp; levers'!$C$12="MS",('Net zero Activity data'!BJ18*EF!$H31)*kgtoGg,"ERROR")))</f>
        <v>0.10820949220647513</v>
      </c>
      <c r="AR943" s="100">
        <f>IF('Net zero activities &amp; levers'!$C$12="Off",('Activity data'!BK18*EF!$H31)*kgtoGg,IF('Net zero activities &amp; levers'!$C$12="PB",('Activity data'!BK18*EF!$H31)*kgtoGg,IF('Net zero activities &amp; levers'!$C$12="MS",('Net zero Activity data'!BK18*EF!$H31)*kgtoGg,"ERROR")))</f>
        <v>0.1102718857365395</v>
      </c>
      <c r="AS943" s="100">
        <f>IF('Net zero activities &amp; levers'!$C$12="Off",('Activity data'!BL18*EF!$H31)*kgtoGg,IF('Net zero activities &amp; levers'!$C$12="PB",('Activity data'!BL18*EF!$H31)*kgtoGg,IF('Net zero activities &amp; levers'!$C$12="MS",('Net zero Activity data'!BL18*EF!$H31)*kgtoGg,"ERROR")))</f>
        <v>0.11236419871638305</v>
      </c>
      <c r="AT943" s="100">
        <f>IF('Net zero activities &amp; levers'!$C$12="Off",('Activity data'!BM18*EF!$H31)*kgtoGg,IF('Net zero activities &amp; levers'!$C$12="PB",('Activity data'!BM18*EF!$H31)*kgtoGg,IF('Net zero activities &amp; levers'!$C$12="MS",('Net zero Activity data'!BM18*EF!$H31)*kgtoGg,"ERROR")))</f>
        <v>0.11285341191302209</v>
      </c>
      <c r="AU943" s="100">
        <f>IF('Net zero activities &amp; levers'!$C$12="Off",('Activity data'!BN18*EF!$H31)*kgtoGg,IF('Net zero activities &amp; levers'!$C$12="PB",('Activity data'!BN18*EF!$H31)*kgtoGg,IF('Net zero activities &amp; levers'!$C$12="MS",('Net zero Activity data'!BN18*EF!$H31)*kgtoGg,"ERROR")))</f>
        <v>0.11320803870706722</v>
      </c>
      <c r="AV943" s="100">
        <f>IF('Net zero activities &amp; levers'!$C$12="Off",('Activity data'!BO18*EF!$H31)*kgtoGg,IF('Net zero activities &amp; levers'!$C$12="PB",('Activity data'!BO18*EF!$H31)*kgtoGg,IF('Net zero activities &amp; levers'!$C$12="MS",('Net zero Activity data'!BO18*EF!$H31)*kgtoGg,"ERROR")))</f>
        <v>0.11374041293999027</v>
      </c>
      <c r="AW943" s="100">
        <f>IF('Net zero activities &amp; levers'!$C$12="Off",('Activity data'!BP18*EF!$H31)*kgtoGg,IF('Net zero activities &amp; levers'!$C$12="PB",('Activity data'!BP18*EF!$H31)*kgtoGg,IF('Net zero activities &amp; levers'!$C$12="MS",('Net zero Activity data'!BP18*EF!$H31)*kgtoGg,"ERROR")))</f>
        <v>0.11415609153278124</v>
      </c>
      <c r="AY943" s="85"/>
      <c r="AZ943" s="85"/>
    </row>
    <row r="944" spans="1:52" x14ac:dyDescent="0.25">
      <c r="A944" s="102" t="str">
        <f t="shared" si="326"/>
        <v>DS Poultry MMCH4</v>
      </c>
      <c r="B944" s="102" t="s">
        <v>975</v>
      </c>
      <c r="C944" s="102" t="s">
        <v>1232</v>
      </c>
      <c r="D944" t="s">
        <v>15</v>
      </c>
      <c r="E944" t="s">
        <v>22</v>
      </c>
      <c r="F944" t="s">
        <v>28</v>
      </c>
      <c r="G944" t="s">
        <v>131</v>
      </c>
      <c r="H944" t="s">
        <v>1228</v>
      </c>
      <c r="I944" t="s">
        <v>121</v>
      </c>
      <c r="J944" t="s">
        <v>286</v>
      </c>
      <c r="K944" s="100">
        <f>IF('Net zero activities &amp; levers'!$C$12="Off",('Activity data'!AD19*EF!$H32)*kgtoGg,IF('Net zero activities &amp; levers'!$C$12="PB",('Activity data'!AD19*EF!$H32)*kgtoGg,IF('Net zero activities &amp; levers'!$C$12="MS",('Net zero Activity data'!AD19*EF!$H32)*kgtoGg,"ERROR")))</f>
        <v>0.55747442882718667</v>
      </c>
      <c r="L944" s="100">
        <f>IF('Net zero activities &amp; levers'!$C$12="Off",('Activity data'!AE19*EF!$H32)*kgtoGg,IF('Net zero activities &amp; levers'!$C$12="PB",('Activity data'!AE19*EF!$H32)*kgtoGg,IF('Net zero activities &amp; levers'!$C$12="MS",('Net zero Activity data'!AE19*EF!$H32)*kgtoGg,"ERROR")))</f>
        <v>0.57000466235661118</v>
      </c>
      <c r="M944" s="100">
        <f>IF('Net zero activities &amp; levers'!$C$12="Off",('Activity data'!AF19*EF!$H32)*kgtoGg,IF('Net zero activities &amp; levers'!$C$12="PB",('Activity data'!AF19*EF!$H32)*kgtoGg,IF('Net zero activities &amp; levers'!$C$12="MS",('Net zero Activity data'!AF19*EF!$H32)*kgtoGg,"ERROR")))</f>
        <v>0.58133812133078289</v>
      </c>
      <c r="N944" s="100">
        <f>IF('Net zero activities &amp; levers'!$C$12="Off",('Activity data'!AG19*EF!$H32)*kgtoGg,IF('Net zero activities &amp; levers'!$C$12="PB",('Activity data'!AG19*EF!$H32)*kgtoGg,IF('Net zero activities &amp; levers'!$C$12="MS",('Net zero Activity data'!AG19*EF!$H32)*kgtoGg,"ERROR")))</f>
        <v>0.58718909348293968</v>
      </c>
      <c r="O944" s="100">
        <f>IF('Net zero activities &amp; levers'!$C$12="Off",('Activity data'!AH19*EF!$H32)*kgtoGg,IF('Net zero activities &amp; levers'!$C$12="PB",('Activity data'!AH19*EF!$H32)*kgtoGg,IF('Net zero activities &amp; levers'!$C$12="MS",('Net zero Activity data'!AH19*EF!$H32)*kgtoGg,"ERROR")))</f>
        <v>0.59320136752099994</v>
      </c>
      <c r="P944" s="100">
        <f>IF('Net zero activities &amp; levers'!$C$12="Off",('Activity data'!AI19*EF!$H32)*kgtoGg,IF('Net zero activities &amp; levers'!$C$12="PB",('Activity data'!AI19*EF!$H32)*kgtoGg,IF('Net zero activities &amp; levers'!$C$12="MS",('Net zero Activity data'!AI19*EF!$H32)*kgtoGg,"ERROR")))</f>
        <v>0.60517178839490071</v>
      </c>
      <c r="Q944" s="100">
        <f>IF('Net zero activities &amp; levers'!$C$12="Off",('Activity data'!AJ19*EF!$H32)*kgtoGg,IF('Net zero activities &amp; levers'!$C$12="PB",('Activity data'!AJ19*EF!$H32)*kgtoGg,IF('Net zero activities &amp; levers'!$C$12="MS",('Net zero Activity data'!AJ19*EF!$H32)*kgtoGg,"ERROR")))</f>
        <v>0.61540759790167998</v>
      </c>
      <c r="R944" s="100">
        <f>IF('Net zero activities &amp; levers'!$C$12="Off",('Activity data'!AK19*EF!$H32)*kgtoGg,IF('Net zero activities &amp; levers'!$C$12="PB",('Activity data'!AK19*EF!$H32)*kgtoGg,IF('Net zero activities &amp; levers'!$C$12="MS",('Net zero Activity data'!AK19*EF!$H32)*kgtoGg,"ERROR")))</f>
        <v>0.61929285714109983</v>
      </c>
      <c r="S944" s="100">
        <f>IF('Net zero activities &amp; levers'!$C$12="Off",('Activity data'!AL19*EF!$H32)*kgtoGg,IF('Net zero activities &amp; levers'!$C$12="PB",('Activity data'!AL19*EF!$H32)*kgtoGg,IF('Net zero activities &amp; levers'!$C$12="MS",('Net zero Activity data'!AL19*EF!$H32)*kgtoGg,"ERROR")))</f>
        <v>0.59469792033381752</v>
      </c>
      <c r="T944" s="100">
        <f>IF('Net zero activities &amp; levers'!$C$12="Off",('Activity data'!AM19*EF!$H32)*kgtoGg,IF('Net zero activities &amp; levers'!$C$12="PB",('Activity data'!AM19*EF!$H32)*kgtoGg,IF('Net zero activities &amp; levers'!$C$12="MS",('Net zero Activity data'!AM19*EF!$H32)*kgtoGg,"ERROR")))</f>
        <v>0.6123961678050206</v>
      </c>
      <c r="U944" s="100">
        <f>IF('Net zero activities &amp; levers'!$C$12="Off",('Activity data'!AN19*EF!$H32)*kgtoGg,IF('Net zero activities &amp; levers'!$C$12="PB",('Activity data'!AN19*EF!$H32)*kgtoGg,IF('Net zero activities &amp; levers'!$C$12="MS",('Net zero Activity data'!AN19*EF!$H32)*kgtoGg,"ERROR")))</f>
        <v>0.62670000214524924</v>
      </c>
      <c r="V944" s="100">
        <f>IF('Net zero activities &amp; levers'!$C$12="Off",('Activity data'!AO19*EF!$H32)*kgtoGg,IF('Net zero activities &amp; levers'!$C$12="PB",('Activity data'!AO19*EF!$H32)*kgtoGg,IF('Net zero activities &amp; levers'!$C$12="MS",('Net zero Activity data'!AO19*EF!$H32)*kgtoGg,"ERROR")))</f>
        <v>0.64033072034628857</v>
      </c>
      <c r="W944" s="100">
        <f>IF('Net zero activities &amp; levers'!$C$12="Off",('Activity data'!AP19*EF!$H32)*kgtoGg,IF('Net zero activities &amp; levers'!$C$12="PB",('Activity data'!AP19*EF!$H32)*kgtoGg,IF('Net zero activities &amp; levers'!$C$12="MS",('Net zero Activity data'!AP19*EF!$H32)*kgtoGg,"ERROR")))</f>
        <v>0.65546604439463374</v>
      </c>
      <c r="X944" s="100">
        <f>IF('Net zero activities &amp; levers'!$C$12="Off",('Activity data'!AQ19*EF!$H32)*kgtoGg,IF('Net zero activities &amp; levers'!$C$12="PB",('Activity data'!AQ19*EF!$H32)*kgtoGg,IF('Net zero activities &amp; levers'!$C$12="MS",('Net zero Activity data'!AQ19*EF!$H32)*kgtoGg,"ERROR")))</f>
        <v>0.67555681395741984</v>
      </c>
      <c r="Y944" s="100">
        <f>IF('Net zero activities &amp; levers'!$C$12="Off",('Activity data'!AR19*EF!$H32)*kgtoGg,IF('Net zero activities &amp; levers'!$C$12="PB",('Activity data'!AR19*EF!$H32)*kgtoGg,IF('Net zero activities &amp; levers'!$C$12="MS",('Net zero Activity data'!AR19*EF!$H32)*kgtoGg,"ERROR")))</f>
        <v>0.69665833659280063</v>
      </c>
      <c r="Z944" s="100">
        <f>IF('Net zero activities &amp; levers'!$C$12="Off",('Activity data'!AS19*EF!$H32)*kgtoGg,IF('Net zero activities &amp; levers'!$C$12="PB",('Activity data'!AS19*EF!$H32)*kgtoGg,IF('Net zero activities &amp; levers'!$C$12="MS",('Net zero Activity data'!AS19*EF!$H32)*kgtoGg,"ERROR")))</f>
        <v>0.7192776675745407</v>
      </c>
      <c r="AA944" s="100">
        <f>IF('Net zero activities &amp; levers'!$C$12="Off",('Activity data'!AT19*EF!$H32)*kgtoGg,IF('Net zero activities &amp; levers'!$C$12="PB",('Activity data'!AT19*EF!$H32)*kgtoGg,IF('Net zero activities &amp; levers'!$C$12="MS",('Net zero Activity data'!AT19*EF!$H32)*kgtoGg,"ERROR")))</f>
        <v>0.74020059701318874</v>
      </c>
      <c r="AB944" s="100">
        <f>IF('Net zero activities &amp; levers'!$C$12="Off",('Activity data'!AU19*EF!$H32)*kgtoGg,IF('Net zero activities &amp; levers'!$C$12="PB",('Activity data'!AU19*EF!$H32)*kgtoGg,IF('Net zero activities &amp; levers'!$C$12="MS",('Net zero Activity data'!AU19*EF!$H32)*kgtoGg,"ERROR")))</f>
        <v>0.7636741686553643</v>
      </c>
      <c r="AC944" s="100">
        <f>IF('Net zero activities &amp; levers'!$C$12="Off",('Activity data'!AV19*EF!$H32)*kgtoGg,IF('Net zero activities &amp; levers'!$C$12="PB",('Activity data'!AV19*EF!$H32)*kgtoGg,IF('Net zero activities &amp; levers'!$C$12="MS",('Net zero Activity data'!AV19*EF!$H32)*kgtoGg,"ERROR")))</f>
        <v>0.79029892011866243</v>
      </c>
      <c r="AD944" s="100">
        <f>IF('Net zero activities &amp; levers'!$C$12="Off",('Activity data'!AW19*EF!$H32)*kgtoGg,IF('Net zero activities &amp; levers'!$C$12="PB",('Activity data'!AW19*EF!$H32)*kgtoGg,IF('Net zero activities &amp; levers'!$C$12="MS",('Net zero Activity data'!AW19*EF!$H32)*kgtoGg,"ERROR")))</f>
        <v>0.81639549054517768</v>
      </c>
      <c r="AE944" s="100">
        <f>IF('Net zero activities &amp; levers'!$C$12="Off",('Activity data'!AX19*EF!$H32)*kgtoGg,IF('Net zero activities &amp; levers'!$C$12="PB",('Activity data'!AX19*EF!$H32)*kgtoGg,IF('Net zero activities &amp; levers'!$C$12="MS",('Net zero Activity data'!AX19*EF!$H32)*kgtoGg,"ERROR")))</f>
        <v>0.84372718721281392</v>
      </c>
      <c r="AF944" s="100">
        <f>IF('Net zero activities &amp; levers'!$C$12="Off",('Activity data'!AY19*EF!$H32)*kgtoGg,IF('Net zero activities &amp; levers'!$C$12="PB",('Activity data'!AY19*EF!$H32)*kgtoGg,IF('Net zero activities &amp; levers'!$C$12="MS",('Net zero Activity data'!AY19*EF!$H32)*kgtoGg,"ERROR")))</f>
        <v>0.87185215188264154</v>
      </c>
      <c r="AG944" s="100">
        <f>IF('Net zero activities &amp; levers'!$C$12="Off",('Activity data'!AZ19*EF!$H32)*kgtoGg,IF('Net zero activities &amp; levers'!$C$12="PB",('Activity data'!AZ19*EF!$H32)*kgtoGg,IF('Net zero activities &amp; levers'!$C$12="MS",('Net zero Activity data'!AZ19*EF!$H32)*kgtoGg,"ERROR")))</f>
        <v>0.90282405951998446</v>
      </c>
      <c r="AH944" s="100">
        <f>IF('Net zero activities &amp; levers'!$C$12="Off",('Activity data'!BA19*EF!$H32)*kgtoGg,IF('Net zero activities &amp; levers'!$C$12="PB",('Activity data'!BA19*EF!$H32)*kgtoGg,IF('Net zero activities &amp; levers'!$C$12="MS",('Net zero Activity data'!BA19*EF!$H32)*kgtoGg,"ERROR")))</f>
        <v>0.93129930364506475</v>
      </c>
      <c r="AI944" s="100">
        <f>IF('Net zero activities &amp; levers'!$C$12="Off",('Activity data'!BB19*EF!$H32)*kgtoGg,IF('Net zero activities &amp; levers'!$C$12="PB",('Activity data'!BB19*EF!$H32)*kgtoGg,IF('Net zero activities &amp; levers'!$C$12="MS",('Net zero Activity data'!BB19*EF!$H32)*kgtoGg,"ERROR")))</f>
        <v>0.96108950462978437</v>
      </c>
      <c r="AJ944" s="100">
        <f>IF('Net zero activities &amp; levers'!$C$12="Off",('Activity data'!BC19*EF!$H32)*kgtoGg,IF('Net zero activities &amp; levers'!$C$12="PB",('Activity data'!BC19*EF!$H32)*kgtoGg,IF('Net zero activities &amp; levers'!$C$12="MS",('Net zero Activity data'!BC19*EF!$H32)*kgtoGg,"ERROR")))</f>
        <v>0.99164854163197635</v>
      </c>
      <c r="AK944" s="100">
        <f>IF('Net zero activities &amp; levers'!$C$12="Off",('Activity data'!BD19*EF!$H32)*kgtoGg,IF('Net zero activities &amp; levers'!$C$12="PB",('Activity data'!BD19*EF!$H32)*kgtoGg,IF('Net zero activities &amp; levers'!$C$12="MS",('Net zero Activity data'!BD19*EF!$H32)*kgtoGg,"ERROR")))</f>
        <v>1.0214996622641284</v>
      </c>
      <c r="AL944" s="100">
        <f>IF('Net zero activities &amp; levers'!$C$12="Off",('Activity data'!BE19*EF!$H32)*kgtoGg,IF('Net zero activities &amp; levers'!$C$12="PB",('Activity data'!BE19*EF!$H32)*kgtoGg,IF('Net zero activities &amp; levers'!$C$12="MS",('Net zero Activity data'!BE19*EF!$H32)*kgtoGg,"ERROR")))</f>
        <v>1.0516345292230644</v>
      </c>
      <c r="AM944" s="100">
        <f>IF('Net zero activities &amp; levers'!$C$12="Off",('Activity data'!BF19*EF!$H32)*kgtoGg,IF('Net zero activities &amp; levers'!$C$12="PB",('Activity data'!BF19*EF!$H32)*kgtoGg,IF('Net zero activities &amp; levers'!$C$12="MS",('Net zero Activity data'!BF19*EF!$H32)*kgtoGg,"ERROR")))</f>
        <v>1.0829748845958596</v>
      </c>
      <c r="AN944" s="100">
        <f>IF('Net zero activities &amp; levers'!$C$12="Off",('Activity data'!BG19*EF!$H32)*kgtoGg,IF('Net zero activities &amp; levers'!$C$12="PB",('Activity data'!BG19*EF!$H32)*kgtoGg,IF('Net zero activities &amp; levers'!$C$12="MS",('Net zero Activity data'!BG19*EF!$H32)*kgtoGg,"ERROR")))</f>
        <v>1.1155704742631816</v>
      </c>
      <c r="AO944" s="100">
        <f>IF('Net zero activities &amp; levers'!$C$12="Off",('Activity data'!BH19*EF!$H32)*kgtoGg,IF('Net zero activities &amp; levers'!$C$12="PB",('Activity data'!BH19*EF!$H32)*kgtoGg,IF('Net zero activities &amp; levers'!$C$12="MS",('Net zero Activity data'!BH19*EF!$H32)*kgtoGg,"ERROR")))</f>
        <v>1.1469836186626363</v>
      </c>
      <c r="AP944" s="100">
        <f>IF('Net zero activities &amp; levers'!$C$12="Off",('Activity data'!BI19*EF!$H32)*kgtoGg,IF('Net zero activities &amp; levers'!$C$12="PB",('Activity data'!BI19*EF!$H32)*kgtoGg,IF('Net zero activities &amp; levers'!$C$12="MS",('Net zero Activity data'!BI19*EF!$H32)*kgtoGg,"ERROR")))</f>
        <v>1.1790678557525369</v>
      </c>
      <c r="AQ944" s="100">
        <f>IF('Net zero activities &amp; levers'!$C$12="Off",('Activity data'!BJ19*EF!$H32)*kgtoGg,IF('Net zero activities &amp; levers'!$C$12="PB",('Activity data'!BJ19*EF!$H32)*kgtoGg,IF('Net zero activities &amp; levers'!$C$12="MS",('Net zero Activity data'!BJ19*EF!$H32)*kgtoGg,"ERROR")))</f>
        <v>1.2118785602379014</v>
      </c>
      <c r="AR944" s="100">
        <f>IF('Net zero activities &amp; levers'!$C$12="Off",('Activity data'!BK19*EF!$H32)*kgtoGg,IF('Net zero activities &amp; levers'!$C$12="PB",('Activity data'!BK19*EF!$H32)*kgtoGg,IF('Net zero activities &amp; levers'!$C$12="MS",('Net zero Activity data'!BK19*EF!$H32)*kgtoGg,"ERROR")))</f>
        <v>1.246786730113024</v>
      </c>
      <c r="AS944" s="100">
        <f>IF('Net zero activities &amp; levers'!$C$12="Off",('Activity data'!BL19*EF!$H32)*kgtoGg,IF('Net zero activities &amp; levers'!$C$12="PB",('Activity data'!BL19*EF!$H32)*kgtoGg,IF('Net zero activities &amp; levers'!$C$12="MS",('Net zero Activity data'!BL19*EF!$H32)*kgtoGg,"ERROR")))</f>
        <v>1.2823996493212451</v>
      </c>
      <c r="AT944" s="100">
        <f>IF('Net zero activities &amp; levers'!$C$12="Off",('Activity data'!BM19*EF!$H32)*kgtoGg,IF('Net zero activities &amp; levers'!$C$12="PB",('Activity data'!BM19*EF!$H32)*kgtoGg,IF('Net zero activities &amp; levers'!$C$12="MS",('Net zero Activity data'!BM19*EF!$H32)*kgtoGg,"ERROR")))</f>
        <v>1.3055397260898673</v>
      </c>
      <c r="AU944" s="100">
        <f>IF('Net zero activities &amp; levers'!$C$12="Off",('Activity data'!BN19*EF!$H32)*kgtoGg,IF('Net zero activities &amp; levers'!$C$12="PB",('Activity data'!BN19*EF!$H32)*kgtoGg,IF('Net zero activities &amp; levers'!$C$12="MS",('Net zero Activity data'!BN19*EF!$H32)*kgtoGg,"ERROR")))</f>
        <v>1.3279825002684047</v>
      </c>
      <c r="AV944" s="100">
        <f>IF('Net zero activities &amp; levers'!$C$12="Off",('Activity data'!BO19*EF!$H32)*kgtoGg,IF('Net zero activities &amp; levers'!$C$12="PB",('Activity data'!BO19*EF!$H32)*kgtoGg,IF('Net zero activities &amp; levers'!$C$12="MS",('Net zero Activity data'!BO19*EF!$H32)*kgtoGg,"ERROR")))</f>
        <v>1.3523851767933999</v>
      </c>
      <c r="AW944" s="100">
        <f>IF('Net zero activities &amp; levers'!$C$12="Off",('Activity data'!BP19*EF!$H32)*kgtoGg,IF('Net zero activities &amp; levers'!$C$12="PB",('Activity data'!BP19*EF!$H32)*kgtoGg,IF('Net zero activities &amp; levers'!$C$12="MS",('Net zero Activity data'!BP19*EF!$H32)*kgtoGg,"ERROR")))</f>
        <v>1.3762491253290834</v>
      </c>
      <c r="AY944" s="85"/>
      <c r="AZ944" s="85"/>
    </row>
    <row r="945" spans="1:52" x14ac:dyDescent="0.25">
      <c r="A945" s="102" t="str">
        <f t="shared" si="326"/>
        <v>DS Poultry MMCH4</v>
      </c>
      <c r="B945" s="102" t="s">
        <v>975</v>
      </c>
      <c r="C945" s="102" t="s">
        <v>1232</v>
      </c>
      <c r="D945" t="s">
        <v>15</v>
      </c>
      <c r="E945" t="s">
        <v>22</v>
      </c>
      <c r="F945" t="s">
        <v>28</v>
      </c>
      <c r="G945" t="s">
        <v>132</v>
      </c>
      <c r="H945" t="s">
        <v>1228</v>
      </c>
      <c r="I945" t="s">
        <v>121</v>
      </c>
      <c r="J945" t="s">
        <v>286</v>
      </c>
      <c r="K945" s="100">
        <f>IF('Net zero activities &amp; levers'!$C$12="Off",('Activity data'!AD20*EF!$H33)*kgtoGg,IF('Net zero activities &amp; levers'!$C$12="PB",('Activity data'!AD20*EF!$H33)*kgtoGg,IF('Net zero activities &amp; levers'!$C$12="MS",('Net zero Activity data'!AD20*EF!$H33)*kgtoGg,"ERROR")))</f>
        <v>2.2247786627421906</v>
      </c>
      <c r="L945" s="100">
        <f>IF('Net zero activities &amp; levers'!$C$12="Off",('Activity data'!AE20*EF!$H33)*kgtoGg,IF('Net zero activities &amp; levers'!$C$12="PB",('Activity data'!AE20*EF!$H33)*kgtoGg,IF('Net zero activities &amp; levers'!$C$12="MS",('Net zero Activity data'!AE20*EF!$H33)*kgtoGg,"ERROR")))</f>
        <v>2.2660704090846675</v>
      </c>
      <c r="M945" s="100">
        <f>IF('Net zero activities &amp; levers'!$C$12="Off",('Activity data'!AF20*EF!$H33)*kgtoGg,IF('Net zero activities &amp; levers'!$C$12="PB",('Activity data'!AF20*EF!$H33)*kgtoGg,IF('Net zero activities &amp; levers'!$C$12="MS",('Net zero Activity data'!AF20*EF!$H33)*kgtoGg,"ERROR")))</f>
        <v>2.2931151480493956</v>
      </c>
      <c r="N945" s="100">
        <f>IF('Net zero activities &amp; levers'!$C$12="Off",('Activity data'!AG20*EF!$H33)*kgtoGg,IF('Net zero activities &amp; levers'!$C$12="PB",('Activity data'!AG20*EF!$H33)*kgtoGg,IF('Net zero activities &amp; levers'!$C$12="MS",('Net zero Activity data'!AG20*EF!$H33)*kgtoGg,"ERROR")))</f>
        <v>2.263369089113628</v>
      </c>
      <c r="O945" s="100">
        <f>IF('Net zero activities &amp; levers'!$C$12="Off",('Activity data'!AH20*EF!$H33)*kgtoGg,IF('Net zero activities &amp; levers'!$C$12="PB",('Activity data'!AH20*EF!$H33)*kgtoGg,IF('Net zero activities &amp; levers'!$C$12="MS",('Net zero Activity data'!AH20*EF!$H33)*kgtoGg,"ERROR")))</f>
        <v>2.2345214699411633</v>
      </c>
      <c r="P945" s="100">
        <f>IF('Net zero activities &amp; levers'!$C$12="Off",('Activity data'!AI20*EF!$H33)*kgtoGg,IF('Net zero activities &amp; levers'!$C$12="PB",('Activity data'!AI20*EF!$H33)*kgtoGg,IF('Net zero activities &amp; levers'!$C$12="MS",('Net zero Activity data'!AI20*EF!$H33)*kgtoGg,"ERROR")))</f>
        <v>2.2631068961220624</v>
      </c>
      <c r="Q945" s="100">
        <f>IF('Net zero activities &amp; levers'!$C$12="Off",('Activity data'!AJ20*EF!$H33)*kgtoGg,IF('Net zero activities &amp; levers'!$C$12="PB",('Activity data'!AJ20*EF!$H33)*kgtoGg,IF('Net zero activities &amp; levers'!$C$12="MS",('Net zero Activity data'!AJ20*EF!$H33)*kgtoGg,"ERROR")))</f>
        <v>2.2741216722530595</v>
      </c>
      <c r="R945" s="100">
        <f>IF('Net zero activities &amp; levers'!$C$12="Off",('Activity data'!AK20*EF!$H33)*kgtoGg,IF('Net zero activities &amp; levers'!$C$12="PB",('Activity data'!AK20*EF!$H33)*kgtoGg,IF('Net zero activities &amp; levers'!$C$12="MS",('Net zero Activity data'!AK20*EF!$H33)*kgtoGg,"ERROR")))</f>
        <v>2.2236230251769533</v>
      </c>
      <c r="S945" s="100">
        <f>IF('Net zero activities &amp; levers'!$C$12="Off",('Activity data'!AL20*EF!$H33)*kgtoGg,IF('Net zero activities &amp; levers'!$C$12="PB",('Activity data'!AL20*EF!$H33)*kgtoGg,IF('Net zero activities &amp; levers'!$C$12="MS",('Net zero Activity data'!AL20*EF!$H33)*kgtoGg,"ERROR")))</f>
        <v>1.9032751826814061</v>
      </c>
      <c r="T945" s="100">
        <f>IF('Net zero activities &amp; levers'!$C$12="Off",('Activity data'!AM20*EF!$H33)*kgtoGg,IF('Net zero activities &amp; levers'!$C$12="PB",('Activity data'!AM20*EF!$H33)*kgtoGg,IF('Net zero activities &amp; levers'!$C$12="MS",('Net zero Activity data'!AM20*EF!$H33)*kgtoGg,"ERROR")))</f>
        <v>2.0050045794652438</v>
      </c>
      <c r="U945" s="100">
        <f>IF('Net zero activities &amp; levers'!$C$12="Off",('Activity data'!AN20*EF!$H33)*kgtoGg,IF('Net zero activities &amp; levers'!$C$12="PB",('Activity data'!AN20*EF!$H33)*kgtoGg,IF('Net zero activities &amp; levers'!$C$12="MS",('Net zero Activity data'!AN20*EF!$H33)*kgtoGg,"ERROR")))</f>
        <v>2.0731097774643854</v>
      </c>
      <c r="V945" s="100">
        <f>IF('Net zero activities &amp; levers'!$C$12="Off",('Activity data'!AO20*EF!$H33)*kgtoGg,IF('Net zero activities &amp; levers'!$C$12="PB",('Activity data'!AO20*EF!$H33)*kgtoGg,IF('Net zero activities &amp; levers'!$C$12="MS",('Net zero Activity data'!AO20*EF!$H33)*kgtoGg,"ERROR")))</f>
        <v>2.1336466102427849</v>
      </c>
      <c r="W945" s="100">
        <f>IF('Net zero activities &amp; levers'!$C$12="Off",('Activity data'!AP20*EF!$H33)*kgtoGg,IF('Net zero activities &amp; levers'!$C$12="PB",('Activity data'!AP20*EF!$H33)*kgtoGg,IF('Net zero activities &amp; levers'!$C$12="MS",('Net zero Activity data'!AP20*EF!$H33)*kgtoGg,"ERROR")))</f>
        <v>2.2067504039451395</v>
      </c>
      <c r="X945" s="100">
        <f>IF('Net zero activities &amp; levers'!$C$12="Off",('Activity data'!AQ20*EF!$H33)*kgtoGg,IF('Net zero activities &amp; levers'!$C$12="PB",('Activity data'!AQ20*EF!$H33)*kgtoGg,IF('Net zero activities &amp; levers'!$C$12="MS",('Net zero Activity data'!AQ20*EF!$H33)*kgtoGg,"ERROR")))</f>
        <v>2.3234221592291906</v>
      </c>
      <c r="Y945" s="100">
        <f>IF('Net zero activities &amp; levers'!$C$12="Off",('Activity data'!AR20*EF!$H33)*kgtoGg,IF('Net zero activities &amp; levers'!$C$12="PB",('Activity data'!AR20*EF!$H33)*kgtoGg,IF('Net zero activities &amp; levers'!$C$12="MS",('Net zero Activity data'!AR20*EF!$H33)*kgtoGg,"ERROR")))</f>
        <v>2.453906612866656</v>
      </c>
      <c r="Z945" s="100">
        <f>IF('Net zero activities &amp; levers'!$C$12="Off",('Activity data'!AS20*EF!$H33)*kgtoGg,IF('Net zero activities &amp; levers'!$C$12="PB",('Activity data'!AS20*EF!$H33)*kgtoGg,IF('Net zero activities &amp; levers'!$C$12="MS",('Net zero Activity data'!AS20*EF!$H33)*kgtoGg,"ERROR")))</f>
        <v>2.5958043881375255</v>
      </c>
      <c r="AA945" s="100">
        <f>IF('Net zero activities &amp; levers'!$C$12="Off",('Activity data'!AT20*EF!$H33)*kgtoGg,IF('Net zero activities &amp; levers'!$C$12="PB",('Activity data'!AT20*EF!$H33)*kgtoGg,IF('Net zero activities &amp; levers'!$C$12="MS",('Net zero Activity data'!AT20*EF!$H33)*kgtoGg,"ERROR")))</f>
        <v>2.7204030410253512</v>
      </c>
      <c r="AB945" s="100">
        <f>IF('Net zero activities &amp; levers'!$C$12="Off",('Activity data'!AU20*EF!$H33)*kgtoGg,IF('Net zero activities &amp; levers'!$C$12="PB",('Activity data'!AU20*EF!$H33)*kgtoGg,IF('Net zero activities &amp; levers'!$C$12="MS",('Net zero Activity data'!AU20*EF!$H33)*kgtoGg,"ERROR")))</f>
        <v>2.8654695762209732</v>
      </c>
      <c r="AC945" s="100">
        <f>IF('Net zero activities &amp; levers'!$C$12="Off",('Activity data'!AV20*EF!$H33)*kgtoGg,IF('Net zero activities &amp; levers'!$C$12="PB",('Activity data'!AV20*EF!$H33)*kgtoGg,IF('Net zero activities &amp; levers'!$C$12="MS",('Net zero Activity data'!AV20*EF!$H33)*kgtoGg,"ERROR")))</f>
        <v>3.0358111573505431</v>
      </c>
      <c r="AD945" s="100">
        <f>IF('Net zero activities &amp; levers'!$C$12="Off",('Activity data'!AW20*EF!$H33)*kgtoGg,IF('Net zero activities &amp; levers'!$C$12="PB",('Activity data'!AW20*EF!$H33)*kgtoGg,IF('Net zero activities &amp; levers'!$C$12="MS",('Net zero Activity data'!AW20*EF!$H33)*kgtoGg,"ERROR")))</f>
        <v>3.2044547295521539</v>
      </c>
      <c r="AE945" s="100">
        <f>IF('Net zero activities &amp; levers'!$C$12="Off",('Activity data'!AX20*EF!$H33)*kgtoGg,IF('Net zero activities &amp; levers'!$C$12="PB",('Activity data'!AX20*EF!$H33)*kgtoGg,IF('Net zero activities &amp; levers'!$C$12="MS",('Net zero Activity data'!AX20*EF!$H33)*kgtoGg,"ERROR")))</f>
        <v>3.3813518114103016</v>
      </c>
      <c r="AF945" s="100">
        <f>IF('Net zero activities &amp; levers'!$C$12="Off",('Activity data'!AY20*EF!$H33)*kgtoGg,IF('Net zero activities &amp; levers'!$C$12="PB",('Activity data'!AY20*EF!$H33)*kgtoGg,IF('Net zero activities &amp; levers'!$C$12="MS",('Net zero Activity data'!AY20*EF!$H33)*kgtoGg,"ERROR")))</f>
        <v>3.5625886999419771</v>
      </c>
      <c r="AG945" s="100">
        <f>IF('Net zero activities &amp; levers'!$C$12="Off",('Activity data'!AZ20*EF!$H33)*kgtoGg,IF('Net zero activities &amp; levers'!$C$12="PB",('Activity data'!AZ20*EF!$H33)*kgtoGg,IF('Net zero activities &amp; levers'!$C$12="MS",('Net zero Activity data'!AZ20*EF!$H33)*kgtoGg,"ERROR")))</f>
        <v>3.7655312365602969</v>
      </c>
      <c r="AH945" s="100">
        <f>IF('Net zero activities &amp; levers'!$C$12="Off",('Activity data'!BA20*EF!$H33)*kgtoGg,IF('Net zero activities &amp; levers'!$C$12="PB",('Activity data'!BA20*EF!$H33)*kgtoGg,IF('Net zero activities &amp; levers'!$C$12="MS",('Net zero Activity data'!BA20*EF!$H33)*kgtoGg,"ERROR")))</f>
        <v>3.9447479907962553</v>
      </c>
      <c r="AI945" s="100">
        <f>IF('Net zero activities &amp; levers'!$C$12="Off",('Activity data'!BB20*EF!$H33)*kgtoGg,IF('Net zero activities &amp; levers'!$C$12="PB",('Activity data'!BB20*EF!$H33)*kgtoGg,IF('Net zero activities &amp; levers'!$C$12="MS",('Net zero Activity data'!BB20*EF!$H33)*kgtoGg,"ERROR")))</f>
        <v>4.137705183266208</v>
      </c>
      <c r="AJ945" s="100">
        <f>IF('Net zero activities &amp; levers'!$C$12="Off",('Activity data'!BC20*EF!$H33)*kgtoGg,IF('Net zero activities &amp; levers'!$C$12="PB",('Activity data'!BC20*EF!$H33)*kgtoGg,IF('Net zero activities &amp; levers'!$C$12="MS",('Net zero Activity data'!BC20*EF!$H33)*kgtoGg,"ERROR")))</f>
        <v>4.3346785117208917</v>
      </c>
      <c r="AK945" s="100">
        <f>IF('Net zero activities &amp; levers'!$C$12="Off",('Activity data'!BD20*EF!$H33)*kgtoGg,IF('Net zero activities &amp; levers'!$C$12="PB",('Activity data'!BD20*EF!$H33)*kgtoGg,IF('Net zero activities &amp; levers'!$C$12="MS",('Net zero Activity data'!BD20*EF!$H33)*kgtoGg,"ERROR")))</f>
        <v>4.5234159579201654</v>
      </c>
      <c r="AL945" s="100">
        <f>IF('Net zero activities &amp; levers'!$C$12="Off",('Activity data'!BE20*EF!$H33)*kgtoGg,IF('Net zero activities &amp; levers'!$C$12="PB",('Activity data'!BE20*EF!$H33)*kgtoGg,IF('Net zero activities &amp; levers'!$C$12="MS",('Net zero Activity data'!BE20*EF!$H33)*kgtoGg,"ERROR")))</f>
        <v>4.7122444809677875</v>
      </c>
      <c r="AM945" s="100">
        <f>IF('Net zero activities &amp; levers'!$C$12="Off",('Activity data'!BF20*EF!$H33)*kgtoGg,IF('Net zero activities &amp; levers'!$C$12="PB",('Activity data'!BF20*EF!$H33)*kgtoGg,IF('Net zero activities &amp; levers'!$C$12="MS",('Net zero Activity data'!BF20*EF!$H33)*kgtoGg,"ERROR")))</f>
        <v>4.9087124214298683</v>
      </c>
      <c r="AN945" s="100">
        <f>IF('Net zero activities &amp; levers'!$C$12="Off",('Activity data'!BG20*EF!$H33)*kgtoGg,IF('Net zero activities &amp; levers'!$C$12="PB",('Activity data'!BG20*EF!$H33)*kgtoGg,IF('Net zero activities &amp; levers'!$C$12="MS",('Net zero Activity data'!BG20*EF!$H33)*kgtoGg,"ERROR")))</f>
        <v>5.1177627309781579</v>
      </c>
      <c r="AO945" s="100">
        <f>IF('Net zero activities &amp; levers'!$C$12="Off",('Activity data'!BH20*EF!$H33)*kgtoGg,IF('Net zero activities &amp; levers'!$C$12="PB",('Activity data'!BH20*EF!$H33)*kgtoGg,IF('Net zero activities &amp; levers'!$C$12="MS",('Net zero Activity data'!BH20*EF!$H33)*kgtoGg,"ERROR")))</f>
        <v>5.3149689082675069</v>
      </c>
      <c r="AP945" s="100">
        <f>IF('Net zero activities &amp; levers'!$C$12="Off",('Activity data'!BI20*EF!$H33)*kgtoGg,IF('Net zero activities &amp; levers'!$C$12="PB",('Activity data'!BI20*EF!$H33)*kgtoGg,IF('Net zero activities &amp; levers'!$C$12="MS",('Net zero Activity data'!BI20*EF!$H33)*kgtoGg,"ERROR")))</f>
        <v>5.5154282999919104</v>
      </c>
      <c r="AQ945" s="100">
        <f>IF('Net zero activities &amp; levers'!$C$12="Off",('Activity data'!BJ20*EF!$H33)*kgtoGg,IF('Net zero activities &amp; levers'!$C$12="PB",('Activity data'!BJ20*EF!$H33)*kgtoGg,IF('Net zero activities &amp; levers'!$C$12="MS",('Net zero Activity data'!BJ20*EF!$H33)*kgtoGg,"ERROR")))</f>
        <v>5.7195487127572893</v>
      </c>
      <c r="AR945" s="100">
        <f>IF('Net zero activities &amp; levers'!$C$12="Off",('Activity data'!BK20*EF!$H33)*kgtoGg,IF('Net zero activities &amp; levers'!$C$12="PB",('Activity data'!BK20*EF!$H33)*kgtoGg,IF('Net zero activities &amp; levers'!$C$12="MS",('Net zero Activity data'!BK20*EF!$H33)*kgtoGg,"ERROR")))</f>
        <v>5.93816190134776</v>
      </c>
      <c r="AS945" s="100">
        <f>IF('Net zero activities &amp; levers'!$C$12="Off",('Activity data'!BL20*EF!$H33)*kgtoGg,IF('Net zero activities &amp; levers'!$C$12="PB",('Activity data'!BL20*EF!$H33)*kgtoGg,IF('Net zero activities &amp; levers'!$C$12="MS",('Net zero Activity data'!BL20*EF!$H33)*kgtoGg,"ERROR")))</f>
        <v>6.1647117891186287</v>
      </c>
      <c r="AT945" s="100">
        <f>IF('Net zero activities &amp; levers'!$C$12="Off",('Activity data'!BM20*EF!$H33)*kgtoGg,IF('Net zero activities &amp; levers'!$C$12="PB",('Activity data'!BM20*EF!$H33)*kgtoGg,IF('Net zero activities &amp; levers'!$C$12="MS",('Net zero Activity data'!BM20*EF!$H33)*kgtoGg,"ERROR")))</f>
        <v>6.2911645282791966</v>
      </c>
      <c r="AU945" s="100">
        <f>IF('Net zero activities &amp; levers'!$C$12="Off",('Activity data'!BN20*EF!$H33)*kgtoGg,IF('Net zero activities &amp; levers'!$C$12="PB",('Activity data'!BN20*EF!$H33)*kgtoGg,IF('Net zero activities &amp; levers'!$C$12="MS",('Net zero Activity data'!BN20*EF!$H33)*kgtoGg,"ERROR")))</f>
        <v>6.4110178863707459</v>
      </c>
      <c r="AV945" s="100">
        <f>IF('Net zero activities &amp; levers'!$C$12="Off",('Activity data'!BO20*EF!$H33)*kgtoGg,IF('Net zero activities &amp; levers'!$C$12="PB",('Activity data'!BO20*EF!$H33)*kgtoGg,IF('Net zero activities &amp; levers'!$C$12="MS",('Net zero Activity data'!BO20*EF!$H33)*kgtoGg,"ERROR")))</f>
        <v>6.5450035893341036</v>
      </c>
      <c r="AW945" s="100">
        <f>IF('Net zero activities &amp; levers'!$C$12="Off",('Activity data'!BP20*EF!$H33)*kgtoGg,IF('Net zero activities &amp; levers'!$C$12="PB",('Activity data'!BP20*EF!$H33)*kgtoGg,IF('Net zero activities &amp; levers'!$C$12="MS",('Net zero Activity data'!BP20*EF!$H33)*kgtoGg,"ERROR")))</f>
        <v>6.6736178617827129</v>
      </c>
      <c r="AY945" s="85"/>
      <c r="AZ945" s="85"/>
    </row>
    <row r="946" spans="1:52" x14ac:dyDescent="0.25">
      <c r="A946" s="102" t="str">
        <f t="shared" si="326"/>
        <v>DS Poultry MMCH4</v>
      </c>
      <c r="B946" s="102" t="s">
        <v>975</v>
      </c>
      <c r="C946" s="102" t="s">
        <v>1232</v>
      </c>
      <c r="D946" t="s">
        <v>15</v>
      </c>
      <c r="E946" t="s">
        <v>22</v>
      </c>
      <c r="F946" t="s">
        <v>28</v>
      </c>
      <c r="G946" t="s">
        <v>134</v>
      </c>
      <c r="H946" t="s">
        <v>1228</v>
      </c>
      <c r="I946" t="s">
        <v>121</v>
      </c>
      <c r="J946" t="s">
        <v>286</v>
      </c>
      <c r="K946" s="100">
        <f>IF('Net zero activities &amp; levers'!$C$12="Off",('Activity data'!AD21*EF!$H34)*kgtoGg,IF('Net zero activities &amp; levers'!$C$12="PB",('Activity data'!AD21*EF!$H34)*kgtoGg,IF('Net zero activities &amp; levers'!$C$12="MS",('Net zero Activity data'!AD21*EF!$H34)*kgtoGg,"ERROR")))</f>
        <v>2.3228101201132799E-2</v>
      </c>
      <c r="L946" s="100">
        <f>IF('Net zero activities &amp; levers'!$C$12="Off",('Activity data'!AE21*EF!$H34)*kgtoGg,IF('Net zero activities &amp; levers'!$C$12="PB",('Activity data'!AE21*EF!$H34)*kgtoGg,IF('Net zero activities &amp; levers'!$C$12="MS",('Net zero Activity data'!AE21*EF!$H34)*kgtoGg,"ERROR")))</f>
        <v>2.3750194264858821E-2</v>
      </c>
      <c r="M946" s="100">
        <f>IF('Net zero activities &amp; levers'!$C$12="Off",('Activity data'!AF21*EF!$H34)*kgtoGg,IF('Net zero activities &amp; levers'!$C$12="PB",('Activity data'!AF21*EF!$H34)*kgtoGg,IF('Net zero activities &amp; levers'!$C$12="MS",('Net zero Activity data'!AF21*EF!$H34)*kgtoGg,"ERROR")))</f>
        <v>2.4222421722115972E-2</v>
      </c>
      <c r="N946" s="100">
        <f>IF('Net zero activities &amp; levers'!$C$12="Off",('Activity data'!AG21*EF!$H34)*kgtoGg,IF('Net zero activities &amp; levers'!$C$12="PB",('Activity data'!AG21*EF!$H34)*kgtoGg,IF('Net zero activities &amp; levers'!$C$12="MS",('Net zero Activity data'!AG21*EF!$H34)*kgtoGg,"ERROR")))</f>
        <v>2.4466212228455842E-2</v>
      </c>
      <c r="O946" s="100">
        <f>IF('Net zero activities &amp; levers'!$C$12="Off",('Activity data'!AH21*EF!$H34)*kgtoGg,IF('Net zero activities &amp; levers'!$C$12="PB",('Activity data'!AH21*EF!$H34)*kgtoGg,IF('Net zero activities &amp; levers'!$C$12="MS",('Net zero Activity data'!AH21*EF!$H34)*kgtoGg,"ERROR")))</f>
        <v>2.4716723646708353E-2</v>
      </c>
      <c r="P946" s="100">
        <f>IF('Net zero activities &amp; levers'!$C$12="Off",('Activity data'!AI21*EF!$H34)*kgtoGg,IF('Net zero activities &amp; levers'!$C$12="PB",('Activity data'!AI21*EF!$H34)*kgtoGg,IF('Net zero activities &amp; levers'!$C$12="MS",('Net zero Activity data'!AI21*EF!$H34)*kgtoGg,"ERROR")))</f>
        <v>2.5215491183120883E-2</v>
      </c>
      <c r="Q946" s="100">
        <f>IF('Net zero activities &amp; levers'!$C$12="Off",('Activity data'!AJ21*EF!$H34)*kgtoGg,IF('Net zero activities &amp; levers'!$C$12="PB",('Activity data'!AJ21*EF!$H34)*kgtoGg,IF('Net zero activities &amp; levers'!$C$12="MS",('Net zero Activity data'!AJ21*EF!$H34)*kgtoGg,"ERROR")))</f>
        <v>2.564198324590336E-2</v>
      </c>
      <c r="R946" s="100">
        <f>IF('Net zero activities &amp; levers'!$C$12="Off",('Activity data'!AK21*EF!$H34)*kgtoGg,IF('Net zero activities &amp; levers'!$C$12="PB",('Activity data'!AK21*EF!$H34)*kgtoGg,IF('Net zero activities &amp; levers'!$C$12="MS",('Net zero Activity data'!AK21*EF!$H34)*kgtoGg,"ERROR")))</f>
        <v>2.5803869047545849E-2</v>
      </c>
      <c r="S946" s="100">
        <f>IF('Net zero activities &amp; levers'!$C$12="Off",('Activity data'!AL21*EF!$H34)*kgtoGg,IF('Net zero activities &amp; levers'!$C$12="PB",('Activity data'!AL21*EF!$H34)*kgtoGg,IF('Net zero activities &amp; levers'!$C$12="MS",('Net zero Activity data'!AL21*EF!$H34)*kgtoGg,"ERROR")))</f>
        <v>2.4779080013909088E-2</v>
      </c>
      <c r="T946" s="100">
        <f>IF('Net zero activities &amp; levers'!$C$12="Off",('Activity data'!AM21*EF!$H34)*kgtoGg,IF('Net zero activities &amp; levers'!$C$12="PB",('Activity data'!AM21*EF!$H34)*kgtoGg,IF('Net zero activities &amp; levers'!$C$12="MS",('Net zero Activity data'!AM21*EF!$H34)*kgtoGg,"ERROR")))</f>
        <v>2.5516506991875881E-2</v>
      </c>
      <c r="U946" s="100">
        <f>IF('Net zero activities &amp; levers'!$C$12="Off",('Activity data'!AN21*EF!$H34)*kgtoGg,IF('Net zero activities &amp; levers'!$C$12="PB",('Activity data'!AN21*EF!$H34)*kgtoGg,IF('Net zero activities &amp; levers'!$C$12="MS",('Net zero Activity data'!AN21*EF!$H34)*kgtoGg,"ERROR")))</f>
        <v>2.6112500089385413E-2</v>
      </c>
      <c r="V946" s="100">
        <f>IF('Net zero activities &amp; levers'!$C$12="Off",('Activity data'!AO21*EF!$H34)*kgtoGg,IF('Net zero activities &amp; levers'!$C$12="PB",('Activity data'!AO21*EF!$H34)*kgtoGg,IF('Net zero activities &amp; levers'!$C$12="MS",('Net zero Activity data'!AO21*EF!$H34)*kgtoGg,"ERROR")))</f>
        <v>2.6680446681095382E-2</v>
      </c>
      <c r="W946" s="100">
        <f>IF('Net zero activities &amp; levers'!$C$12="Off",('Activity data'!AP21*EF!$H34)*kgtoGg,IF('Net zero activities &amp; levers'!$C$12="PB",('Activity data'!AP21*EF!$H34)*kgtoGg,IF('Net zero activities &amp; levers'!$C$12="MS",('Net zero Activity data'!AP21*EF!$H34)*kgtoGg,"ERROR")))</f>
        <v>2.7311085183109759E-2</v>
      </c>
      <c r="X946" s="100">
        <f>IF('Net zero activities &amp; levers'!$C$12="Off",('Activity data'!AQ21*EF!$H34)*kgtoGg,IF('Net zero activities &amp; levers'!$C$12="PB",('Activity data'!AQ21*EF!$H34)*kgtoGg,IF('Net zero activities &amp; levers'!$C$12="MS",('Net zero Activity data'!AQ21*EF!$H34)*kgtoGg,"ERROR")))</f>
        <v>2.8148200581559191E-2</v>
      </c>
      <c r="Y946" s="100">
        <f>IF('Net zero activities &amp; levers'!$C$12="Off",('Activity data'!AR21*EF!$H34)*kgtoGg,IF('Net zero activities &amp; levers'!$C$12="PB",('Activity data'!AR21*EF!$H34)*kgtoGg,IF('Net zero activities &amp; levers'!$C$12="MS",('Net zero Activity data'!AR21*EF!$H34)*kgtoGg,"ERROR")))</f>
        <v>2.9027430691366724E-2</v>
      </c>
      <c r="Z946" s="100">
        <f>IF('Net zero activities &amp; levers'!$C$12="Off",('Activity data'!AS21*EF!$H34)*kgtoGg,IF('Net zero activities &amp; levers'!$C$12="PB",('Activity data'!AS21*EF!$H34)*kgtoGg,IF('Net zero activities &amp; levers'!$C$12="MS",('Net zero Activity data'!AS21*EF!$H34)*kgtoGg,"ERROR")))</f>
        <v>2.9969902815605892E-2</v>
      </c>
      <c r="AA946" s="100">
        <f>IF('Net zero activities &amp; levers'!$C$12="Off",('Activity data'!AT21*EF!$H34)*kgtoGg,IF('Net zero activities &amp; levers'!$C$12="PB",('Activity data'!AT21*EF!$H34)*kgtoGg,IF('Net zero activities &amp; levers'!$C$12="MS",('Net zero Activity data'!AT21*EF!$H34)*kgtoGg,"ERROR")))</f>
        <v>3.0841691542216221E-2</v>
      </c>
      <c r="AB946" s="100">
        <f>IF('Net zero activities &amp; levers'!$C$12="Off",('Activity data'!AU21*EF!$H34)*kgtoGg,IF('Net zero activities &amp; levers'!$C$12="PB",('Activity data'!AU21*EF!$H34)*kgtoGg,IF('Net zero activities &amp; levers'!$C$12="MS",('Net zero Activity data'!AU21*EF!$H34)*kgtoGg,"ERROR")))</f>
        <v>3.1819757027306869E-2</v>
      </c>
      <c r="AC946" s="100">
        <f>IF('Net zero activities &amp; levers'!$C$12="Off",('Activity data'!AV21*EF!$H34)*kgtoGg,IF('Net zero activities &amp; levers'!$C$12="PB",('Activity data'!AV21*EF!$H34)*kgtoGg,IF('Net zero activities &amp; levers'!$C$12="MS",('Net zero Activity data'!AV21*EF!$H34)*kgtoGg,"ERROR")))</f>
        <v>3.292912167161096E-2</v>
      </c>
      <c r="AD946" s="100">
        <f>IF('Net zero activities &amp; levers'!$C$12="Off",('Activity data'!AW21*EF!$H34)*kgtoGg,IF('Net zero activities &amp; levers'!$C$12="PB",('Activity data'!AW21*EF!$H34)*kgtoGg,IF('Net zero activities &amp; levers'!$C$12="MS",('Net zero Activity data'!AW21*EF!$H34)*kgtoGg,"ERROR")))</f>
        <v>3.4016478772715769E-2</v>
      </c>
      <c r="AE946" s="100">
        <f>IF('Net zero activities &amp; levers'!$C$12="Off",('Activity data'!AX21*EF!$H34)*kgtoGg,IF('Net zero activities &amp; levers'!$C$12="PB",('Activity data'!AX21*EF!$H34)*kgtoGg,IF('Net zero activities &amp; levers'!$C$12="MS",('Net zero Activity data'!AX21*EF!$H34)*kgtoGg,"ERROR")))</f>
        <v>3.5155299467200612E-2</v>
      </c>
      <c r="AF946" s="100">
        <f>IF('Net zero activities &amp; levers'!$C$12="Off",('Activity data'!AY21*EF!$H34)*kgtoGg,IF('Net zero activities &amp; levers'!$C$12="PB",('Activity data'!AY21*EF!$H34)*kgtoGg,IF('Net zero activities &amp; levers'!$C$12="MS",('Net zero Activity data'!AY21*EF!$H34)*kgtoGg,"ERROR")))</f>
        <v>3.6327172995110089E-2</v>
      </c>
      <c r="AG946" s="100">
        <f>IF('Net zero activities &amp; levers'!$C$12="Off",('Activity data'!AZ21*EF!$H34)*kgtoGg,IF('Net zero activities &amp; levers'!$C$12="PB",('Activity data'!AZ21*EF!$H34)*kgtoGg,IF('Net zero activities &amp; levers'!$C$12="MS",('Net zero Activity data'!AZ21*EF!$H34)*kgtoGg,"ERROR")))</f>
        <v>3.7617669146666054E-2</v>
      </c>
      <c r="AH946" s="100">
        <f>IF('Net zero activities &amp; levers'!$C$12="Off",('Activity data'!BA21*EF!$H34)*kgtoGg,IF('Net zero activities &amp; levers'!$C$12="PB",('Activity data'!BA21*EF!$H34)*kgtoGg,IF('Net zero activities &amp; levers'!$C$12="MS",('Net zero Activity data'!BA21*EF!$H34)*kgtoGg,"ERROR")))</f>
        <v>3.8804137651877735E-2</v>
      </c>
      <c r="AI946" s="100">
        <f>IF('Net zero activities &amp; levers'!$C$12="Off",('Activity data'!BB21*EF!$H34)*kgtoGg,IF('Net zero activities &amp; levers'!$C$12="PB",('Activity data'!BB21*EF!$H34)*kgtoGg,IF('Net zero activities &amp; levers'!$C$12="MS",('Net zero Activity data'!BB21*EF!$H34)*kgtoGg,"ERROR")))</f>
        <v>4.0045396026241048E-2</v>
      </c>
      <c r="AJ946" s="100">
        <f>IF('Net zero activities &amp; levers'!$C$12="Off",('Activity data'!BC21*EF!$H34)*kgtoGg,IF('Net zero activities &amp; levers'!$C$12="PB",('Activity data'!BC21*EF!$H34)*kgtoGg,IF('Net zero activities &amp; levers'!$C$12="MS",('Net zero Activity data'!BC21*EF!$H34)*kgtoGg,"ERROR")))</f>
        <v>4.1318689234665709E-2</v>
      </c>
      <c r="AK946" s="100">
        <f>IF('Net zero activities &amp; levers'!$C$12="Off",('Activity data'!BD21*EF!$H34)*kgtoGg,IF('Net zero activities &amp; levers'!$C$12="PB",('Activity data'!BD21*EF!$H34)*kgtoGg,IF('Net zero activities &amp; levers'!$C$12="MS",('Net zero Activity data'!BD21*EF!$H34)*kgtoGg,"ERROR")))</f>
        <v>4.2562485927672068E-2</v>
      </c>
      <c r="AL946" s="100">
        <f>IF('Net zero activities &amp; levers'!$C$12="Off",('Activity data'!BE21*EF!$H34)*kgtoGg,IF('Net zero activities &amp; levers'!$C$12="PB",('Activity data'!BE21*EF!$H34)*kgtoGg,IF('Net zero activities &amp; levers'!$C$12="MS",('Net zero Activity data'!BE21*EF!$H34)*kgtoGg,"ERROR")))</f>
        <v>4.3818105384294391E-2</v>
      </c>
      <c r="AM946" s="100">
        <f>IF('Net zero activities &amp; levers'!$C$12="Off",('Activity data'!BF21*EF!$H34)*kgtoGg,IF('Net zero activities &amp; levers'!$C$12="PB",('Activity data'!BF21*EF!$H34)*kgtoGg,IF('Net zero activities &amp; levers'!$C$12="MS",('Net zero Activity data'!BF21*EF!$H34)*kgtoGg,"ERROR")))</f>
        <v>4.5123953524827516E-2</v>
      </c>
      <c r="AN946" s="100">
        <f>IF('Net zero activities &amp; levers'!$C$12="Off",('Activity data'!BG21*EF!$H34)*kgtoGg,IF('Net zero activities &amp; levers'!$C$12="PB",('Activity data'!BG21*EF!$H34)*kgtoGg,IF('Net zero activities &amp; levers'!$C$12="MS",('Net zero Activity data'!BG21*EF!$H34)*kgtoGg,"ERROR")))</f>
        <v>4.6482103094299274E-2</v>
      </c>
      <c r="AO946" s="100">
        <f>IF('Net zero activities &amp; levers'!$C$12="Off",('Activity data'!BH21*EF!$H34)*kgtoGg,IF('Net zero activities &amp; levers'!$C$12="PB",('Activity data'!BH21*EF!$H34)*kgtoGg,IF('Net zero activities &amp; levers'!$C$12="MS",('Net zero Activity data'!BH21*EF!$H34)*kgtoGg,"ERROR")))</f>
        <v>4.7790984110943228E-2</v>
      </c>
      <c r="AP946" s="100">
        <f>IF('Net zero activities &amp; levers'!$C$12="Off",('Activity data'!BI21*EF!$H34)*kgtoGg,IF('Net zero activities &amp; levers'!$C$12="PB",('Activity data'!BI21*EF!$H34)*kgtoGg,IF('Net zero activities &amp; levers'!$C$12="MS",('Net zero Activity data'!BI21*EF!$H34)*kgtoGg,"ERROR")))</f>
        <v>4.912782732302242E-2</v>
      </c>
      <c r="AQ946" s="100">
        <f>IF('Net zero activities &amp; levers'!$C$12="Off",('Activity data'!BJ21*EF!$H34)*kgtoGg,IF('Net zero activities &amp; levers'!$C$12="PB",('Activity data'!BJ21*EF!$H34)*kgtoGg,IF('Net zero activities &amp; levers'!$C$12="MS",('Net zero Activity data'!BJ21*EF!$H34)*kgtoGg,"ERROR")))</f>
        <v>5.0494940009912614E-2</v>
      </c>
      <c r="AR946" s="100">
        <f>IF('Net zero activities &amp; levers'!$C$12="Off",('Activity data'!BK21*EF!$H34)*kgtoGg,IF('Net zero activities &amp; levers'!$C$12="PB",('Activity data'!BK21*EF!$H34)*kgtoGg,IF('Net zero activities &amp; levers'!$C$12="MS",('Net zero Activity data'!BK21*EF!$H34)*kgtoGg,"ERROR")))</f>
        <v>5.1949447088042722E-2</v>
      </c>
      <c r="AS946" s="100">
        <f>IF('Net zero activities &amp; levers'!$C$12="Off",('Activity data'!BL21*EF!$H34)*kgtoGg,IF('Net zero activities &amp; levers'!$C$12="PB",('Activity data'!BL21*EF!$H34)*kgtoGg,IF('Net zero activities &amp; levers'!$C$12="MS",('Net zero Activity data'!BL21*EF!$H34)*kgtoGg,"ERROR")))</f>
        <v>5.3433318721718588E-2</v>
      </c>
      <c r="AT946" s="100">
        <f>IF('Net zero activities &amp; levers'!$C$12="Off",('Activity data'!BM21*EF!$H34)*kgtoGg,IF('Net zero activities &amp; levers'!$C$12="PB",('Activity data'!BM21*EF!$H34)*kgtoGg,IF('Net zero activities &amp; levers'!$C$12="MS",('Net zero Activity data'!BM21*EF!$H34)*kgtoGg,"ERROR")))</f>
        <v>5.4397488587077859E-2</v>
      </c>
      <c r="AU946" s="100">
        <f>IF('Net zero activities &amp; levers'!$C$12="Off",('Activity data'!BN21*EF!$H34)*kgtoGg,IF('Net zero activities &amp; levers'!$C$12="PB",('Activity data'!BN21*EF!$H34)*kgtoGg,IF('Net zero activities &amp; levers'!$C$12="MS",('Net zero Activity data'!BN21*EF!$H34)*kgtoGg,"ERROR")))</f>
        <v>5.5332604177850256E-2</v>
      </c>
      <c r="AV946" s="100">
        <f>IF('Net zero activities &amp; levers'!$C$12="Off",('Activity data'!BO21*EF!$H34)*kgtoGg,IF('Net zero activities &amp; levers'!$C$12="PB",('Activity data'!BO21*EF!$H34)*kgtoGg,IF('Net zero activities &amp; levers'!$C$12="MS",('Net zero Activity data'!BO21*EF!$H34)*kgtoGg,"ERROR")))</f>
        <v>5.6349382366391719E-2</v>
      </c>
      <c r="AW946" s="100">
        <f>IF('Net zero activities &amp; levers'!$C$12="Off",('Activity data'!BP21*EF!$H34)*kgtoGg,IF('Net zero activities &amp; levers'!$C$12="PB",('Activity data'!BP21*EF!$H34)*kgtoGg,IF('Net zero activities &amp; levers'!$C$12="MS",('Net zero Activity data'!BP21*EF!$H34)*kgtoGg,"ERROR")))</f>
        <v>5.7343713555378532E-2</v>
      </c>
      <c r="AY946" s="85"/>
      <c r="AZ946" s="85"/>
    </row>
    <row r="947" spans="1:52" x14ac:dyDescent="0.25">
      <c r="A947" s="102" t="str">
        <f t="shared" si="326"/>
        <v>DS Poultry MMCH4</v>
      </c>
      <c r="B947" s="102" t="s">
        <v>975</v>
      </c>
      <c r="C947" s="102" t="s">
        <v>1232</v>
      </c>
      <c r="D947" t="s">
        <v>15</v>
      </c>
      <c r="E947" t="s">
        <v>22</v>
      </c>
      <c r="F947" t="s">
        <v>28</v>
      </c>
      <c r="G947" t="s">
        <v>133</v>
      </c>
      <c r="H947" t="s">
        <v>1228</v>
      </c>
      <c r="I947" t="s">
        <v>121</v>
      </c>
      <c r="J947" t="s">
        <v>286</v>
      </c>
      <c r="K947" s="100">
        <f>IF('Net zero activities &amp; levers'!$C$12="Off",('Activity data'!AD22*EF!$H35)*kgtoGg,IF('Net zero activities &amp; levers'!$C$12="PB",('Activity data'!AD22*EF!$H35)*kgtoGg,IF('Net zero activities &amp; levers'!$C$12="MS",('Net zero Activity data'!AD22*EF!$H35)*kgtoGg,"ERROR")))</f>
        <v>9.2699110947591354E-2</v>
      </c>
      <c r="L947" s="100">
        <f>IF('Net zero activities &amp; levers'!$C$12="Off",('Activity data'!AE22*EF!$H35)*kgtoGg,IF('Net zero activities &amp; levers'!$C$12="PB",('Activity data'!AE22*EF!$H35)*kgtoGg,IF('Net zero activities &amp; levers'!$C$12="MS",('Net zero Activity data'!AE22*EF!$H35)*kgtoGg,"ERROR")))</f>
        <v>9.4419600378527896E-2</v>
      </c>
      <c r="M947" s="100">
        <f>IF('Net zero activities &amp; levers'!$C$12="Off",('Activity data'!AF22*EF!$H35)*kgtoGg,IF('Net zero activities &amp; levers'!$C$12="PB",('Activity data'!AF22*EF!$H35)*kgtoGg,IF('Net zero activities &amp; levers'!$C$12="MS",('Net zero Activity data'!AF22*EF!$H35)*kgtoGg,"ERROR")))</f>
        <v>9.554646450205824E-2</v>
      </c>
      <c r="N947" s="100">
        <f>IF('Net zero activities &amp; levers'!$C$12="Off",('Activity data'!AG22*EF!$H35)*kgtoGg,IF('Net zero activities &amp; levers'!$C$12="PB",('Activity data'!AG22*EF!$H35)*kgtoGg,IF('Net zero activities &amp; levers'!$C$12="MS",('Net zero Activity data'!AG22*EF!$H35)*kgtoGg,"ERROR")))</f>
        <v>9.4307045379734583E-2</v>
      </c>
      <c r="O947" s="100">
        <f>IF('Net zero activities &amp; levers'!$C$12="Off",('Activity data'!AH22*EF!$H35)*kgtoGg,IF('Net zero activities &amp; levers'!$C$12="PB",('Activity data'!AH22*EF!$H35)*kgtoGg,IF('Net zero activities &amp; levers'!$C$12="MS",('Net zero Activity data'!AH22*EF!$H35)*kgtoGg,"ERROR")))</f>
        <v>9.3105061247548568E-2</v>
      </c>
      <c r="P947" s="100">
        <f>IF('Net zero activities &amp; levers'!$C$12="Off",('Activity data'!AI22*EF!$H35)*kgtoGg,IF('Net zero activities &amp; levers'!$C$12="PB",('Activity data'!AI22*EF!$H35)*kgtoGg,IF('Net zero activities &amp; levers'!$C$12="MS",('Net zero Activity data'!AI22*EF!$H35)*kgtoGg,"ERROR")))</f>
        <v>9.4296120671752692E-2</v>
      </c>
      <c r="Q947" s="100">
        <f>IF('Net zero activities &amp; levers'!$C$12="Off",('Activity data'!AJ22*EF!$H35)*kgtoGg,IF('Net zero activities &amp; levers'!$C$12="PB",('Activity data'!AJ22*EF!$H35)*kgtoGg,IF('Net zero activities &amp; levers'!$C$12="MS",('Net zero Activity data'!AJ22*EF!$H35)*kgtoGg,"ERROR")))</f>
        <v>9.4755069677210882E-2</v>
      </c>
      <c r="R947" s="100">
        <f>IF('Net zero activities &amp; levers'!$C$12="Off",('Activity data'!AK22*EF!$H35)*kgtoGg,IF('Net zero activities &amp; levers'!$C$12="PB",('Activity data'!AK22*EF!$H35)*kgtoGg,IF('Net zero activities &amp; levers'!$C$12="MS",('Net zero Activity data'!AK22*EF!$H35)*kgtoGg,"ERROR")))</f>
        <v>9.2650959382373138E-2</v>
      </c>
      <c r="S947" s="100">
        <f>IF('Net zero activities &amp; levers'!$C$12="Off",('Activity data'!AL22*EF!$H35)*kgtoGg,IF('Net zero activities &amp; levers'!$C$12="PB",('Activity data'!AL22*EF!$H35)*kgtoGg,IF('Net zero activities &amp; levers'!$C$12="MS",('Net zero Activity data'!AL22*EF!$H35)*kgtoGg,"ERROR")))</f>
        <v>7.9303132611725335E-2</v>
      </c>
      <c r="T947" s="100">
        <f>IF('Net zero activities &amp; levers'!$C$12="Off",('Activity data'!AM22*EF!$H35)*kgtoGg,IF('Net zero activities &amp; levers'!$C$12="PB",('Activity data'!AM22*EF!$H35)*kgtoGg,IF('Net zero activities &amp; levers'!$C$12="MS",('Net zero Activity data'!AM22*EF!$H35)*kgtoGg,"ERROR")))</f>
        <v>8.354185747771857E-2</v>
      </c>
      <c r="U947" s="100">
        <f>IF('Net zero activities &amp; levers'!$C$12="Off",('Activity data'!AN22*EF!$H35)*kgtoGg,IF('Net zero activities &amp; levers'!$C$12="PB",('Activity data'!AN22*EF!$H35)*kgtoGg,IF('Net zero activities &amp; levers'!$C$12="MS",('Net zero Activity data'!AN22*EF!$H35)*kgtoGg,"ERROR")))</f>
        <v>8.6379574061016151E-2</v>
      </c>
      <c r="V947" s="100">
        <f>IF('Net zero activities &amp; levers'!$C$12="Off",('Activity data'!AO22*EF!$H35)*kgtoGg,IF('Net zero activities &amp; levers'!$C$12="PB",('Activity data'!AO22*EF!$H35)*kgtoGg,IF('Net zero activities &amp; levers'!$C$12="MS",('Net zero Activity data'!AO22*EF!$H35)*kgtoGg,"ERROR")))</f>
        <v>8.8901942093449454E-2</v>
      </c>
      <c r="W947" s="100">
        <f>IF('Net zero activities &amp; levers'!$C$12="Off",('Activity data'!AP22*EF!$H35)*kgtoGg,IF('Net zero activities &amp; levers'!$C$12="PB",('Activity data'!AP22*EF!$H35)*kgtoGg,IF('Net zero activities &amp; levers'!$C$12="MS",('Net zero Activity data'!AP22*EF!$H35)*kgtoGg,"ERROR")))</f>
        <v>9.1947933497714227E-2</v>
      </c>
      <c r="X947" s="100">
        <f>IF('Net zero activities &amp; levers'!$C$12="Off",('Activity data'!AQ22*EF!$H35)*kgtoGg,IF('Net zero activities &amp; levers'!$C$12="PB",('Activity data'!AQ22*EF!$H35)*kgtoGg,IF('Net zero activities &amp; levers'!$C$12="MS",('Net zero Activity data'!AQ22*EF!$H35)*kgtoGg,"ERROR")))</f>
        <v>9.6809256634549701E-2</v>
      </c>
      <c r="Y947" s="100">
        <f>IF('Net zero activities &amp; levers'!$C$12="Off",('Activity data'!AR22*EF!$H35)*kgtoGg,IF('Net zero activities &amp; levers'!$C$12="PB",('Activity data'!AR22*EF!$H35)*kgtoGg,IF('Net zero activities &amp; levers'!$C$12="MS",('Net zero Activity data'!AR22*EF!$H35)*kgtoGg,"ERROR")))</f>
        <v>0.10224610886944407</v>
      </c>
      <c r="Z947" s="100">
        <f>IF('Net zero activities &amp; levers'!$C$12="Off",('Activity data'!AS22*EF!$H35)*kgtoGg,IF('Net zero activities &amp; levers'!$C$12="PB",('Activity data'!AS22*EF!$H35)*kgtoGg,IF('Net zero activities &amp; levers'!$C$12="MS",('Net zero Activity data'!AS22*EF!$H35)*kgtoGg,"ERROR")))</f>
        <v>0.108158516172397</v>
      </c>
      <c r="AA947" s="100">
        <f>IF('Net zero activities &amp; levers'!$C$12="Off",('Activity data'!AT22*EF!$H35)*kgtoGg,IF('Net zero activities &amp; levers'!$C$12="PB",('Activity data'!AT22*EF!$H35)*kgtoGg,IF('Net zero activities &amp; levers'!$C$12="MS",('Net zero Activity data'!AT22*EF!$H35)*kgtoGg,"ERROR")))</f>
        <v>0.11335012670938974</v>
      </c>
      <c r="AB947" s="100">
        <f>IF('Net zero activities &amp; levers'!$C$12="Off",('Activity data'!AU22*EF!$H35)*kgtoGg,IF('Net zero activities &amp; levers'!$C$12="PB",('Activity data'!AU22*EF!$H35)*kgtoGg,IF('Net zero activities &amp; levers'!$C$12="MS",('Net zero Activity data'!AU22*EF!$H35)*kgtoGg,"ERROR")))</f>
        <v>0.11939456567587402</v>
      </c>
      <c r="AC947" s="100">
        <f>IF('Net zero activities &amp; levers'!$C$12="Off",('Activity data'!AV22*EF!$H35)*kgtoGg,IF('Net zero activities &amp; levers'!$C$12="PB",('Activity data'!AV22*EF!$H35)*kgtoGg,IF('Net zero activities &amp; levers'!$C$12="MS",('Net zero Activity data'!AV22*EF!$H35)*kgtoGg,"ERROR")))</f>
        <v>0.12649213155627276</v>
      </c>
      <c r="AD947" s="100">
        <f>IF('Net zero activities &amp; levers'!$C$12="Off",('Activity data'!AW22*EF!$H35)*kgtoGg,IF('Net zero activities &amp; levers'!$C$12="PB",('Activity data'!AW22*EF!$H35)*kgtoGg,IF('Net zero activities &amp; levers'!$C$12="MS",('Net zero Activity data'!AW22*EF!$H35)*kgtoGg,"ERROR")))</f>
        <v>0.13351894706467321</v>
      </c>
      <c r="AE947" s="100">
        <f>IF('Net zero activities &amp; levers'!$C$12="Off",('Activity data'!AX22*EF!$H35)*kgtoGg,IF('Net zero activities &amp; levers'!$C$12="PB",('Activity data'!AX22*EF!$H35)*kgtoGg,IF('Net zero activities &amp; levers'!$C$12="MS",('Net zero Activity data'!AX22*EF!$H35)*kgtoGg,"ERROR")))</f>
        <v>0.14088965880876272</v>
      </c>
      <c r="AF947" s="100">
        <f>IF('Net zero activities &amp; levers'!$C$12="Off",('Activity data'!AY22*EF!$H35)*kgtoGg,IF('Net zero activities &amp; levers'!$C$12="PB",('Activity data'!AY22*EF!$H35)*kgtoGg,IF('Net zero activities &amp; levers'!$C$12="MS",('Net zero Activity data'!AY22*EF!$H35)*kgtoGg,"ERROR")))</f>
        <v>0.14844119583091583</v>
      </c>
      <c r="AG947" s="100">
        <f>IF('Net zero activities &amp; levers'!$C$12="Off",('Activity data'!AZ22*EF!$H35)*kgtoGg,IF('Net zero activities &amp; levers'!$C$12="PB",('Activity data'!AZ22*EF!$H35)*kgtoGg,IF('Net zero activities &amp; levers'!$C$12="MS",('Net zero Activity data'!AZ22*EF!$H35)*kgtoGg,"ERROR")))</f>
        <v>0.15689713485667917</v>
      </c>
      <c r="AH947" s="100">
        <f>IF('Net zero activities &amp; levers'!$C$12="Off",('Activity data'!BA22*EF!$H35)*kgtoGg,IF('Net zero activities &amp; levers'!$C$12="PB",('Activity data'!BA22*EF!$H35)*kgtoGg,IF('Net zero activities &amp; levers'!$C$12="MS",('Net zero Activity data'!BA22*EF!$H35)*kgtoGg,"ERROR")))</f>
        <v>0.16436449961651078</v>
      </c>
      <c r="AI947" s="100">
        <f>IF('Net zero activities &amp; levers'!$C$12="Off",('Activity data'!BB22*EF!$H35)*kgtoGg,IF('Net zero activities &amp; levers'!$C$12="PB",('Activity data'!BB22*EF!$H35)*kgtoGg,IF('Net zero activities &amp; levers'!$C$12="MS",('Net zero Activity data'!BB22*EF!$H35)*kgtoGg,"ERROR")))</f>
        <v>0.1724043826360922</v>
      </c>
      <c r="AJ947" s="100">
        <f>IF('Net zero activities &amp; levers'!$C$12="Off",('Activity data'!BC22*EF!$H35)*kgtoGg,IF('Net zero activities &amp; levers'!$C$12="PB",('Activity data'!BC22*EF!$H35)*kgtoGg,IF('Net zero activities &amp; levers'!$C$12="MS",('Net zero Activity data'!BC22*EF!$H35)*kgtoGg,"ERROR")))</f>
        <v>0.18061160465503734</v>
      </c>
      <c r="AK947" s="100">
        <f>IF('Net zero activities &amp; levers'!$C$12="Off",('Activity data'!BD22*EF!$H35)*kgtoGg,IF('Net zero activities &amp; levers'!$C$12="PB",('Activity data'!BD22*EF!$H35)*kgtoGg,IF('Net zero activities &amp; levers'!$C$12="MS",('Net zero Activity data'!BD22*EF!$H35)*kgtoGg,"ERROR")))</f>
        <v>0.18847566491334045</v>
      </c>
      <c r="AL947" s="100">
        <f>IF('Net zero activities &amp; levers'!$C$12="Off",('Activity data'!BE22*EF!$H35)*kgtoGg,IF('Net zero activities &amp; levers'!$C$12="PB",('Activity data'!BE22*EF!$H35)*kgtoGg,IF('Net zero activities &amp; levers'!$C$12="MS",('Net zero Activity data'!BE22*EF!$H35)*kgtoGg,"ERROR")))</f>
        <v>0.19634352004032468</v>
      </c>
      <c r="AM947" s="100">
        <f>IF('Net zero activities &amp; levers'!$C$12="Off",('Activity data'!BF22*EF!$H35)*kgtoGg,IF('Net zero activities &amp; levers'!$C$12="PB",('Activity data'!BF22*EF!$H35)*kgtoGg,IF('Net zero activities &amp; levers'!$C$12="MS",('Net zero Activity data'!BF22*EF!$H35)*kgtoGg,"ERROR")))</f>
        <v>0.20452968422624468</v>
      </c>
      <c r="AN947" s="100">
        <f>IF('Net zero activities &amp; levers'!$C$12="Off",('Activity data'!BG22*EF!$H35)*kgtoGg,IF('Net zero activities &amp; levers'!$C$12="PB",('Activity data'!BG22*EF!$H35)*kgtoGg,IF('Net zero activities &amp; levers'!$C$12="MS",('Net zero Activity data'!BG22*EF!$H35)*kgtoGg,"ERROR")))</f>
        <v>0.21324011379075677</v>
      </c>
      <c r="AO947" s="100">
        <f>IF('Net zero activities &amp; levers'!$C$12="Off",('Activity data'!BH22*EF!$H35)*kgtoGg,IF('Net zero activities &amp; levers'!$C$12="PB",('Activity data'!BH22*EF!$H35)*kgtoGg,IF('Net zero activities &amp; levers'!$C$12="MS",('Net zero Activity data'!BH22*EF!$H35)*kgtoGg,"ERROR")))</f>
        <v>0.22145703784447965</v>
      </c>
      <c r="AP947" s="100">
        <f>IF('Net zero activities &amp; levers'!$C$12="Off",('Activity data'!BI22*EF!$H35)*kgtoGg,IF('Net zero activities &amp; levers'!$C$12="PB",('Activity data'!BI22*EF!$H35)*kgtoGg,IF('Net zero activities &amp; levers'!$C$12="MS",('Net zero Activity data'!BI22*EF!$H35)*kgtoGg,"ERROR")))</f>
        <v>0.22980951249966317</v>
      </c>
      <c r="AQ947" s="100">
        <f>IF('Net zero activities &amp; levers'!$C$12="Off",('Activity data'!BJ22*EF!$H35)*kgtoGg,IF('Net zero activities &amp; levers'!$C$12="PB",('Activity data'!BJ22*EF!$H35)*kgtoGg,IF('Net zero activities &amp; levers'!$C$12="MS",('Net zero Activity data'!BJ22*EF!$H35)*kgtoGg,"ERROR")))</f>
        <v>0.23831452969822062</v>
      </c>
      <c r="AR947" s="100">
        <f>IF('Net zero activities &amp; levers'!$C$12="Off",('Activity data'!BK22*EF!$H35)*kgtoGg,IF('Net zero activities &amp; levers'!$C$12="PB",('Activity data'!BK22*EF!$H35)*kgtoGg,IF('Net zero activities &amp; levers'!$C$12="MS",('Net zero Activity data'!BK22*EF!$H35)*kgtoGg,"ERROR")))</f>
        <v>0.24742341255615688</v>
      </c>
      <c r="AS947" s="100">
        <f>IF('Net zero activities &amp; levers'!$C$12="Off",('Activity data'!BL22*EF!$H35)*kgtoGg,IF('Net zero activities &amp; levers'!$C$12="PB",('Activity data'!BL22*EF!$H35)*kgtoGg,IF('Net zero activities &amp; levers'!$C$12="MS",('Net zero Activity data'!BL22*EF!$H35)*kgtoGg,"ERROR")))</f>
        <v>0.25686299121327644</v>
      </c>
      <c r="AT947" s="100">
        <f>IF('Net zero activities &amp; levers'!$C$12="Off",('Activity data'!BM22*EF!$H35)*kgtoGg,IF('Net zero activities &amp; levers'!$C$12="PB",('Activity data'!BM22*EF!$H35)*kgtoGg,IF('Net zero activities &amp; levers'!$C$12="MS",('Net zero Activity data'!BM22*EF!$H35)*kgtoGg,"ERROR")))</f>
        <v>0.26213185534496675</v>
      </c>
      <c r="AU947" s="100">
        <f>IF('Net zero activities &amp; levers'!$C$12="Off",('Activity data'!BN22*EF!$H35)*kgtoGg,IF('Net zero activities &amp; levers'!$C$12="PB",('Activity data'!BN22*EF!$H35)*kgtoGg,IF('Net zero activities &amp; levers'!$C$12="MS",('Net zero Activity data'!BN22*EF!$H35)*kgtoGg,"ERROR")))</f>
        <v>0.26712574526544797</v>
      </c>
      <c r="AV947" s="100">
        <f>IF('Net zero activities &amp; levers'!$C$12="Off",('Activity data'!BO22*EF!$H35)*kgtoGg,IF('Net zero activities &amp; levers'!$C$12="PB",('Activity data'!BO22*EF!$H35)*kgtoGg,IF('Net zero activities &amp; levers'!$C$12="MS",('Net zero Activity data'!BO22*EF!$H35)*kgtoGg,"ERROR")))</f>
        <v>0.27270848288892124</v>
      </c>
      <c r="AW947" s="100">
        <f>IF('Net zero activities &amp; levers'!$C$12="Off",('Activity data'!BP22*EF!$H35)*kgtoGg,IF('Net zero activities &amp; levers'!$C$12="PB",('Activity data'!BP22*EF!$H35)*kgtoGg,IF('Net zero activities &amp; levers'!$C$12="MS",('Net zero Activity data'!BP22*EF!$H35)*kgtoGg,"ERROR")))</f>
        <v>0.27806741090761328</v>
      </c>
      <c r="AY947" s="85"/>
      <c r="AZ947" s="85"/>
    </row>
    <row r="948" spans="1:52" x14ac:dyDescent="0.25">
      <c r="A948" s="102" t="str">
        <f t="shared" si="326"/>
        <v>DS Cattle MMN2O</v>
      </c>
      <c r="B948" s="102" t="s">
        <v>975</v>
      </c>
      <c r="C948" s="102" t="s">
        <v>1233</v>
      </c>
      <c r="D948" t="s">
        <v>15</v>
      </c>
      <c r="E948" t="s">
        <v>657</v>
      </c>
      <c r="F948" t="s">
        <v>6</v>
      </c>
      <c r="G948" t="s">
        <v>136</v>
      </c>
      <c r="H948" t="s">
        <v>1228</v>
      </c>
      <c r="I948" t="s">
        <v>139</v>
      </c>
      <c r="J948" t="s">
        <v>287</v>
      </c>
      <c r="K948" s="28">
        <f t="shared" ref="K948:Z950" si="335">K1411</f>
        <v>5.9534544879771355E-2</v>
      </c>
      <c r="L948" s="28">
        <f t="shared" si="335"/>
        <v>5.9936525469365599E-2</v>
      </c>
      <c r="M948" s="28">
        <f t="shared" si="335"/>
        <v>6.0288156660896548E-2</v>
      </c>
      <c r="N948" s="28">
        <f t="shared" si="335"/>
        <v>6.0333640892584528E-2</v>
      </c>
      <c r="O948" s="28">
        <f t="shared" si="335"/>
        <v>6.0411983022035293E-2</v>
      </c>
      <c r="P948" s="28">
        <f t="shared" si="335"/>
        <v>6.086149571042291E-2</v>
      </c>
      <c r="Q948" s="28">
        <f t="shared" si="335"/>
        <v>6.1220941265471868E-2</v>
      </c>
      <c r="R948" s="28">
        <f t="shared" si="335"/>
        <v>6.1224092905712291E-2</v>
      </c>
      <c r="S948" s="28">
        <f t="shared" si="335"/>
        <v>5.9602036939561669E-2</v>
      </c>
      <c r="T948" s="28">
        <f t="shared" si="335"/>
        <v>6.0385643196681223E-2</v>
      </c>
      <c r="U948" s="28">
        <f t="shared" si="335"/>
        <v>6.0978819669853017E-2</v>
      </c>
      <c r="V948" s="28">
        <f t="shared" si="335"/>
        <v>6.1538467635372317E-2</v>
      </c>
      <c r="W948" s="28">
        <f t="shared" si="335"/>
        <v>6.2187395948101611E-2</v>
      </c>
      <c r="X948" s="28">
        <f t="shared" si="335"/>
        <v>6.3117211952635158E-2</v>
      </c>
      <c r="Y948" s="28">
        <f t="shared" si="335"/>
        <v>6.4085258604249157E-2</v>
      </c>
      <c r="Z948" s="28">
        <f t="shared" si="335"/>
        <v>6.5136775789421397E-2</v>
      </c>
      <c r="AA948" s="28">
        <f t="shared" ref="L948:AW950" si="336">AA1411</f>
        <v>6.6093023202577678E-2</v>
      </c>
      <c r="AB948" s="28">
        <f t="shared" si="336"/>
        <v>6.7188649433805245E-2</v>
      </c>
      <c r="AC948" s="28">
        <f t="shared" si="336"/>
        <v>6.8454554232404832E-2</v>
      </c>
      <c r="AD948" s="28">
        <f t="shared" si="336"/>
        <v>6.9673307405983362E-2</v>
      </c>
      <c r="AE948" s="28">
        <f t="shared" si="336"/>
        <v>7.0955599019075E-2</v>
      </c>
      <c r="AF948" s="28">
        <f t="shared" si="336"/>
        <v>7.2276783381790194E-2</v>
      </c>
      <c r="AG948" s="28">
        <f t="shared" si="336"/>
        <v>7.3746887396473032E-2</v>
      </c>
      <c r="AH948" s="28">
        <f t="shared" si="336"/>
        <v>7.5077879884479282E-2</v>
      </c>
      <c r="AI948" s="28">
        <f t="shared" si="336"/>
        <v>7.6460929017735491E-2</v>
      </c>
      <c r="AJ948" s="28">
        <f t="shared" si="336"/>
        <v>7.7880128375373087E-2</v>
      </c>
      <c r="AK948" s="28">
        <f t="shared" si="336"/>
        <v>7.925690413110191E-2</v>
      </c>
      <c r="AL948" s="28">
        <f t="shared" si="336"/>
        <v>8.0644114608921846E-2</v>
      </c>
      <c r="AM948" s="28">
        <f t="shared" si="336"/>
        <v>8.2090170284588052E-2</v>
      </c>
      <c r="AN948" s="28">
        <f t="shared" si="336"/>
        <v>8.3584106491488411E-2</v>
      </c>
      <c r="AO948" s="28">
        <f t="shared" si="336"/>
        <v>8.5010968574935772E-2</v>
      </c>
      <c r="AP948" s="28">
        <f t="shared" si="336"/>
        <v>8.6467971698133472E-2</v>
      </c>
      <c r="AQ948" s="28">
        <f t="shared" si="336"/>
        <v>8.7957741718516017E-2</v>
      </c>
      <c r="AR948" s="28">
        <f t="shared" si="336"/>
        <v>8.9550905410436282E-2</v>
      </c>
      <c r="AS948" s="28">
        <f t="shared" si="336"/>
        <v>9.1161603152246209E-2</v>
      </c>
      <c r="AT948" s="28">
        <f t="shared" si="336"/>
        <v>9.2125625118884502E-2</v>
      </c>
      <c r="AU948" s="28">
        <f t="shared" si="336"/>
        <v>9.3052192745030571E-2</v>
      </c>
      <c r="AV948" s="28">
        <f t="shared" si="336"/>
        <v>9.4077328885209005E-2</v>
      </c>
      <c r="AW948" s="28">
        <f t="shared" si="336"/>
        <v>9.5072920340837683E-2</v>
      </c>
      <c r="AY948" s="85"/>
      <c r="AZ948" s="85"/>
    </row>
    <row r="949" spans="1:52" x14ac:dyDescent="0.25">
      <c r="A949" s="102" t="str">
        <f t="shared" si="326"/>
        <v>DS Cattle MMN2O</v>
      </c>
      <c r="B949" s="102" t="s">
        <v>975</v>
      </c>
      <c r="C949" s="102" t="s">
        <v>1233</v>
      </c>
      <c r="D949" t="s">
        <v>15</v>
      </c>
      <c r="E949" t="s">
        <v>657</v>
      </c>
      <c r="F949" t="s">
        <v>6</v>
      </c>
      <c r="G949" t="s">
        <v>137</v>
      </c>
      <c r="H949" t="s">
        <v>1228</v>
      </c>
      <c r="I949" t="s">
        <v>139</v>
      </c>
      <c r="J949" t="s">
        <v>287</v>
      </c>
      <c r="K949" s="28">
        <f t="shared" si="335"/>
        <v>0.26067987133037912</v>
      </c>
      <c r="L949" s="28">
        <f t="shared" si="336"/>
        <v>0.2624399964574689</v>
      </c>
      <c r="M949" s="28">
        <f t="shared" si="336"/>
        <v>0.26397966009224005</v>
      </c>
      <c r="N949" s="28">
        <f t="shared" si="336"/>
        <v>0.26417881881072747</v>
      </c>
      <c r="O949" s="28">
        <f t="shared" si="336"/>
        <v>0.26452185017623492</v>
      </c>
      <c r="P949" s="28">
        <f t="shared" si="336"/>
        <v>0.26649010087852709</v>
      </c>
      <c r="Q949" s="28">
        <f t="shared" si="336"/>
        <v>0.26806398073650983</v>
      </c>
      <c r="R949" s="28">
        <f t="shared" si="336"/>
        <v>0.26807778060974324</v>
      </c>
      <c r="S949" s="28">
        <f t="shared" si="336"/>
        <v>0.26097539423220861</v>
      </c>
      <c r="T949" s="28">
        <f t="shared" si="336"/>
        <v>0.26440651777051938</v>
      </c>
      <c r="U949" s="28">
        <f t="shared" si="336"/>
        <v>0.26700381933744832</v>
      </c>
      <c r="V949" s="28">
        <f t="shared" si="336"/>
        <v>0.26945431190334429</v>
      </c>
      <c r="W949" s="28">
        <f t="shared" si="336"/>
        <v>0.27229573026652365</v>
      </c>
      <c r="X949" s="28">
        <f t="shared" si="336"/>
        <v>0.27636705250325572</v>
      </c>
      <c r="Y949" s="28">
        <f t="shared" si="336"/>
        <v>0.28060577267982134</v>
      </c>
      <c r="Z949" s="28">
        <f t="shared" si="336"/>
        <v>0.28520997961691874</v>
      </c>
      <c r="AA949" s="28">
        <f t="shared" si="336"/>
        <v>0.2893970352688095</v>
      </c>
      <c r="AB949" s="28">
        <f t="shared" si="336"/>
        <v>0.29419437949239208</v>
      </c>
      <c r="AC949" s="28">
        <f t="shared" si="336"/>
        <v>0.2997373109229064</v>
      </c>
      <c r="AD949" s="28">
        <f t="shared" si="336"/>
        <v>0.3050737827329042</v>
      </c>
      <c r="AE949" s="28">
        <f t="shared" si="336"/>
        <v>0.31068846599593736</v>
      </c>
      <c r="AF949" s="28">
        <f t="shared" si="336"/>
        <v>0.31647344630227597</v>
      </c>
      <c r="AG949" s="28">
        <f t="shared" si="336"/>
        <v>0.32291049098219599</v>
      </c>
      <c r="AH949" s="28">
        <f t="shared" si="336"/>
        <v>0.32873841746111437</v>
      </c>
      <c r="AI949" s="28">
        <f t="shared" si="336"/>
        <v>0.33479428083974455</v>
      </c>
      <c r="AJ949" s="28">
        <f t="shared" si="336"/>
        <v>0.34100843275252468</v>
      </c>
      <c r="AK949" s="28">
        <f t="shared" si="336"/>
        <v>0.34703682731872076</v>
      </c>
      <c r="AL949" s="28">
        <f t="shared" si="336"/>
        <v>0.35311091169438086</v>
      </c>
      <c r="AM949" s="28">
        <f t="shared" si="336"/>
        <v>0.35944265754429855</v>
      </c>
      <c r="AN949" s="28">
        <f t="shared" si="336"/>
        <v>0.3659840546269007</v>
      </c>
      <c r="AO949" s="28">
        <f t="shared" si="336"/>
        <v>0.3722317587971502</v>
      </c>
      <c r="AP949" s="28">
        <f t="shared" si="336"/>
        <v>0.37861143949262133</v>
      </c>
      <c r="AQ949" s="28">
        <f t="shared" si="336"/>
        <v>0.38513459437705777</v>
      </c>
      <c r="AR949" s="28">
        <f t="shared" si="336"/>
        <v>0.39211047211420524</v>
      </c>
      <c r="AS949" s="28">
        <f t="shared" si="336"/>
        <v>0.3991631250056496</v>
      </c>
      <c r="AT949" s="28">
        <f t="shared" si="336"/>
        <v>0.40338422256724893</v>
      </c>
      <c r="AU949" s="28">
        <f t="shared" si="336"/>
        <v>0.40744132134998817</v>
      </c>
      <c r="AV949" s="28">
        <f t="shared" si="336"/>
        <v>0.41193001539573099</v>
      </c>
      <c r="AW949" s="28">
        <f t="shared" si="336"/>
        <v>0.41628934413629709</v>
      </c>
      <c r="AY949" s="85"/>
      <c r="AZ949" s="85"/>
    </row>
    <row r="950" spans="1:52" x14ac:dyDescent="0.25">
      <c r="A950" s="102" t="str">
        <f t="shared" si="326"/>
        <v>DS Cattle MMN2O</v>
      </c>
      <c r="B950" s="102" t="s">
        <v>975</v>
      </c>
      <c r="C950" s="102" t="s">
        <v>1233</v>
      </c>
      <c r="D950" t="s">
        <v>15</v>
      </c>
      <c r="E950" t="s">
        <v>657</v>
      </c>
      <c r="F950" t="s">
        <v>67</v>
      </c>
      <c r="G950" t="s">
        <v>307</v>
      </c>
      <c r="H950" t="s">
        <v>1228</v>
      </c>
      <c r="I950" t="s">
        <v>139</v>
      </c>
      <c r="J950" t="s">
        <v>287</v>
      </c>
      <c r="K950" s="28">
        <f t="shared" si="335"/>
        <v>1.1598714945443948E-2</v>
      </c>
      <c r="L950" s="28">
        <f t="shared" si="336"/>
        <v>1.1677030119965246E-2</v>
      </c>
      <c r="M950" s="28">
        <f t="shared" si="336"/>
        <v>1.1745536059915416E-2</v>
      </c>
      <c r="N950" s="28">
        <f t="shared" si="336"/>
        <v>1.1754397446845087E-2</v>
      </c>
      <c r="O950" s="28">
        <f t="shared" si="336"/>
        <v>1.1769660316991377E-2</v>
      </c>
      <c r="P950" s="28">
        <f t="shared" si="336"/>
        <v>1.1857235850616387E-2</v>
      </c>
      <c r="Q950" s="28">
        <f t="shared" si="336"/>
        <v>1.1927264210450818E-2</v>
      </c>
      <c r="R950" s="28">
        <f t="shared" si="336"/>
        <v>1.1927878223320707E-2</v>
      </c>
      <c r="S950" s="28">
        <f t="shared" si="336"/>
        <v>1.1611863969496622E-2</v>
      </c>
      <c r="T950" s="28">
        <f t="shared" si="336"/>
        <v>1.1764528705981136E-2</v>
      </c>
      <c r="U950" s="28">
        <f t="shared" si="336"/>
        <v>1.1880093288503061E-2</v>
      </c>
      <c r="V950" s="28">
        <f t="shared" si="336"/>
        <v>1.1989125737394114E-2</v>
      </c>
      <c r="W950" s="28">
        <f t="shared" si="336"/>
        <v>1.2115552075826281E-2</v>
      </c>
      <c r="X950" s="28">
        <f t="shared" si="336"/>
        <v>1.2296701873982557E-2</v>
      </c>
      <c r="Y950" s="28">
        <f t="shared" si="336"/>
        <v>1.2485299891967528E-2</v>
      </c>
      <c r="Z950" s="28">
        <f t="shared" si="336"/>
        <v>1.2690159912577046E-2</v>
      </c>
      <c r="AA950" s="28">
        <f t="shared" si="336"/>
        <v>1.2876459164295801E-2</v>
      </c>
      <c r="AB950" s="28">
        <f t="shared" si="336"/>
        <v>1.3089912653667775E-2</v>
      </c>
      <c r="AC950" s="28">
        <f t="shared" si="336"/>
        <v>1.3336540371015372E-2</v>
      </c>
      <c r="AD950" s="28">
        <f t="shared" si="336"/>
        <v>1.3573981854405228E-2</v>
      </c>
      <c r="AE950" s="28">
        <f t="shared" si="336"/>
        <v>1.3823802104601461E-2</v>
      </c>
      <c r="AF950" s="28">
        <f t="shared" si="336"/>
        <v>1.4081199567611519E-2</v>
      </c>
      <c r="AG950" s="28">
        <f t="shared" si="336"/>
        <v>1.4367610044770513E-2</v>
      </c>
      <c r="AH950" s="28">
        <f t="shared" si="336"/>
        <v>1.4626918358860899E-2</v>
      </c>
      <c r="AI950" s="28">
        <f t="shared" si="336"/>
        <v>1.4896368519008723E-2</v>
      </c>
      <c r="AJ950" s="28">
        <f t="shared" si="336"/>
        <v>1.5172861584223856E-2</v>
      </c>
      <c r="AK950" s="28">
        <f t="shared" si="336"/>
        <v>1.5441089544423183E-2</v>
      </c>
      <c r="AL950" s="28">
        <f t="shared" si="336"/>
        <v>1.5711350431342863E-2</v>
      </c>
      <c r="AM950" s="28">
        <f t="shared" si="336"/>
        <v>1.5993075732362048E-2</v>
      </c>
      <c r="AN950" s="28">
        <f t="shared" si="336"/>
        <v>1.6284129275233806E-2</v>
      </c>
      <c r="AO950" s="28">
        <f t="shared" si="336"/>
        <v>1.6562115217778419E-2</v>
      </c>
      <c r="AP950" s="28">
        <f t="shared" si="336"/>
        <v>1.6845973336366879E-2</v>
      </c>
      <c r="AQ950" s="28">
        <f t="shared" si="336"/>
        <v>1.7136215209141423E-2</v>
      </c>
      <c r="AR950" s="28">
        <f t="shared" si="336"/>
        <v>1.7446600575508658E-2</v>
      </c>
      <c r="AS950" s="28">
        <f t="shared" si="336"/>
        <v>1.7760401982880657E-2</v>
      </c>
      <c r="AT950" s="28">
        <f t="shared" si="336"/>
        <v>1.7948215898562121E-2</v>
      </c>
      <c r="AU950" s="28">
        <f t="shared" si="336"/>
        <v>1.8128732837005983E-2</v>
      </c>
      <c r="AV950" s="28">
        <f t="shared" si="336"/>
        <v>1.8328453216060109E-2</v>
      </c>
      <c r="AW950" s="28">
        <f t="shared" si="336"/>
        <v>1.852241760294299E-2</v>
      </c>
      <c r="AY950" s="85"/>
      <c r="AZ950" s="85"/>
    </row>
    <row r="951" spans="1:52" x14ac:dyDescent="0.25">
      <c r="A951" s="102" t="str">
        <f t="shared" si="326"/>
        <v>DS Cattle MMN2O</v>
      </c>
      <c r="B951" s="102" t="s">
        <v>975</v>
      </c>
      <c r="C951" s="102" t="s">
        <v>1233</v>
      </c>
      <c r="D951" t="s">
        <v>15</v>
      </c>
      <c r="E951" t="s">
        <v>657</v>
      </c>
      <c r="F951" t="s">
        <v>67</v>
      </c>
      <c r="G951" t="s">
        <v>122</v>
      </c>
      <c r="H951" t="s">
        <v>1228</v>
      </c>
      <c r="I951" t="s">
        <v>139</v>
      </c>
      <c r="J951" t="s">
        <v>287</v>
      </c>
      <c r="K951" s="100">
        <f>IF('Net zero activities &amp; levers'!$C$12="Off",('Activity data'!AD8*EF!$H39*EF!$H57)*NtoN2O*kgtoGg,('Net zero Activity data'!AD8*EF!$H39*EF!$H57)*NtoN2O*kgtoGg)</f>
        <v>0.52784381686908488</v>
      </c>
      <c r="L951" s="100">
        <f>IF('Net zero activities &amp; levers'!$C$12="Off",('Activity data'!AE8*EF!$H39*EF!$H57)*NtoN2O*kgtoGg,('Net zero Activity data'!AE8*EF!$H39*EF!$H57)*NtoN2O*kgtoGg)</f>
        <v>0.52515644938547934</v>
      </c>
      <c r="M951" s="100">
        <f>IF('Net zero activities &amp; levers'!$C$12="Off",('Activity data'!AF8*EF!$H39*EF!$H57)*NtoN2O*kgtoGg,('Net zero Activity data'!AF8*EF!$H39*EF!$H57)*NtoN2O*kgtoGg)</f>
        <v>0.52025151153580673</v>
      </c>
      <c r="N951" s="100">
        <f>IF('Net zero activities &amp; levers'!$C$12="Off",('Activity data'!AG8*EF!$H39*EF!$H57)*NtoN2O*kgtoGg,('Net zero Activity data'!AG8*EF!$H39*EF!$H57)*NtoN2O*kgtoGg)</f>
        <v>0.50682531077398352</v>
      </c>
      <c r="O951" s="100">
        <f>IF('Net zero activities &amp; levers'!$C$12="Off",('Activity data'!AH8*EF!$H39*EF!$H57)*NtoN2O*kgtoGg,('Net zero Activity data'!AH8*EF!$H39*EF!$H57)*NtoN2O*kgtoGg)</f>
        <v>0.4939348964332157</v>
      </c>
      <c r="P951" s="100">
        <f>IF('Net zero activities &amp; levers'!$C$12="Off",('Activity data'!AI8*EF!$H39*EF!$H57)*NtoN2O*kgtoGg,('Net zero Activity data'!AI8*EF!$H39*EF!$H57)*NtoN2O*kgtoGg)</f>
        <v>0.48971543421207564</v>
      </c>
      <c r="Q951" s="100">
        <f>IF('Net zero activities &amp; levers'!$C$12="Off",('Activity data'!AJ8*EF!$H39*EF!$H57)*NtoN2O*kgtoGg,('Net zero Activity data'!AJ8*EF!$H39*EF!$H57)*NtoN2O*kgtoGg)</f>
        <v>0.48290055380478719</v>
      </c>
      <c r="R951" s="100">
        <f>IF('Net zero activities &amp; levers'!$C$12="Off",('Activity data'!AK8*EF!$H39*EF!$H57)*NtoN2O*kgtoGg,('Net zero Activity data'!AK8*EF!$H39*EF!$H57)*NtoN2O*kgtoGg)</f>
        <v>0.46758884489133185</v>
      </c>
      <c r="S951" s="100">
        <f>IF('Net zero activities &amp; levers'!$C$12="Off",('Activity data'!AL8*EF!$H39*EF!$H57)*NtoN2O*kgtoGg,('Net zero Activity data'!AL8*EF!$H39*EF!$H57)*NtoN2O*kgtoGg)</f>
        <v>0.41621648904191116</v>
      </c>
      <c r="T951" s="100">
        <f>IF('Net zero activities &amp; levers'!$C$12="Off",('Activity data'!AM8*EF!$H39*EF!$H57)*NtoN2O*kgtoGg,('Net zero Activity data'!AM8*EF!$H39*EF!$H57)*NtoN2O*kgtoGg)</f>
        <v>0.41558248417770116</v>
      </c>
      <c r="U951" s="100">
        <f>IF('Net zero activities &amp; levers'!$C$12="Off",('Activity data'!AN8*EF!$H39*EF!$H57)*NtoN2O*kgtoGg,('Net zero Activity data'!AN8*EF!$H39*EF!$H57)*NtoN2O*kgtoGg)</f>
        <v>0.41017664588342345</v>
      </c>
      <c r="V951" s="100">
        <f>IF('Net zero activities &amp; levers'!$C$12="Off",('Activity data'!AO8*EF!$H39*EF!$H57)*NtoN2O*kgtoGg,('Net zero Activity data'!AO8*EF!$H39*EF!$H57)*NtoN2O*kgtoGg)</f>
        <v>0.40362859744163054</v>
      </c>
      <c r="W951" s="100">
        <f>IF('Net zero activities &amp; levers'!$C$12="Off",('Activity data'!AP8*EF!$H39*EF!$H57)*NtoN2O*kgtoGg,('Net zero Activity data'!AP8*EF!$H39*EF!$H57)*NtoN2O*kgtoGg)</f>
        <v>0.39840359656116198</v>
      </c>
      <c r="X951" s="100">
        <f>IF('Net zero activities &amp; levers'!$C$12="Off",('Activity data'!AQ8*EF!$H39*EF!$H57)*NtoN2O*kgtoGg,('Net zero Activity data'!AQ8*EF!$H39*EF!$H57)*NtoN2O*kgtoGg)</f>
        <v>0.39785306827983508</v>
      </c>
      <c r="Y951" s="100">
        <f>IF('Net zero activities &amp; levers'!$C$12="Off",('Activity data'!AR8*EF!$H39*EF!$H57)*NtoN2O*kgtoGg,('Net zero Activity data'!AR8*EF!$H39*EF!$H57)*NtoN2O*kgtoGg)</f>
        <v>0.39787949912660181</v>
      </c>
      <c r="Z951" s="100">
        <f>IF('Net zero activities &amp; levers'!$C$12="Off",('Activity data'!AS8*EF!$H39*EF!$H57)*NtoN2O*kgtoGg,('Net zero Activity data'!AS8*EF!$H39*EF!$H57)*NtoN2O*kgtoGg)</f>
        <v>0.39845414150807984</v>
      </c>
      <c r="AA951" s="100">
        <f>IF('Net zero activities &amp; levers'!$C$12="Off",('Activity data'!AT8*EF!$H39*EF!$H57)*NtoN2O*kgtoGg,('Net zero Activity data'!AT8*EF!$H39*EF!$H57)*NtoN2O*kgtoGg)</f>
        <v>0.3965721692822553</v>
      </c>
      <c r="AB951" s="100">
        <f>IF('Net zero activities &amp; levers'!$C$12="Off",('Activity data'!AU8*EF!$H39*EF!$H57)*NtoN2O*kgtoGg,('Net zero Activity data'!AU8*EF!$H39*EF!$H57)*NtoN2O*kgtoGg)</f>
        <v>0.39613655789076946</v>
      </c>
      <c r="AC951" s="100">
        <f>IF('Net zero activities &amp; levers'!$C$12="Off",('Activity data'!AV8*EF!$H39*EF!$H57)*NtoN2O*kgtoGg,('Net zero Activity data'!AV8*EF!$H39*EF!$H57)*NtoN2O*kgtoGg)</f>
        <v>0.3974004325820491</v>
      </c>
      <c r="AD951" s="100">
        <f>IF('Net zero activities &amp; levers'!$C$12="Off",('Activity data'!AW8*EF!$H39*EF!$H57)*NtoN2O*kgtoGg,('Net zero Activity data'!AW8*EF!$H39*EF!$H57)*NtoN2O*kgtoGg)</f>
        <v>0.39965117494650282</v>
      </c>
      <c r="AE951" s="100">
        <f>IF('Net zero activities &amp; levers'!$C$12="Off",('Activity data'!AX8*EF!$H39*EF!$H57)*NtoN2O*kgtoGg,('Net zero Activity data'!AX8*EF!$H39*EF!$H57)*NtoN2O*kgtoGg)</f>
        <v>0.40188837923137971</v>
      </c>
      <c r="AF951" s="100">
        <f>IF('Net zero activities &amp; levers'!$C$12="Off",('Activity data'!AY8*EF!$H39*EF!$H57)*NtoN2O*kgtoGg,('Net zero Activity data'!AY8*EF!$H39*EF!$H57)*NtoN2O*kgtoGg)</f>
        <v>0.40373468887325353</v>
      </c>
      <c r="AG951" s="100">
        <f>IF('Net zero activities &amp; levers'!$C$12="Off",('Activity data'!AZ8*EF!$H39*EF!$H57)*NtoN2O*kgtoGg,('Net zero Activity data'!AZ8*EF!$H39*EF!$H57)*NtoN2O*kgtoGg)</f>
        <v>0.40659880442857343</v>
      </c>
      <c r="AH951" s="100">
        <f>IF('Net zero activities &amp; levers'!$C$12="Off",('Activity data'!BA8*EF!$H39*EF!$H57)*NtoN2O*kgtoGg,('Net zero Activity data'!BA8*EF!$H39*EF!$H57)*NtoN2O*kgtoGg)</f>
        <v>0.40674398352285984</v>
      </c>
      <c r="AI951" s="100">
        <f>IF('Net zero activities &amp; levers'!$C$12="Off",('Activity data'!BB8*EF!$H39*EF!$H57)*NtoN2O*kgtoGg,('Net zero Activity data'!BB8*EF!$H39*EF!$H57)*NtoN2O*kgtoGg)</f>
        <v>0.40707455362291367</v>
      </c>
      <c r="AJ951" s="100">
        <f>IF('Net zero activities &amp; levers'!$C$12="Off",('Activity data'!BC8*EF!$H39*EF!$H57)*NtoN2O*kgtoGg,('Net zero Activity data'!BC8*EF!$H39*EF!$H57)*NtoN2O*kgtoGg)</f>
        <v>0.40698028306057765</v>
      </c>
      <c r="AK951" s="100">
        <f>IF('Net zero activities &amp; levers'!$C$12="Off",('Activity data'!BD8*EF!$H39*EF!$H57)*NtoN2O*kgtoGg,('Net zero Activity data'!BD8*EF!$H39*EF!$H57)*NtoN2O*kgtoGg)</f>
        <v>0.40559287672373934</v>
      </c>
      <c r="AL951" s="100">
        <f>IF('Net zero activities &amp; levers'!$C$12="Off",('Activity data'!BE8*EF!$H39*EF!$H57)*NtoN2O*kgtoGg,('Net zero Activity data'!BE8*EF!$H39*EF!$H57)*NtoN2O*kgtoGg)</f>
        <v>0.40357302691681846</v>
      </c>
      <c r="AM951" s="100">
        <f>IF('Net zero activities &amp; levers'!$C$12="Off",('Activity data'!BF8*EF!$H39*EF!$H57)*NtoN2O*kgtoGg,('Net zero Activity data'!BF8*EF!$H39*EF!$H57)*NtoN2O*kgtoGg)</f>
        <v>0.40144263532027297</v>
      </c>
      <c r="AN951" s="100">
        <f>IF('Net zero activities &amp; levers'!$C$12="Off",('Activity data'!BG8*EF!$H39*EF!$H57)*NtoN2O*kgtoGg,('Net zero Activity data'!BG8*EF!$H39*EF!$H57)*NtoN2O*kgtoGg)</f>
        <v>0.40435253577582536</v>
      </c>
      <c r="AO951" s="100">
        <f>IF('Net zero activities &amp; levers'!$C$12="Off",('Activity data'!BH8*EF!$H39*EF!$H57)*NtoN2O*kgtoGg,('Net zero Activity data'!BH8*EF!$H39*EF!$H57)*NtoN2O*kgtoGg)</f>
        <v>0.40599974919153126</v>
      </c>
      <c r="AP951" s="100">
        <f>IF('Net zero activities &amp; levers'!$C$12="Off",('Activity data'!BI8*EF!$H39*EF!$H57)*NtoN2O*kgtoGg,('Net zero Activity data'!BI8*EF!$H39*EF!$H57)*NtoN2O*kgtoGg)</f>
        <v>0.40737082357952087</v>
      </c>
      <c r="AQ951" s="100">
        <f>IF('Net zero activities &amp; levers'!$C$12="Off",('Activity data'!BJ8*EF!$H39*EF!$H57)*NtoN2O*kgtoGg,('Net zero Activity data'!BJ8*EF!$H39*EF!$H57)*NtoN2O*kgtoGg)</f>
        <v>0.4084871789990408</v>
      </c>
      <c r="AR951" s="100">
        <f>IF('Net zero activities &amp; levers'!$C$12="Off",('Activity data'!BK8*EF!$H39*EF!$H57)*NtoN2O*kgtoGg,('Net zero Activity data'!BK8*EF!$H39*EF!$H57)*NtoN2O*kgtoGg)</f>
        <v>0.40996466939001286</v>
      </c>
      <c r="AS951" s="100">
        <f>IF('Net zero activities &amp; levers'!$C$12="Off",('Activity data'!BL8*EF!$H39*EF!$H57)*NtoN2O*kgtoGg,('Net zero Activity data'!BL8*EF!$H39*EF!$H57)*NtoN2O*kgtoGg)</f>
        <v>0.41126566649775403</v>
      </c>
      <c r="AT951" s="100">
        <f>IF('Net zero activities &amp; levers'!$C$12="Off",('Activity data'!BM8*EF!$H39*EF!$H57)*NtoN2O*kgtoGg,('Net zero Activity data'!BM8*EF!$H39*EF!$H57)*NtoN2O*kgtoGg)</f>
        <v>0.40664558700855558</v>
      </c>
      <c r="AU951" s="100">
        <f>IF('Net zero activities &amp; levers'!$C$12="Off",('Activity data'!BN8*EF!$H39*EF!$H57)*NtoN2O*kgtoGg,('Net zero Activity data'!BN8*EF!$H39*EF!$H57)*NtoN2O*kgtoGg)</f>
        <v>0.40149387562300576</v>
      </c>
      <c r="AV951" s="100">
        <f>IF('Net zero activities &amp; levers'!$C$12="Off",('Activity data'!BO8*EF!$H39*EF!$H57)*NtoN2O*kgtoGg,('Net zero Activity data'!BO8*EF!$H39*EF!$H57)*NtoN2O*kgtoGg)</f>
        <v>0.39690619862620607</v>
      </c>
      <c r="AW951" s="100">
        <f>IF('Net zero activities &amp; levers'!$C$12="Off",('Activity data'!BP8*EF!$H39*EF!$H57)*NtoN2O*kgtoGg,('Net zero Activity data'!BP8*EF!$H39*EF!$H57)*NtoN2O*kgtoGg)</f>
        <v>0.39185842227703588</v>
      </c>
      <c r="AY951" s="85"/>
      <c r="AZ951" s="85"/>
    </row>
    <row r="952" spans="1:52" x14ac:dyDescent="0.25">
      <c r="A952" s="102" t="str">
        <f t="shared" si="326"/>
        <v>DS Cattle MMN2O</v>
      </c>
      <c r="B952" s="102" t="s">
        <v>975</v>
      </c>
      <c r="C952" s="102" t="s">
        <v>1233</v>
      </c>
      <c r="D952" t="s">
        <v>15</v>
      </c>
      <c r="E952" t="s">
        <v>657</v>
      </c>
      <c r="F952" t="s">
        <v>67</v>
      </c>
      <c r="G952" t="s">
        <v>123</v>
      </c>
      <c r="H952" t="s">
        <v>1228</v>
      </c>
      <c r="I952" t="s">
        <v>139</v>
      </c>
      <c r="J952" t="s">
        <v>287</v>
      </c>
      <c r="K952" s="100">
        <f>IF('Net zero activities &amp; levers'!$C$12="Off",('Activity data'!AD9*EF!$H40*EF!$H58)*NtoN2O*kgtoGg,('Net zero Activity data'!AD9*EF!$H40*EF!$H58)*NtoN2O*kgtoGg)</f>
        <v>0.80849535264982253</v>
      </c>
      <c r="L952" s="100">
        <f>IF('Net zero activities &amp; levers'!$C$12="Off",('Activity data'!AE9*EF!$H40*EF!$H58)*NtoN2O*kgtoGg,('Net zero Activity data'!AE9*EF!$H40*EF!$H58)*NtoN2O*kgtoGg)</f>
        <v>0.80437912725905281</v>
      </c>
      <c r="M952" s="100">
        <f>IF('Net zero activities &amp; levers'!$C$12="Off",('Activity data'!AF9*EF!$H40*EF!$H58)*NtoN2O*kgtoGg,('Net zero Activity data'!AF9*EF!$H40*EF!$H58)*NtoN2O*kgtoGg)</f>
        <v>0.79686626203308752</v>
      </c>
      <c r="N952" s="100">
        <f>IF('Net zero activities &amp; levers'!$C$12="Off",('Activity data'!AG9*EF!$H40*EF!$H58)*NtoN2O*kgtoGg,('Net zero Activity data'!AG9*EF!$H40*EF!$H58)*NtoN2O*kgtoGg)</f>
        <v>0.77630142718465789</v>
      </c>
      <c r="O952" s="100">
        <f>IF('Net zero activities &amp; levers'!$C$12="Off",('Activity data'!AH9*EF!$H40*EF!$H58)*NtoN2O*kgtoGg,('Net zero Activity data'!AH9*EF!$H40*EF!$H58)*NtoN2O*kgtoGg)</f>
        <v>0.75655725333024249</v>
      </c>
      <c r="P952" s="100">
        <f>IF('Net zero activities &amp; levers'!$C$12="Off",('Activity data'!AI9*EF!$H40*EF!$H58)*NtoN2O*kgtoGg,('Net zero Activity data'!AI9*EF!$H40*EF!$H58)*NtoN2O*kgtoGg)</f>
        <v>0.75009432720048652</v>
      </c>
      <c r="Q952" s="100">
        <f>IF('Net zero activities &amp; levers'!$C$12="Off",('Activity data'!AJ9*EF!$H40*EF!$H58)*NtoN2O*kgtoGg,('Net zero Activity data'!AJ9*EF!$H40*EF!$H58)*NtoN2O*kgtoGg)</f>
        <v>0.73965601389251134</v>
      </c>
      <c r="R952" s="100">
        <f>IF('Net zero activities &amp; levers'!$C$12="Off",('Activity data'!AK9*EF!$H40*EF!$H58)*NtoN2O*kgtoGg,('Net zero Activity data'!AK9*EF!$H40*EF!$H58)*NtoN2O*kgtoGg)</f>
        <v>0.71620315700184167</v>
      </c>
      <c r="S952" s="100">
        <f>IF('Net zero activities &amp; levers'!$C$12="Off",('Activity data'!AL9*EF!$H40*EF!$H58)*NtoN2O*kgtoGg,('Net zero Activity data'!AL9*EF!$H40*EF!$H58)*NtoN2O*kgtoGg)</f>
        <v>0.63751641362897982</v>
      </c>
      <c r="T952" s="100">
        <f>IF('Net zero activities &amp; levers'!$C$12="Off",('Activity data'!AM9*EF!$H40*EF!$H58)*NtoN2O*kgtoGg,('Net zero Activity data'!AM9*EF!$H40*EF!$H58)*NtoN2O*kgtoGg)</f>
        <v>0.63654531200783804</v>
      </c>
      <c r="U952" s="100">
        <f>IF('Net zero activities &amp; levers'!$C$12="Off",('Activity data'!AN9*EF!$H40*EF!$H58)*NtoN2O*kgtoGg,('Net zero Activity data'!AN9*EF!$H40*EF!$H58)*NtoN2O*kgtoGg)</f>
        <v>0.62826522043828215</v>
      </c>
      <c r="V952" s="100">
        <f>IF('Net zero activities &amp; levers'!$C$12="Off",('Activity data'!AO9*EF!$H40*EF!$H58)*NtoN2O*kgtoGg,('Net zero Activity data'!AO9*EF!$H40*EF!$H58)*NtoN2O*kgtoGg)</f>
        <v>0.6182356121243735</v>
      </c>
      <c r="W952" s="100">
        <f>IF('Net zero activities &amp; levers'!$C$12="Off",('Activity data'!AP9*EF!$H40*EF!$H58)*NtoN2O*kgtoGg,('Net zero Activity data'!AP9*EF!$H40*EF!$H58)*NtoN2O*kgtoGg)</f>
        <v>0.61023250818634289</v>
      </c>
      <c r="X952" s="100">
        <f>IF('Net zero activities &amp; levers'!$C$12="Off",('Activity data'!AQ9*EF!$H40*EF!$H58)*NtoN2O*kgtoGg,('Net zero Activity data'!AQ9*EF!$H40*EF!$H58)*NtoN2O*kgtoGg)</f>
        <v>0.6093892671693405</v>
      </c>
      <c r="Y952" s="100">
        <f>IF('Net zero activities &amp; levers'!$C$12="Off",('Activity data'!AR9*EF!$H40*EF!$H58)*NtoN2O*kgtoGg,('Net zero Activity data'!AR9*EF!$H40*EF!$H58)*NtoN2O*kgtoGg)</f>
        <v>0.60942975114602949</v>
      </c>
      <c r="Z952" s="100">
        <f>IF('Net zero activities &amp; levers'!$C$12="Off",('Activity data'!AS9*EF!$H40*EF!$H58)*NtoN2O*kgtoGg,('Net zero Activity data'!AS9*EF!$H40*EF!$H58)*NtoN2O*kgtoGg)</f>
        <v>0.61030992759219171</v>
      </c>
      <c r="AA952" s="100">
        <f>IF('Net zero activities &amp; levers'!$C$12="Off",('Activity data'!AT9*EF!$H40*EF!$H58)*NtoN2O*kgtoGg,('Net zero Activity data'!AT9*EF!$H40*EF!$H58)*NtoN2O*kgtoGg)</f>
        <v>0.60742732150726997</v>
      </c>
      <c r="AB952" s="100">
        <f>IF('Net zero activities &amp; levers'!$C$12="Off",('Activity data'!AU9*EF!$H40*EF!$H58)*NtoN2O*kgtoGg,('Net zero Activity data'!AU9*EF!$H40*EF!$H58)*NtoN2O*kgtoGg)</f>
        <v>0.6067600980325939</v>
      </c>
      <c r="AC952" s="100">
        <f>IF('Net zero activities &amp; levers'!$C$12="Off",('Activity data'!AV9*EF!$H40*EF!$H58)*NtoN2O*kgtoGg,('Net zero Activity data'!AV9*EF!$H40*EF!$H58)*NtoN2O*kgtoGg)</f>
        <v>0.60869596766216039</v>
      </c>
      <c r="AD952" s="100">
        <f>IF('Net zero activities &amp; levers'!$C$12="Off",('Activity data'!AW9*EF!$H40*EF!$H58)*NtoN2O*kgtoGg,('Net zero Activity data'!AW9*EF!$H40*EF!$H58)*NtoN2O*kgtoGg)</f>
        <v>0.61214341685739126</v>
      </c>
      <c r="AE952" s="100">
        <f>IF('Net zero activities &amp; levers'!$C$12="Off",('Activity data'!AX9*EF!$H40*EF!$H58)*NtoN2O*kgtoGg,('Net zero Activity data'!AX9*EF!$H40*EF!$H58)*NtoN2O*kgtoGg)</f>
        <v>0.61557012985363313</v>
      </c>
      <c r="AF952" s="100">
        <f>IF('Net zero activities &amp; levers'!$C$12="Off",('Activity data'!AY9*EF!$H40*EF!$H58)*NtoN2O*kgtoGg,('Net zero Activity data'!AY9*EF!$H40*EF!$H58)*NtoN2O*kgtoGg)</f>
        <v>0.61839811176286841</v>
      </c>
      <c r="AG952" s="100">
        <f>IF('Net zero activities &amp; levers'!$C$12="Off",('Activity data'!AZ9*EF!$H40*EF!$H58)*NtoN2O*kgtoGg,('Net zero Activity data'!AZ9*EF!$H40*EF!$H58)*NtoN2O*kgtoGg)</f>
        <v>0.62278506116328658</v>
      </c>
      <c r="AH952" s="100">
        <f>IF('Net zero activities &amp; levers'!$C$12="Off",('Activity data'!BA9*EF!$H40*EF!$H58)*NtoN2O*kgtoGg,('Net zero Activity data'!BA9*EF!$H40*EF!$H58)*NtoN2O*kgtoGg)</f>
        <v>0.62300743115092561</v>
      </c>
      <c r="AI952" s="100">
        <f>IF('Net zero activities &amp; levers'!$C$12="Off",('Activity data'!BB9*EF!$H40*EF!$H58)*NtoN2O*kgtoGg,('Net zero Activity data'!BB9*EF!$H40*EF!$H58)*NtoN2O*kgtoGg)</f>
        <v>0.62351376348082532</v>
      </c>
      <c r="AJ952" s="100">
        <f>IF('Net zero activities &amp; levers'!$C$12="Off",('Activity data'!BC9*EF!$H40*EF!$H58)*NtoN2O*kgtoGg,('Net zero Activity data'!BC9*EF!$H40*EF!$H58)*NtoN2O*kgtoGg)</f>
        <v>0.62336936980014834</v>
      </c>
      <c r="AK952" s="100">
        <f>IF('Net zero activities &amp; levers'!$C$12="Off",('Activity data'!BD9*EF!$H40*EF!$H58)*NtoN2O*kgtoGg,('Net zero Activity data'!BD9*EF!$H40*EF!$H58)*NtoN2O*kgtoGg)</f>
        <v>0.62124428745623805</v>
      </c>
      <c r="AL952" s="100">
        <f>IF('Net zero activities &amp; levers'!$C$12="Off",('Activity data'!BE9*EF!$H40*EF!$H58)*NtoN2O*kgtoGg,('Net zero Activity data'!BE9*EF!$H40*EF!$H58)*NtoN2O*kgtoGg)</f>
        <v>0.61815049506963282</v>
      </c>
      <c r="AM952" s="100">
        <f>IF('Net zero activities &amp; levers'!$C$12="Off",('Activity data'!BF9*EF!$H40*EF!$H58)*NtoN2O*kgtoGg,('Net zero Activity data'!BF9*EF!$H40*EF!$H58)*NtoN2O*kgtoGg)</f>
        <v>0.61488738645665764</v>
      </c>
      <c r="AN952" s="100">
        <f>IF('Net zero activities &amp; levers'!$C$12="Off",('Activity data'!BG9*EF!$H40*EF!$H58)*NtoN2O*kgtoGg,('Net zero Activity data'!BG9*EF!$H40*EF!$H58)*NtoN2O*kgtoGg)</f>
        <v>0.61934446432666557</v>
      </c>
      <c r="AO952" s="100">
        <f>IF('Net zero activities &amp; levers'!$C$12="Off",('Activity data'!BH9*EF!$H40*EF!$H58)*NtoN2O*kgtoGg,('Net zero Activity data'!BH9*EF!$H40*EF!$H58)*NtoN2O*kgtoGg)</f>
        <v>0.62186749168600841</v>
      </c>
      <c r="AP952" s="100">
        <f>IF('Net zero activities &amp; levers'!$C$12="Off",('Activity data'!BI9*EF!$H40*EF!$H58)*NtoN2O*kgtoGg,('Net zero Activity data'!BI9*EF!$H40*EF!$H58)*NtoN2O*kgtoGg)</f>
        <v>0.62396755847735941</v>
      </c>
      <c r="AQ952" s="100">
        <f>IF('Net zero activities &amp; levers'!$C$12="Off",('Activity data'!BJ9*EF!$H40*EF!$H58)*NtoN2O*kgtoGg,('Net zero Activity data'!BJ9*EF!$H40*EF!$H58)*NtoN2O*kgtoGg)</f>
        <v>0.62567747368284754</v>
      </c>
      <c r="AR952" s="100">
        <f>IF('Net zero activities &amp; levers'!$C$12="Off",('Activity data'!BK9*EF!$H40*EF!$H58)*NtoN2O*kgtoGg,('Net zero Activity data'!BK9*EF!$H40*EF!$H58)*NtoN2O*kgtoGg)</f>
        <v>0.62794053725678711</v>
      </c>
      <c r="AS952" s="100">
        <f>IF('Net zero activities &amp; levers'!$C$12="Off",('Activity data'!BL9*EF!$H40*EF!$H58)*NtoN2O*kgtoGg,('Net zero Activity data'!BL9*EF!$H40*EF!$H58)*NtoN2O*kgtoGg)</f>
        <v>0.62993326707913999</v>
      </c>
      <c r="AT952" s="100">
        <f>IF('Net zero activities &amp; levers'!$C$12="Off",('Activity data'!BM9*EF!$H40*EF!$H58)*NtoN2O*kgtoGg,('Net zero Activity data'!BM9*EF!$H40*EF!$H58)*NtoN2O*kgtoGg)</f>
        <v>0.62285671777323781</v>
      </c>
      <c r="AU952" s="100">
        <f>IF('Net zero activities &amp; levers'!$C$12="Off",('Activity data'!BN9*EF!$H40*EF!$H58)*NtoN2O*kgtoGg,('Net zero Activity data'!BN9*EF!$H40*EF!$H58)*NtoN2O*kgtoGg)</f>
        <v>0.61496587093502786</v>
      </c>
      <c r="AV952" s="100">
        <f>IF('Net zero activities &amp; levers'!$C$12="Off",('Activity data'!BO9*EF!$H40*EF!$H58)*NtoN2O*kgtoGg,('Net zero Activity data'!BO9*EF!$H40*EF!$H58)*NtoN2O*kgtoGg)</f>
        <v>0.60793895234124407</v>
      </c>
      <c r="AW952" s="100">
        <f>IF('Net zero activities &amp; levers'!$C$12="Off",('Activity data'!BP9*EF!$H40*EF!$H58)*NtoN2O*kgtoGg,('Net zero Activity data'!BP9*EF!$H40*EF!$H58)*NtoN2O*kgtoGg)</f>
        <v>0.60020730220327911</v>
      </c>
      <c r="AY952" s="85"/>
      <c r="AZ952" s="85"/>
    </row>
    <row r="953" spans="1:52" x14ac:dyDescent="0.25">
      <c r="A953" s="102" t="str">
        <f t="shared" si="326"/>
        <v>DS Cattle MMN2O</v>
      </c>
      <c r="B953" s="102" t="s">
        <v>975</v>
      </c>
      <c r="C953" s="102" t="s">
        <v>1233</v>
      </c>
      <c r="D953" t="s">
        <v>15</v>
      </c>
      <c r="E953" t="s">
        <v>657</v>
      </c>
      <c r="F953" t="s">
        <v>67</v>
      </c>
      <c r="G953" t="s">
        <v>135</v>
      </c>
      <c r="H953" t="s">
        <v>1228</v>
      </c>
      <c r="I953" t="s">
        <v>139</v>
      </c>
      <c r="J953" t="s">
        <v>287</v>
      </c>
      <c r="K953" s="100">
        <f>IF('Net zero activities &amp; levers'!$C$12="Off",('Activity data'!AD10*EF!$H41*EF!$H59)*NtoN2O*kgtoGg,('Net zero Activity data'!AD10*EF!$H41*EF!$H59)*NtoN2O*kgtoGg)</f>
        <v>0.98205986457809369</v>
      </c>
      <c r="L953" s="100">
        <f>IF('Net zero activities &amp; levers'!$C$12="Off",('Activity data'!AE10*EF!$H41*EF!$H59)*NtoN2O*kgtoGg,('Net zero Activity data'!AE10*EF!$H41*EF!$H59)*NtoN2O*kgtoGg)</f>
        <v>1.0186966250855221</v>
      </c>
      <c r="M953" s="100">
        <f>IF('Net zero activities &amp; levers'!$C$12="Off",('Activity data'!AF10*EF!$H41*EF!$H59)*NtoN2O*kgtoGg,('Net zero Activity data'!AF10*EF!$H41*EF!$H59)*NtoN2O*kgtoGg)</f>
        <v>1.0516100331905254</v>
      </c>
      <c r="N953" s="100">
        <f>IF('Net zero activities &amp; levers'!$C$12="Off",('Activity data'!AG10*EF!$H41*EF!$H59)*NtoN2O*kgtoGg,('Net zero Activity data'!AG10*EF!$H41*EF!$H59)*NtoN2O*kgtoGg)</f>
        <v>1.0670554052779846</v>
      </c>
      <c r="O953" s="100">
        <f>IF('Net zero activities &amp; levers'!$C$12="Off",('Activity data'!AH10*EF!$H41*EF!$H59)*NtoN2O*kgtoGg,('Net zero Activity data'!AH10*EF!$H41*EF!$H59)*NtoN2O*kgtoGg)</f>
        <v>1.0827371051777117</v>
      </c>
      <c r="P953" s="100">
        <f>IF('Net zero activities &amp; levers'!$C$12="Off",('Activity data'!AI10*EF!$H41*EF!$H59)*NtoN2O*kgtoGg,('Net zero Activity data'!AI10*EF!$H41*EF!$H59)*NtoN2O*kgtoGg)</f>
        <v>1.1173522594931429</v>
      </c>
      <c r="Q953" s="100">
        <f>IF('Net zero activities &amp; levers'!$C$12="Off",('Activity data'!AJ10*EF!$H41*EF!$H59)*NtoN2O*kgtoGg,('Net zero Activity data'!AJ10*EF!$H41*EF!$H59)*NtoN2O*kgtoGg)</f>
        <v>1.1465503025323129</v>
      </c>
      <c r="R953" s="100">
        <f>IF('Net zero activities &amp; levers'!$C$12="Off",('Activity data'!AK10*EF!$H41*EF!$H59)*NtoN2O*kgtoGg,('Net zero Activity data'!AK10*EF!$H41*EF!$H59)*NtoN2O*kgtoGg)</f>
        <v>1.1550738596088039</v>
      </c>
      <c r="S953" s="100">
        <f>IF('Net zero activities &amp; levers'!$C$12="Off",('Activity data'!AL10*EF!$H41*EF!$H59)*NtoN2O*kgtoGg,('Net zero Activity data'!AL10*EF!$H41*EF!$H59)*NtoN2O*kgtoGg)</f>
        <v>1.0695943528873249</v>
      </c>
      <c r="T953" s="100">
        <f>IF('Net zero activities &amp; levers'!$C$12="Off",('Activity data'!AM10*EF!$H41*EF!$H59)*NtoN2O*kgtoGg,('Net zero Activity data'!AM10*EF!$H41*EF!$H59)*NtoN2O*kgtoGg)</f>
        <v>1.1054010055655918</v>
      </c>
      <c r="U953" s="100">
        <f>IF('Net zero activities &amp; levers'!$C$12="Off",('Activity data'!AN10*EF!$H41*EF!$H59)*NtoN2O*kgtoGg,('Net zero Activity data'!AN10*EF!$H41*EF!$H59)*NtoN2O*kgtoGg)</f>
        <v>1.1289853782217605</v>
      </c>
      <c r="V953" s="100">
        <f>IF('Net zero activities &amp; levers'!$C$12="Off",('Activity data'!AO10*EF!$H41*EF!$H59)*NtoN2O*kgtoGg,('Net zero Activity data'!AO10*EF!$H41*EF!$H59)*NtoN2O*kgtoGg)</f>
        <v>1.1493668314905392</v>
      </c>
      <c r="W953" s="100">
        <f>IF('Net zero activities &amp; levers'!$C$12="Off",('Activity data'!AP10*EF!$H41*EF!$H59)*NtoN2O*kgtoGg,('Net zero Activity data'!AP10*EF!$H41*EF!$H59)*NtoN2O*kgtoGg)</f>
        <v>1.1734788869783983</v>
      </c>
      <c r="X953" s="100">
        <f>IF('Net zero activities &amp; levers'!$C$12="Off",('Activity data'!AQ10*EF!$H41*EF!$H59)*NtoN2O*kgtoGg,('Net zero Activity data'!AQ10*EF!$H41*EF!$H59)*NtoN2O*kgtoGg)</f>
        <v>1.2119266069070957</v>
      </c>
      <c r="Y953" s="100">
        <f>IF('Net zero activities &amp; levers'!$C$12="Off",('Activity data'!AR10*EF!$H41*EF!$H59)*NtoN2O*kgtoGg,('Net zero Activity data'!AR10*EF!$H41*EF!$H59)*NtoN2O*kgtoGg)</f>
        <v>1.2532636555099967</v>
      </c>
      <c r="Z953" s="100">
        <f>IF('Net zero activities &amp; levers'!$C$12="Off",('Activity data'!AS10*EF!$H41*EF!$H59)*NtoN2O*kgtoGg,('Net zero Activity data'!AS10*EF!$H41*EF!$H59)*NtoN2O*kgtoGg)</f>
        <v>1.2976298508854514</v>
      </c>
      <c r="AA953" s="100">
        <f>IF('Net zero activities &amp; levers'!$C$12="Off",('Activity data'!AT10*EF!$H41*EF!$H59)*NtoN2O*kgtoGg,('Net zero Activity data'!AT10*EF!$H41*EF!$H59)*NtoN2O*kgtoGg)</f>
        <v>1.3351454665956062</v>
      </c>
      <c r="AB953" s="100">
        <f>IF('Net zero activities &amp; levers'!$C$12="Off",('Activity data'!AU10*EF!$H41*EF!$H59)*NtoN2O*kgtoGg,('Net zero Activity data'!AU10*EF!$H41*EF!$H59)*NtoN2O*kgtoGg)</f>
        <v>1.3786206065737439</v>
      </c>
      <c r="AC953" s="100">
        <f>IF('Net zero activities &amp; levers'!$C$12="Off",('Activity data'!AV10*EF!$H41*EF!$H59)*NtoN2O*kgtoGg,('Net zero Activity data'!AV10*EF!$H41*EF!$H59)*NtoN2O*kgtoGg)</f>
        <v>1.4295130121599282</v>
      </c>
      <c r="AD953" s="100">
        <f>IF('Net zero activities &amp; levers'!$C$12="Off",('Activity data'!AW10*EF!$H41*EF!$H59)*NtoN2O*kgtoGg,('Net zero Activity data'!AW10*EF!$H41*EF!$H59)*NtoN2O*kgtoGg)</f>
        <v>1.4859888477435095</v>
      </c>
      <c r="AE953" s="100">
        <f>IF('Net zero activities &amp; levers'!$C$12="Off",('Activity data'!AX10*EF!$H41*EF!$H59)*NtoN2O*kgtoGg,('Net zero Activity data'!AX10*EF!$H41*EF!$H59)*NtoN2O*kgtoGg)</f>
        <v>1.5446971217466914</v>
      </c>
      <c r="AF953" s="100">
        <f>IF('Net zero activities &amp; levers'!$C$12="Off",('Activity data'!AY10*EF!$H41*EF!$H59)*NtoN2O*kgtoGg,('Net zero Activity data'!AY10*EF!$H41*EF!$H59)*NtoN2O*kgtoGg)</f>
        <v>1.6042611419964015</v>
      </c>
      <c r="AG953" s="100">
        <f>IF('Net zero activities &amp; levers'!$C$12="Off",('Activity data'!AZ10*EF!$H41*EF!$H59)*NtoN2O*kgtoGg,('Net zero Activity data'!AZ10*EF!$H41*EF!$H59)*NtoN2O*kgtoGg)</f>
        <v>1.670446959216159</v>
      </c>
      <c r="AH953" s="100">
        <f>IF('Net zero activities &amp; levers'!$C$12="Off",('Activity data'!BA10*EF!$H41*EF!$H59)*NtoN2O*kgtoGg,('Net zero Activity data'!BA10*EF!$H41*EF!$H59)*NtoN2O*kgtoGg)</f>
        <v>1.7279475375979032</v>
      </c>
      <c r="AI953" s="100">
        <f>IF('Net zero activities &amp; levers'!$C$12="Off",('Activity data'!BB10*EF!$H41*EF!$H59)*NtoN2O*kgtoGg,('Net zero Activity data'!BB10*EF!$H41*EF!$H59)*NtoN2O*kgtoGg)</f>
        <v>1.7885049584630706</v>
      </c>
      <c r="AJ953" s="100">
        <f>IF('Net zero activities &amp; levers'!$C$12="Off",('Activity data'!BC10*EF!$H41*EF!$H59)*NtoN2O*kgtoGg,('Net zero Activity data'!BC10*EF!$H41*EF!$H59)*NtoN2O*kgtoGg)</f>
        <v>1.8495626955084752</v>
      </c>
      <c r="AK953" s="100">
        <f>IF('Net zero activities &amp; levers'!$C$12="Off",('Activity data'!BD10*EF!$H41*EF!$H59)*NtoN2O*kgtoGg,('Net zero Activity data'!BD10*EF!$H41*EF!$H59)*NtoN2O*kgtoGg)</f>
        <v>1.9069840294130951</v>
      </c>
      <c r="AL953" s="100">
        <f>IF('Net zero activities &amp; levers'!$C$12="Off",('Activity data'!BE10*EF!$H41*EF!$H59)*NtoN2O*kgtoGg,('Net zero Activity data'!BE10*EF!$H41*EF!$H59)*NtoN2O*kgtoGg)</f>
        <v>1.9634978615601824</v>
      </c>
      <c r="AM953" s="100">
        <f>IF('Net zero activities &amp; levers'!$C$12="Off",('Activity data'!BF10*EF!$H41*EF!$H59)*NtoN2O*kgtoGg,('Net zero Activity data'!BF10*EF!$H41*EF!$H59)*NtoN2O*kgtoGg)</f>
        <v>2.0215430807091863</v>
      </c>
      <c r="AN953" s="100">
        <f>IF('Net zero activities &amp; levers'!$C$12="Off",('Activity data'!BG10*EF!$H41*EF!$H59)*NtoN2O*kgtoGg,('Net zero Activity data'!BG10*EF!$H41*EF!$H59)*NtoN2O*kgtoGg)</f>
        <v>2.0947355643912711</v>
      </c>
      <c r="AO953" s="100">
        <f>IF('Net zero activities &amp; levers'!$C$12="Off",('Activity data'!BH10*EF!$H41*EF!$H59)*NtoN2O*kgtoGg,('Net zero Activity data'!BH10*EF!$H41*EF!$H59)*NtoN2O*kgtoGg)</f>
        <v>2.1639509246479496</v>
      </c>
      <c r="AP953" s="100">
        <f>IF('Net zero activities &amp; levers'!$C$12="Off",('Activity data'!BI10*EF!$H41*EF!$H59)*NtoN2O*kgtoGg,('Net zero Activity data'!BI10*EF!$H41*EF!$H59)*NtoN2O*kgtoGg)</f>
        <v>2.2341514737358938</v>
      </c>
      <c r="AQ953" s="100">
        <f>IF('Net zero activities &amp; levers'!$C$12="Off",('Activity data'!BJ10*EF!$H41*EF!$H59)*NtoN2O*kgtoGg,('Net zero Activity data'!BJ10*EF!$H41*EF!$H59)*NtoN2O*kgtoGg)</f>
        <v>2.3054515711028447</v>
      </c>
      <c r="AR953" s="100">
        <f>IF('Net zero activities &amp; levers'!$C$12="Off",('Activity data'!BK10*EF!$H41*EF!$H59)*NtoN2O*kgtoGg,('Net zero Activity data'!BK10*EF!$H41*EF!$H59)*NtoN2O*kgtoGg)</f>
        <v>2.3814317233187769</v>
      </c>
      <c r="AS953" s="100">
        <f>IF('Net zero activities &amp; levers'!$C$12="Off",('Activity data'!BL10*EF!$H41*EF!$H59)*NtoN2O*kgtoGg,('Net zero Activity data'!BL10*EF!$H41*EF!$H59)*NtoN2O*kgtoGg)</f>
        <v>2.4591952810317603</v>
      </c>
      <c r="AT953" s="100">
        <f>IF('Net zero activities &amp; levers'!$C$12="Off",('Activity data'!BM10*EF!$H41*EF!$H59)*NtoN2O*kgtoGg,('Net zero Activity data'!BM10*EF!$H41*EF!$H59)*NtoN2O*kgtoGg)</f>
        <v>2.503431814396901</v>
      </c>
      <c r="AU953" s="100">
        <f>IF('Net zero activities &amp; levers'!$C$12="Off",('Activity data'!BN10*EF!$H41*EF!$H59)*NtoN2O*kgtoGg,('Net zero Activity data'!BN10*EF!$H41*EF!$H59)*NtoN2O*kgtoGg)</f>
        <v>2.5452104989388613</v>
      </c>
      <c r="AV953" s="100">
        <f>IF('Net zero activities &amp; levers'!$C$12="Off",('Activity data'!BO10*EF!$H41*EF!$H59)*NtoN2O*kgtoGg,('Net zero Activity data'!BO10*EF!$H41*EF!$H59)*NtoN2O*kgtoGg)</f>
        <v>2.5914297832105495</v>
      </c>
      <c r="AW953" s="100">
        <f>IF('Net zero activities &amp; levers'!$C$12="Off",('Activity data'!BP10*EF!$H41*EF!$H59)*NtoN2O*kgtoGg,('Net zero Activity data'!BP10*EF!$H41*EF!$H59)*NtoN2O*kgtoGg)</f>
        <v>2.6355735870840507</v>
      </c>
      <c r="AY953" s="85"/>
      <c r="AZ953" s="85"/>
    </row>
    <row r="954" spans="1:52" x14ac:dyDescent="0.25">
      <c r="A954" s="102" t="str">
        <f t="shared" si="326"/>
        <v>DS Sheep MMN2O</v>
      </c>
      <c r="B954" s="102" t="s">
        <v>975</v>
      </c>
      <c r="C954" s="102" t="s">
        <v>1329</v>
      </c>
      <c r="D954" t="s">
        <v>15</v>
      </c>
      <c r="E954" t="s">
        <v>657</v>
      </c>
      <c r="F954" t="s">
        <v>18</v>
      </c>
      <c r="G954" t="s">
        <v>122</v>
      </c>
      <c r="H954" t="s">
        <v>1228</v>
      </c>
      <c r="I954" t="s">
        <v>139</v>
      </c>
      <c r="J954" t="s">
        <v>287</v>
      </c>
      <c r="K954" s="100">
        <f>IF('Net zero activities &amp; levers'!$C$12="Off",('Activity data'!AD11*EF!$H42*EF!$H60)*NtoN2O*kgtoGg,IF('Net zero activities &amp; levers'!$C$12="PB",('Activity data'!AD11*EF!$H42*EF!$H60)*NtoN2O*kgtoGg,IF('Net zero activities &amp; levers'!$C$12="MS",('Net zero Activity data'!AD11*EF!$H42*EF!$H60)*NtoN2O*kgtoGg,"ERROR")))</f>
        <v>0.11717139101759612</v>
      </c>
      <c r="L954" s="100">
        <f>IF('Net zero activities &amp; levers'!$C$12="Off",('Activity data'!AE11*EF!$H42*EF!$H60)*NtoN2O*kgtoGg,IF('Net zero activities &amp; levers'!$C$12="PB",('Activity data'!AE11*EF!$H42*EF!$H60)*NtoN2O*kgtoGg,IF('Net zero activities &amp; levers'!$C$12="MS",('Net zero Activity data'!AE11*EF!$H42*EF!$H60)*NtoN2O*kgtoGg,"ERROR")))</f>
        <v>0.11723462618367245</v>
      </c>
      <c r="M954" s="100">
        <f>IF('Net zero activities &amp; levers'!$C$12="Off",('Activity data'!AF11*EF!$H42*EF!$H60)*NtoN2O*kgtoGg,IF('Net zero activities &amp; levers'!$C$12="PB",('Activity data'!AF11*EF!$H42*EF!$H60)*NtoN2O*kgtoGg,IF('Net zero activities &amp; levers'!$C$12="MS",('Net zero Activity data'!AF11*EF!$H42*EF!$H60)*NtoN2O*kgtoGg,"ERROR")))</f>
        <v>0.11737999843906115</v>
      </c>
      <c r="N954" s="100">
        <f>IF('Net zero activities &amp; levers'!$C$12="Off",('Activity data'!AG11*EF!$H42*EF!$H60)*NtoN2O*kgtoGg,IF('Net zero activities &amp; levers'!$C$12="PB",('Activity data'!AG11*EF!$H42*EF!$H60)*NtoN2O*kgtoGg,IF('Net zero activities &amp; levers'!$C$12="MS",('Net zero Activity data'!AG11*EF!$H42*EF!$H60)*NtoN2O*kgtoGg,"ERROR")))</f>
        <v>0.1175958170956644</v>
      </c>
      <c r="O954" s="100">
        <f>IF('Net zero activities &amp; levers'!$C$12="Off",('Activity data'!AH11*EF!$H42*EF!$H60)*NtoN2O*kgtoGg,IF('Net zero activities &amp; levers'!$C$12="PB",('Activity data'!AH11*EF!$H42*EF!$H60)*NtoN2O*kgtoGg,IF('Net zero activities &amp; levers'!$C$12="MS",('Net zero Activity data'!AH11*EF!$H42*EF!$H60)*NtoN2O*kgtoGg,"ERROR")))</f>
        <v>0.1178871134646596</v>
      </c>
      <c r="P954" s="100">
        <f>IF('Net zero activities &amp; levers'!$C$12="Off",('Activity data'!AI11*EF!$H42*EF!$H60)*NtoN2O*kgtoGg,IF('Net zero activities &amp; levers'!$C$12="PB",('Activity data'!AI11*EF!$H42*EF!$H60)*NtoN2O*kgtoGg,IF('Net zero activities &amp; levers'!$C$12="MS",('Net zero Activity data'!AI11*EF!$H42*EF!$H60)*NtoN2O*kgtoGg,"ERROR")))</f>
        <v>0.11825974180541671</v>
      </c>
      <c r="Q954" s="100">
        <f>IF('Net zero activities &amp; levers'!$C$12="Off",('Activity data'!AJ11*EF!$H42*EF!$H60)*NtoN2O*kgtoGg,IF('Net zero activities &amp; levers'!$C$12="PB",('Activity data'!AJ11*EF!$H42*EF!$H60)*NtoN2O*kgtoGg,IF('Net zero activities &amp; levers'!$C$12="MS",('Net zero Activity data'!AJ11*EF!$H42*EF!$H60)*NtoN2O*kgtoGg,"ERROR")))</f>
        <v>0.11867033947255794</v>
      </c>
      <c r="R954" s="100">
        <f>IF('Net zero activities &amp; levers'!$C$12="Off",('Activity data'!AK11*EF!$H42*EF!$H60)*NtoN2O*kgtoGg,IF('Net zero activities &amp; levers'!$C$12="PB",('Activity data'!AK11*EF!$H42*EF!$H60)*NtoN2O*kgtoGg,IF('Net zero activities &amp; levers'!$C$12="MS",('Net zero Activity data'!AK11*EF!$H42*EF!$H60)*NtoN2O*kgtoGg,"ERROR")))</f>
        <v>0.11911252923744317</v>
      </c>
      <c r="S954" s="100">
        <f>IF('Net zero activities &amp; levers'!$C$12="Off",('Activity data'!AL11*EF!$H42*EF!$H60)*NtoN2O*kgtoGg,IF('Net zero activities &amp; levers'!$C$12="PB",('Activity data'!AL11*EF!$H42*EF!$H60)*NtoN2O*kgtoGg,IF('Net zero activities &amp; levers'!$C$12="MS",('Net zero Activity data'!AL11*EF!$H42*EF!$H60)*NtoN2O*kgtoGg,"ERROR")))</f>
        <v>0.11955062486439895</v>
      </c>
      <c r="T954" s="100">
        <f>IF('Net zero activities &amp; levers'!$C$12="Off",('Activity data'!AM11*EF!$H42*EF!$H60)*NtoN2O*kgtoGg,IF('Net zero activities &amp; levers'!$C$12="PB",('Activity data'!AM11*EF!$H42*EF!$H60)*NtoN2O*kgtoGg,IF('Net zero activities &amp; levers'!$C$12="MS",('Net zero Activity data'!AM11*EF!$H42*EF!$H60)*NtoN2O*kgtoGg,"ERROR")))</f>
        <v>0.11972991314052749</v>
      </c>
      <c r="U954" s="100">
        <f>IF('Net zero activities &amp; levers'!$C$12="Off",('Activity data'!AN11*EF!$H42*EF!$H60)*NtoN2O*kgtoGg,IF('Net zero activities &amp; levers'!$C$12="PB",('Activity data'!AN11*EF!$H42*EF!$H60)*NtoN2O*kgtoGg,IF('Net zero activities &amp; levers'!$C$12="MS",('Net zero Activity data'!AN11*EF!$H42*EF!$H60)*NtoN2O*kgtoGg,"ERROR")))</f>
        <v>0.11993350054454542</v>
      </c>
      <c r="V954" s="100">
        <f>IF('Net zero activities &amp; levers'!$C$12="Off",('Activity data'!AO11*EF!$H42*EF!$H60)*NtoN2O*kgtoGg,IF('Net zero activities &amp; levers'!$C$12="PB",('Activity data'!AO11*EF!$H42*EF!$H60)*NtoN2O*kgtoGg,IF('Net zero activities &amp; levers'!$C$12="MS",('Net zero Activity data'!AO11*EF!$H42*EF!$H60)*NtoN2O*kgtoGg,"ERROR")))</f>
        <v>0.12016374349275831</v>
      </c>
      <c r="W954" s="100">
        <f>IF('Net zero activities &amp; levers'!$C$12="Off",('Activity data'!AP11*EF!$H42*EF!$H60)*NtoN2O*kgtoGg,IF('Net zero activities &amp; levers'!$C$12="PB",('Activity data'!AP11*EF!$H42*EF!$H60)*NtoN2O*kgtoGg,IF('Net zero activities &amp; levers'!$C$12="MS",('Net zero Activity data'!AP11*EF!$H42*EF!$H60)*NtoN2O*kgtoGg,"ERROR")))</f>
        <v>0.12042231214139444</v>
      </c>
      <c r="X954" s="100">
        <f>IF('Net zero activities &amp; levers'!$C$12="Off",('Activity data'!AQ11*EF!$H42*EF!$H60)*NtoN2O*kgtoGg,IF('Net zero activities &amp; levers'!$C$12="PB",('Activity data'!AQ11*EF!$H42*EF!$H60)*NtoN2O*kgtoGg,IF('Net zero activities &amp; levers'!$C$12="MS",('Net zero Activity data'!AQ11*EF!$H42*EF!$H60)*NtoN2O*kgtoGg,"ERROR")))</f>
        <v>0.12071286205990268</v>
      </c>
      <c r="Y954" s="100">
        <f>IF('Net zero activities &amp; levers'!$C$12="Off",('Activity data'!AR11*EF!$H42*EF!$H60)*NtoN2O*kgtoGg,IF('Net zero activities &amp; levers'!$C$12="PB",('Activity data'!AR11*EF!$H42*EF!$H60)*NtoN2O*kgtoGg,IF('Net zero activities &amp; levers'!$C$12="MS",('Net zero Activity data'!AR11*EF!$H42*EF!$H60)*NtoN2O*kgtoGg,"ERROR")))</f>
        <v>0.12089554719264045</v>
      </c>
      <c r="Z954" s="100">
        <f>IF('Net zero activities &amp; levers'!$C$12="Off",('Activity data'!AS11*EF!$H42*EF!$H60)*NtoN2O*kgtoGg,IF('Net zero activities &amp; levers'!$C$12="PB",('Activity data'!AS11*EF!$H42*EF!$H60)*NtoN2O*kgtoGg,IF('Net zero activities &amp; levers'!$C$12="MS",('Net zero Activity data'!AS11*EF!$H42*EF!$H60)*NtoN2O*kgtoGg,"ERROR")))</f>
        <v>0.12110125995232866</v>
      </c>
      <c r="AA954" s="100">
        <f>IF('Net zero activities &amp; levers'!$C$12="Off",('Activity data'!AT11*EF!$H42*EF!$H60)*NtoN2O*kgtoGg,IF('Net zero activities &amp; levers'!$C$12="PB",('Activity data'!AT11*EF!$H42*EF!$H60)*NtoN2O*kgtoGg,IF('Net zero activities &amp; levers'!$C$12="MS",('Net zero Activity data'!AT11*EF!$H42*EF!$H60)*NtoN2O*kgtoGg,"ERROR")))</f>
        <v>0.12132427506998271</v>
      </c>
      <c r="AB954" s="100">
        <f>IF('Net zero activities &amp; levers'!$C$12="Off",('Activity data'!AU11*EF!$H42*EF!$H60)*NtoN2O*kgtoGg,IF('Net zero activities &amp; levers'!$C$12="PB",('Activity data'!AU11*EF!$H42*EF!$H60)*NtoN2O*kgtoGg,IF('Net zero activities &amp; levers'!$C$12="MS",('Net zero Activity data'!AU11*EF!$H42*EF!$H60)*NtoN2O*kgtoGg,"ERROR")))</f>
        <v>0.12156982110770359</v>
      </c>
      <c r="AC954" s="100">
        <f>IF('Net zero activities &amp; levers'!$C$12="Off",('Activity data'!AV11*EF!$H42*EF!$H60)*NtoN2O*kgtoGg,IF('Net zero activities &amp; levers'!$C$12="PB",('Activity data'!AV11*EF!$H42*EF!$H60)*NtoN2O*kgtoGg,IF('Net zero activities &amp; levers'!$C$12="MS",('Net zero Activity data'!AV11*EF!$H42*EF!$H60)*NtoN2O*kgtoGg,"ERROR")))</f>
        <v>0.12183786994920162</v>
      </c>
      <c r="AD954" s="100">
        <f>IF('Net zero activities &amp; levers'!$C$12="Off",('Activity data'!AW11*EF!$H42*EF!$H60)*NtoN2O*kgtoGg,IF('Net zero activities &amp; levers'!$C$12="PB",('Activity data'!AW11*EF!$H42*EF!$H60)*NtoN2O*kgtoGg,IF('Net zero activities &amp; levers'!$C$12="MS",('Net zero Activity data'!AW11*EF!$H42*EF!$H60)*NtoN2O*kgtoGg,"ERROR")))</f>
        <v>0.12201528623614287</v>
      </c>
      <c r="AE954" s="100">
        <f>IF('Net zero activities &amp; levers'!$C$12="Off",('Activity data'!AX11*EF!$H42*EF!$H60)*NtoN2O*kgtoGg,IF('Net zero activities &amp; levers'!$C$12="PB",('Activity data'!AX11*EF!$H42*EF!$H60)*NtoN2O*kgtoGg,IF('Net zero activities &amp; levers'!$C$12="MS",('Net zero Activity data'!AX11*EF!$H42*EF!$H60)*NtoN2O*kgtoGg,"ERROR")))</f>
        <v>0.12220996410772501</v>
      </c>
      <c r="AF954" s="100">
        <f>IF('Net zero activities &amp; levers'!$C$12="Off",('Activity data'!AY11*EF!$H42*EF!$H60)*NtoN2O*kgtoGg,IF('Net zero activities &amp; levers'!$C$12="PB",('Activity data'!AY11*EF!$H42*EF!$H60)*NtoN2O*kgtoGg,IF('Net zero activities &amp; levers'!$C$12="MS",('Net zero Activity data'!AY11*EF!$H42*EF!$H60)*NtoN2O*kgtoGg,"ERROR")))</f>
        <v>0.1224205957767</v>
      </c>
      <c r="AG954" s="100">
        <f>IF('Net zero activities &amp; levers'!$C$12="Off",('Activity data'!AZ11*EF!$H42*EF!$H60)*NtoN2O*kgtoGg,IF('Net zero activities &amp; levers'!$C$12="PB",('Activity data'!AZ11*EF!$H42*EF!$H60)*NtoN2O*kgtoGg,IF('Net zero activities &amp; levers'!$C$12="MS",('Net zero Activity data'!AZ11*EF!$H42*EF!$H60)*NtoN2O*kgtoGg,"ERROR")))</f>
        <v>0.12264946134615734</v>
      </c>
      <c r="AH954" s="100">
        <f>IF('Net zero activities &amp; levers'!$C$12="Off",('Activity data'!BA11*EF!$H42*EF!$H60)*NtoN2O*kgtoGg,IF('Net zero activities &amp; levers'!$C$12="PB",('Activity data'!BA11*EF!$H42*EF!$H60)*NtoN2O*kgtoGg,IF('Net zero activities &amp; levers'!$C$12="MS",('Net zero Activity data'!BA11*EF!$H42*EF!$H60)*NtoN2O*kgtoGg,"ERROR")))</f>
        <v>0.12288846185835746</v>
      </c>
      <c r="AI954" s="100">
        <f>IF('Net zero activities &amp; levers'!$C$12="Off",('Activity data'!BB11*EF!$H42*EF!$H60)*NtoN2O*kgtoGg,IF('Net zero activities &amp; levers'!$C$12="PB",('Activity data'!BB11*EF!$H42*EF!$H60)*NtoN2O*kgtoGg,IF('Net zero activities &amp; levers'!$C$12="MS",('Net zero Activity data'!BB11*EF!$H42*EF!$H60)*NtoN2O*kgtoGg,"ERROR")))</f>
        <v>0.12304136792276418</v>
      </c>
      <c r="AJ954" s="100">
        <f>IF('Net zero activities &amp; levers'!$C$12="Off",('Activity data'!BC11*EF!$H42*EF!$H60)*NtoN2O*kgtoGg,IF('Net zero activities &amp; levers'!$C$12="PB",('Activity data'!BC11*EF!$H42*EF!$H60)*NtoN2O*kgtoGg,IF('Net zero activities &amp; levers'!$C$12="MS",('Net zero Activity data'!BC11*EF!$H42*EF!$H60)*NtoN2O*kgtoGg,"ERROR")))</f>
        <v>0.12320724493915225</v>
      </c>
      <c r="AK954" s="100">
        <f>IF('Net zero activities &amp; levers'!$C$12="Off",('Activity data'!BD11*EF!$H42*EF!$H60)*NtoN2O*kgtoGg,IF('Net zero activities &amp; levers'!$C$12="PB",('Activity data'!BD11*EF!$H42*EF!$H60)*NtoN2O*kgtoGg,IF('Net zero activities &amp; levers'!$C$12="MS",('Net zero Activity data'!BD11*EF!$H42*EF!$H60)*NtoN2O*kgtoGg,"ERROR")))</f>
        <v>0.12338358070705197</v>
      </c>
      <c r="AL954" s="100">
        <f>IF('Net zero activities &amp; levers'!$C$12="Off",('Activity data'!BE11*EF!$H42*EF!$H60)*NtoN2O*kgtoGg,IF('Net zero activities &amp; levers'!$C$12="PB",('Activity data'!BE11*EF!$H42*EF!$H60)*NtoN2O*kgtoGg,IF('Net zero activities &amp; levers'!$C$12="MS",('Net zero Activity data'!BE11*EF!$H42*EF!$H60)*NtoN2O*kgtoGg,"ERROR")))</f>
        <v>0.12357134049580157</v>
      </c>
      <c r="AM954" s="100">
        <f>IF('Net zero activities &amp; levers'!$C$12="Off",('Activity data'!BF11*EF!$H42*EF!$H60)*NtoN2O*kgtoGg,IF('Net zero activities &amp; levers'!$C$12="PB",('Activity data'!BF11*EF!$H42*EF!$H60)*NtoN2O*kgtoGg,IF('Net zero activities &amp; levers'!$C$12="MS",('Net zero Activity data'!BF11*EF!$H42*EF!$H60)*NtoN2O*kgtoGg,"ERROR")))</f>
        <v>0.12377140391233164</v>
      </c>
      <c r="AN954" s="100">
        <f>IF('Net zero activities &amp; levers'!$C$12="Off",('Activity data'!BG11*EF!$H42*EF!$H60)*NtoN2O*kgtoGg,IF('Net zero activities &amp; levers'!$C$12="PB",('Activity data'!BG11*EF!$H42*EF!$H60)*NtoN2O*kgtoGg,IF('Net zero activities &amp; levers'!$C$12="MS",('Net zero Activity data'!BG11*EF!$H42*EF!$H60)*NtoN2O*kgtoGg,"ERROR")))</f>
        <v>0.1238893184922704</v>
      </c>
      <c r="AO954" s="100">
        <f>IF('Net zero activities &amp; levers'!$C$12="Off",('Activity data'!BH11*EF!$H42*EF!$H60)*NtoN2O*kgtoGg,IF('Net zero activities &amp; levers'!$C$12="PB",('Activity data'!BH11*EF!$H42*EF!$H60)*NtoN2O*kgtoGg,IF('Net zero activities &amp; levers'!$C$12="MS",('Net zero Activity data'!BH11*EF!$H42*EF!$H60)*NtoN2O*kgtoGg,"ERROR")))</f>
        <v>0.12401495917055069</v>
      </c>
      <c r="AP954" s="100">
        <f>IF('Net zero activities &amp; levers'!$C$12="Off",('Activity data'!BI11*EF!$H42*EF!$H60)*NtoN2O*kgtoGg,IF('Net zero activities &amp; levers'!$C$12="PB",('Activity data'!BI11*EF!$H42*EF!$H60)*NtoN2O*kgtoGg,IF('Net zero activities &amp; levers'!$C$12="MS",('Net zero Activity data'!BI11*EF!$H42*EF!$H60)*NtoN2O*kgtoGg,"ERROR")))</f>
        <v>0.12415054004629532</v>
      </c>
      <c r="AQ954" s="100">
        <f>IF('Net zero activities &amp; levers'!$C$12="Off",('Activity data'!BJ11*EF!$H42*EF!$H60)*NtoN2O*kgtoGg,IF('Net zero activities &amp; levers'!$C$12="PB",('Activity data'!BJ11*EF!$H42*EF!$H60)*NtoN2O*kgtoGg,IF('Net zero activities &amp; levers'!$C$12="MS",('Net zero Activity data'!BJ11*EF!$H42*EF!$H60)*NtoN2O*kgtoGg,"ERROR")))</f>
        <v>0.12429582194532131</v>
      </c>
      <c r="AR954" s="100">
        <f>IF('Net zero activities &amp; levers'!$C$12="Off",('Activity data'!BK11*EF!$H42*EF!$H60)*NtoN2O*kgtoGg,IF('Net zero activities &amp; levers'!$C$12="PB",('Activity data'!BK11*EF!$H42*EF!$H60)*NtoN2O*kgtoGg,IF('Net zero activities &amp; levers'!$C$12="MS",('Net zero Activity data'!BK11*EF!$H42*EF!$H60)*NtoN2O*kgtoGg,"ERROR")))</f>
        <v>0.12445236467960287</v>
      </c>
      <c r="AS954" s="100">
        <f>IF('Net zero activities &amp; levers'!$C$12="Off",('Activity data'!BL11*EF!$H42*EF!$H60)*NtoN2O*kgtoGg,IF('Net zero activities &amp; levers'!$C$12="PB",('Activity data'!BL11*EF!$H42*EF!$H60)*NtoN2O*kgtoGg,IF('Net zero activities &amp; levers'!$C$12="MS",('Net zero Activity data'!BL11*EF!$H42*EF!$H60)*NtoN2O*kgtoGg,"ERROR")))</f>
        <v>0.12452291839205781</v>
      </c>
      <c r="AT954" s="100">
        <f>IF('Net zero activities &amp; levers'!$C$12="Off",('Activity data'!BM11*EF!$H42*EF!$H60)*NtoN2O*kgtoGg,IF('Net zero activities &amp; levers'!$C$12="PB",('Activity data'!BM11*EF!$H42*EF!$H60)*NtoN2O*kgtoGg,IF('Net zero activities &amp; levers'!$C$12="MS",('Net zero Activity data'!BM11*EF!$H42*EF!$H60)*NtoN2O*kgtoGg,"ERROR")))</f>
        <v>0.12458415812408247</v>
      </c>
      <c r="AU954" s="100">
        <f>IF('Net zero activities &amp; levers'!$C$12="Off",('Activity data'!BN11*EF!$H42*EF!$H60)*NtoN2O*kgtoGg,IF('Net zero activities &amp; levers'!$C$12="PB",('Activity data'!BN11*EF!$H42*EF!$H60)*NtoN2O*kgtoGg,IF('Net zero activities &amp; levers'!$C$12="MS",('Net zero Activity data'!BN11*EF!$H42*EF!$H60)*NtoN2O*kgtoGg,"ERROR")))</f>
        <v>0.12465176490232828</v>
      </c>
      <c r="AV954" s="100">
        <f>IF('Net zero activities &amp; levers'!$C$12="Off",('Activity data'!BO11*EF!$H42*EF!$H60)*NtoN2O*kgtoGg,IF('Net zero activities &amp; levers'!$C$12="PB",('Activity data'!BO11*EF!$H42*EF!$H60)*NtoN2O*kgtoGg,IF('Net zero activities &amp; levers'!$C$12="MS",('Net zero Activity data'!BO11*EF!$H42*EF!$H60)*NtoN2O*kgtoGg,"ERROR")))</f>
        <v>0.12472905780449089</v>
      </c>
      <c r="AW954" s="100">
        <f>IF('Net zero activities &amp; levers'!$C$12="Off",('Activity data'!BP11*EF!$H42*EF!$H60)*NtoN2O*kgtoGg,IF('Net zero activities &amp; levers'!$C$12="PB",('Activity data'!BP11*EF!$H42*EF!$H60)*NtoN2O*kgtoGg,IF('Net zero activities &amp; levers'!$C$12="MS",('Net zero Activity data'!BP11*EF!$H42*EF!$H60)*NtoN2O*kgtoGg,"ERROR")))</f>
        <v>0.12481246580884831</v>
      </c>
      <c r="AY954" s="85"/>
      <c r="AZ954" s="85"/>
    </row>
    <row r="955" spans="1:52" x14ac:dyDescent="0.25">
      <c r="A955" s="102" t="str">
        <f t="shared" si="326"/>
        <v>DS Sheep MMN2O</v>
      </c>
      <c r="B955" s="102" t="s">
        <v>975</v>
      </c>
      <c r="C955" s="102" t="s">
        <v>1329</v>
      </c>
      <c r="D955" t="s">
        <v>15</v>
      </c>
      <c r="E955" t="s">
        <v>657</v>
      </c>
      <c r="F955" t="s">
        <v>18</v>
      </c>
      <c r="G955" t="s">
        <v>123</v>
      </c>
      <c r="H955" t="s">
        <v>1228</v>
      </c>
      <c r="I955" t="s">
        <v>139</v>
      </c>
      <c r="J955" t="s">
        <v>287</v>
      </c>
      <c r="K955" s="100">
        <f>IF('Net zero activities &amp; levers'!$C$12="Off",('Activity data'!AD12*EF!$H43*EF!$H61)*NtoN2O*kgtoGg,IF('Net zero activities &amp; levers'!$C$12="PB",('Activity data'!AD12*EF!$H43*EF!$H61)*NtoN2O*kgtoGg,IF('Net zero activities &amp; levers'!$C$12="MS",('Net zero Activity data'!AD12*EF!$H43*EF!$H61)*NtoN2O*kgtoGg,"ERROR")))</f>
        <v>6.2656398763200921E-2</v>
      </c>
      <c r="L955" s="100">
        <f>IF('Net zero activities &amp; levers'!$C$12="Off",('Activity data'!AE12*EF!$H43*EF!$H61)*NtoN2O*kgtoGg,IF('Net zero activities &amp; levers'!$C$12="PB",('Activity data'!AE12*EF!$H43*EF!$H61)*NtoN2O*kgtoGg,IF('Net zero activities &amp; levers'!$C$12="MS",('Net zero Activity data'!AE12*EF!$H43*EF!$H61)*NtoN2O*kgtoGg,"ERROR")))</f>
        <v>6.2690213227185057E-2</v>
      </c>
      <c r="M955" s="100">
        <f>IF('Net zero activities &amp; levers'!$C$12="Off",('Activity data'!AF12*EF!$H43*EF!$H61)*NtoN2O*kgtoGg,IF('Net zero activities &amp; levers'!$C$12="PB",('Activity data'!AF12*EF!$H43*EF!$H61)*NtoN2O*kgtoGg,IF('Net zero activities &amp; levers'!$C$12="MS",('Net zero Activity data'!AF12*EF!$H43*EF!$H61)*NtoN2O*kgtoGg,"ERROR")))</f>
        <v>6.276794979686845E-2</v>
      </c>
      <c r="N955" s="100">
        <f>IF('Net zero activities &amp; levers'!$C$12="Off",('Activity data'!AG12*EF!$H43*EF!$H61)*NtoN2O*kgtoGg,IF('Net zero activities &amp; levers'!$C$12="PB",('Activity data'!AG12*EF!$H43*EF!$H61)*NtoN2O*kgtoGg,IF('Net zero activities &amp; levers'!$C$12="MS",('Net zero Activity data'!AG12*EF!$H43*EF!$H61)*NtoN2O*kgtoGg,"ERROR")))</f>
        <v>6.2883356976822818E-2</v>
      </c>
      <c r="O955" s="100">
        <f>IF('Net zero activities &amp; levers'!$C$12="Off",('Activity data'!AH12*EF!$H43*EF!$H61)*NtoN2O*kgtoGg,IF('Net zero activities &amp; levers'!$C$12="PB",('Activity data'!AH12*EF!$H43*EF!$H61)*NtoN2O*kgtoGg,IF('Net zero activities &amp; levers'!$C$12="MS",('Net zero Activity data'!AH12*EF!$H43*EF!$H61)*NtoN2O*kgtoGg,"ERROR")))</f>
        <v>6.303912521764958E-2</v>
      </c>
      <c r="P955" s="100">
        <f>IF('Net zero activities &amp; levers'!$C$12="Off",('Activity data'!AI12*EF!$H43*EF!$H61)*NtoN2O*kgtoGg,IF('Net zero activities &amp; levers'!$C$12="PB",('Activity data'!AI12*EF!$H43*EF!$H61)*NtoN2O*kgtoGg,IF('Net zero activities &amp; levers'!$C$12="MS",('Net zero Activity data'!AI12*EF!$H43*EF!$H61)*NtoN2O*kgtoGg,"ERROR")))</f>
        <v>6.3238385034454531E-2</v>
      </c>
      <c r="Q955" s="100">
        <f>IF('Net zero activities &amp; levers'!$C$12="Off",('Activity data'!AJ12*EF!$H43*EF!$H61)*NtoN2O*kgtoGg,IF('Net zero activities &amp; levers'!$C$12="PB",('Activity data'!AJ12*EF!$H43*EF!$H61)*NtoN2O*kgtoGg,IF('Net zero activities &amp; levers'!$C$12="MS",('Net zero Activity data'!AJ12*EF!$H43*EF!$H61)*NtoN2O*kgtoGg,"ERROR")))</f>
        <v>6.3457948623656765E-2</v>
      </c>
      <c r="R955" s="100">
        <f>IF('Net zero activities &amp; levers'!$C$12="Off",('Activity data'!AK12*EF!$H43*EF!$H61)*NtoN2O*kgtoGg,IF('Net zero activities &amp; levers'!$C$12="PB",('Activity data'!AK12*EF!$H43*EF!$H61)*NtoN2O*kgtoGg,IF('Net zero activities &amp; levers'!$C$12="MS",('Net zero Activity data'!AK12*EF!$H43*EF!$H61)*NtoN2O*kgtoGg,"ERROR")))</f>
        <v>6.3694405816808061E-2</v>
      </c>
      <c r="S955" s="100">
        <f>IF('Net zero activities &amp; levers'!$C$12="Off",('Activity data'!AL12*EF!$H43*EF!$H61)*NtoN2O*kgtoGg,IF('Net zero activities &amp; levers'!$C$12="PB",('Activity data'!AL12*EF!$H43*EF!$H61)*NtoN2O*kgtoGg,IF('Net zero activities &amp; levers'!$C$12="MS",('Net zero Activity data'!AL12*EF!$H43*EF!$H61)*NtoN2O*kgtoGg,"ERROR")))</f>
        <v>6.3928673704733319E-2</v>
      </c>
      <c r="T955" s="100">
        <f>IF('Net zero activities &amp; levers'!$C$12="Off",('Activity data'!AM12*EF!$H43*EF!$H61)*NtoN2O*kgtoGg,IF('Net zero activities &amp; levers'!$C$12="PB",('Activity data'!AM12*EF!$H43*EF!$H61)*NtoN2O*kgtoGg,IF('Net zero activities &amp; levers'!$C$12="MS",('Net zero Activity data'!AM12*EF!$H43*EF!$H61)*NtoN2O*kgtoGg,"ERROR")))</f>
        <v>6.4024546576303062E-2</v>
      </c>
      <c r="U955" s="100">
        <f>IF('Net zero activities &amp; levers'!$C$12="Off",('Activity data'!AN12*EF!$H43*EF!$H61)*NtoN2O*kgtoGg,IF('Net zero activities &amp; levers'!$C$12="PB",('Activity data'!AN12*EF!$H43*EF!$H61)*NtoN2O*kgtoGg,IF('Net zero activities &amp; levers'!$C$12="MS",('Net zero Activity data'!AN12*EF!$H43*EF!$H61)*NtoN2O*kgtoGg,"ERROR")))</f>
        <v>6.4133413198594794E-2</v>
      </c>
      <c r="V955" s="100">
        <f>IF('Net zero activities &amp; levers'!$C$12="Off",('Activity data'!AO12*EF!$H43*EF!$H61)*NtoN2O*kgtoGg,IF('Net zero activities &amp; levers'!$C$12="PB",('Activity data'!AO12*EF!$H43*EF!$H61)*NtoN2O*kgtoGg,IF('Net zero activities &amp; levers'!$C$12="MS",('Net zero Activity data'!AO12*EF!$H43*EF!$H61)*NtoN2O*kgtoGg,"ERROR")))</f>
        <v>6.4256533645065173E-2</v>
      </c>
      <c r="W955" s="100">
        <f>IF('Net zero activities &amp; levers'!$C$12="Off",('Activity data'!AP12*EF!$H43*EF!$H61)*NtoN2O*kgtoGg,IF('Net zero activities &amp; levers'!$C$12="PB",('Activity data'!AP12*EF!$H43*EF!$H61)*NtoN2O*kgtoGg,IF('Net zero activities &amp; levers'!$C$12="MS",('Net zero Activity data'!AP12*EF!$H43*EF!$H61)*NtoN2O*kgtoGg,"ERROR")))</f>
        <v>6.4394801017466488E-2</v>
      </c>
      <c r="X955" s="100">
        <f>IF('Net zero activities &amp; levers'!$C$12="Off",('Activity data'!AQ12*EF!$H43*EF!$H61)*NtoN2O*kgtoGg,IF('Net zero activities &amp; levers'!$C$12="PB",('Activity data'!AQ12*EF!$H43*EF!$H61)*NtoN2O*kgtoGg,IF('Net zero activities &amp; levers'!$C$12="MS",('Net zero Activity data'!AQ12*EF!$H43*EF!$H61)*NtoN2O*kgtoGg,"ERROR")))</f>
        <v>6.4550170100282397E-2</v>
      </c>
      <c r="Y955" s="100">
        <f>IF('Net zero activities &amp; levers'!$C$12="Off",('Activity data'!AR12*EF!$H43*EF!$H61)*NtoN2O*kgtoGg,IF('Net zero activities &amp; levers'!$C$12="PB",('Activity data'!AR12*EF!$H43*EF!$H61)*NtoN2O*kgtoGg,IF('Net zero activities &amp; levers'!$C$12="MS",('Net zero Activity data'!AR12*EF!$H43*EF!$H61)*NtoN2O*kgtoGg,"ERROR")))</f>
        <v>6.4647859411858508E-2</v>
      </c>
      <c r="Z955" s="100">
        <f>IF('Net zero activities &amp; levers'!$C$12="Off",('Activity data'!AS12*EF!$H43*EF!$H61)*NtoN2O*kgtoGg,IF('Net zero activities &amp; levers'!$C$12="PB",('Activity data'!AS12*EF!$H43*EF!$H61)*NtoN2O*kgtoGg,IF('Net zero activities &amp; levers'!$C$12="MS",('Net zero Activity data'!AS12*EF!$H43*EF!$H61)*NtoN2O*kgtoGg,"ERROR")))</f>
        <v>6.4757862549909215E-2</v>
      </c>
      <c r="AA955" s="100">
        <f>IF('Net zero activities &amp; levers'!$C$12="Off",('Activity data'!AT12*EF!$H43*EF!$H61)*NtoN2O*kgtoGg,IF('Net zero activities &amp; levers'!$C$12="PB",('Activity data'!AT12*EF!$H43*EF!$H61)*NtoN2O*kgtoGg,IF('Net zero activities &amp; levers'!$C$12="MS",('Net zero Activity data'!AT12*EF!$H43*EF!$H61)*NtoN2O*kgtoGg,"ERROR")))</f>
        <v>6.4877117975833593E-2</v>
      </c>
      <c r="AB955" s="100">
        <f>IF('Net zero activities &amp; levers'!$C$12="Off",('Activity data'!AU12*EF!$H43*EF!$H61)*NtoN2O*kgtoGg,IF('Net zero activities &amp; levers'!$C$12="PB",('Activity data'!AU12*EF!$H43*EF!$H61)*NtoN2O*kgtoGg,IF('Net zero activities &amp; levers'!$C$12="MS",('Net zero Activity data'!AU12*EF!$H43*EF!$H61)*NtoN2O*kgtoGg,"ERROR")))</f>
        <v>6.5008421618476642E-2</v>
      </c>
      <c r="AC955" s="100">
        <f>IF('Net zero activities &amp; levers'!$C$12="Off",('Activity data'!AV12*EF!$H43*EF!$H61)*NtoN2O*kgtoGg,IF('Net zero activities &amp; levers'!$C$12="PB",('Activity data'!AV12*EF!$H43*EF!$H61)*NtoN2O*kgtoGg,IF('Net zero activities &amp; levers'!$C$12="MS",('Net zero Activity data'!AV12*EF!$H43*EF!$H61)*NtoN2O*kgtoGg,"ERROR")))</f>
        <v>6.5151758442893073E-2</v>
      </c>
      <c r="AD955" s="100">
        <f>IF('Net zero activities &amp; levers'!$C$12="Off",('Activity data'!AW12*EF!$H43*EF!$H61)*NtoN2O*kgtoGg,IF('Net zero activities &amp; levers'!$C$12="PB",('Activity data'!AW12*EF!$H43*EF!$H61)*NtoN2O*kgtoGg,IF('Net zero activities &amp; levers'!$C$12="MS",('Net zero Activity data'!AW12*EF!$H43*EF!$H61)*NtoN2O*kgtoGg,"ERROR")))</f>
        <v>6.5246630284262655E-2</v>
      </c>
      <c r="AE955" s="100">
        <f>IF('Net zero activities &amp; levers'!$C$12="Off",('Activity data'!AX12*EF!$H43*EF!$H61)*NtoN2O*kgtoGg,IF('Net zero activities &amp; levers'!$C$12="PB",('Activity data'!AX12*EF!$H43*EF!$H61)*NtoN2O*kgtoGg,IF('Net zero activities &amp; levers'!$C$12="MS",('Net zero Activity data'!AX12*EF!$H43*EF!$H61)*NtoN2O*kgtoGg,"ERROR")))</f>
        <v>6.5350732610319262E-2</v>
      </c>
      <c r="AF955" s="100">
        <f>IF('Net zero activities &amp; levers'!$C$12="Off",('Activity data'!AY12*EF!$H43*EF!$H61)*NtoN2O*kgtoGg,IF('Net zero activities &amp; levers'!$C$12="PB",('Activity data'!AY12*EF!$H43*EF!$H61)*NtoN2O*kgtoGg,IF('Net zero activities &amp; levers'!$C$12="MS",('Net zero Activity data'!AY12*EF!$H43*EF!$H61)*NtoN2O*kgtoGg,"ERROR")))</f>
        <v>6.5463366093022182E-2</v>
      </c>
      <c r="AG955" s="100">
        <f>IF('Net zero activities &amp; levers'!$C$12="Off",('Activity data'!AZ12*EF!$H43*EF!$H61)*NtoN2O*kgtoGg,IF('Net zero activities &amp; levers'!$C$12="PB",('Activity data'!AZ12*EF!$H43*EF!$H61)*NtoN2O*kgtoGg,IF('Net zero activities &amp; levers'!$C$12="MS",('Net zero Activity data'!AZ12*EF!$H43*EF!$H61)*NtoN2O*kgtoGg,"ERROR")))</f>
        <v>6.5585749997988649E-2</v>
      </c>
      <c r="AH955" s="100">
        <f>IF('Net zero activities &amp; levers'!$C$12="Off",('Activity data'!BA12*EF!$H43*EF!$H61)*NtoN2O*kgtoGg,IF('Net zero activities &amp; levers'!$C$12="PB",('Activity data'!BA12*EF!$H43*EF!$H61)*NtoN2O*kgtoGg,IF('Net zero activities &amp; levers'!$C$12="MS",('Net zero Activity data'!BA12*EF!$H43*EF!$H61)*NtoN2O*kgtoGg,"ERROR")))</f>
        <v>6.571355347686661E-2</v>
      </c>
      <c r="AI955" s="100">
        <f>IF('Net zero activities &amp; levers'!$C$12="Off",('Activity data'!BB12*EF!$H43*EF!$H61)*NtoN2O*kgtoGg,IF('Net zero activities &amp; levers'!$C$12="PB",('Activity data'!BB12*EF!$H43*EF!$H61)*NtoN2O*kgtoGg,IF('Net zero activities &amp; levers'!$C$12="MS",('Net zero Activity data'!BB12*EF!$H43*EF!$H61)*NtoN2O*kgtoGg,"ERROR")))</f>
        <v>6.5795318686458951E-2</v>
      </c>
      <c r="AJ955" s="100">
        <f>IF('Net zero activities &amp; levers'!$C$12="Off",('Activity data'!BC12*EF!$H43*EF!$H61)*NtoN2O*kgtoGg,IF('Net zero activities &amp; levers'!$C$12="PB",('Activity data'!BC12*EF!$H43*EF!$H61)*NtoN2O*kgtoGg,IF('Net zero activities &amp; levers'!$C$12="MS",('Net zero Activity data'!BC12*EF!$H43*EF!$H61)*NtoN2O*kgtoGg,"ERROR")))</f>
        <v>6.5884020001636651E-2</v>
      </c>
      <c r="AK955" s="100">
        <f>IF('Net zero activities &amp; levers'!$C$12="Off",('Activity data'!BD12*EF!$H43*EF!$H61)*NtoN2O*kgtoGg,IF('Net zero activities &amp; levers'!$C$12="PB",('Activity data'!BD12*EF!$H43*EF!$H61)*NtoN2O*kgtoGg,IF('Net zero activities &amp; levers'!$C$12="MS",('Net zero Activity data'!BD12*EF!$H43*EF!$H61)*NtoN2O*kgtoGg,"ERROR")))</f>
        <v>6.5978314044694314E-2</v>
      </c>
      <c r="AL955" s="100">
        <f>IF('Net zero activities &amp; levers'!$C$12="Off",('Activity data'!BE12*EF!$H43*EF!$H61)*NtoN2O*kgtoGg,IF('Net zero activities &amp; levers'!$C$12="PB",('Activity data'!BE12*EF!$H43*EF!$H61)*NtoN2O*kgtoGg,IF('Net zero activities &amp; levers'!$C$12="MS",('Net zero Activity data'!BE12*EF!$H43*EF!$H61)*NtoN2O*kgtoGg,"ERROR")))</f>
        <v>6.6078716985151179E-2</v>
      </c>
      <c r="AM955" s="100">
        <f>IF('Net zero activities &amp; levers'!$C$12="Off",('Activity data'!BF12*EF!$H43*EF!$H61)*NtoN2O*kgtoGg,IF('Net zero activities &amp; levers'!$C$12="PB",('Activity data'!BF12*EF!$H43*EF!$H61)*NtoN2O*kgtoGg,IF('Net zero activities &amp; levers'!$C$12="MS",('Net zero Activity data'!BF12*EF!$H43*EF!$H61)*NtoN2O*kgtoGg,"ERROR")))</f>
        <v>6.6185699185286995E-2</v>
      </c>
      <c r="AN955" s="100">
        <f>IF('Net zero activities &amp; levers'!$C$12="Off",('Activity data'!BG12*EF!$H43*EF!$H61)*NtoN2O*kgtoGg,IF('Net zero activities &amp; levers'!$C$12="PB",('Activity data'!BG12*EF!$H43*EF!$H61)*NtoN2O*kgtoGg,IF('Net zero activities &amp; levers'!$C$12="MS",('Net zero Activity data'!BG12*EF!$H43*EF!$H61)*NtoN2O*kgtoGg,"ERROR")))</f>
        <v>6.6248752997966662E-2</v>
      </c>
      <c r="AO955" s="100">
        <f>IF('Net zero activities &amp; levers'!$C$12="Off",('Activity data'!BH12*EF!$H43*EF!$H61)*NtoN2O*kgtoGg,IF('Net zero activities &amp; levers'!$C$12="PB",('Activity data'!BH12*EF!$H43*EF!$H61)*NtoN2O*kgtoGg,IF('Net zero activities &amp; levers'!$C$12="MS",('Net zero Activity data'!BH12*EF!$H43*EF!$H61)*NtoN2O*kgtoGg,"ERROR")))</f>
        <v>6.6315938275625666E-2</v>
      </c>
      <c r="AP955" s="100">
        <f>IF('Net zero activities &amp; levers'!$C$12="Off",('Activity data'!BI12*EF!$H43*EF!$H61)*NtoN2O*kgtoGg,IF('Net zero activities &amp; levers'!$C$12="PB",('Activity data'!BI12*EF!$H43*EF!$H61)*NtoN2O*kgtoGg,IF('Net zero activities &amp; levers'!$C$12="MS",('Net zero Activity data'!BI12*EF!$H43*EF!$H61)*NtoN2O*kgtoGg,"ERROR")))</f>
        <v>6.6388438988824877E-2</v>
      </c>
      <c r="AQ955" s="100">
        <f>IF('Net zero activities &amp; levers'!$C$12="Off",('Activity data'!BJ12*EF!$H43*EF!$H61)*NtoN2O*kgtoGg,IF('Net zero activities &amp; levers'!$C$12="PB",('Activity data'!BJ12*EF!$H43*EF!$H61)*NtoN2O*kgtoGg,IF('Net zero activities &amp; levers'!$C$12="MS",('Net zero Activity data'!BJ12*EF!$H43*EF!$H61)*NtoN2O*kgtoGg,"ERROR")))</f>
        <v>6.6466127241216463E-2</v>
      </c>
      <c r="AR955" s="100">
        <f>IF('Net zero activities &amp; levers'!$C$12="Off",('Activity data'!BK12*EF!$H43*EF!$H61)*NtoN2O*kgtoGg,IF('Net zero activities &amp; levers'!$C$12="PB",('Activity data'!BK12*EF!$H43*EF!$H61)*NtoN2O*kgtoGg,IF('Net zero activities &amp; levers'!$C$12="MS",('Net zero Activity data'!BK12*EF!$H43*EF!$H61)*NtoN2O*kgtoGg,"ERROR")))</f>
        <v>6.6549837128906997E-2</v>
      </c>
      <c r="AS955" s="100">
        <f>IF('Net zero activities &amp; levers'!$C$12="Off",('Activity data'!BL12*EF!$H43*EF!$H61)*NtoN2O*kgtoGg,IF('Net zero activities &amp; levers'!$C$12="PB",('Activity data'!BL12*EF!$H43*EF!$H61)*NtoN2O*kgtoGg,IF('Net zero activities &amp; levers'!$C$12="MS",('Net zero Activity data'!BL12*EF!$H43*EF!$H61)*NtoN2O*kgtoGg,"ERROR")))</f>
        <v>6.658756512294553E-2</v>
      </c>
      <c r="AT955" s="100">
        <f>IF('Net zero activities &amp; levers'!$C$12="Off",('Activity data'!BM12*EF!$H43*EF!$H61)*NtoN2O*kgtoGg,IF('Net zero activities &amp; levers'!$C$12="PB",('Activity data'!BM12*EF!$H43*EF!$H61)*NtoN2O*kgtoGg,IF('Net zero activities &amp; levers'!$C$12="MS",('Net zero Activity data'!BM12*EF!$H43*EF!$H61)*NtoN2O*kgtoGg,"ERROR")))</f>
        <v>6.66203125456446E-2</v>
      </c>
      <c r="AU955" s="100">
        <f>IF('Net zero activities &amp; levers'!$C$12="Off",('Activity data'!BN12*EF!$H43*EF!$H61)*NtoN2O*kgtoGg,IF('Net zero activities &amp; levers'!$C$12="PB",('Activity data'!BN12*EF!$H43*EF!$H61)*NtoN2O*kgtoGg,IF('Net zero activities &amp; levers'!$C$12="MS",('Net zero Activity data'!BN12*EF!$H43*EF!$H61)*NtoN2O*kgtoGg,"ERROR")))</f>
        <v>6.6656464691830439E-2</v>
      </c>
      <c r="AV955" s="100">
        <f>IF('Net zero activities &amp; levers'!$C$12="Off",('Activity data'!BO12*EF!$H43*EF!$H61)*NtoN2O*kgtoGg,IF('Net zero activities &amp; levers'!$C$12="PB",('Activity data'!BO12*EF!$H43*EF!$H61)*NtoN2O*kgtoGg,IF('Net zero activities &amp; levers'!$C$12="MS",('Net zero Activity data'!BO12*EF!$H43*EF!$H61)*NtoN2O*kgtoGg,"ERROR")))</f>
        <v>6.6697796409900922E-2</v>
      </c>
      <c r="AW955" s="100">
        <f>IF('Net zero activities &amp; levers'!$C$12="Off",('Activity data'!BP12*EF!$H43*EF!$H61)*NtoN2O*kgtoGg,IF('Net zero activities &amp; levers'!$C$12="PB",('Activity data'!BP12*EF!$H43*EF!$H61)*NtoN2O*kgtoGg,IF('Net zero activities &amp; levers'!$C$12="MS",('Net zero Activity data'!BP12*EF!$H43*EF!$H61)*NtoN2O*kgtoGg,"ERROR")))</f>
        <v>6.6742398126545865E-2</v>
      </c>
      <c r="AY955" s="85"/>
      <c r="AZ955" s="85"/>
    </row>
    <row r="956" spans="1:52" x14ac:dyDescent="0.25">
      <c r="A956" s="102" t="str">
        <f t="shared" si="326"/>
        <v>DS Goats MMN2O</v>
      </c>
      <c r="B956" s="102" t="s">
        <v>975</v>
      </c>
      <c r="C956" s="102" t="s">
        <v>1330</v>
      </c>
      <c r="D956" t="s">
        <v>15</v>
      </c>
      <c r="E956" t="s">
        <v>657</v>
      </c>
      <c r="F956" t="s">
        <v>19</v>
      </c>
      <c r="G956" t="s">
        <v>122</v>
      </c>
      <c r="H956" t="s">
        <v>1228</v>
      </c>
      <c r="I956" t="s">
        <v>139</v>
      </c>
      <c r="J956" t="s">
        <v>287</v>
      </c>
      <c r="K956" s="28">
        <f t="shared" ref="K956:Z959" si="337">K1419</f>
        <v>1.4482807028187926E-2</v>
      </c>
      <c r="L956" s="28">
        <f t="shared" si="337"/>
        <v>1.4520450251739283E-2</v>
      </c>
      <c r="M956" s="28">
        <f t="shared" si="337"/>
        <v>1.4571212872745463E-2</v>
      </c>
      <c r="N956" s="28">
        <f t="shared" si="337"/>
        <v>1.4633040456364911E-2</v>
      </c>
      <c r="O956" s="28">
        <f t="shared" si="337"/>
        <v>1.4707094987006923E-2</v>
      </c>
      <c r="P956" s="28">
        <f t="shared" si="337"/>
        <v>1.4794644538423191E-2</v>
      </c>
      <c r="Q956" s="28">
        <f t="shared" si="337"/>
        <v>1.4887429784482062E-2</v>
      </c>
      <c r="R956" s="28">
        <f t="shared" si="337"/>
        <v>1.4984365063470912E-2</v>
      </c>
      <c r="S956" s="28">
        <f t="shared" si="337"/>
        <v>1.5078737379247895E-2</v>
      </c>
      <c r="T956" s="28">
        <f t="shared" si="337"/>
        <v>1.5122022085784054E-2</v>
      </c>
      <c r="U956" s="28">
        <f t="shared" si="337"/>
        <v>1.5168700186651049E-2</v>
      </c>
      <c r="V956" s="28">
        <f t="shared" si="337"/>
        <v>1.5219291662698977E-2</v>
      </c>
      <c r="W956" s="28">
        <f t="shared" si="337"/>
        <v>1.5274171031448219E-2</v>
      </c>
      <c r="X956" s="28">
        <f t="shared" si="337"/>
        <v>1.5334076575093777E-2</v>
      </c>
      <c r="Y956" s="28">
        <f t="shared" si="337"/>
        <v>1.5372633836154437E-2</v>
      </c>
      <c r="Z956" s="28">
        <f t="shared" si="337"/>
        <v>1.5414710813994566E-2</v>
      </c>
      <c r="AA956" s="28">
        <f t="shared" ref="L956:AW959" si="338">AA1419</f>
        <v>1.5459260848218298E-2</v>
      </c>
      <c r="AB956" s="28">
        <f t="shared" si="338"/>
        <v>1.5507296791102529E-2</v>
      </c>
      <c r="AC956" s="28">
        <f t="shared" si="338"/>
        <v>1.5558834836357003E-2</v>
      </c>
      <c r="AD956" s="28">
        <f t="shared" si="338"/>
        <v>1.5592757830860556E-2</v>
      </c>
      <c r="AE956" s="28">
        <f t="shared" si="338"/>
        <v>1.562932478627909E-2</v>
      </c>
      <c r="AF956" s="28">
        <f t="shared" si="338"/>
        <v>1.5668308058264361E-2</v>
      </c>
      <c r="AG956" s="28">
        <f t="shared" si="338"/>
        <v>1.5710145809478677E-2</v>
      </c>
      <c r="AH956" s="28">
        <f t="shared" si="338"/>
        <v>1.5753347197297651E-2</v>
      </c>
      <c r="AI956" s="28">
        <f t="shared" si="338"/>
        <v>1.5780128357590142E-2</v>
      </c>
      <c r="AJ956" s="28">
        <f t="shared" si="338"/>
        <v>1.5808895494916663E-2</v>
      </c>
      <c r="AK956" s="28">
        <f t="shared" si="338"/>
        <v>1.5839194459493416E-2</v>
      </c>
      <c r="AL956" s="28">
        <f t="shared" si="338"/>
        <v>1.5871212894447165E-2</v>
      </c>
      <c r="AM956" s="28">
        <f t="shared" si="338"/>
        <v>1.5905120208325661E-2</v>
      </c>
      <c r="AN956" s="28">
        <f t="shared" si="338"/>
        <v>1.5923608440521576E-2</v>
      </c>
      <c r="AO956" s="28">
        <f t="shared" si="338"/>
        <v>1.5943219194385971E-2</v>
      </c>
      <c r="AP956" s="28">
        <f t="shared" si="338"/>
        <v>1.5964364076511545E-2</v>
      </c>
      <c r="AQ956" s="28">
        <f t="shared" si="338"/>
        <v>1.5987003748719163E-2</v>
      </c>
      <c r="AR956" s="28">
        <f t="shared" si="338"/>
        <v>1.6011426014492076E-2</v>
      </c>
      <c r="AS956" s="28">
        <f t="shared" si="338"/>
        <v>1.6019956720470994E-2</v>
      </c>
      <c r="AT956" s="28">
        <f t="shared" si="338"/>
        <v>1.6026597354274651E-2</v>
      </c>
      <c r="AU956" s="28">
        <f t="shared" si="338"/>
        <v>1.6034206571030277E-2</v>
      </c>
      <c r="AV956" s="28">
        <f t="shared" si="338"/>
        <v>1.6043388029308273E-2</v>
      </c>
      <c r="AW956" s="28">
        <f t="shared" si="338"/>
        <v>1.6053496862987397E-2</v>
      </c>
      <c r="AY956" s="85"/>
      <c r="AZ956" s="85"/>
    </row>
    <row r="957" spans="1:52" x14ac:dyDescent="0.25">
      <c r="A957" s="102" t="str">
        <f t="shared" si="326"/>
        <v>DS Goats MMN2O</v>
      </c>
      <c r="B957" s="102" t="s">
        <v>975</v>
      </c>
      <c r="C957" s="102" t="s">
        <v>1330</v>
      </c>
      <c r="D957" t="s">
        <v>15</v>
      </c>
      <c r="E957" t="s">
        <v>657</v>
      </c>
      <c r="F957" t="s">
        <v>19</v>
      </c>
      <c r="G957" t="s">
        <v>123</v>
      </c>
      <c r="H957" t="s">
        <v>1228</v>
      </c>
      <c r="I957" t="s">
        <v>139</v>
      </c>
      <c r="J957" t="s">
        <v>287</v>
      </c>
      <c r="K957" s="28">
        <f t="shared" si="337"/>
        <v>0.11481805129047286</v>
      </c>
      <c r="L957" s="28">
        <f t="shared" si="338"/>
        <v>0.11511648249680231</v>
      </c>
      <c r="M957" s="28">
        <f t="shared" si="338"/>
        <v>0.11551892279798029</v>
      </c>
      <c r="N957" s="28">
        <f t="shared" si="338"/>
        <v>0.11600908486762376</v>
      </c>
      <c r="O957" s="28">
        <f t="shared" si="338"/>
        <v>0.11659618078632224</v>
      </c>
      <c r="P957" s="28">
        <f t="shared" si="338"/>
        <v>0.11729026369893758</v>
      </c>
      <c r="Q957" s="28">
        <f t="shared" si="338"/>
        <v>0.1180258546047787</v>
      </c>
      <c r="R957" s="28">
        <f t="shared" si="338"/>
        <v>0.11879434650093773</v>
      </c>
      <c r="S957" s="28">
        <f t="shared" si="338"/>
        <v>0.1195425195154779</v>
      </c>
      <c r="T957" s="28">
        <f t="shared" si="338"/>
        <v>0.1198856757589802</v>
      </c>
      <c r="U957" s="28">
        <f t="shared" si="338"/>
        <v>0.1202557344478143</v>
      </c>
      <c r="V957" s="28">
        <f t="shared" si="338"/>
        <v>0.1206568179311767</v>
      </c>
      <c r="W957" s="28">
        <f t="shared" si="338"/>
        <v>0.12109189534148641</v>
      </c>
      <c r="X957" s="28">
        <f t="shared" si="338"/>
        <v>0.12156681969623982</v>
      </c>
      <c r="Y957" s="28">
        <f t="shared" si="338"/>
        <v>0.12187249728826091</v>
      </c>
      <c r="Z957" s="28">
        <f t="shared" si="338"/>
        <v>0.12220607879565744</v>
      </c>
      <c r="AA957" s="28">
        <f t="shared" si="338"/>
        <v>0.12255926641353683</v>
      </c>
      <c r="AB957" s="28">
        <f t="shared" si="338"/>
        <v>0.12294008991985945</v>
      </c>
      <c r="AC957" s="28">
        <f t="shared" si="338"/>
        <v>0.12334867769651912</v>
      </c>
      <c r="AD957" s="28">
        <f t="shared" si="338"/>
        <v>0.12361761534895452</v>
      </c>
      <c r="AE957" s="28">
        <f t="shared" si="338"/>
        <v>0.12390751402361132</v>
      </c>
      <c r="AF957" s="28">
        <f t="shared" si="338"/>
        <v>0.124216568981919</v>
      </c>
      <c r="AG957" s="28">
        <f t="shared" si="338"/>
        <v>0.12454825392776228</v>
      </c>
      <c r="AH957" s="28">
        <f t="shared" si="338"/>
        <v>0.12489074962992587</v>
      </c>
      <c r="AI957" s="28">
        <f t="shared" si="338"/>
        <v>0.12510306763085599</v>
      </c>
      <c r="AJ957" s="28">
        <f t="shared" si="338"/>
        <v>0.12533113023243647</v>
      </c>
      <c r="AK957" s="28">
        <f t="shared" si="338"/>
        <v>0.12557133698669695</v>
      </c>
      <c r="AL957" s="28">
        <f t="shared" si="338"/>
        <v>0.12582517550706146</v>
      </c>
      <c r="AM957" s="28">
        <f t="shared" si="338"/>
        <v>0.12609398884528009</v>
      </c>
      <c r="AN957" s="28">
        <f t="shared" si="338"/>
        <v>0.1262405614529527</v>
      </c>
      <c r="AO957" s="28">
        <f t="shared" si="338"/>
        <v>0.12639603328508198</v>
      </c>
      <c r="AP957" s="28">
        <f t="shared" si="338"/>
        <v>0.12656366751204504</v>
      </c>
      <c r="AQ957" s="28">
        <f t="shared" si="338"/>
        <v>0.1267431522652199</v>
      </c>
      <c r="AR957" s="28">
        <f t="shared" si="338"/>
        <v>0.12693676921797539</v>
      </c>
      <c r="AS957" s="28">
        <f t="shared" si="338"/>
        <v>0.12700439968731225</v>
      </c>
      <c r="AT957" s="28">
        <f t="shared" si="338"/>
        <v>0.12705704587884023</v>
      </c>
      <c r="AU957" s="28">
        <f t="shared" si="338"/>
        <v>0.12711737088614225</v>
      </c>
      <c r="AV957" s="28">
        <f t="shared" si="338"/>
        <v>0.12719016044588929</v>
      </c>
      <c r="AW957" s="28">
        <f t="shared" si="338"/>
        <v>0.12727030213262158</v>
      </c>
      <c r="AY957" s="85"/>
      <c r="AZ957" s="85"/>
    </row>
    <row r="958" spans="1:52" x14ac:dyDescent="0.25">
      <c r="A958" s="102" t="str">
        <f t="shared" si="326"/>
        <v>DS Horses MMN2O</v>
      </c>
      <c r="B958" s="102" t="s">
        <v>975</v>
      </c>
      <c r="C958" s="102" t="s">
        <v>1331</v>
      </c>
      <c r="D958" t="s">
        <v>15</v>
      </c>
      <c r="E958" t="s">
        <v>657</v>
      </c>
      <c r="F958" t="s">
        <v>20</v>
      </c>
      <c r="G958" t="s">
        <v>3</v>
      </c>
      <c r="H958" t="s">
        <v>1228</v>
      </c>
      <c r="I958" t="s">
        <v>139</v>
      </c>
      <c r="J958" t="s">
        <v>287</v>
      </c>
      <c r="K958" s="28" t="str">
        <f t="shared" si="337"/>
        <v>NO</v>
      </c>
      <c r="L958" s="28" t="str">
        <f t="shared" si="338"/>
        <v>NO</v>
      </c>
      <c r="M958" s="28" t="str">
        <f t="shared" si="338"/>
        <v>NO</v>
      </c>
      <c r="N958" s="28" t="str">
        <f t="shared" si="338"/>
        <v>NO</v>
      </c>
      <c r="O958" s="28" t="str">
        <f t="shared" si="338"/>
        <v>NO</v>
      </c>
      <c r="P958" s="28" t="str">
        <f t="shared" si="338"/>
        <v>NO</v>
      </c>
      <c r="Q958" s="28" t="str">
        <f t="shared" si="338"/>
        <v>NO</v>
      </c>
      <c r="R958" s="28" t="str">
        <f t="shared" si="338"/>
        <v>NO</v>
      </c>
      <c r="S958" s="28" t="str">
        <f t="shared" si="338"/>
        <v>NO</v>
      </c>
      <c r="T958" s="28" t="str">
        <f t="shared" si="338"/>
        <v>NO</v>
      </c>
      <c r="U958" s="28" t="str">
        <f t="shared" si="338"/>
        <v>NO</v>
      </c>
      <c r="V958" s="28" t="str">
        <f t="shared" si="338"/>
        <v>NO</v>
      </c>
      <c r="W958" s="28" t="str">
        <f t="shared" si="338"/>
        <v>NO</v>
      </c>
      <c r="X958" s="28" t="str">
        <f t="shared" si="338"/>
        <v>NO</v>
      </c>
      <c r="Y958" s="28" t="str">
        <f t="shared" si="338"/>
        <v>NO</v>
      </c>
      <c r="Z958" s="28" t="str">
        <f t="shared" si="338"/>
        <v>NO</v>
      </c>
      <c r="AA958" s="28" t="str">
        <f t="shared" si="338"/>
        <v>NO</v>
      </c>
      <c r="AB958" s="28" t="str">
        <f t="shared" si="338"/>
        <v>NO</v>
      </c>
      <c r="AC958" s="28" t="str">
        <f t="shared" si="338"/>
        <v>NO</v>
      </c>
      <c r="AD958" s="28" t="str">
        <f t="shared" si="338"/>
        <v>NO</v>
      </c>
      <c r="AE958" s="28" t="str">
        <f t="shared" si="338"/>
        <v>NO</v>
      </c>
      <c r="AF958" s="28" t="str">
        <f t="shared" si="338"/>
        <v>NO</v>
      </c>
      <c r="AG958" s="28" t="str">
        <f t="shared" si="338"/>
        <v>NO</v>
      </c>
      <c r="AH958" s="28" t="str">
        <f t="shared" si="338"/>
        <v>NO</v>
      </c>
      <c r="AI958" s="28" t="str">
        <f t="shared" si="338"/>
        <v>NO</v>
      </c>
      <c r="AJ958" s="28" t="str">
        <f t="shared" si="338"/>
        <v>NO</v>
      </c>
      <c r="AK958" s="28" t="str">
        <f t="shared" si="338"/>
        <v>NO</v>
      </c>
      <c r="AL958" s="28" t="str">
        <f t="shared" si="338"/>
        <v>NO</v>
      </c>
      <c r="AM958" s="28" t="str">
        <f t="shared" si="338"/>
        <v>NO</v>
      </c>
      <c r="AN958" s="28" t="str">
        <f t="shared" si="338"/>
        <v>NO</v>
      </c>
      <c r="AO958" s="28" t="str">
        <f t="shared" si="338"/>
        <v>NO</v>
      </c>
      <c r="AP958" s="28" t="str">
        <f t="shared" si="338"/>
        <v>NO</v>
      </c>
      <c r="AQ958" s="28" t="str">
        <f t="shared" si="338"/>
        <v>NO</v>
      </c>
      <c r="AR958" s="28" t="str">
        <f t="shared" si="338"/>
        <v>NO</v>
      </c>
      <c r="AS958" s="28" t="str">
        <f t="shared" si="338"/>
        <v>NO</v>
      </c>
      <c r="AT958" s="28" t="str">
        <f t="shared" si="338"/>
        <v>NO</v>
      </c>
      <c r="AU958" s="28" t="str">
        <f t="shared" si="338"/>
        <v>NO</v>
      </c>
      <c r="AV958" s="28" t="str">
        <f t="shared" si="338"/>
        <v>NO</v>
      </c>
      <c r="AW958" s="28" t="str">
        <f t="shared" si="338"/>
        <v>NO</v>
      </c>
      <c r="AY958" s="85"/>
      <c r="AZ958" s="85"/>
    </row>
    <row r="959" spans="1:52" x14ac:dyDescent="0.25">
      <c r="A959" s="102" t="str">
        <f t="shared" si="326"/>
        <v>DS Mules MMN2O</v>
      </c>
      <c r="B959" s="102" t="s">
        <v>975</v>
      </c>
      <c r="C959" s="102" t="s">
        <v>1332</v>
      </c>
      <c r="D959" t="s">
        <v>15</v>
      </c>
      <c r="E959" t="s">
        <v>657</v>
      </c>
      <c r="F959" t="s">
        <v>140</v>
      </c>
      <c r="G959" t="s">
        <v>124</v>
      </c>
      <c r="H959" t="s">
        <v>1228</v>
      </c>
      <c r="I959" t="s">
        <v>139</v>
      </c>
      <c r="J959" t="s">
        <v>287</v>
      </c>
      <c r="K959" s="28" t="str">
        <f t="shared" si="337"/>
        <v>NO</v>
      </c>
      <c r="L959" s="28" t="str">
        <f t="shared" si="338"/>
        <v>NO</v>
      </c>
      <c r="M959" s="28" t="str">
        <f t="shared" si="338"/>
        <v>NO</v>
      </c>
      <c r="N959" s="28" t="str">
        <f t="shared" si="338"/>
        <v>NO</v>
      </c>
      <c r="O959" s="28" t="str">
        <f t="shared" si="338"/>
        <v>NO</v>
      </c>
      <c r="P959" s="28" t="str">
        <f t="shared" si="338"/>
        <v>NO</v>
      </c>
      <c r="Q959" s="28" t="str">
        <f t="shared" si="338"/>
        <v>NO</v>
      </c>
      <c r="R959" s="28" t="str">
        <f t="shared" si="338"/>
        <v>NO</v>
      </c>
      <c r="S959" s="28" t="str">
        <f t="shared" si="338"/>
        <v>NO</v>
      </c>
      <c r="T959" s="28" t="str">
        <f t="shared" si="338"/>
        <v>NO</v>
      </c>
      <c r="U959" s="28" t="str">
        <f t="shared" si="338"/>
        <v>NO</v>
      </c>
      <c r="V959" s="28" t="str">
        <f t="shared" si="338"/>
        <v>NO</v>
      </c>
      <c r="W959" s="28" t="str">
        <f t="shared" si="338"/>
        <v>NO</v>
      </c>
      <c r="X959" s="28" t="str">
        <f t="shared" si="338"/>
        <v>NO</v>
      </c>
      <c r="Y959" s="28" t="str">
        <f t="shared" si="338"/>
        <v>NO</v>
      </c>
      <c r="Z959" s="28" t="str">
        <f t="shared" si="338"/>
        <v>NO</v>
      </c>
      <c r="AA959" s="28" t="str">
        <f t="shared" si="338"/>
        <v>NO</v>
      </c>
      <c r="AB959" s="28" t="str">
        <f t="shared" si="338"/>
        <v>NO</v>
      </c>
      <c r="AC959" s="28" t="str">
        <f t="shared" si="338"/>
        <v>NO</v>
      </c>
      <c r="AD959" s="28" t="str">
        <f t="shared" si="338"/>
        <v>NO</v>
      </c>
      <c r="AE959" s="28" t="str">
        <f t="shared" si="338"/>
        <v>NO</v>
      </c>
      <c r="AF959" s="28" t="str">
        <f t="shared" si="338"/>
        <v>NO</v>
      </c>
      <c r="AG959" s="28" t="str">
        <f t="shared" si="338"/>
        <v>NO</v>
      </c>
      <c r="AH959" s="28" t="str">
        <f t="shared" si="338"/>
        <v>NO</v>
      </c>
      <c r="AI959" s="28" t="str">
        <f t="shared" si="338"/>
        <v>NO</v>
      </c>
      <c r="AJ959" s="28" t="str">
        <f t="shared" si="338"/>
        <v>NO</v>
      </c>
      <c r="AK959" s="28" t="str">
        <f t="shared" si="338"/>
        <v>NO</v>
      </c>
      <c r="AL959" s="28" t="str">
        <f t="shared" si="338"/>
        <v>NO</v>
      </c>
      <c r="AM959" s="28" t="str">
        <f t="shared" si="338"/>
        <v>NO</v>
      </c>
      <c r="AN959" s="28" t="str">
        <f t="shared" si="338"/>
        <v>NO</v>
      </c>
      <c r="AO959" s="28" t="str">
        <f t="shared" si="338"/>
        <v>NO</v>
      </c>
      <c r="AP959" s="28" t="str">
        <f t="shared" si="338"/>
        <v>NO</v>
      </c>
      <c r="AQ959" s="28" t="str">
        <f t="shared" si="338"/>
        <v>NO</v>
      </c>
      <c r="AR959" s="28" t="str">
        <f t="shared" si="338"/>
        <v>NO</v>
      </c>
      <c r="AS959" s="28" t="str">
        <f t="shared" si="338"/>
        <v>NO</v>
      </c>
      <c r="AT959" s="28" t="str">
        <f t="shared" si="338"/>
        <v>NO</v>
      </c>
      <c r="AU959" s="28" t="str">
        <f t="shared" si="338"/>
        <v>NO</v>
      </c>
      <c r="AV959" s="28" t="str">
        <f t="shared" si="338"/>
        <v>NO</v>
      </c>
      <c r="AW959" s="28" t="str">
        <f t="shared" si="338"/>
        <v>NO</v>
      </c>
      <c r="AY959" s="85"/>
      <c r="AZ959" s="85"/>
    </row>
    <row r="960" spans="1:52" x14ac:dyDescent="0.25">
      <c r="A960" s="102" t="str">
        <f t="shared" si="326"/>
        <v>DS Swine MMN2O</v>
      </c>
      <c r="B960" s="102" t="s">
        <v>975</v>
      </c>
      <c r="C960" s="102" t="s">
        <v>1234</v>
      </c>
      <c r="D960" t="s">
        <v>15</v>
      </c>
      <c r="E960" t="s">
        <v>657</v>
      </c>
      <c r="F960" t="s">
        <v>21</v>
      </c>
      <c r="G960" t="s">
        <v>122</v>
      </c>
      <c r="H960" t="s">
        <v>1228</v>
      </c>
      <c r="I960" t="s">
        <v>139</v>
      </c>
      <c r="J960" t="s">
        <v>287</v>
      </c>
      <c r="K960" s="100">
        <f>IF('Net zero activities &amp; levers'!$C$12="Off",('Activity data'!AD17*EF!$H48*EF!$H66)*NtoN2O*kgtoGg,IF('Net zero activities &amp; levers'!$C$12="PB",('Activity data'!AD17*EF!$H48*EF!$H66)*NtoN2O*kgtoGg,IF('Net zero activities &amp; levers'!$C$12="MS",('Net zero Activity data'!AD17*EF!$H48*EF!$H66)*NtoN2O*kgtoGg,"ERROR")))</f>
        <v>9.7855003322124628E-2</v>
      </c>
      <c r="L960" s="100">
        <f>IF('Net zero activities &amp; levers'!$C$12="Off",('Activity data'!AE17*EF!$H48*EF!$H66)*NtoN2O*kgtoGg,IF('Net zero activities &amp; levers'!$C$12="PB",('Activity data'!AE17*EF!$H48*EF!$H66)*NtoN2O*kgtoGg,IF('Net zero activities &amp; levers'!$C$12="MS",('Net zero Activity data'!AE17*EF!$H48*EF!$H66)*NtoN2O*kgtoGg,"ERROR")))</f>
        <v>9.768205595551481E-2</v>
      </c>
      <c r="M960" s="100">
        <f>IF('Net zero activities &amp; levers'!$C$12="Off",('Activity data'!AF17*EF!$H48*EF!$H66)*NtoN2O*kgtoGg,IF('Net zero activities &amp; levers'!$C$12="PB",('Activity data'!AF17*EF!$H48*EF!$H66)*NtoN2O*kgtoGg,IF('Net zero activities &amp; levers'!$C$12="MS",('Net zero Activity data'!AF17*EF!$H48*EF!$H66)*NtoN2O*kgtoGg,"ERROR")))</f>
        <v>9.7134008511937764E-2</v>
      </c>
      <c r="N960" s="100">
        <f>IF('Net zero activities &amp; levers'!$C$12="Off",('Activity data'!AG17*EF!$H48*EF!$H66)*NtoN2O*kgtoGg,IF('Net zero activities &amp; levers'!$C$12="PB",('Activity data'!AG17*EF!$H48*EF!$H66)*NtoN2O*kgtoGg,IF('Net zero activities &amp; levers'!$C$12="MS",('Net zero Activity data'!AG17*EF!$H48*EF!$H66)*NtoN2O*kgtoGg,"ERROR")))</f>
        <v>9.4990622413168677E-2</v>
      </c>
      <c r="O960" s="100">
        <f>IF('Net zero activities &amp; levers'!$C$12="Off",('Activity data'!AH17*EF!$H48*EF!$H66)*NtoN2O*kgtoGg,IF('Net zero activities &amp; levers'!$C$12="PB",('Activity data'!AH17*EF!$H48*EF!$H66)*NtoN2O*kgtoGg,IF('Net zero activities &amp; levers'!$C$12="MS",('Net zero Activity data'!AH17*EF!$H48*EF!$H66)*NtoN2O*kgtoGg,"ERROR")))</f>
        <v>9.2963704380958218E-2</v>
      </c>
      <c r="P960" s="100">
        <f>IF('Net zero activities &amp; levers'!$C$12="Off",('Activity data'!AI17*EF!$H48*EF!$H66)*NtoN2O*kgtoGg,IF('Net zero activities &amp; levers'!$C$12="PB",('Activity data'!AI17*EF!$H48*EF!$H66)*NtoN2O*kgtoGg,IF('Net zero activities &amp; levers'!$C$12="MS",('Net zero Activity data'!AI17*EF!$H48*EF!$H66)*NtoN2O*kgtoGg,"ERROR")))</f>
        <v>9.2636555494494649E-2</v>
      </c>
      <c r="Q960" s="100">
        <f>IF('Net zero activities &amp; levers'!$C$12="Off",('Activity data'!AJ17*EF!$H48*EF!$H66)*NtoN2O*kgtoGg,IF('Net zero activities &amp; levers'!$C$12="PB",('Activity data'!AJ17*EF!$H48*EF!$H66)*NtoN2O*kgtoGg,IF('Net zero activities &amp; levers'!$C$12="MS",('Net zero Activity data'!AJ17*EF!$H48*EF!$H66)*NtoN2O*kgtoGg,"ERROR")))</f>
        <v>9.1842396693378264E-2</v>
      </c>
      <c r="R960" s="100">
        <f>IF('Net zero activities &amp; levers'!$C$12="Off",('Activity data'!AK17*EF!$H48*EF!$H66)*NtoN2O*kgtoGg,IF('Net zero activities &amp; levers'!$C$12="PB",('Activity data'!AK17*EF!$H48*EF!$H66)*NtoN2O*kgtoGg,IF('Net zero activities &amp; levers'!$C$12="MS",('Net zero Activity data'!AK17*EF!$H48*EF!$H66)*NtoN2O*kgtoGg,"ERROR")))</f>
        <v>8.9396441883992581E-2</v>
      </c>
      <c r="S960" s="100">
        <f>IF('Net zero activities &amp; levers'!$C$12="Off",('Activity data'!AL17*EF!$H48*EF!$H66)*NtoN2O*kgtoGg,IF('Net zero activities &amp; levers'!$C$12="PB",('Activity data'!AL17*EF!$H48*EF!$H66)*NtoN2O*kgtoGg,IF('Net zero activities &amp; levers'!$C$12="MS",('Net zero Activity data'!AL17*EF!$H48*EF!$H66)*NtoN2O*kgtoGg,"ERROR")))</f>
        <v>7.973748994684815E-2</v>
      </c>
      <c r="T960" s="100">
        <f>IF('Net zero activities &amp; levers'!$C$12="Off",('Activity data'!AM17*EF!$H48*EF!$H66)*NtoN2O*kgtoGg,IF('Net zero activities &amp; levers'!$C$12="PB",('Activity data'!AM17*EF!$H48*EF!$H66)*NtoN2O*kgtoGg,IF('Net zero activities &amp; levers'!$C$12="MS",('Net zero Activity data'!AM17*EF!$H48*EF!$H66)*NtoN2O*kgtoGg,"ERROR")))</f>
        <v>8.1452692189288772E-2</v>
      </c>
      <c r="U960" s="100">
        <f>IF('Net zero activities &amp; levers'!$C$12="Off",('Activity data'!AN17*EF!$H48*EF!$H66)*NtoN2O*kgtoGg,IF('Net zero activities &amp; levers'!$C$12="PB",('Activity data'!AN17*EF!$H48*EF!$H66)*NtoN2O*kgtoGg,IF('Net zero activities &amp; levers'!$C$12="MS",('Net zero Activity data'!AN17*EF!$H48*EF!$H66)*NtoN2O*kgtoGg,"ERROR")))</f>
        <v>8.2242511804273E-2</v>
      </c>
      <c r="V960" s="100">
        <f>IF('Net zero activities &amp; levers'!$C$12="Off",('Activity data'!AO17*EF!$H48*EF!$H66)*NtoN2O*kgtoGg,IF('Net zero activities &amp; levers'!$C$12="PB",('Activity data'!AO17*EF!$H48*EF!$H66)*NtoN2O*kgtoGg,IF('Net zero activities &amp; levers'!$C$12="MS",('Net zero Activity data'!AO17*EF!$H48*EF!$H66)*NtoN2O*kgtoGg,"ERROR")))</f>
        <v>8.2817744096224652E-2</v>
      </c>
      <c r="W960" s="100">
        <f>IF('Net zero activities &amp; levers'!$C$12="Off",('Activity data'!AP17*EF!$H48*EF!$H66)*NtoN2O*kgtoGg,IF('Net zero activities &amp; levers'!$C$12="PB",('Activity data'!AP17*EF!$H48*EF!$H66)*NtoN2O*kgtoGg,IF('Net zero activities &amp; levers'!$C$12="MS",('Net zero Activity data'!AP17*EF!$H48*EF!$H66)*NtoN2O*kgtoGg,"ERROR")))</f>
        <v>8.3700880663628088E-2</v>
      </c>
      <c r="X960" s="100">
        <f>IF('Net zero activities &amp; levers'!$C$12="Off",('Activity data'!AQ17*EF!$H48*EF!$H66)*NtoN2O*kgtoGg,IF('Net zero activities &amp; levers'!$C$12="PB",('Activity data'!AQ17*EF!$H48*EF!$H66)*NtoN2O*kgtoGg,IF('Net zero activities &amp; levers'!$C$12="MS",('Net zero Activity data'!AQ17*EF!$H48*EF!$H66)*NtoN2O*kgtoGg,"ERROR")))</f>
        <v>8.5662060351678962E-2</v>
      </c>
      <c r="Y960" s="100">
        <f>IF('Net zero activities &amp; levers'!$C$12="Off",('Activity data'!AR17*EF!$H48*EF!$H66)*NtoN2O*kgtoGg,IF('Net zero activities &amp; levers'!$C$12="PB",('Activity data'!AR17*EF!$H48*EF!$H66)*NtoN2O*kgtoGg,IF('Net zero activities &amp; levers'!$C$12="MS",('Net zero Activity data'!AR17*EF!$H48*EF!$H66)*NtoN2O*kgtoGg,"ERROR")))</f>
        <v>8.7869258828121299E-2</v>
      </c>
      <c r="Z960" s="100">
        <f>IF('Net zero activities &amp; levers'!$C$12="Off",('Activity data'!AS17*EF!$H48*EF!$H66)*NtoN2O*kgtoGg,IF('Net zero activities &amp; levers'!$C$12="PB",('Activity data'!AS17*EF!$H48*EF!$H66)*NtoN2O*kgtoGg,IF('Net zero activities &amp; levers'!$C$12="MS",('Net zero Activity data'!AS17*EF!$H48*EF!$H66)*NtoN2O*kgtoGg,"ERROR")))</f>
        <v>9.0298087380543637E-2</v>
      </c>
      <c r="AA960" s="100">
        <f>IF('Net zero activities &amp; levers'!$C$12="Off",('Activity data'!AT17*EF!$H48*EF!$H66)*NtoN2O*kgtoGg,IF('Net zero activities &amp; levers'!$C$12="PB",('Activity data'!AT17*EF!$H48*EF!$H66)*NtoN2O*kgtoGg,IF('Net zero activities &amp; levers'!$C$12="MS",('Net zero Activity data'!AT17*EF!$H48*EF!$H66)*NtoN2O*kgtoGg,"ERROR")))</f>
        <v>9.2240276380797723E-2</v>
      </c>
      <c r="AB960" s="100">
        <f>IF('Net zero activities &amp; levers'!$C$12="Off",('Activity data'!AU17*EF!$H48*EF!$H66)*NtoN2O*kgtoGg,IF('Net zero activities &amp; levers'!$C$12="PB",('Activity data'!AU17*EF!$H48*EF!$H66)*NtoN2O*kgtoGg,IF('Net zero activities &amp; levers'!$C$12="MS",('Net zero Activity data'!AU17*EF!$H48*EF!$H66)*NtoN2O*kgtoGg,"ERROR")))</f>
        <v>9.4619108619267742E-2</v>
      </c>
      <c r="AC960" s="100">
        <f>IF('Net zero activities &amp; levers'!$C$12="Off",('Activity data'!AV17*EF!$H48*EF!$H66)*NtoN2O*kgtoGg,IF('Net zero activities &amp; levers'!$C$12="PB",('Activity data'!AV17*EF!$H48*EF!$H66)*NtoN2O*kgtoGg,IF('Net zero activities &amp; levers'!$C$12="MS",('Net zero Activity data'!AV17*EF!$H48*EF!$H66)*NtoN2O*kgtoGg,"ERROR")))</f>
        <v>9.7530252215833863E-2</v>
      </c>
      <c r="AD960" s="100">
        <f>IF('Net zero activities &amp; levers'!$C$12="Off",('Activity data'!AW17*EF!$H48*EF!$H66)*NtoN2O*kgtoGg,IF('Net zero activities &amp; levers'!$C$12="PB",('Activity data'!AW17*EF!$H48*EF!$H66)*NtoN2O*kgtoGg,IF('Net zero activities &amp; levers'!$C$12="MS",('Net zero Activity data'!AW17*EF!$H48*EF!$H66)*NtoN2O*kgtoGg,"ERROR")))</f>
        <v>0.10028578808595486</v>
      </c>
      <c r="AE960" s="100">
        <f>IF('Net zero activities &amp; levers'!$C$12="Off",('Activity data'!AX17*EF!$H48*EF!$H66)*NtoN2O*kgtoGg,IF('Net zero activities &amp; levers'!$C$12="PB",('Activity data'!AX17*EF!$H48*EF!$H66)*NtoN2O*kgtoGg,IF('Net zero activities &amp; levers'!$C$12="MS",('Net zero Activity data'!AX17*EF!$H48*EF!$H66)*NtoN2O*kgtoGg,"ERROR")))</f>
        <v>0.10315369284356883</v>
      </c>
      <c r="AF960" s="100">
        <f>IF('Net zero activities &amp; levers'!$C$12="Off",('Activity data'!AY17*EF!$H48*EF!$H66)*NtoN2O*kgtoGg,IF('Net zero activities &amp; levers'!$C$12="PB",('Activity data'!AY17*EF!$H48*EF!$H66)*NtoN2O*kgtoGg,IF('Net zero activities &amp; levers'!$C$12="MS",('Net zero Activity data'!AY17*EF!$H48*EF!$H66)*NtoN2O*kgtoGg,"ERROR")))</f>
        <v>0.10603841363071233</v>
      </c>
      <c r="AG960" s="100">
        <f>IF('Net zero activities &amp; levers'!$C$12="Off",('Activity data'!AZ17*EF!$H48*EF!$H66)*NtoN2O*kgtoGg,IF('Net zero activities &amp; levers'!$C$12="PB",('Activity data'!AZ17*EF!$H48*EF!$H66)*NtoN2O*kgtoGg,IF('Net zero activities &amp; levers'!$C$12="MS",('Net zero Activity data'!AZ17*EF!$H48*EF!$H66)*NtoN2O*kgtoGg,"ERROR")))</f>
        <v>0.10932837219720498</v>
      </c>
      <c r="AH960" s="100">
        <f>IF('Net zero activities &amp; levers'!$C$12="Off",('Activity data'!BA17*EF!$H48*EF!$H66)*NtoN2O*kgtoGg,IF('Net zero activities &amp; levers'!$C$12="PB",('Activity data'!BA17*EF!$H48*EF!$H66)*NtoN2O*kgtoGg,IF('Net zero activities &amp; levers'!$C$12="MS",('Net zero Activity data'!BA17*EF!$H48*EF!$H66)*NtoN2O*kgtoGg,"ERROR")))</f>
        <v>0.11199564217103479</v>
      </c>
      <c r="AI960" s="100">
        <f>IF('Net zero activities &amp; levers'!$C$12="Off",('Activity data'!BB17*EF!$H48*EF!$H66)*NtoN2O*kgtoGg,IF('Net zero activities &amp; levers'!$C$12="PB",('Activity data'!BB17*EF!$H48*EF!$H66)*NtoN2O*kgtoGg,IF('Net zero activities &amp; levers'!$C$12="MS",('Net zero Activity data'!BB17*EF!$H48*EF!$H66)*NtoN2O*kgtoGg,"ERROR")))</f>
        <v>0.11485371208683526</v>
      </c>
      <c r="AJ960" s="100">
        <f>IF('Net zero activities &amp; levers'!$C$12="Off",('Activity data'!BC17*EF!$H48*EF!$H66)*NtoN2O*kgtoGg,IF('Net zero activities &amp; levers'!$C$12="PB",('Activity data'!BC17*EF!$H48*EF!$H66)*NtoN2O*kgtoGg,IF('Net zero activities &amp; levers'!$C$12="MS",('Net zero Activity data'!BC17*EF!$H48*EF!$H66)*NtoN2O*kgtoGg,"ERROR")))</f>
        <v>0.11771232198590084</v>
      </c>
      <c r="AK960" s="100">
        <f>IF('Net zero activities &amp; levers'!$C$12="Off",('Activity data'!BD17*EF!$H48*EF!$H66)*NtoN2O*kgtoGg,IF('Net zero activities &amp; levers'!$C$12="PB",('Activity data'!BD17*EF!$H48*EF!$H66)*NtoN2O*kgtoGg,IF('Net zero activities &amp; levers'!$C$12="MS",('Net zero Activity data'!BD17*EF!$H48*EF!$H66)*NtoN2O*kgtoGg,"ERROR")))</f>
        <v>0.12030678115486812</v>
      </c>
      <c r="AL960" s="100">
        <f>IF('Net zero activities &amp; levers'!$C$12="Off",('Activity data'!BE17*EF!$H48*EF!$H66)*NtoN2O*kgtoGg,IF('Net zero activities &amp; levers'!$C$12="PB",('Activity data'!BE17*EF!$H48*EF!$H66)*NtoN2O*kgtoGg,IF('Net zero activities &amp; levers'!$C$12="MS",('Net zero Activity data'!BE17*EF!$H48*EF!$H66)*NtoN2O*kgtoGg,"ERROR")))</f>
        <v>0.12282077145121797</v>
      </c>
      <c r="AM960" s="100">
        <f>IF('Net zero activities &amp; levers'!$C$12="Off",('Activity data'!BF17*EF!$H48*EF!$H66)*NtoN2O*kgtoGg,IF('Net zero activities &amp; levers'!$C$12="PB",('Activity data'!BF17*EF!$H48*EF!$H66)*NtoN2O*kgtoGg,IF('Net zero activities &amp; levers'!$C$12="MS",('Net zero Activity data'!BF17*EF!$H48*EF!$H66)*NtoN2O*kgtoGg,"ERROR")))</f>
        <v>0.12541265580814645</v>
      </c>
      <c r="AN960" s="100">
        <f>IF('Net zero activities &amp; levers'!$C$12="Off",('Activity data'!BG17*EF!$H48*EF!$H66)*NtoN2O*kgtoGg,IF('Net zero activities &amp; levers'!$C$12="PB",('Activity data'!BG17*EF!$H48*EF!$H66)*NtoN2O*kgtoGg,IF('Net zero activities &amp; levers'!$C$12="MS",('Net zero Activity data'!BG17*EF!$H48*EF!$H66)*NtoN2O*kgtoGg,"ERROR")))</f>
        <v>0.12815280796716533</v>
      </c>
      <c r="AO960" s="100">
        <f>IF('Net zero activities &amp; levers'!$C$12="Off",('Activity data'!BH17*EF!$H48*EF!$H66)*NtoN2O*kgtoGg,IF('Net zero activities &amp; levers'!$C$12="PB",('Activity data'!BH17*EF!$H48*EF!$H66)*NtoN2O*kgtoGg,IF('Net zero activities &amp; levers'!$C$12="MS",('Net zero Activity data'!BH17*EF!$H48*EF!$H66)*NtoN2O*kgtoGg,"ERROR")))</f>
        <v>0.13056194972752197</v>
      </c>
      <c r="AP960" s="100">
        <f>IF('Net zero activities &amp; levers'!$C$12="Off",('Activity data'!BI17*EF!$H48*EF!$H66)*NtoN2O*kgtoGg,IF('Net zero activities &amp; levers'!$C$12="PB",('Activity data'!BI17*EF!$H48*EF!$H66)*NtoN2O*kgtoGg,IF('Net zero activities &amp; levers'!$C$12="MS",('Net zero Activity data'!BI17*EF!$H48*EF!$H66)*NtoN2O*kgtoGg,"ERROR")))</f>
        <v>0.13295353804447049</v>
      </c>
      <c r="AQ960" s="100">
        <f>IF('Net zero activities &amp; levers'!$C$12="Off",('Activity data'!BJ17*EF!$H48*EF!$H66)*NtoN2O*kgtoGg,IF('Net zero activities &amp; levers'!$C$12="PB",('Activity data'!BJ17*EF!$H48*EF!$H66)*NtoN2O*kgtoGg,IF('Net zero activities &amp; levers'!$C$12="MS",('Net zero Activity data'!BJ17*EF!$H48*EF!$H66)*NtoN2O*kgtoGg,"ERROR")))</f>
        <v>0.13533393181533376</v>
      </c>
      <c r="AR960" s="100">
        <f>IF('Net zero activities &amp; levers'!$C$12="Off",('Activity data'!BK17*EF!$H48*EF!$H66)*NtoN2O*kgtoGg,IF('Net zero activities &amp; levers'!$C$12="PB",('Activity data'!BK17*EF!$H48*EF!$H66)*NtoN2O*kgtoGg,IF('Net zero activities &amp; levers'!$C$12="MS",('Net zero Activity data'!BK17*EF!$H48*EF!$H66)*NtoN2O*kgtoGg,"ERROR")))</f>
        <v>0.1379132972636212</v>
      </c>
      <c r="AS960" s="100">
        <f>IF('Net zero activities &amp; levers'!$C$12="Off",('Activity data'!BL17*EF!$H48*EF!$H66)*NtoN2O*kgtoGg,IF('Net zero activities &amp; levers'!$C$12="PB",('Activity data'!BL17*EF!$H48*EF!$H66)*NtoN2O*kgtoGg,IF('Net zero activities &amp; levers'!$C$12="MS",('Net zero Activity data'!BL17*EF!$H48*EF!$H66)*NtoN2O*kgtoGg,"ERROR")))</f>
        <v>0.14053008195021952</v>
      </c>
      <c r="AT960" s="100">
        <f>IF('Net zero activities &amp; levers'!$C$12="Off",('Activity data'!BM17*EF!$H48*EF!$H66)*NtoN2O*kgtoGg,IF('Net zero activities &amp; levers'!$C$12="PB",('Activity data'!BM17*EF!$H48*EF!$H66)*NtoN2O*kgtoGg,IF('Net zero activities &amp; levers'!$C$12="MS",('Net zero Activity data'!BM17*EF!$H48*EF!$H66)*NtoN2O*kgtoGg,"ERROR")))</f>
        <v>0.14114192425764652</v>
      </c>
      <c r="AU960" s="100">
        <f>IF('Net zero activities &amp; levers'!$C$12="Off",('Activity data'!BN17*EF!$H48*EF!$H66)*NtoN2O*kgtoGg,IF('Net zero activities &amp; levers'!$C$12="PB",('Activity data'!BN17*EF!$H48*EF!$H66)*NtoN2O*kgtoGg,IF('Net zero activities &amp; levers'!$C$12="MS",('Net zero Activity data'!BN17*EF!$H48*EF!$H66)*NtoN2O*kgtoGg,"ERROR")))</f>
        <v>0.14158544392848668</v>
      </c>
      <c r="AV960" s="100">
        <f>IF('Net zero activities &amp; levers'!$C$12="Off",('Activity data'!BO17*EF!$H48*EF!$H66)*NtoN2O*kgtoGg,IF('Net zero activities &amp; levers'!$C$12="PB",('Activity data'!BO17*EF!$H48*EF!$H66)*NtoN2O*kgtoGg,IF('Net zero activities &amp; levers'!$C$12="MS",('Net zero Activity data'!BO17*EF!$H48*EF!$H66)*NtoN2O*kgtoGg,"ERROR")))</f>
        <v>0.14225126627613405</v>
      </c>
      <c r="AW960" s="100">
        <f>IF('Net zero activities &amp; levers'!$C$12="Off",('Activity data'!BP17*EF!$H48*EF!$H66)*NtoN2O*kgtoGg,IF('Net zero activities &amp; levers'!$C$12="PB",('Activity data'!BP17*EF!$H48*EF!$H66)*NtoN2O*kgtoGg,IF('Net zero activities &amp; levers'!$C$12="MS",('Net zero Activity data'!BP17*EF!$H48*EF!$H66)*NtoN2O*kgtoGg,"ERROR")))</f>
        <v>0.14277114135536023</v>
      </c>
      <c r="AY960" s="85"/>
      <c r="AZ960" s="85"/>
    </row>
    <row r="961" spans="1:52" x14ac:dyDescent="0.25">
      <c r="A961" s="102" t="str">
        <f t="shared" si="326"/>
        <v>DS Swine MMN2O</v>
      </c>
      <c r="B961" s="102" t="s">
        <v>975</v>
      </c>
      <c r="C961" s="102" t="s">
        <v>1234</v>
      </c>
      <c r="D961" t="s">
        <v>15</v>
      </c>
      <c r="E961" t="s">
        <v>657</v>
      </c>
      <c r="F961" t="s">
        <v>21</v>
      </c>
      <c r="G961" t="s">
        <v>123</v>
      </c>
      <c r="H961" t="s">
        <v>1228</v>
      </c>
      <c r="I961" t="s">
        <v>139</v>
      </c>
      <c r="J961" t="s">
        <v>287</v>
      </c>
      <c r="K961" s="100">
        <f>IF('Net zero activities &amp; levers'!$C$12="Off",('Activity data'!AD18*EF!$H49*EF!$H67)*NtoN2O*kgtoGg,IF('Net zero activities &amp; levers'!$C$12="PB",('Activity data'!AD18*EF!$H49*EF!$H67)*NtoN2O*kgtoGg,IF('Net zero activities &amp; levers'!$C$12="MS",('Net zero Activity data'!AD18*EF!$H49*EF!$H67)*NtoN2O*kgtoGg,"ERROR")))</f>
        <v>3.8282858549039588E-2</v>
      </c>
      <c r="L961" s="100">
        <f>IF('Net zero activities &amp; levers'!$C$12="Off",('Activity data'!AE18*EF!$H49*EF!$H67)*NtoN2O*kgtoGg,IF('Net zero activities &amp; levers'!$C$12="PB",('Activity data'!AE18*EF!$H49*EF!$H67)*NtoN2O*kgtoGg,IF('Net zero activities &amp; levers'!$C$12="MS",('Net zero Activity data'!AE18*EF!$H49*EF!$H67)*NtoN2O*kgtoGg,"ERROR")))</f>
        <v>3.8215198037593316E-2</v>
      </c>
      <c r="M961" s="100">
        <f>IF('Net zero activities &amp; levers'!$C$12="Off",('Activity data'!AF18*EF!$H49*EF!$H67)*NtoN2O*kgtoGg,IF('Net zero activities &amp; levers'!$C$12="PB",('Activity data'!AF18*EF!$H49*EF!$H67)*NtoN2O*kgtoGg,IF('Net zero activities &amp; levers'!$C$12="MS",('Net zero Activity data'!AF18*EF!$H49*EF!$H67)*NtoN2O*kgtoGg,"ERROR")))</f>
        <v>3.8000790781466037E-2</v>
      </c>
      <c r="N961" s="100">
        <f>IF('Net zero activities &amp; levers'!$C$12="Off",('Activity data'!AG18*EF!$H49*EF!$H67)*NtoN2O*kgtoGg,IF('Net zero activities &amp; levers'!$C$12="PB",('Activity data'!AG18*EF!$H49*EF!$H67)*NtoN2O*kgtoGg,IF('Net zero activities &amp; levers'!$C$12="MS",('Net zero Activity data'!AG18*EF!$H49*EF!$H67)*NtoN2O*kgtoGg,"ERROR")))</f>
        <v>3.7162254742945426E-2</v>
      </c>
      <c r="O961" s="100">
        <f>IF('Net zero activities &amp; levers'!$C$12="Off",('Activity data'!AH18*EF!$H49*EF!$H67)*NtoN2O*kgtoGg,IF('Net zero activities &amp; levers'!$C$12="PB",('Activity data'!AH18*EF!$H49*EF!$H67)*NtoN2O*kgtoGg,IF('Net zero activities &amp; levers'!$C$12="MS",('Net zero Activity data'!AH18*EF!$H49*EF!$H67)*NtoN2O*kgtoGg,"ERROR")))</f>
        <v>3.6369283370166726E-2</v>
      </c>
      <c r="P961" s="100">
        <f>IF('Net zero activities &amp; levers'!$C$12="Off",('Activity data'!AI18*EF!$H49*EF!$H67)*NtoN2O*kgtoGg,IF('Net zero activities &amp; levers'!$C$12="PB",('Activity data'!AI18*EF!$H49*EF!$H67)*NtoN2O*kgtoGg,IF('Net zero activities &amp; levers'!$C$12="MS",('Net zero Activity data'!AI18*EF!$H49*EF!$H67)*NtoN2O*kgtoGg,"ERROR")))</f>
        <v>3.6241296102068297E-2</v>
      </c>
      <c r="Q961" s="100">
        <f>IF('Net zero activities &amp; levers'!$C$12="Off",('Activity data'!AJ18*EF!$H49*EF!$H67)*NtoN2O*kgtoGg,IF('Net zero activities &amp; levers'!$C$12="PB",('Activity data'!AJ18*EF!$H49*EF!$H67)*NtoN2O*kgtoGg,IF('Net zero activities &amp; levers'!$C$12="MS",('Net zero Activity data'!AJ18*EF!$H49*EF!$H67)*NtoN2O*kgtoGg,"ERROR")))</f>
        <v>3.5930605099907358E-2</v>
      </c>
      <c r="R961" s="100">
        <f>IF('Net zero activities &amp; levers'!$C$12="Off",('Activity data'!AK18*EF!$H49*EF!$H67)*NtoN2O*kgtoGg,IF('Net zero activities &amp; levers'!$C$12="PB",('Activity data'!AK18*EF!$H49*EF!$H67)*NtoN2O*kgtoGg,IF('Net zero activities &amp; levers'!$C$12="MS",('Net zero Activity data'!AK18*EF!$H49*EF!$H67)*NtoN2O*kgtoGg,"ERROR")))</f>
        <v>3.497369805574925E-2</v>
      </c>
      <c r="S961" s="100">
        <f>IF('Net zero activities &amp; levers'!$C$12="Off",('Activity data'!AL18*EF!$H49*EF!$H67)*NtoN2O*kgtoGg,IF('Net zero activities &amp; levers'!$C$12="PB",('Activity data'!AL18*EF!$H49*EF!$H67)*NtoN2O*kgtoGg,IF('Net zero activities &amp; levers'!$C$12="MS",('Net zero Activity data'!AL18*EF!$H49*EF!$H67)*NtoN2O*kgtoGg,"ERROR")))</f>
        <v>3.1194920495194334E-2</v>
      </c>
      <c r="T961" s="100">
        <f>IF('Net zero activities &amp; levers'!$C$12="Off",('Activity data'!AM18*EF!$H49*EF!$H67)*NtoN2O*kgtoGg,IF('Net zero activities &amp; levers'!$C$12="PB",('Activity data'!AM18*EF!$H49*EF!$H67)*NtoN2O*kgtoGg,IF('Net zero activities &amp; levers'!$C$12="MS",('Net zero Activity data'!AM18*EF!$H49*EF!$H67)*NtoN2O*kgtoGg,"ERROR")))</f>
        <v>3.1865942339771837E-2</v>
      </c>
      <c r="U961" s="100">
        <f>IF('Net zero activities &amp; levers'!$C$12="Off",('Activity data'!AN18*EF!$H49*EF!$H67)*NtoN2O*kgtoGg,IF('Net zero activities &amp; levers'!$C$12="PB",('Activity data'!AN18*EF!$H49*EF!$H67)*NtoN2O*kgtoGg,IF('Net zero activities &amp; levers'!$C$12="MS",('Net zero Activity data'!AN18*EF!$H49*EF!$H67)*NtoN2O*kgtoGg,"ERROR")))</f>
        <v>3.21749357644633E-2</v>
      </c>
      <c r="V961" s="100">
        <f>IF('Net zero activities &amp; levers'!$C$12="Off",('Activity data'!AO18*EF!$H49*EF!$H67)*NtoN2O*kgtoGg,IF('Net zero activities &amp; levers'!$C$12="PB",('Activity data'!AO18*EF!$H49*EF!$H67)*NtoN2O*kgtoGg,IF('Net zero activities &amp; levers'!$C$12="MS",('Net zero Activity data'!AO18*EF!$H49*EF!$H67)*NtoN2O*kgtoGg,"ERROR")))</f>
        <v>3.2399978283680568E-2</v>
      </c>
      <c r="W961" s="100">
        <f>IF('Net zero activities &amp; levers'!$C$12="Off",('Activity data'!AP18*EF!$H49*EF!$H67)*NtoN2O*kgtoGg,IF('Net zero activities &amp; levers'!$C$12="PB",('Activity data'!AP18*EF!$H49*EF!$H67)*NtoN2O*kgtoGg,IF('Net zero activities &amp; levers'!$C$12="MS",('Net zero Activity data'!AP18*EF!$H49*EF!$H67)*NtoN2O*kgtoGg,"ERROR")))</f>
        <v>3.2745479189526895E-2</v>
      </c>
      <c r="X961" s="100">
        <f>IF('Net zero activities &amp; levers'!$C$12="Off",('Activity data'!AQ18*EF!$H49*EF!$H67)*NtoN2O*kgtoGg,IF('Net zero activities &amp; levers'!$C$12="PB",('Activity data'!AQ18*EF!$H49*EF!$H67)*NtoN2O*kgtoGg,IF('Net zero activities &amp; levers'!$C$12="MS",('Net zero Activity data'!AQ18*EF!$H49*EF!$H67)*NtoN2O*kgtoGg,"ERROR")))</f>
        <v>3.3512732391080123E-2</v>
      </c>
      <c r="Y961" s="100">
        <f>IF('Net zero activities &amp; levers'!$C$12="Off",('Activity data'!AR18*EF!$H49*EF!$H67)*NtoN2O*kgtoGg,IF('Net zero activities &amp; levers'!$C$12="PB",('Activity data'!AR18*EF!$H49*EF!$H67)*NtoN2O*kgtoGg,IF('Net zero activities &amp; levers'!$C$12="MS",('Net zero Activity data'!AR18*EF!$H49*EF!$H67)*NtoN2O*kgtoGg,"ERROR")))</f>
        <v>3.4376233123742127E-2</v>
      </c>
      <c r="Z961" s="100">
        <f>IF('Net zero activities &amp; levers'!$C$12="Off",('Activity data'!AS18*EF!$H49*EF!$H67)*NtoN2O*kgtoGg,IF('Net zero activities &amp; levers'!$C$12="PB",('Activity data'!AS18*EF!$H49*EF!$H67)*NtoN2O*kgtoGg,IF('Net zero activities &amp; levers'!$C$12="MS",('Net zero Activity data'!AS18*EF!$H49*EF!$H67)*NtoN2O*kgtoGg,"ERROR")))</f>
        <v>3.5326440029424484E-2</v>
      </c>
      <c r="AA961" s="100">
        <f>IF('Net zero activities &amp; levers'!$C$12="Off",('Activity data'!AT18*EF!$H49*EF!$H67)*NtoN2O*kgtoGg,IF('Net zero activities &amp; levers'!$C$12="PB",('Activity data'!AT18*EF!$H49*EF!$H67)*NtoN2O*kgtoGg,IF('Net zero activities &amp; levers'!$C$12="MS",('Net zero Activity data'!AT18*EF!$H49*EF!$H67)*NtoN2O*kgtoGg,"ERROR")))</f>
        <v>3.6086263689411195E-2</v>
      </c>
      <c r="AB961" s="100">
        <f>IF('Net zero activities &amp; levers'!$C$12="Off",('Activity data'!AU18*EF!$H49*EF!$H67)*NtoN2O*kgtoGg,IF('Net zero activities &amp; levers'!$C$12="PB",('Activity data'!AU18*EF!$H49*EF!$H67)*NtoN2O*kgtoGg,IF('Net zero activities &amp; levers'!$C$12="MS",('Net zero Activity data'!AU18*EF!$H49*EF!$H67)*NtoN2O*kgtoGg,"ERROR")))</f>
        <v>3.7016911024810674E-2</v>
      </c>
      <c r="AC961" s="100">
        <f>IF('Net zero activities &amp; levers'!$C$12="Off",('Activity data'!AV18*EF!$H49*EF!$H67)*NtoN2O*kgtoGg,IF('Net zero activities &amp; levers'!$C$12="PB",('Activity data'!AV18*EF!$H49*EF!$H67)*NtoN2O*kgtoGg,IF('Net zero activities &amp; levers'!$C$12="MS",('Net zero Activity data'!AV18*EF!$H49*EF!$H67)*NtoN2O*kgtoGg,"ERROR")))</f>
        <v>3.8155809341092126E-2</v>
      </c>
      <c r="AD961" s="100">
        <f>IF('Net zero activities &amp; levers'!$C$12="Off",('Activity data'!AW18*EF!$H49*EF!$H67)*NtoN2O*kgtoGg,IF('Net zero activities &amp; levers'!$C$12="PB",('Activity data'!AW18*EF!$H49*EF!$H67)*NtoN2O*kgtoGg,IF('Net zero activities &amp; levers'!$C$12="MS",('Net zero Activity data'!AW18*EF!$H49*EF!$H67)*NtoN2O*kgtoGg,"ERROR")))</f>
        <v>3.9233830764231724E-2</v>
      </c>
      <c r="AE961" s="100">
        <f>IF('Net zero activities &amp; levers'!$C$12="Off",('Activity data'!AX18*EF!$H49*EF!$H67)*NtoN2O*kgtoGg,IF('Net zero activities &amp; levers'!$C$12="PB",('Activity data'!AX18*EF!$H49*EF!$H67)*NtoN2O*kgtoGg,IF('Net zero activities &amp; levers'!$C$12="MS",('Net zero Activity data'!AX18*EF!$H49*EF!$H67)*NtoN2O*kgtoGg,"ERROR")))</f>
        <v>4.0355813171267518E-2</v>
      </c>
      <c r="AF961" s="100">
        <f>IF('Net zero activities &amp; levers'!$C$12="Off",('Activity data'!AY18*EF!$H49*EF!$H67)*NtoN2O*kgtoGg,IF('Net zero activities &amp; levers'!$C$12="PB",('Activity data'!AY18*EF!$H49*EF!$H67)*NtoN2O*kgtoGg,IF('Net zero activities &amp; levers'!$C$12="MS",('Net zero Activity data'!AY18*EF!$H49*EF!$H67)*NtoN2O*kgtoGg,"ERROR")))</f>
        <v>4.1484374349525836E-2</v>
      </c>
      <c r="AG961" s="100">
        <f>IF('Net zero activities &amp; levers'!$C$12="Off",('Activity data'!AZ18*EF!$H49*EF!$H67)*NtoN2O*kgtoGg,IF('Net zero activities &amp; levers'!$C$12="PB",('Activity data'!AZ18*EF!$H49*EF!$H67)*NtoN2O*kgtoGg,IF('Net zero activities &amp; levers'!$C$12="MS",('Net zero Activity data'!AZ18*EF!$H49*EF!$H67)*NtoN2O*kgtoGg,"ERROR")))</f>
        <v>4.2771472751828604E-2</v>
      </c>
      <c r="AH961" s="100">
        <f>IF('Net zero activities &amp; levers'!$C$12="Off",('Activity data'!BA18*EF!$H49*EF!$H67)*NtoN2O*kgtoGg,IF('Net zero activities &amp; levers'!$C$12="PB",('Activity data'!BA18*EF!$H49*EF!$H67)*NtoN2O*kgtoGg,IF('Net zero activities &amp; levers'!$C$12="MS",('Net zero Activity data'!BA18*EF!$H49*EF!$H67)*NtoN2O*kgtoGg,"ERROR")))</f>
        <v>4.3814962769238276E-2</v>
      </c>
      <c r="AI961" s="100">
        <f>IF('Net zero activities &amp; levers'!$C$12="Off",('Activity data'!BB18*EF!$H49*EF!$H67)*NtoN2O*kgtoGg,IF('Net zero activities &amp; levers'!$C$12="PB",('Activity data'!BB18*EF!$H49*EF!$H67)*NtoN2O*kgtoGg,IF('Net zero activities &amp; levers'!$C$12="MS",('Net zero Activity data'!BB18*EF!$H49*EF!$H67)*NtoN2O*kgtoGg,"ERROR")))</f>
        <v>4.4933097587032685E-2</v>
      </c>
      <c r="AJ961" s="100">
        <f>IF('Net zero activities &amp; levers'!$C$12="Off",('Activity data'!BC18*EF!$H49*EF!$H67)*NtoN2O*kgtoGg,IF('Net zero activities &amp; levers'!$C$12="PB",('Activity data'!BC18*EF!$H49*EF!$H67)*NtoN2O*kgtoGg,IF('Net zero activities &amp; levers'!$C$12="MS",('Net zero Activity data'!BC18*EF!$H49*EF!$H67)*NtoN2O*kgtoGg,"ERROR")))</f>
        <v>4.605144365721333E-2</v>
      </c>
      <c r="AK961" s="100">
        <f>IF('Net zero activities &amp; levers'!$C$12="Off",('Activity data'!BD18*EF!$H49*EF!$H67)*NtoN2O*kgtoGg,IF('Net zero activities &amp; levers'!$C$12="PB",('Activity data'!BD18*EF!$H49*EF!$H67)*NtoN2O*kgtoGg,IF('Net zero activities &amp; levers'!$C$12="MS",('Net zero Activity data'!BD18*EF!$H49*EF!$H67)*NtoN2O*kgtoGg,"ERROR")))</f>
        <v>4.7066448613575902E-2</v>
      </c>
      <c r="AL961" s="100">
        <f>IF('Net zero activities &amp; levers'!$C$12="Off",('Activity data'!BE18*EF!$H49*EF!$H67)*NtoN2O*kgtoGg,IF('Net zero activities &amp; levers'!$C$12="PB",('Activity data'!BE18*EF!$H49*EF!$H67)*NtoN2O*kgtoGg,IF('Net zero activities &amp; levers'!$C$12="MS",('Net zero Activity data'!BE18*EF!$H49*EF!$H67)*NtoN2O*kgtoGg,"ERROR")))</f>
        <v>4.8049972517734428E-2</v>
      </c>
      <c r="AM961" s="100">
        <f>IF('Net zero activities &amp; levers'!$C$12="Off",('Activity data'!BF18*EF!$H49*EF!$H67)*NtoN2O*kgtoGg,IF('Net zero activities &amp; levers'!$C$12="PB",('Activity data'!BF18*EF!$H49*EF!$H67)*NtoN2O*kgtoGg,IF('Net zero activities &amp; levers'!$C$12="MS",('Net zero Activity data'!BF18*EF!$H49*EF!$H67)*NtoN2O*kgtoGg,"ERROR")))</f>
        <v>4.906397015549574E-2</v>
      </c>
      <c r="AN961" s="100">
        <f>IF('Net zero activities &amp; levers'!$C$12="Off",('Activity data'!BG18*EF!$H49*EF!$H67)*NtoN2O*kgtoGg,IF('Net zero activities &amp; levers'!$C$12="PB",('Activity data'!BG18*EF!$H49*EF!$H67)*NtoN2O*kgtoGg,IF('Net zero activities &amp; levers'!$C$12="MS",('Net zero Activity data'!BG18*EF!$H49*EF!$H67)*NtoN2O*kgtoGg,"ERROR")))</f>
        <v>5.0135973159381467E-2</v>
      </c>
      <c r="AO961" s="100">
        <f>IF('Net zero activities &amp; levers'!$C$12="Off",('Activity data'!BH18*EF!$H49*EF!$H67)*NtoN2O*kgtoGg,IF('Net zero activities &amp; levers'!$C$12="PB",('Activity data'!BH18*EF!$H49*EF!$H67)*NtoN2O*kgtoGg,IF('Net zero activities &amp; levers'!$C$12="MS",('Net zero Activity data'!BH18*EF!$H49*EF!$H67)*NtoN2O*kgtoGg,"ERROR")))</f>
        <v>5.1078478193413449E-2</v>
      </c>
      <c r="AP961" s="100">
        <f>IF('Net zero activities &amp; levers'!$C$12="Off",('Activity data'!BI18*EF!$H49*EF!$H67)*NtoN2O*kgtoGg,IF('Net zero activities &amp; levers'!$C$12="PB",('Activity data'!BI18*EF!$H49*EF!$H67)*NtoN2O*kgtoGg,IF('Net zero activities &amp; levers'!$C$12="MS",('Net zero Activity data'!BI18*EF!$H49*EF!$H67)*NtoN2O*kgtoGg,"ERROR")))</f>
        <v>5.2014115964983336E-2</v>
      </c>
      <c r="AQ961" s="100">
        <f>IF('Net zero activities &amp; levers'!$C$12="Off",('Activity data'!BJ18*EF!$H49*EF!$H67)*NtoN2O*kgtoGg,IF('Net zero activities &amp; levers'!$C$12="PB",('Activity data'!BJ18*EF!$H49*EF!$H67)*NtoN2O*kgtoGg,IF('Net zero activities &amp; levers'!$C$12="MS",('Net zero Activity data'!BJ18*EF!$H49*EF!$H67)*NtoN2O*kgtoGg,"ERROR")))</f>
        <v>5.2945374203471063E-2</v>
      </c>
      <c r="AR961" s="100">
        <f>IF('Net zero activities &amp; levers'!$C$12="Off",('Activity data'!BK18*EF!$H49*EF!$H67)*NtoN2O*kgtoGg,IF('Net zero activities &amp; levers'!$C$12="PB",('Activity data'!BK18*EF!$H49*EF!$H67)*NtoN2O*kgtoGg,IF('Net zero activities &amp; levers'!$C$12="MS",('Net zero Activity data'!BK18*EF!$H49*EF!$H67)*NtoN2O*kgtoGg,"ERROR")))</f>
        <v>5.395447419070433E-2</v>
      </c>
      <c r="AS961" s="100">
        <f>IF('Net zero activities &amp; levers'!$C$12="Off",('Activity data'!BL18*EF!$H49*EF!$H67)*NtoN2O*kgtoGg,IF('Net zero activities &amp; levers'!$C$12="PB",('Activity data'!BL18*EF!$H49*EF!$H67)*NtoN2O*kgtoGg,IF('Net zero activities &amp; levers'!$C$12="MS",('Net zero Activity data'!BL18*EF!$H49*EF!$H67)*NtoN2O*kgtoGg,"ERROR")))</f>
        <v>5.4978213341584196E-2</v>
      </c>
      <c r="AT961" s="100">
        <f>IF('Net zero activities &amp; levers'!$C$12="Off",('Activity data'!BM18*EF!$H49*EF!$H67)*NtoN2O*kgtoGg,IF('Net zero activities &amp; levers'!$C$12="PB",('Activity data'!BM18*EF!$H49*EF!$H67)*NtoN2O*kgtoGg,IF('Net zero activities &amp; levers'!$C$12="MS",('Net zero Activity data'!BM18*EF!$H49*EF!$H67)*NtoN2O*kgtoGg,"ERROR")))</f>
        <v>5.5217578440090585E-2</v>
      </c>
      <c r="AU961" s="100">
        <f>IF('Net zero activities &amp; levers'!$C$12="Off",('Activity data'!BN18*EF!$H49*EF!$H67)*NtoN2O*kgtoGg,IF('Net zero activities &amp; levers'!$C$12="PB",('Activity data'!BN18*EF!$H49*EF!$H67)*NtoN2O*kgtoGg,IF('Net zero activities &amp; levers'!$C$12="MS",('Net zero Activity data'!BN18*EF!$H49*EF!$H67)*NtoN2O*kgtoGg,"ERROR")))</f>
        <v>5.5391092315171642E-2</v>
      </c>
      <c r="AV961" s="100">
        <f>IF('Net zero activities &amp; levers'!$C$12="Off",('Activity data'!BO18*EF!$H49*EF!$H67)*NtoN2O*kgtoGg,IF('Net zero activities &amp; levers'!$C$12="PB",('Activity data'!BO18*EF!$H49*EF!$H67)*NtoN2O*kgtoGg,IF('Net zero activities &amp; levers'!$C$12="MS",('Net zero Activity data'!BO18*EF!$H49*EF!$H67)*NtoN2O*kgtoGg,"ERROR")))</f>
        <v>5.5651575498334646E-2</v>
      </c>
      <c r="AW961" s="100">
        <f>IF('Net zero activities &amp; levers'!$C$12="Off",('Activity data'!BP18*EF!$H49*EF!$H67)*NtoN2O*kgtoGg,IF('Net zero activities &amp; levers'!$C$12="PB",('Activity data'!BP18*EF!$H49*EF!$H67)*NtoN2O*kgtoGg,IF('Net zero activities &amp; levers'!$C$12="MS",('Net zero Activity data'!BP18*EF!$H49*EF!$H67)*NtoN2O*kgtoGg,"ERROR")))</f>
        <v>5.5854961155128016E-2</v>
      </c>
      <c r="AY961" s="85"/>
      <c r="AZ961" s="85"/>
    </row>
    <row r="962" spans="1:52" x14ac:dyDescent="0.25">
      <c r="A962" s="102" t="str">
        <f t="shared" si="326"/>
        <v>DS Poultry MMN2O</v>
      </c>
      <c r="B962" s="102" t="s">
        <v>975</v>
      </c>
      <c r="C962" s="102" t="s">
        <v>1235</v>
      </c>
      <c r="D962" t="s">
        <v>15</v>
      </c>
      <c r="E962" t="s">
        <v>657</v>
      </c>
      <c r="F962" t="s">
        <v>28</v>
      </c>
      <c r="G962" t="s">
        <v>131</v>
      </c>
      <c r="H962" t="s">
        <v>1228</v>
      </c>
      <c r="I962" t="s">
        <v>139</v>
      </c>
      <c r="J962" t="s">
        <v>287</v>
      </c>
      <c r="K962" s="100">
        <f>IF('Net zero activities &amp; levers'!$C$12="Off",('Activity data'!AD19*EF!$H50*EF!$H68)*NtoN2O*kgtoGg,IF('Net zero activities &amp; levers'!$C$12="PB",('Activity data'!AD19*EF!$H50*EF!$H68)*NtoN2O*kgtoGg,IF('Net zero activities &amp; levers'!$C$12="MS",('Net zero Activity data'!AD19*EF!$H50*EF!$H68)*NtoN2O*kgtoGg,"ERROR")))</f>
        <v>0.32879130142743862</v>
      </c>
      <c r="L962" s="100">
        <f>IF('Net zero activities &amp; levers'!$C$12="Off",('Activity data'!AE19*EF!$H50*EF!$H68)*NtoN2O*kgtoGg,IF('Net zero activities &amp; levers'!$C$12="PB",('Activity data'!AE19*EF!$H50*EF!$H68)*NtoN2O*kgtoGg,IF('Net zero activities &amp; levers'!$C$12="MS",('Net zero Activity data'!AE19*EF!$H50*EF!$H68)*NtoN2O*kgtoGg,"ERROR")))</f>
        <v>0.33618147320266517</v>
      </c>
      <c r="M962" s="100">
        <f>IF('Net zero activities &amp; levers'!$C$12="Off",('Activity data'!AF19*EF!$H50*EF!$H68)*NtoN2O*kgtoGg,IF('Net zero activities &amp; levers'!$C$12="PB",('Activity data'!AF19*EF!$H50*EF!$H68)*NtoN2O*kgtoGg,IF('Net zero activities &amp; levers'!$C$12="MS",('Net zero Activity data'!AF19*EF!$H50*EF!$H68)*NtoN2O*kgtoGg,"ERROR")))</f>
        <v>0.34286580262317662</v>
      </c>
      <c r="N962" s="100">
        <f>IF('Net zero activities &amp; levers'!$C$12="Off",('Activity data'!AG19*EF!$H50*EF!$H68)*NtoN2O*kgtoGg,IF('Net zero activities &amp; levers'!$C$12="PB",('Activity data'!AG19*EF!$H50*EF!$H68)*NtoN2O*kgtoGg,IF('Net zero activities &amp; levers'!$C$12="MS",('Net zero Activity data'!AG19*EF!$H50*EF!$H68)*NtoN2O*kgtoGg,"ERROR")))</f>
        <v>0.34631663130525719</v>
      </c>
      <c r="O962" s="100">
        <f>IF('Net zero activities &amp; levers'!$C$12="Off",('Activity data'!AH19*EF!$H50*EF!$H68)*NtoN2O*kgtoGg,IF('Net zero activities &amp; levers'!$C$12="PB",('Activity data'!AH19*EF!$H50*EF!$H68)*NtoN2O*kgtoGg,IF('Net zero activities &amp; levers'!$C$12="MS",('Net zero Activity data'!AH19*EF!$H50*EF!$H68)*NtoN2O*kgtoGg,"ERROR")))</f>
        <v>0.34986259378047058</v>
      </c>
      <c r="P962" s="100">
        <f>IF('Net zero activities &amp; levers'!$C$12="Off",('Activity data'!AI19*EF!$H50*EF!$H68)*NtoN2O*kgtoGg,IF('Net zero activities &amp; levers'!$C$12="PB",('Activity data'!AI19*EF!$H50*EF!$H68)*NtoN2O*kgtoGg,IF('Net zero activities &amp; levers'!$C$12="MS",('Net zero Activity data'!AI19*EF!$H50*EF!$H68)*NtoN2O*kgtoGg,"ERROR")))</f>
        <v>0.35692259519801384</v>
      </c>
      <c r="Q962" s="100">
        <f>IF('Net zero activities &amp; levers'!$C$12="Off",('Activity data'!AJ19*EF!$H50*EF!$H68)*NtoN2O*kgtoGg,IF('Net zero activities &amp; levers'!$C$12="PB",('Activity data'!AJ19*EF!$H50*EF!$H68)*NtoN2O*kgtoGg,IF('Net zero activities &amp; levers'!$C$12="MS",('Net zero Activity data'!AJ19*EF!$H50*EF!$H68)*NtoN2O*kgtoGg,"ERROR")))</f>
        <v>0.36295954497520366</v>
      </c>
      <c r="R962" s="100">
        <f>IF('Net zero activities &amp; levers'!$C$12="Off",('Activity data'!AK19*EF!$H50*EF!$H68)*NtoN2O*kgtoGg,IF('Net zero activities &amp; levers'!$C$12="PB",('Activity data'!AK19*EF!$H50*EF!$H68)*NtoN2O*kgtoGg,IF('Net zero activities &amp; levers'!$C$12="MS",('Net zero Activity data'!AK19*EF!$H50*EF!$H68)*NtoN2O*kgtoGg,"ERROR")))</f>
        <v>0.36525102127555931</v>
      </c>
      <c r="S962" s="100">
        <f>IF('Net zero activities &amp; levers'!$C$12="Off",('Activity data'!AL19*EF!$H50*EF!$H68)*NtoN2O*kgtoGg,IF('Net zero activities &amp; levers'!$C$12="PB",('Activity data'!AL19*EF!$H50*EF!$H68)*NtoN2O*kgtoGg,IF('Net zero activities &amp; levers'!$C$12="MS",('Net zero Activity data'!AL19*EF!$H50*EF!$H68)*NtoN2O*kgtoGg,"ERROR")))</f>
        <v>0.35074524152454095</v>
      </c>
      <c r="T962" s="100">
        <f>IF('Net zero activities &amp; levers'!$C$12="Off",('Activity data'!AM19*EF!$H50*EF!$H68)*NtoN2O*kgtoGg,IF('Net zero activities &amp; levers'!$C$12="PB",('Activity data'!AM19*EF!$H50*EF!$H68)*NtoN2O*kgtoGg,IF('Net zero activities &amp; levers'!$C$12="MS",('Net zero Activity data'!AM19*EF!$H50*EF!$H68)*NtoN2O*kgtoGg,"ERROR")))</f>
        <v>0.36118344194798235</v>
      </c>
      <c r="U962" s="100">
        <f>IF('Net zero activities &amp; levers'!$C$12="Off",('Activity data'!AN19*EF!$H50*EF!$H68)*NtoN2O*kgtoGg,IF('Net zero activities &amp; levers'!$C$12="PB",('Activity data'!AN19*EF!$H50*EF!$H68)*NtoN2O*kgtoGg,IF('Net zero activities &amp; levers'!$C$12="MS",('Net zero Activity data'!AN19*EF!$H50*EF!$H68)*NtoN2O*kgtoGg,"ERROR")))</f>
        <v>0.36961966083970876</v>
      </c>
      <c r="V962" s="100">
        <f>IF('Net zero activities &amp; levers'!$C$12="Off",('Activity data'!AO19*EF!$H50*EF!$H68)*NtoN2O*kgtoGg,IF('Net zero activities &amp; levers'!$C$12="PB",('Activity data'!AO19*EF!$H50*EF!$H68)*NtoN2O*kgtoGg,IF('Net zero activities &amp; levers'!$C$12="MS",('Net zero Activity data'!AO19*EF!$H50*EF!$H68)*NtoN2O*kgtoGg,"ERROR")))</f>
        <v>0.37765888442551321</v>
      </c>
      <c r="W962" s="100">
        <f>IF('Net zero activities &amp; levers'!$C$12="Off",('Activity data'!AP19*EF!$H50*EF!$H68)*NtoN2O*kgtoGg,IF('Net zero activities &amp; levers'!$C$12="PB",('Activity data'!AP19*EF!$H50*EF!$H68)*NtoN2O*kgtoGg,IF('Net zero activities &amp; levers'!$C$12="MS",('Net zero Activity data'!AP19*EF!$H50*EF!$H68)*NtoN2O*kgtoGg,"ERROR")))</f>
        <v>0.38658550533232433</v>
      </c>
      <c r="X962" s="100">
        <f>IF('Net zero activities &amp; levers'!$C$12="Off",('Activity data'!AQ19*EF!$H50*EF!$H68)*NtoN2O*kgtoGg,IF('Net zero activities &amp; levers'!$C$12="PB",('Activity data'!AQ19*EF!$H50*EF!$H68)*NtoN2O*kgtoGg,IF('Net zero activities &amp; levers'!$C$12="MS",('Net zero Activity data'!AQ19*EF!$H50*EF!$H68)*NtoN2O*kgtoGg,"ERROR")))</f>
        <v>0.39843478474254634</v>
      </c>
      <c r="Y962" s="100">
        <f>IF('Net zero activities &amp; levers'!$C$12="Off",('Activity data'!AR19*EF!$H50*EF!$H68)*NtoN2O*kgtoGg,IF('Net zero activities &amp; levers'!$C$12="PB",('Activity data'!AR19*EF!$H50*EF!$H68)*NtoN2O*kgtoGg,IF('Net zero activities &amp; levers'!$C$12="MS",('Net zero Activity data'!AR19*EF!$H50*EF!$H68)*NtoN2O*kgtoGg,"ERROR")))</f>
        <v>0.41088019341175391</v>
      </c>
      <c r="Z962" s="100">
        <f>IF('Net zero activities &amp; levers'!$C$12="Off",('Activity data'!AS19*EF!$H50*EF!$H68)*NtoN2O*kgtoGg,IF('Net zero activities &amp; levers'!$C$12="PB",('Activity data'!AS19*EF!$H50*EF!$H68)*NtoN2O*kgtoGg,IF('Net zero activities &amp; levers'!$C$12="MS",('Net zero Activity data'!AS19*EF!$H50*EF!$H68)*NtoN2O*kgtoGg,"ERROR")))</f>
        <v>0.42422078606736746</v>
      </c>
      <c r="AA962" s="100">
        <f>IF('Net zero activities &amp; levers'!$C$12="Off",('Activity data'!AT19*EF!$H50*EF!$H68)*NtoN2O*kgtoGg,IF('Net zero activities &amp; levers'!$C$12="PB",('Activity data'!AT19*EF!$H50*EF!$H68)*NtoN2O*kgtoGg,IF('Net zero activities &amp; levers'!$C$12="MS",('Net zero Activity data'!AT19*EF!$H50*EF!$H68)*NtoN2O*kgtoGg,"ERROR")))</f>
        <v>0.4365608627490552</v>
      </c>
      <c r="AB962" s="100">
        <f>IF('Net zero activities &amp; levers'!$C$12="Off",('Activity data'!AU19*EF!$H50*EF!$H68)*NtoN2O*kgtoGg,IF('Net zero activities &amp; levers'!$C$12="PB",('Activity data'!AU19*EF!$H50*EF!$H68)*NtoN2O*kgtoGg,IF('Net zero activities &amp; levers'!$C$12="MS",('Net zero Activity data'!AU19*EF!$H50*EF!$H68)*NtoN2O*kgtoGg,"ERROR")))</f>
        <v>0.45040527564099359</v>
      </c>
      <c r="AC962" s="100">
        <f>IF('Net zero activities &amp; levers'!$C$12="Off",('Activity data'!AV19*EF!$H50*EF!$H68)*NtoN2O*kgtoGg,IF('Net zero activities &amp; levers'!$C$12="PB",('Activity data'!AV19*EF!$H50*EF!$H68)*NtoN2O*kgtoGg,IF('Net zero activities &amp; levers'!$C$12="MS",('Net zero Activity data'!AV19*EF!$H50*EF!$H68)*NtoN2O*kgtoGg,"ERROR")))</f>
        <v>0.46610821416360254</v>
      </c>
      <c r="AD962" s="100">
        <f>IF('Net zero activities &amp; levers'!$C$12="Off",('Activity data'!AW19*EF!$H50*EF!$H68)*NtoN2O*kgtoGg,IF('Net zero activities &amp; levers'!$C$12="PB",('Activity data'!AW19*EF!$H50*EF!$H68)*NtoN2O*kgtoGg,IF('Net zero activities &amp; levers'!$C$12="MS",('Net zero Activity data'!AW19*EF!$H50*EF!$H68)*NtoN2O*kgtoGg,"ERROR")))</f>
        <v>0.48149963825345377</v>
      </c>
      <c r="AE962" s="100">
        <f>IF('Net zero activities &amp; levers'!$C$12="Off",('Activity data'!AX19*EF!$H50*EF!$H68)*NtoN2O*kgtoGg,IF('Net zero activities &amp; levers'!$C$12="PB",('Activity data'!AX19*EF!$H50*EF!$H68)*NtoN2O*kgtoGg,IF('Net zero activities &amp; levers'!$C$12="MS",('Net zero Activity data'!AX19*EF!$H50*EF!$H68)*NtoN2O*kgtoGg,"ERROR")))</f>
        <v>0.49761952403274901</v>
      </c>
      <c r="AF962" s="100">
        <f>IF('Net zero activities &amp; levers'!$C$12="Off",('Activity data'!AY19*EF!$H50*EF!$H68)*NtoN2O*kgtoGg,IF('Net zero activities &amp; levers'!$C$12="PB",('Activity data'!AY19*EF!$H50*EF!$H68)*NtoN2O*kgtoGg,IF('Net zero activities &amp; levers'!$C$12="MS",('Net zero Activity data'!AY19*EF!$H50*EF!$H68)*NtoN2O*kgtoGg,"ERROR")))</f>
        <v>0.51420726915291115</v>
      </c>
      <c r="AG962" s="100">
        <f>IF('Net zero activities &amp; levers'!$C$12="Off",('Activity data'!AZ19*EF!$H50*EF!$H68)*NtoN2O*kgtoGg,IF('Net zero activities &amp; levers'!$C$12="PB",('Activity data'!AZ19*EF!$H50*EF!$H68)*NtoN2O*kgtoGg,IF('Net zero activities &amp; levers'!$C$12="MS",('Net zero Activity data'!AZ19*EF!$H50*EF!$H68)*NtoN2O*kgtoGg,"ERROR")))</f>
        <v>0.53247410489136104</v>
      </c>
      <c r="AH962" s="100">
        <f>IF('Net zero activities &amp; levers'!$C$12="Off",('Activity data'!BA19*EF!$H50*EF!$H68)*NtoN2O*kgtoGg,IF('Net zero activities &amp; levers'!$C$12="PB",('Activity data'!BA19*EF!$H50*EF!$H68)*NtoN2O*kgtoGg,IF('Net zero activities &amp; levers'!$C$12="MS",('Net zero Activity data'!BA19*EF!$H50*EF!$H68)*NtoN2O*kgtoGg,"ERROR")))</f>
        <v>0.5492684403625786</v>
      </c>
      <c r="AI962" s="100">
        <f>IF('Net zero activities &amp; levers'!$C$12="Off",('Activity data'!BB19*EF!$H50*EF!$H68)*NtoN2O*kgtoGg,IF('Net zero activities &amp; levers'!$C$12="PB",('Activity data'!BB19*EF!$H50*EF!$H68)*NtoN2O*kgtoGg,IF('Net zero activities &amp; levers'!$C$12="MS",('Net zero Activity data'!BB19*EF!$H50*EF!$H68)*NtoN2O*kgtoGg,"ERROR")))</f>
        <v>0.56683832060292816</v>
      </c>
      <c r="AJ962" s="100">
        <f>IF('Net zero activities &amp; levers'!$C$12="Off",('Activity data'!BC19*EF!$H50*EF!$H68)*NtoN2O*kgtoGg,IF('Net zero activities &amp; levers'!$C$12="PB",('Activity data'!BC19*EF!$H50*EF!$H68)*NtoN2O*kgtoGg,IF('Net zero activities &amp; levers'!$C$12="MS",('Net zero Activity data'!BC19*EF!$H50*EF!$H68)*NtoN2O*kgtoGg,"ERROR")))</f>
        <v>0.584861650511455</v>
      </c>
      <c r="AK962" s="100">
        <f>IF('Net zero activities &amp; levers'!$C$12="Off",('Activity data'!BD19*EF!$H50*EF!$H68)*NtoN2O*kgtoGg,IF('Net zero activities &amp; levers'!$C$12="PB",('Activity data'!BD19*EF!$H50*EF!$H68)*NtoN2O*kgtoGg,IF('Net zero activities &amp; levers'!$C$12="MS",('Net zero Activity data'!BD19*EF!$H50*EF!$H68)*NtoN2O*kgtoGg,"ERROR")))</f>
        <v>0.60246746038216259</v>
      </c>
      <c r="AL962" s="100">
        <f>IF('Net zero activities &amp; levers'!$C$12="Off",('Activity data'!BE19*EF!$H50*EF!$H68)*NtoN2O*kgtoGg,IF('Net zero activities &amp; levers'!$C$12="PB",('Activity data'!BE19*EF!$H50*EF!$H68)*NtoN2O*kgtoGg,IF('Net zero activities &amp; levers'!$C$12="MS",('Net zero Activity data'!BE19*EF!$H50*EF!$H68)*NtoN2O*kgtoGg,"ERROR")))</f>
        <v>0.62024062021411375</v>
      </c>
      <c r="AM962" s="100">
        <f>IF('Net zero activities &amp; levers'!$C$12="Off",('Activity data'!BF19*EF!$H50*EF!$H68)*NtoN2O*kgtoGg,IF('Net zero activities &amp; levers'!$C$12="PB",('Activity data'!BF19*EF!$H50*EF!$H68)*NtoN2O*kgtoGg,IF('Net zero activities &amp; levers'!$C$12="MS",('Net zero Activity data'!BF19*EF!$H50*EF!$H68)*NtoN2O*kgtoGg,"ERROR")))</f>
        <v>0.63872476172334525</v>
      </c>
      <c r="AN962" s="100">
        <f>IF('Net zero activities &amp; levers'!$C$12="Off",('Activity data'!BG19*EF!$H50*EF!$H68)*NtoN2O*kgtoGg,IF('Net zero activities &amp; levers'!$C$12="PB",('Activity data'!BG19*EF!$H50*EF!$H68)*NtoN2O*kgtoGg,IF('Net zero activities &amp; levers'!$C$12="MS",('Net zero Activity data'!BG19*EF!$H50*EF!$H68)*NtoN2O*kgtoGg,"ERROR")))</f>
        <v>0.65794922439522119</v>
      </c>
      <c r="AO962" s="100">
        <f>IF('Net zero activities &amp; levers'!$C$12="Off",('Activity data'!BH19*EF!$H50*EF!$H68)*NtoN2O*kgtoGg,IF('Net zero activities &amp; levers'!$C$12="PB",('Activity data'!BH19*EF!$H50*EF!$H68)*NtoN2O*kgtoGg,IF('Net zero activities &amp; levers'!$C$12="MS",('Net zero Activity data'!BH19*EF!$H50*EF!$H68)*NtoN2O*kgtoGg,"ERROR")))</f>
        <v>0.67647629594315495</v>
      </c>
      <c r="AP962" s="100">
        <f>IF('Net zero activities &amp; levers'!$C$12="Off",('Activity data'!BI19*EF!$H50*EF!$H68)*NtoN2O*kgtoGg,IF('Net zero activities &amp; levers'!$C$12="PB",('Activity data'!BI19*EF!$H50*EF!$H68)*NtoN2O*kgtoGg,IF('Net zero activities &amp; levers'!$C$12="MS",('Net zero Activity data'!BI19*EF!$H50*EF!$H68)*NtoN2O*kgtoGg,"ERROR")))</f>
        <v>0.69539916939277291</v>
      </c>
      <c r="AQ962" s="100">
        <f>IF('Net zero activities &amp; levers'!$C$12="Off",('Activity data'!BJ19*EF!$H50*EF!$H68)*NtoN2O*kgtoGg,IF('Net zero activities &amp; levers'!$C$12="PB",('Activity data'!BJ19*EF!$H50*EF!$H68)*NtoN2O*kgtoGg,IF('Net zero activities &amp; levers'!$C$12="MS",('Net zero Activity data'!BJ19*EF!$H50*EF!$H68)*NtoN2O*kgtoGg,"ERROR")))</f>
        <v>0.71475050403818352</v>
      </c>
      <c r="AR962" s="100">
        <f>IF('Net zero activities &amp; levers'!$C$12="Off",('Activity data'!BK19*EF!$H50*EF!$H68)*NtoN2O*kgtoGg,IF('Net zero activities &amp; levers'!$C$12="PB",('Activity data'!BK19*EF!$H50*EF!$H68)*NtoN2O*kgtoGg,IF('Net zero activities &amp; levers'!$C$12="MS",('Net zero Activity data'!BK19*EF!$H50*EF!$H68)*NtoN2O*kgtoGg,"ERROR")))</f>
        <v>0.73533889699431976</v>
      </c>
      <c r="AS962" s="100">
        <f>IF('Net zero activities &amp; levers'!$C$12="Off",('Activity data'!BL19*EF!$H50*EF!$H68)*NtoN2O*kgtoGg,IF('Net zero activities &amp; levers'!$C$12="PB",('Activity data'!BL19*EF!$H50*EF!$H68)*NtoN2O*kgtoGg,IF('Net zero activities &amp; levers'!$C$12="MS",('Net zero Activity data'!BL19*EF!$H50*EF!$H68)*NtoN2O*kgtoGg,"ERROR")))</f>
        <v>0.75634294211031738</v>
      </c>
      <c r="AT962" s="100">
        <f>IF('Net zero activities &amp; levers'!$C$12="Off",('Activity data'!BM19*EF!$H50*EF!$H68)*NtoN2O*kgtoGg,IF('Net zero activities &amp; levers'!$C$12="PB",('Activity data'!BM19*EF!$H50*EF!$H68)*NtoN2O*kgtoGg,IF('Net zero activities &amp; levers'!$C$12="MS",('Net zero Activity data'!BM19*EF!$H50*EF!$H68)*NtoN2O*kgtoGg,"ERROR")))</f>
        <v>0.76999066398321547</v>
      </c>
      <c r="AU962" s="100">
        <f>IF('Net zero activities &amp; levers'!$C$12="Off",('Activity data'!BN19*EF!$H50*EF!$H68)*NtoN2O*kgtoGg,IF('Net zero activities &amp; levers'!$C$12="PB",('Activity data'!BN19*EF!$H50*EF!$H68)*NtoN2O*kgtoGg,IF('Net zero activities &amp; levers'!$C$12="MS",('Net zero Activity data'!BN19*EF!$H50*EF!$H68)*NtoN2O*kgtoGg,"ERROR")))</f>
        <v>0.78322712569021657</v>
      </c>
      <c r="AV962" s="100">
        <f>IF('Net zero activities &amp; levers'!$C$12="Off",('Activity data'!BO19*EF!$H50*EF!$H68)*NtoN2O*kgtoGg,IF('Net zero activities &amp; levers'!$C$12="PB",('Activity data'!BO19*EF!$H50*EF!$H68)*NtoN2O*kgtoGg,IF('Net zero activities &amp; levers'!$C$12="MS",('Net zero Activity data'!BO19*EF!$H50*EF!$H68)*NtoN2O*kgtoGg,"ERROR")))</f>
        <v>0.79761951278112875</v>
      </c>
      <c r="AW962" s="100">
        <f>IF('Net zero activities &amp; levers'!$C$12="Off",('Activity data'!BP19*EF!$H50*EF!$H68)*NtoN2O*kgtoGg,IF('Net zero activities &amp; levers'!$C$12="PB",('Activity data'!BP19*EF!$H50*EF!$H68)*NtoN2O*kgtoGg,IF('Net zero activities &amp; levers'!$C$12="MS",('Net zero Activity data'!BP19*EF!$H50*EF!$H68)*NtoN2O*kgtoGg,"ERROR")))</f>
        <v>0.8116941649813233</v>
      </c>
      <c r="AY962" s="85"/>
      <c r="AZ962" s="85"/>
    </row>
    <row r="963" spans="1:52" x14ac:dyDescent="0.25">
      <c r="A963" s="102" t="str">
        <f t="shared" si="326"/>
        <v>DS Poultry MMN2O</v>
      </c>
      <c r="B963" s="102" t="s">
        <v>975</v>
      </c>
      <c r="C963" s="102" t="s">
        <v>1235</v>
      </c>
      <c r="D963" t="s">
        <v>15</v>
      </c>
      <c r="E963" t="s">
        <v>657</v>
      </c>
      <c r="F963" t="s">
        <v>28</v>
      </c>
      <c r="G963" t="s">
        <v>132</v>
      </c>
      <c r="H963" t="s">
        <v>1228</v>
      </c>
      <c r="I963" t="s">
        <v>139</v>
      </c>
      <c r="J963" t="s">
        <v>287</v>
      </c>
      <c r="K963" s="100">
        <f>IF('Net zero activities &amp; levers'!$C$12="Off",('Activity data'!AD20*EF!$H51*EF!$H69)*NtoN2O*kgtoGg,IF('Net zero activities &amp; levers'!$C$12="PB",('Activity data'!AD20*EF!$H51*EF!$H69)*NtoN2O*kgtoGg,IF('Net zero activities &amp; levers'!$C$12="MS",('Net zero Activity data'!AD20*EF!$H51*EF!$H69)*NtoN2O*kgtoGg,"ERROR")))</f>
        <v>1.7130795703114865</v>
      </c>
      <c r="L963" s="100">
        <f>IF('Net zero activities &amp; levers'!$C$12="Off",('Activity data'!AE20*EF!$H51*EF!$H69)*NtoN2O*kgtoGg,IF('Net zero activities &amp; levers'!$C$12="PB",('Activity data'!AE20*EF!$H51*EF!$H69)*NtoN2O*kgtoGg,IF('Net zero activities &amp; levers'!$C$12="MS",('Net zero Activity data'!AE20*EF!$H51*EF!$H69)*NtoN2O*kgtoGg,"ERROR")))</f>
        <v>1.7448742149951937</v>
      </c>
      <c r="M963" s="100">
        <f>IF('Net zero activities &amp; levers'!$C$12="Off",('Activity data'!AF20*EF!$H51*EF!$H69)*NtoN2O*kgtoGg,IF('Net zero activities &amp; levers'!$C$12="PB",('Activity data'!AF20*EF!$H51*EF!$H69)*NtoN2O*kgtoGg,IF('Net zero activities &amp; levers'!$C$12="MS",('Net zero Activity data'!AF20*EF!$H51*EF!$H69)*NtoN2O*kgtoGg,"ERROR")))</f>
        <v>1.7656986639980343</v>
      </c>
      <c r="N963" s="100">
        <f>IF('Net zero activities &amp; levers'!$C$12="Off",('Activity data'!AG20*EF!$H51*EF!$H69)*NtoN2O*kgtoGg,IF('Net zero activities &amp; levers'!$C$12="PB",('Activity data'!AG20*EF!$H51*EF!$H69)*NtoN2O*kgtoGg,IF('Net zero activities &amp; levers'!$C$12="MS",('Net zero Activity data'!AG20*EF!$H51*EF!$H69)*NtoN2O*kgtoGg,"ERROR")))</f>
        <v>1.7427941986174933</v>
      </c>
      <c r="O963" s="100">
        <f>IF('Net zero activities &amp; levers'!$C$12="Off",('Activity data'!AH20*EF!$H51*EF!$H69)*NtoN2O*kgtoGg,IF('Net zero activities &amp; levers'!$C$12="PB",('Activity data'!AH20*EF!$H51*EF!$H69)*NtoN2O*kgtoGg,IF('Net zero activities &amp; levers'!$C$12="MS",('Net zero Activity data'!AH20*EF!$H51*EF!$H69)*NtoN2O*kgtoGg,"ERROR")))</f>
        <v>1.7205815318546955</v>
      </c>
      <c r="P963" s="100">
        <f>IF('Net zero activities &amp; levers'!$C$12="Off",('Activity data'!AI20*EF!$H51*EF!$H69)*NtoN2O*kgtoGg,IF('Net zero activities &amp; levers'!$C$12="PB",('Activity data'!AI20*EF!$H51*EF!$H69)*NtoN2O*kgtoGg,IF('Net zero activities &amp; levers'!$C$12="MS",('Net zero Activity data'!AI20*EF!$H51*EF!$H69)*NtoN2O*kgtoGg,"ERROR")))</f>
        <v>1.7425923100139877</v>
      </c>
      <c r="Q963" s="100">
        <f>IF('Net zero activities &amp; levers'!$C$12="Off",('Activity data'!AJ20*EF!$H51*EF!$H69)*NtoN2O*kgtoGg,IF('Net zero activities &amp; levers'!$C$12="PB",('Activity data'!AJ20*EF!$H51*EF!$H69)*NtoN2O*kgtoGg,IF('Net zero activities &amp; levers'!$C$12="MS",('Net zero Activity data'!AJ20*EF!$H51*EF!$H69)*NtoN2O*kgtoGg,"ERROR")))</f>
        <v>1.7510736876348556</v>
      </c>
      <c r="R963" s="100">
        <f>IF('Net zero activities &amp; levers'!$C$12="Off",('Activity data'!AK20*EF!$H51*EF!$H69)*NtoN2O*kgtoGg,IF('Net zero activities &amp; levers'!$C$12="PB",('Activity data'!AK20*EF!$H51*EF!$H69)*NtoN2O*kgtoGg,IF('Net zero activities &amp; levers'!$C$12="MS",('Net zero Activity data'!AK20*EF!$H51*EF!$H69)*NtoN2O*kgtoGg,"ERROR")))</f>
        <v>1.7121897293862536</v>
      </c>
      <c r="S963" s="100">
        <f>IF('Net zero activities &amp; levers'!$C$12="Off",('Activity data'!AL20*EF!$H51*EF!$H69)*NtoN2O*kgtoGg,IF('Net zero activities &amp; levers'!$C$12="PB",('Activity data'!AL20*EF!$H51*EF!$H69)*NtoN2O*kgtoGg,IF('Net zero activities &amp; levers'!$C$12="MS",('Net zero Activity data'!AL20*EF!$H51*EF!$H69)*NtoN2O*kgtoGg,"ERROR")))</f>
        <v>1.4655218906646825</v>
      </c>
      <c r="T963" s="100">
        <f>IF('Net zero activities &amp; levers'!$C$12="Off",('Activity data'!AM20*EF!$H51*EF!$H69)*NtoN2O*kgtoGg,IF('Net zero activities &amp; levers'!$C$12="PB",('Activity data'!AM20*EF!$H51*EF!$H69)*NtoN2O*kgtoGg,IF('Net zero activities &amp; levers'!$C$12="MS",('Net zero Activity data'!AM20*EF!$H51*EF!$H69)*NtoN2O*kgtoGg,"ERROR")))</f>
        <v>1.5438535261882376</v>
      </c>
      <c r="U963" s="100">
        <f>IF('Net zero activities &amp; levers'!$C$12="Off",('Activity data'!AN20*EF!$H51*EF!$H69)*NtoN2O*kgtoGg,IF('Net zero activities &amp; levers'!$C$12="PB",('Activity data'!AN20*EF!$H51*EF!$H69)*NtoN2O*kgtoGg,IF('Net zero activities &amp; levers'!$C$12="MS",('Net zero Activity data'!AN20*EF!$H51*EF!$H69)*NtoN2O*kgtoGg,"ERROR")))</f>
        <v>1.5962945286475767</v>
      </c>
      <c r="V963" s="100">
        <f>IF('Net zero activities &amp; levers'!$C$12="Off",('Activity data'!AO20*EF!$H51*EF!$H69)*NtoN2O*kgtoGg,IF('Net zero activities &amp; levers'!$C$12="PB",('Activity data'!AO20*EF!$H51*EF!$H69)*NtoN2O*kgtoGg,IF('Net zero activities &amp; levers'!$C$12="MS",('Net zero Activity data'!AO20*EF!$H51*EF!$H69)*NtoN2O*kgtoGg,"ERROR")))</f>
        <v>1.642907889886944</v>
      </c>
      <c r="W963" s="100">
        <f>IF('Net zero activities &amp; levers'!$C$12="Off",('Activity data'!AP20*EF!$H51*EF!$H69)*NtoN2O*kgtoGg,IF('Net zero activities &amp; levers'!$C$12="PB",('Activity data'!AP20*EF!$H51*EF!$H69)*NtoN2O*kgtoGg,IF('Net zero activities &amp; levers'!$C$12="MS",('Net zero Activity data'!AP20*EF!$H51*EF!$H69)*NtoN2O*kgtoGg,"ERROR")))</f>
        <v>1.6991978110377575</v>
      </c>
      <c r="X963" s="100">
        <f>IF('Net zero activities &amp; levers'!$C$12="Off",('Activity data'!AQ20*EF!$H51*EF!$H69)*NtoN2O*kgtoGg,IF('Net zero activities &amp; levers'!$C$12="PB",('Activity data'!AQ20*EF!$H51*EF!$H69)*NtoN2O*kgtoGg,IF('Net zero activities &amp; levers'!$C$12="MS",('Net zero Activity data'!AQ20*EF!$H51*EF!$H69)*NtoN2O*kgtoGg,"ERROR")))</f>
        <v>1.7890350626064766</v>
      </c>
      <c r="Y963" s="100">
        <f>IF('Net zero activities &amp; levers'!$C$12="Off",('Activity data'!AR20*EF!$H51*EF!$H69)*NtoN2O*kgtoGg,IF('Net zero activities &amp; levers'!$C$12="PB",('Activity data'!AR20*EF!$H51*EF!$H69)*NtoN2O*kgtoGg,IF('Net zero activities &amp; levers'!$C$12="MS",('Net zero Activity data'!AR20*EF!$H51*EF!$H69)*NtoN2O*kgtoGg,"ERROR")))</f>
        <v>1.8895080919073246</v>
      </c>
      <c r="Z963" s="100">
        <f>IF('Net zero activities &amp; levers'!$C$12="Off",('Activity data'!AS20*EF!$H51*EF!$H69)*NtoN2O*kgtoGg,IF('Net zero activities &amp; levers'!$C$12="PB",('Activity data'!AS20*EF!$H51*EF!$H69)*NtoN2O*kgtoGg,IF('Net zero activities &amp; levers'!$C$12="MS",('Net zero Activity data'!AS20*EF!$H51*EF!$H69)*NtoN2O*kgtoGg,"ERROR")))</f>
        <v>1.9987693788658938</v>
      </c>
      <c r="AA963" s="100">
        <f>IF('Net zero activities &amp; levers'!$C$12="Off",('Activity data'!AT20*EF!$H51*EF!$H69)*NtoN2O*kgtoGg,IF('Net zero activities &amp; levers'!$C$12="PB",('Activity data'!AT20*EF!$H51*EF!$H69)*NtoN2O*kgtoGg,IF('Net zero activities &amp; levers'!$C$12="MS",('Net zero Activity data'!AT20*EF!$H51*EF!$H69)*NtoN2O*kgtoGg,"ERROR")))</f>
        <v>2.0947103415895203</v>
      </c>
      <c r="AB963" s="100">
        <f>IF('Net zero activities &amp; levers'!$C$12="Off",('Activity data'!AU20*EF!$H51*EF!$H69)*NtoN2O*kgtoGg,IF('Net zero activities &amp; levers'!$C$12="PB",('Activity data'!AU20*EF!$H51*EF!$H69)*NtoN2O*kgtoGg,IF('Net zero activities &amp; levers'!$C$12="MS",('Net zero Activity data'!AU20*EF!$H51*EF!$H69)*NtoN2O*kgtoGg,"ERROR")))</f>
        <v>2.2064115736901493</v>
      </c>
      <c r="AC963" s="100">
        <f>IF('Net zero activities &amp; levers'!$C$12="Off",('Activity data'!AV20*EF!$H51*EF!$H69)*NtoN2O*kgtoGg,IF('Net zero activities &amp; levers'!$C$12="PB",('Activity data'!AV20*EF!$H51*EF!$H69)*NtoN2O*kgtoGg,IF('Net zero activities &amp; levers'!$C$12="MS",('Net zero Activity data'!AV20*EF!$H51*EF!$H69)*NtoN2O*kgtoGg,"ERROR")))</f>
        <v>2.3375745911599179</v>
      </c>
      <c r="AD963" s="100">
        <f>IF('Net zero activities &amp; levers'!$C$12="Off",('Activity data'!AW20*EF!$H51*EF!$H69)*NtoN2O*kgtoGg,IF('Net zero activities &amp; levers'!$C$12="PB",('Activity data'!AW20*EF!$H51*EF!$H69)*NtoN2O*kgtoGg,IF('Net zero activities &amp; levers'!$C$12="MS",('Net zero Activity data'!AW20*EF!$H51*EF!$H69)*NtoN2O*kgtoGg,"ERROR")))</f>
        <v>2.4674301417551581</v>
      </c>
      <c r="AE963" s="100">
        <f>IF('Net zero activities &amp; levers'!$C$12="Off",('Activity data'!AX20*EF!$H51*EF!$H69)*NtoN2O*kgtoGg,IF('Net zero activities &amp; levers'!$C$12="PB",('Activity data'!AX20*EF!$H51*EF!$H69)*NtoN2O*kgtoGg,IF('Net zero activities &amp; levers'!$C$12="MS",('Net zero Activity data'!AX20*EF!$H51*EF!$H69)*NtoN2O*kgtoGg,"ERROR")))</f>
        <v>2.6036408947859315</v>
      </c>
      <c r="AF963" s="100">
        <f>IF('Net zero activities &amp; levers'!$C$12="Off",('Activity data'!AY20*EF!$H51*EF!$H69)*NtoN2O*kgtoGg,IF('Net zero activities &amp; levers'!$C$12="PB",('Activity data'!AY20*EF!$H51*EF!$H69)*NtoN2O*kgtoGg,IF('Net zero activities &amp; levers'!$C$12="MS",('Net zero Activity data'!AY20*EF!$H51*EF!$H69)*NtoN2O*kgtoGg,"ERROR")))</f>
        <v>2.7431932989553216</v>
      </c>
      <c r="AG963" s="100">
        <f>IF('Net zero activities &amp; levers'!$C$12="Off",('Activity data'!AZ20*EF!$H51*EF!$H69)*NtoN2O*kgtoGg,IF('Net zero activities &amp; levers'!$C$12="PB",('Activity data'!AZ20*EF!$H51*EF!$H69)*NtoN2O*kgtoGg,IF('Net zero activities &amp; levers'!$C$12="MS",('Net zero Activity data'!AZ20*EF!$H51*EF!$H69)*NtoN2O*kgtoGg,"ERROR")))</f>
        <v>2.8994590521514279</v>
      </c>
      <c r="AH963" s="100">
        <f>IF('Net zero activities &amp; levers'!$C$12="Off",('Activity data'!BA20*EF!$H51*EF!$H69)*NtoN2O*kgtoGg,IF('Net zero activities &amp; levers'!$C$12="PB",('Activity data'!BA20*EF!$H51*EF!$H69)*NtoN2O*kgtoGg,IF('Net zero activities &amp; levers'!$C$12="MS",('Net zero Activity data'!BA20*EF!$H51*EF!$H69)*NtoN2O*kgtoGg,"ERROR")))</f>
        <v>3.037455952913116</v>
      </c>
      <c r="AI963" s="100">
        <f>IF('Net zero activities &amp; levers'!$C$12="Off",('Activity data'!BB20*EF!$H51*EF!$H69)*NtoN2O*kgtoGg,IF('Net zero activities &amp; levers'!$C$12="PB",('Activity data'!BB20*EF!$H51*EF!$H69)*NtoN2O*kgtoGg,IF('Net zero activities &amp; levers'!$C$12="MS",('Net zero Activity data'!BB20*EF!$H51*EF!$H69)*NtoN2O*kgtoGg,"ERROR")))</f>
        <v>3.1860329911149803</v>
      </c>
      <c r="AJ963" s="100">
        <f>IF('Net zero activities &amp; levers'!$C$12="Off",('Activity data'!BC20*EF!$H51*EF!$H69)*NtoN2O*kgtoGg,IF('Net zero activities &amp; levers'!$C$12="PB",('Activity data'!BC20*EF!$H51*EF!$H69)*NtoN2O*kgtoGg,IF('Net zero activities &amp; levers'!$C$12="MS",('Net zero Activity data'!BC20*EF!$H51*EF!$H69)*NtoN2O*kgtoGg,"ERROR")))</f>
        <v>3.3377024540250857</v>
      </c>
      <c r="AK963" s="100">
        <f>IF('Net zero activities &amp; levers'!$C$12="Off",('Activity data'!BD20*EF!$H51*EF!$H69)*NtoN2O*kgtoGg,IF('Net zero activities &amp; levers'!$C$12="PB",('Activity data'!BD20*EF!$H51*EF!$H69)*NtoN2O*kgtoGg,IF('Net zero activities &amp; levers'!$C$12="MS",('Net zero Activity data'!BD20*EF!$H51*EF!$H69)*NtoN2O*kgtoGg,"ERROR")))</f>
        <v>3.4830302875985271</v>
      </c>
      <c r="AL963" s="100">
        <f>IF('Net zero activities &amp; levers'!$C$12="Off",('Activity data'!BE20*EF!$H51*EF!$H69)*NtoN2O*kgtoGg,IF('Net zero activities &amp; levers'!$C$12="PB",('Activity data'!BE20*EF!$H51*EF!$H69)*NtoN2O*kgtoGg,IF('Net zero activities &amp; levers'!$C$12="MS",('Net zero Activity data'!BE20*EF!$H51*EF!$H69)*NtoN2O*kgtoGg,"ERROR")))</f>
        <v>3.6284282503451957</v>
      </c>
      <c r="AM963" s="100">
        <f>IF('Net zero activities &amp; levers'!$C$12="Off",('Activity data'!BF20*EF!$H51*EF!$H69)*NtoN2O*kgtoGg,IF('Net zero activities &amp; levers'!$C$12="PB",('Activity data'!BF20*EF!$H51*EF!$H69)*NtoN2O*kgtoGg,IF('Net zero activities &amp; levers'!$C$12="MS",('Net zero Activity data'!BF20*EF!$H51*EF!$H69)*NtoN2O*kgtoGg,"ERROR")))</f>
        <v>3.7797085645009982</v>
      </c>
      <c r="AN963" s="100">
        <f>IF('Net zero activities &amp; levers'!$C$12="Off",('Activity data'!BG20*EF!$H51*EF!$H69)*NtoN2O*kgtoGg,IF('Net zero activities &amp; levers'!$C$12="PB",('Activity data'!BG20*EF!$H51*EF!$H69)*NtoN2O*kgtoGg,IF('Net zero activities &amp; levers'!$C$12="MS",('Net zero Activity data'!BG20*EF!$H51*EF!$H69)*NtoN2O*kgtoGg,"ERROR")))</f>
        <v>3.9406773028531807</v>
      </c>
      <c r="AO963" s="100">
        <f>IF('Net zero activities &amp; levers'!$C$12="Off",('Activity data'!BH20*EF!$H51*EF!$H69)*NtoN2O*kgtoGg,IF('Net zero activities &amp; levers'!$C$12="PB",('Activity data'!BH20*EF!$H51*EF!$H69)*NtoN2O*kgtoGg,IF('Net zero activities &amp; levers'!$C$12="MS",('Net zero Activity data'!BH20*EF!$H51*EF!$H69)*NtoN2O*kgtoGg,"ERROR")))</f>
        <v>4.09252605936598</v>
      </c>
      <c r="AP963" s="100">
        <f>IF('Net zero activities &amp; levers'!$C$12="Off",('Activity data'!BI20*EF!$H51*EF!$H69)*NtoN2O*kgtoGg,IF('Net zero activities &amp; levers'!$C$12="PB",('Activity data'!BI20*EF!$H51*EF!$H69)*NtoN2O*kgtoGg,IF('Net zero activities &amp; levers'!$C$12="MS",('Net zero Activity data'!BI20*EF!$H51*EF!$H69)*NtoN2O*kgtoGg,"ERROR")))</f>
        <v>4.2468797909937708</v>
      </c>
      <c r="AQ963" s="100">
        <f>IF('Net zero activities &amp; levers'!$C$12="Off",('Activity data'!BJ20*EF!$H51*EF!$H69)*NtoN2O*kgtoGg,IF('Net zero activities &amp; levers'!$C$12="PB",('Activity data'!BJ20*EF!$H51*EF!$H69)*NtoN2O*kgtoGg,IF('Net zero activities &amp; levers'!$C$12="MS",('Net zero Activity data'!BJ20*EF!$H51*EF!$H69)*NtoN2O*kgtoGg,"ERROR")))</f>
        <v>4.4040525088231126</v>
      </c>
      <c r="AR963" s="100">
        <f>IF('Net zero activities &amp; levers'!$C$12="Off",('Activity data'!BK20*EF!$H51*EF!$H69)*NtoN2O*kgtoGg,IF('Net zero activities &amp; levers'!$C$12="PB",('Activity data'!BK20*EF!$H51*EF!$H69)*NtoN2O*kgtoGg,IF('Net zero activities &amp; levers'!$C$12="MS",('Net zero Activity data'!BK20*EF!$H51*EF!$H69)*NtoN2O*kgtoGg,"ERROR")))</f>
        <v>4.5723846640377745</v>
      </c>
      <c r="AS963" s="100">
        <f>IF('Net zero activities &amp; levers'!$C$12="Off",('Activity data'!BL20*EF!$H51*EF!$H69)*NtoN2O*kgtoGg,IF('Net zero activities &amp; levers'!$C$12="PB",('Activity data'!BL20*EF!$H51*EF!$H69)*NtoN2O*kgtoGg,IF('Net zero activities &amp; levers'!$C$12="MS",('Net zero Activity data'!BL20*EF!$H51*EF!$H69)*NtoN2O*kgtoGg,"ERROR")))</f>
        <v>4.746828077621343</v>
      </c>
      <c r="AT963" s="100">
        <f>IF('Net zero activities &amp; levers'!$C$12="Off",('Activity data'!BM20*EF!$H51*EF!$H69)*NtoN2O*kgtoGg,IF('Net zero activities &amp; levers'!$C$12="PB",('Activity data'!BM20*EF!$H51*EF!$H69)*NtoN2O*kgtoGg,IF('Net zero activities &amp; levers'!$C$12="MS",('Net zero Activity data'!BM20*EF!$H51*EF!$H69)*NtoN2O*kgtoGg,"ERROR")))</f>
        <v>4.8441966867749811</v>
      </c>
      <c r="AU963" s="100">
        <f>IF('Net zero activities &amp; levers'!$C$12="Off",('Activity data'!BN20*EF!$H51*EF!$H69)*NtoN2O*kgtoGg,IF('Net zero activities &amp; levers'!$C$12="PB",('Activity data'!BN20*EF!$H51*EF!$H69)*NtoN2O*kgtoGg,IF('Net zero activities &amp; levers'!$C$12="MS",('Net zero Activity data'!BN20*EF!$H51*EF!$H69)*NtoN2O*kgtoGg,"ERROR")))</f>
        <v>4.9364837725054729</v>
      </c>
      <c r="AV963" s="100">
        <f>IF('Net zero activities &amp; levers'!$C$12="Off",('Activity data'!BO20*EF!$H51*EF!$H69)*NtoN2O*kgtoGg,IF('Net zero activities &amp; levers'!$C$12="PB",('Activity data'!BO20*EF!$H51*EF!$H69)*NtoN2O*kgtoGg,IF('Net zero activities &amp; levers'!$C$12="MS",('Net zero Activity data'!BO20*EF!$H51*EF!$H69)*NtoN2O*kgtoGg,"ERROR")))</f>
        <v>5.0396527637872595</v>
      </c>
      <c r="AW963" s="100">
        <f>IF('Net zero activities &amp; levers'!$C$12="Off",('Activity data'!BP20*EF!$H51*EF!$H69)*NtoN2O*kgtoGg,IF('Net zero activities &amp; levers'!$C$12="PB",('Activity data'!BP20*EF!$H51*EF!$H69)*NtoN2O*kgtoGg,IF('Net zero activities &amp; levers'!$C$12="MS",('Net zero Activity data'!BP20*EF!$H51*EF!$H69)*NtoN2O*kgtoGg,"ERROR")))</f>
        <v>5.1386857535726884</v>
      </c>
      <c r="AY963" s="85"/>
      <c r="AZ963" s="85"/>
    </row>
    <row r="964" spans="1:52" x14ac:dyDescent="0.25">
      <c r="A964" s="102" t="str">
        <f t="shared" si="326"/>
        <v>DS Poultry MMN2O</v>
      </c>
      <c r="B964" s="102" t="s">
        <v>975</v>
      </c>
      <c r="C964" s="102" t="s">
        <v>1235</v>
      </c>
      <c r="D964" t="s">
        <v>15</v>
      </c>
      <c r="E964" t="s">
        <v>657</v>
      </c>
      <c r="F964" t="s">
        <v>28</v>
      </c>
      <c r="G964" t="s">
        <v>134</v>
      </c>
      <c r="H964" t="s">
        <v>1228</v>
      </c>
      <c r="I964" t="s">
        <v>139</v>
      </c>
      <c r="J964" t="s">
        <v>287</v>
      </c>
      <c r="K964" s="100">
        <f>IF('Net zero activities &amp; levers'!$C$12="Off",('Activity data'!AD21*EF!$H52*EF!$H70)*NtoN2O*kgtoGg,IF('Net zero activities &amp; levers'!$C$12="PB",('Activity data'!AD21*EF!$H52*EF!$H70)*NtoN2O*kgtoGg,IF('Net zero activities &amp; levers'!$C$12="MS",('Net zero Activity data'!AD21*EF!$H52*EF!$H70)*NtoN2O*kgtoGg,"ERROR")))</f>
        <v>1.3699637559476618E-2</v>
      </c>
      <c r="L964" s="100">
        <f>IF('Net zero activities &amp; levers'!$C$12="Off",('Activity data'!AE21*EF!$H52*EF!$H70)*NtoN2O*kgtoGg,IF('Net zero activities &amp; levers'!$C$12="PB",('Activity data'!AE21*EF!$H52*EF!$H70)*NtoN2O*kgtoGg,IF('Net zero activities &amp; levers'!$C$12="MS",('Net zero Activity data'!AE21*EF!$H52*EF!$H70)*NtoN2O*kgtoGg,"ERROR")))</f>
        <v>1.4007561383444394E-2</v>
      </c>
      <c r="M964" s="100">
        <f>IF('Net zero activities &amp; levers'!$C$12="Off",('Activity data'!AF21*EF!$H52*EF!$H70)*NtoN2O*kgtoGg,IF('Net zero activities &amp; levers'!$C$12="PB",('Activity data'!AF21*EF!$H52*EF!$H70)*NtoN2O*kgtoGg,IF('Net zero activities &amp; levers'!$C$12="MS",('Net zero Activity data'!AF21*EF!$H52*EF!$H70)*NtoN2O*kgtoGg,"ERROR")))</f>
        <v>1.4286075109299039E-2</v>
      </c>
      <c r="N964" s="100">
        <f>IF('Net zero activities &amp; levers'!$C$12="Off",('Activity data'!AG21*EF!$H52*EF!$H70)*NtoN2O*kgtoGg,IF('Net zero activities &amp; levers'!$C$12="PB",('Activity data'!AG21*EF!$H52*EF!$H70)*NtoN2O*kgtoGg,IF('Net zero activities &amp; levers'!$C$12="MS",('Net zero Activity data'!AG21*EF!$H52*EF!$H70)*NtoN2O*kgtoGg,"ERROR")))</f>
        <v>1.4429859637719061E-2</v>
      </c>
      <c r="O964" s="100">
        <f>IF('Net zero activities &amp; levers'!$C$12="Off",('Activity data'!AH21*EF!$H52*EF!$H70)*NtoN2O*kgtoGg,IF('Net zero activities &amp; levers'!$C$12="PB",('Activity data'!AH21*EF!$H52*EF!$H70)*NtoN2O*kgtoGg,IF('Net zero activities &amp; levers'!$C$12="MS",('Net zero Activity data'!AH21*EF!$H52*EF!$H70)*NtoN2O*kgtoGg,"ERROR")))</f>
        <v>1.4577608074186288E-2</v>
      </c>
      <c r="P964" s="100">
        <f>IF('Net zero activities &amp; levers'!$C$12="Off",('Activity data'!AI21*EF!$H52*EF!$H70)*NtoN2O*kgtoGg,IF('Net zero activities &amp; levers'!$C$12="PB",('Activity data'!AI21*EF!$H52*EF!$H70)*NtoN2O*kgtoGg,IF('Net zero activities &amp; levers'!$C$12="MS",('Net zero Activity data'!AI21*EF!$H52*EF!$H70)*NtoN2O*kgtoGg,"ERROR")))</f>
        <v>1.4871774799917255E-2</v>
      </c>
      <c r="Q964" s="100">
        <f>IF('Net zero activities &amp; levers'!$C$12="Off",('Activity data'!AJ21*EF!$H52*EF!$H70)*NtoN2O*kgtoGg,IF('Net zero activities &amp; levers'!$C$12="PB",('Activity data'!AJ21*EF!$H52*EF!$H70)*NtoN2O*kgtoGg,IF('Net zero activities &amp; levers'!$C$12="MS",('Net zero Activity data'!AJ21*EF!$H52*EF!$H70)*NtoN2O*kgtoGg,"ERROR")))</f>
        <v>1.5123314373966834E-2</v>
      </c>
      <c r="R964" s="100">
        <f>IF('Net zero activities &amp; levers'!$C$12="Off",('Activity data'!AK21*EF!$H52*EF!$H70)*NtoN2O*kgtoGg,IF('Net zero activities &amp; levers'!$C$12="PB",('Activity data'!AK21*EF!$H52*EF!$H70)*NtoN2O*kgtoGg,IF('Net zero activities &amp; levers'!$C$12="MS",('Net zero Activity data'!AK21*EF!$H52*EF!$H70)*NtoN2O*kgtoGg,"ERROR")))</f>
        <v>1.5218792553148319E-2</v>
      </c>
      <c r="S964" s="100">
        <f>IF('Net zero activities &amp; levers'!$C$12="Off",('Activity data'!AL21*EF!$H52*EF!$H70)*NtoN2O*kgtoGg,IF('Net zero activities &amp; levers'!$C$12="PB",('Activity data'!AL21*EF!$H52*EF!$H70)*NtoN2O*kgtoGg,IF('Net zero activities &amp; levers'!$C$12="MS",('Net zero Activity data'!AL21*EF!$H52*EF!$H70)*NtoN2O*kgtoGg,"ERROR")))</f>
        <v>1.4614385063522554E-2</v>
      </c>
      <c r="T964" s="100">
        <f>IF('Net zero activities &amp; levers'!$C$12="Off",('Activity data'!AM21*EF!$H52*EF!$H70)*NtoN2O*kgtoGg,IF('Net zero activities &amp; levers'!$C$12="PB",('Activity data'!AM21*EF!$H52*EF!$H70)*NtoN2O*kgtoGg,IF('Net zero activities &amp; levers'!$C$12="MS",('Net zero Activity data'!AM21*EF!$H52*EF!$H70)*NtoN2O*kgtoGg,"ERROR")))</f>
        <v>1.5049310081165945E-2</v>
      </c>
      <c r="U964" s="100">
        <f>IF('Net zero activities &amp; levers'!$C$12="Off",('Activity data'!AN21*EF!$H52*EF!$H70)*NtoN2O*kgtoGg,IF('Net zero activities &amp; levers'!$C$12="PB",('Activity data'!AN21*EF!$H52*EF!$H70)*NtoN2O*kgtoGg,IF('Net zero activities &amp; levers'!$C$12="MS",('Net zero Activity data'!AN21*EF!$H52*EF!$H70)*NtoN2O*kgtoGg,"ERROR")))</f>
        <v>1.5400819201654545E-2</v>
      </c>
      <c r="V964" s="100">
        <f>IF('Net zero activities &amp; levers'!$C$12="Off",('Activity data'!AO21*EF!$H52*EF!$H70)*NtoN2O*kgtoGg,IF('Net zero activities &amp; levers'!$C$12="PB",('Activity data'!AO21*EF!$H52*EF!$H70)*NtoN2O*kgtoGg,IF('Net zero activities &amp; levers'!$C$12="MS",('Net zero Activity data'!AO21*EF!$H52*EF!$H70)*NtoN2O*kgtoGg,"ERROR")))</f>
        <v>1.5735786851063062E-2</v>
      </c>
      <c r="W964" s="100">
        <f>IF('Net zero activities &amp; levers'!$C$12="Off",('Activity data'!AP21*EF!$H52*EF!$H70)*NtoN2O*kgtoGg,IF('Net zero activities &amp; levers'!$C$12="PB",('Activity data'!AP21*EF!$H52*EF!$H70)*NtoN2O*kgtoGg,IF('Net zero activities &amp; levers'!$C$12="MS",('Net zero Activity data'!AP21*EF!$H52*EF!$H70)*NtoN2O*kgtoGg,"ERROR")))</f>
        <v>1.6107729388846862E-2</v>
      </c>
      <c r="X964" s="100">
        <f>IF('Net zero activities &amp; levers'!$C$12="Off",('Activity data'!AQ21*EF!$H52*EF!$H70)*NtoN2O*kgtoGg,IF('Net zero activities &amp; levers'!$C$12="PB",('Activity data'!AQ21*EF!$H52*EF!$H70)*NtoN2O*kgtoGg,IF('Net zero activities &amp; levers'!$C$12="MS",('Net zero Activity data'!AQ21*EF!$H52*EF!$H70)*NtoN2O*kgtoGg,"ERROR")))</f>
        <v>1.6601449364272783E-2</v>
      </c>
      <c r="Y964" s="100">
        <f>IF('Net zero activities &amp; levers'!$C$12="Off",('Activity data'!AR21*EF!$H52*EF!$H70)*NtoN2O*kgtoGg,IF('Net zero activities &amp; levers'!$C$12="PB",('Activity data'!AR21*EF!$H52*EF!$H70)*NtoN2O*kgtoGg,IF('Net zero activities &amp; levers'!$C$12="MS",('Net zero Activity data'!AR21*EF!$H52*EF!$H70)*NtoN2O*kgtoGg,"ERROR")))</f>
        <v>1.7120008058823098E-2</v>
      </c>
      <c r="Z964" s="100">
        <f>IF('Net zero activities &amp; levers'!$C$12="Off",('Activity data'!AS21*EF!$H52*EF!$H70)*NtoN2O*kgtoGg,IF('Net zero activities &amp; levers'!$C$12="PB",('Activity data'!AS21*EF!$H52*EF!$H70)*NtoN2O*kgtoGg,IF('Net zero activities &amp; levers'!$C$12="MS",('Net zero Activity data'!AS21*EF!$H52*EF!$H70)*NtoN2O*kgtoGg,"ERROR")))</f>
        <v>1.7675866086140329E-2</v>
      </c>
      <c r="AA964" s="100">
        <f>IF('Net zero activities &amp; levers'!$C$12="Off",('Activity data'!AT21*EF!$H52*EF!$H70)*NtoN2O*kgtoGg,IF('Net zero activities &amp; levers'!$C$12="PB",('Activity data'!AT21*EF!$H52*EF!$H70)*NtoN2O*kgtoGg,IF('Net zero activities &amp; levers'!$C$12="MS",('Net zero Activity data'!AT21*EF!$H52*EF!$H70)*NtoN2O*kgtoGg,"ERROR")))</f>
        <v>1.8190035947877312E-2</v>
      </c>
      <c r="AB964" s="100">
        <f>IF('Net zero activities &amp; levers'!$C$12="Off",('Activity data'!AU21*EF!$H52*EF!$H70)*NtoN2O*kgtoGg,IF('Net zero activities &amp; levers'!$C$12="PB",('Activity data'!AU21*EF!$H52*EF!$H70)*NtoN2O*kgtoGg,IF('Net zero activities &amp; levers'!$C$12="MS",('Net zero Activity data'!AU21*EF!$H52*EF!$H70)*NtoN2O*kgtoGg,"ERROR")))</f>
        <v>1.8766886485041417E-2</v>
      </c>
      <c r="AC964" s="100">
        <f>IF('Net zero activities &amp; levers'!$C$12="Off",('Activity data'!AV21*EF!$H52*EF!$H70)*NtoN2O*kgtoGg,IF('Net zero activities &amp; levers'!$C$12="PB",('Activity data'!AV21*EF!$H52*EF!$H70)*NtoN2O*kgtoGg,IF('Net zero activities &amp; levers'!$C$12="MS",('Net zero Activity data'!AV21*EF!$H52*EF!$H70)*NtoN2O*kgtoGg,"ERROR")))</f>
        <v>1.9421175590150126E-2</v>
      </c>
      <c r="AD964" s="100">
        <f>IF('Net zero activities &amp; levers'!$C$12="Off",('Activity data'!AW21*EF!$H52*EF!$H70)*NtoN2O*kgtoGg,IF('Net zero activities &amp; levers'!$C$12="PB",('Activity data'!AW21*EF!$H52*EF!$H70)*NtoN2O*kgtoGg,IF('Net zero activities &amp; levers'!$C$12="MS",('Net zero Activity data'!AW21*EF!$H52*EF!$H70)*NtoN2O*kgtoGg,"ERROR")))</f>
        <v>2.0062484927227259E-2</v>
      </c>
      <c r="AE964" s="100">
        <f>IF('Net zero activities &amp; levers'!$C$12="Off",('Activity data'!AX21*EF!$H52*EF!$H70)*NtoN2O*kgtoGg,IF('Net zero activities &amp; levers'!$C$12="PB",('Activity data'!AX21*EF!$H52*EF!$H70)*NtoN2O*kgtoGg,IF('Net zero activities &amp; levers'!$C$12="MS",('Net zero Activity data'!AX21*EF!$H52*EF!$H70)*NtoN2O*kgtoGg,"ERROR")))</f>
        <v>2.0734146834697896E-2</v>
      </c>
      <c r="AF964" s="100">
        <f>IF('Net zero activities &amp; levers'!$C$12="Off",('Activity data'!AY21*EF!$H52*EF!$H70)*NtoN2O*kgtoGg,IF('Net zero activities &amp; levers'!$C$12="PB",('Activity data'!AY21*EF!$H52*EF!$H70)*NtoN2O*kgtoGg,IF('Net zero activities &amp; levers'!$C$12="MS",('Net zero Activity data'!AY21*EF!$H52*EF!$H70)*NtoN2O*kgtoGg,"ERROR")))</f>
        <v>2.1425302881371316E-2</v>
      </c>
      <c r="AG964" s="100">
        <f>IF('Net zero activities &amp; levers'!$C$12="Off",('Activity data'!AZ21*EF!$H52*EF!$H70)*NtoN2O*kgtoGg,IF('Net zero activities &amp; levers'!$C$12="PB",('Activity data'!AZ21*EF!$H52*EF!$H70)*NtoN2O*kgtoGg,IF('Net zero activities &amp; levers'!$C$12="MS",('Net zero Activity data'!AZ21*EF!$H52*EF!$H70)*NtoN2O*kgtoGg,"ERROR")))</f>
        <v>2.2186421037140063E-2</v>
      </c>
      <c r="AH964" s="100">
        <f>IF('Net zero activities &amp; levers'!$C$12="Off",('Activity data'!BA21*EF!$H52*EF!$H70)*NtoN2O*kgtoGg,IF('Net zero activities &amp; levers'!$C$12="PB",('Activity data'!BA21*EF!$H52*EF!$H70)*NtoN2O*kgtoGg,IF('Net zero activities &amp; levers'!$C$12="MS",('Net zero Activity data'!BA21*EF!$H52*EF!$H70)*NtoN2O*kgtoGg,"ERROR")))</f>
        <v>2.2886185015107467E-2</v>
      </c>
      <c r="AI964" s="100">
        <f>IF('Net zero activities &amp; levers'!$C$12="Off",('Activity data'!BB21*EF!$H52*EF!$H70)*NtoN2O*kgtoGg,IF('Net zero activities &amp; levers'!$C$12="PB",('Activity data'!BB21*EF!$H52*EF!$H70)*NtoN2O*kgtoGg,IF('Net zero activities &amp; levers'!$C$12="MS",('Net zero Activity data'!BB21*EF!$H52*EF!$H70)*NtoN2O*kgtoGg,"ERROR")))</f>
        <v>2.3618263358455356E-2</v>
      </c>
      <c r="AJ964" s="100">
        <f>IF('Net zero activities &amp; levers'!$C$12="Off",('Activity data'!BC21*EF!$H52*EF!$H70)*NtoN2O*kgtoGg,IF('Net zero activities &amp; levers'!$C$12="PB",('Activity data'!BC21*EF!$H52*EF!$H70)*NtoN2O*kgtoGg,IF('Net zero activities &amp; levers'!$C$12="MS",('Net zero Activity data'!BC21*EF!$H52*EF!$H70)*NtoN2O*kgtoGg,"ERROR")))</f>
        <v>2.436923543797731E-2</v>
      </c>
      <c r="AK964" s="100">
        <f>IF('Net zero activities &amp; levers'!$C$12="Off",('Activity data'!BD21*EF!$H52*EF!$H70)*NtoN2O*kgtoGg,IF('Net zero activities &amp; levers'!$C$12="PB",('Activity data'!BD21*EF!$H52*EF!$H70)*NtoN2O*kgtoGg,IF('Net zero activities &amp; levers'!$C$12="MS",('Net zero Activity data'!BD21*EF!$H52*EF!$H70)*NtoN2O*kgtoGg,"ERROR")))</f>
        <v>2.5102810849256797E-2</v>
      </c>
      <c r="AL964" s="100">
        <f>IF('Net zero activities &amp; levers'!$C$12="Off",('Activity data'!BE21*EF!$H52*EF!$H70)*NtoN2O*kgtoGg,IF('Net zero activities &amp; levers'!$C$12="PB",('Activity data'!BE21*EF!$H52*EF!$H70)*NtoN2O*kgtoGg,IF('Net zero activities &amp; levers'!$C$12="MS",('Net zero Activity data'!BE21*EF!$H52*EF!$H70)*NtoN2O*kgtoGg,"ERROR")))</f>
        <v>2.5843359175588099E-2</v>
      </c>
      <c r="AM964" s="100">
        <f>IF('Net zero activities &amp; levers'!$C$12="Off",('Activity data'!BF21*EF!$H52*EF!$H70)*NtoN2O*kgtoGg,IF('Net zero activities &amp; levers'!$C$12="PB",('Activity data'!BF21*EF!$H52*EF!$H70)*NtoN2O*kgtoGg,IF('Net zero activities &amp; levers'!$C$12="MS",('Net zero Activity data'!BF21*EF!$H52*EF!$H70)*NtoN2O*kgtoGg,"ERROR")))</f>
        <v>2.6613531738472741E-2</v>
      </c>
      <c r="AN964" s="100">
        <f>IF('Net zero activities &amp; levers'!$C$12="Off",('Activity data'!BG21*EF!$H52*EF!$H70)*NtoN2O*kgtoGg,IF('Net zero activities &amp; levers'!$C$12="PB",('Activity data'!BG21*EF!$H52*EF!$H70)*NtoN2O*kgtoGg,IF('Net zero activities &amp; levers'!$C$12="MS",('Net zero Activity data'!BG21*EF!$H52*EF!$H70)*NtoN2O*kgtoGg,"ERROR")))</f>
        <v>2.7414551016467576E-2</v>
      </c>
      <c r="AO964" s="100">
        <f>IF('Net zero activities &amp; levers'!$C$12="Off",('Activity data'!BH21*EF!$H52*EF!$H70)*NtoN2O*kgtoGg,IF('Net zero activities &amp; levers'!$C$12="PB",('Activity data'!BH21*EF!$H52*EF!$H70)*NtoN2O*kgtoGg,IF('Net zero activities &amp; levers'!$C$12="MS",('Net zero Activity data'!BH21*EF!$H52*EF!$H70)*NtoN2O*kgtoGg,"ERROR")))</f>
        <v>2.8186512330964811E-2</v>
      </c>
      <c r="AP964" s="100">
        <f>IF('Net zero activities &amp; levers'!$C$12="Off",('Activity data'!BI21*EF!$H52*EF!$H70)*NtoN2O*kgtoGg,IF('Net zero activities &amp; levers'!$C$12="PB",('Activity data'!BI21*EF!$H52*EF!$H70)*NtoN2O*kgtoGg,IF('Net zero activities &amp; levers'!$C$12="MS",('Net zero Activity data'!BI21*EF!$H52*EF!$H70)*NtoN2O*kgtoGg,"ERROR")))</f>
        <v>2.8974965391365567E-2</v>
      </c>
      <c r="AQ964" s="100">
        <f>IF('Net zero activities &amp; levers'!$C$12="Off",('Activity data'!BJ21*EF!$H52*EF!$H70)*NtoN2O*kgtoGg,IF('Net zero activities &amp; levers'!$C$12="PB",('Activity data'!BJ21*EF!$H52*EF!$H70)*NtoN2O*kgtoGg,IF('Net zero activities &amp; levers'!$C$12="MS",('Net zero Activity data'!BJ21*EF!$H52*EF!$H70)*NtoN2O*kgtoGg,"ERROR")))</f>
        <v>2.978127100159101E-2</v>
      </c>
      <c r="AR964" s="100">
        <f>IF('Net zero activities &amp; levers'!$C$12="Off",('Activity data'!BK21*EF!$H52*EF!$H70)*NtoN2O*kgtoGg,IF('Net zero activities &amp; levers'!$C$12="PB",('Activity data'!BK21*EF!$H52*EF!$H70)*NtoN2O*kgtoGg,IF('Net zero activities &amp; levers'!$C$12="MS",('Net zero Activity data'!BK21*EF!$H52*EF!$H70)*NtoN2O*kgtoGg,"ERROR")))</f>
        <v>3.0639120708096691E-2</v>
      </c>
      <c r="AS964" s="100">
        <f>IF('Net zero activities &amp; levers'!$C$12="Off",('Activity data'!BL21*EF!$H52*EF!$H70)*NtoN2O*kgtoGg,IF('Net zero activities &amp; levers'!$C$12="PB",('Activity data'!BL21*EF!$H52*EF!$H70)*NtoN2O*kgtoGg,IF('Net zero activities &amp; levers'!$C$12="MS",('Net zero Activity data'!BL21*EF!$H52*EF!$H70)*NtoN2O*kgtoGg,"ERROR")))</f>
        <v>3.1514289254596581E-2</v>
      </c>
      <c r="AT964" s="100">
        <f>IF('Net zero activities &amp; levers'!$C$12="Off",('Activity data'!BM21*EF!$H52*EF!$H70)*NtoN2O*kgtoGg,IF('Net zero activities &amp; levers'!$C$12="PB",('Activity data'!BM21*EF!$H52*EF!$H70)*NtoN2O*kgtoGg,IF('Net zero activities &amp; levers'!$C$12="MS",('Net zero Activity data'!BM21*EF!$H52*EF!$H70)*NtoN2O*kgtoGg,"ERROR")))</f>
        <v>3.2082944332634006E-2</v>
      </c>
      <c r="AU964" s="100">
        <f>IF('Net zero activities &amp; levers'!$C$12="Off",('Activity data'!BN21*EF!$H52*EF!$H70)*NtoN2O*kgtoGg,IF('Net zero activities &amp; levers'!$C$12="PB",('Activity data'!BN21*EF!$H52*EF!$H70)*NtoN2O*kgtoGg,IF('Net zero activities &amp; levers'!$C$12="MS",('Net zero Activity data'!BN21*EF!$H52*EF!$H70)*NtoN2O*kgtoGg,"ERROR")))</f>
        <v>3.2634463570425723E-2</v>
      </c>
      <c r="AV964" s="100">
        <f>IF('Net zero activities &amp; levers'!$C$12="Off",('Activity data'!BO21*EF!$H52*EF!$H70)*NtoN2O*kgtoGg,IF('Net zero activities &amp; levers'!$C$12="PB",('Activity data'!BO21*EF!$H52*EF!$H70)*NtoN2O*kgtoGg,IF('Net zero activities &amp; levers'!$C$12="MS",('Net zero Activity data'!BO21*EF!$H52*EF!$H70)*NtoN2O*kgtoGg,"ERROR")))</f>
        <v>3.3234146365880395E-2</v>
      </c>
      <c r="AW964" s="100">
        <f>IF('Net zero activities &amp; levers'!$C$12="Off",('Activity data'!BP21*EF!$H52*EF!$H70)*NtoN2O*kgtoGg,IF('Net zero activities &amp; levers'!$C$12="PB",('Activity data'!BP21*EF!$H52*EF!$H70)*NtoN2O*kgtoGg,IF('Net zero activities &amp; levers'!$C$12="MS",('Net zero Activity data'!BP21*EF!$H52*EF!$H70)*NtoN2O*kgtoGg,"ERROR")))</f>
        <v>3.3820590207555172E-2</v>
      </c>
      <c r="AY964" s="85"/>
      <c r="AZ964" s="85"/>
    </row>
    <row r="965" spans="1:52" x14ac:dyDescent="0.25">
      <c r="A965" s="102" t="str">
        <f t="shared" si="326"/>
        <v>DS Poultry MMN2O</v>
      </c>
      <c r="B965" s="102" t="s">
        <v>975</v>
      </c>
      <c r="C965" s="102" t="s">
        <v>1235</v>
      </c>
      <c r="D965" t="s">
        <v>15</v>
      </c>
      <c r="E965" t="s">
        <v>657</v>
      </c>
      <c r="F965" t="s">
        <v>28</v>
      </c>
      <c r="G965" t="s">
        <v>133</v>
      </c>
      <c r="H965" t="s">
        <v>1228</v>
      </c>
      <c r="I965" t="s">
        <v>139</v>
      </c>
      <c r="J965" t="s">
        <v>287</v>
      </c>
      <c r="K965" s="100">
        <f>IF('Net zero activities &amp; levers'!$C$12="Off",('Activity data'!AD22*EF!$H53*EF!$H71)*NtoN2O*kgtoGg,IF('Net zero activities &amp; levers'!$C$12="PB",('Activity data'!AD22*EF!$H53*EF!$H71)*NtoN2O*kgtoGg,IF('Net zero activities &amp; levers'!$C$12="MS",('Net zero Activity data'!AD22*EF!$H53*EF!$H71)*NtoN2O*kgtoGg,"ERROR")))</f>
        <v>7.1378315429645331E-2</v>
      </c>
      <c r="L965" s="100">
        <f>IF('Net zero activities &amp; levers'!$C$12="Off",('Activity data'!AE22*EF!$H53*EF!$H71)*NtoN2O*kgtoGg,IF('Net zero activities &amp; levers'!$C$12="PB",('Activity data'!AE22*EF!$H53*EF!$H71)*NtoN2O*kgtoGg,IF('Net zero activities &amp; levers'!$C$12="MS",('Net zero Activity data'!AE22*EF!$H53*EF!$H71)*NtoN2O*kgtoGg,"ERROR")))</f>
        <v>7.2703092291466473E-2</v>
      </c>
      <c r="M965" s="100">
        <f>IF('Net zero activities &amp; levers'!$C$12="Off",('Activity data'!AF22*EF!$H53*EF!$H71)*NtoN2O*kgtoGg,IF('Net zero activities &amp; levers'!$C$12="PB",('Activity data'!AF22*EF!$H53*EF!$H71)*NtoN2O*kgtoGg,IF('Net zero activities &amp; levers'!$C$12="MS",('Net zero Activity data'!AF22*EF!$H53*EF!$H71)*NtoN2O*kgtoGg,"ERROR")))</f>
        <v>7.3570777666584833E-2</v>
      </c>
      <c r="N965" s="100">
        <f>IF('Net zero activities &amp; levers'!$C$12="Off",('Activity data'!AG22*EF!$H53*EF!$H71)*NtoN2O*kgtoGg,IF('Net zero activities &amp; levers'!$C$12="PB",('Activity data'!AG22*EF!$H53*EF!$H71)*NtoN2O*kgtoGg,IF('Net zero activities &amp; levers'!$C$12="MS",('Net zero Activity data'!AG22*EF!$H53*EF!$H71)*NtoN2O*kgtoGg,"ERROR")))</f>
        <v>7.2616424942395619E-2</v>
      </c>
      <c r="O965" s="100">
        <f>IF('Net zero activities &amp; levers'!$C$12="Off",('Activity data'!AH22*EF!$H53*EF!$H71)*NtoN2O*kgtoGg,IF('Net zero activities &amp; levers'!$C$12="PB",('Activity data'!AH22*EF!$H53*EF!$H71)*NtoN2O*kgtoGg,IF('Net zero activities &amp; levers'!$C$12="MS",('Net zero Activity data'!AH22*EF!$H53*EF!$H71)*NtoN2O*kgtoGg,"ERROR")))</f>
        <v>7.1690897160612388E-2</v>
      </c>
      <c r="P965" s="100">
        <f>IF('Net zero activities &amp; levers'!$C$12="Off",('Activity data'!AI22*EF!$H53*EF!$H71)*NtoN2O*kgtoGg,IF('Net zero activities &amp; levers'!$C$12="PB",('Activity data'!AI22*EF!$H53*EF!$H71)*NtoN2O*kgtoGg,IF('Net zero activities &amp; levers'!$C$12="MS",('Net zero Activity data'!AI22*EF!$H53*EF!$H71)*NtoN2O*kgtoGg,"ERROR")))</f>
        <v>7.2608012917249581E-2</v>
      </c>
      <c r="Q965" s="100">
        <f>IF('Net zero activities &amp; levers'!$C$12="Off",('Activity data'!AJ22*EF!$H53*EF!$H71)*NtoN2O*kgtoGg,IF('Net zero activities &amp; levers'!$C$12="PB",('Activity data'!AJ22*EF!$H53*EF!$H71)*NtoN2O*kgtoGg,IF('Net zero activities &amp; levers'!$C$12="MS",('Net zero Activity data'!AJ22*EF!$H53*EF!$H71)*NtoN2O*kgtoGg,"ERROR")))</f>
        <v>7.2961403651452372E-2</v>
      </c>
      <c r="R965" s="100">
        <f>IF('Net zero activities &amp; levers'!$C$12="Off",('Activity data'!AK22*EF!$H53*EF!$H71)*NtoN2O*kgtoGg,IF('Net zero activities &amp; levers'!$C$12="PB",('Activity data'!AK22*EF!$H53*EF!$H71)*NtoN2O*kgtoGg,IF('Net zero activities &amp; levers'!$C$12="MS",('Net zero Activity data'!AK22*EF!$H53*EF!$H71)*NtoN2O*kgtoGg,"ERROR")))</f>
        <v>7.1341238724427325E-2</v>
      </c>
      <c r="S965" s="100">
        <f>IF('Net zero activities &amp; levers'!$C$12="Off",('Activity data'!AL22*EF!$H53*EF!$H71)*NtoN2O*kgtoGg,IF('Net zero activities &amp; levers'!$C$12="PB",('Activity data'!AL22*EF!$H53*EF!$H71)*NtoN2O*kgtoGg,IF('Net zero activities &amp; levers'!$C$12="MS",('Net zero Activity data'!AL22*EF!$H53*EF!$H71)*NtoN2O*kgtoGg,"ERROR")))</f>
        <v>6.1063412111028503E-2</v>
      </c>
      <c r="T965" s="100">
        <f>IF('Net zero activities &amp; levers'!$C$12="Off",('Activity data'!AM22*EF!$H53*EF!$H71)*NtoN2O*kgtoGg,IF('Net zero activities &amp; levers'!$C$12="PB",('Activity data'!AM22*EF!$H53*EF!$H71)*NtoN2O*kgtoGg,IF('Net zero activities &amp; levers'!$C$12="MS",('Net zero Activity data'!AM22*EF!$H53*EF!$H71)*NtoN2O*kgtoGg,"ERROR")))</f>
        <v>6.4327230257843288E-2</v>
      </c>
      <c r="U965" s="100">
        <f>IF('Net zero activities &amp; levers'!$C$12="Off",('Activity data'!AN22*EF!$H53*EF!$H71)*NtoN2O*kgtoGg,IF('Net zero activities &amp; levers'!$C$12="PB",('Activity data'!AN22*EF!$H53*EF!$H71)*NtoN2O*kgtoGg,IF('Net zero activities &amp; levers'!$C$12="MS",('Net zero Activity data'!AN22*EF!$H53*EF!$H71)*NtoN2O*kgtoGg,"ERROR")))</f>
        <v>6.6512272026982414E-2</v>
      </c>
      <c r="V965" s="100">
        <f>IF('Net zero activities &amp; levers'!$C$12="Off",('Activity data'!AO22*EF!$H53*EF!$H71)*NtoN2O*kgtoGg,IF('Net zero activities &amp; levers'!$C$12="PB",('Activity data'!AO22*EF!$H53*EF!$H71)*NtoN2O*kgtoGg,IF('Net zero activities &amp; levers'!$C$12="MS",('Net zero Activity data'!AO22*EF!$H53*EF!$H71)*NtoN2O*kgtoGg,"ERROR")))</f>
        <v>6.8454495411956071E-2</v>
      </c>
      <c r="W965" s="100">
        <f>IF('Net zero activities &amp; levers'!$C$12="Off",('Activity data'!AP22*EF!$H53*EF!$H71)*NtoN2O*kgtoGg,IF('Net zero activities &amp; levers'!$C$12="PB",('Activity data'!AP22*EF!$H53*EF!$H71)*NtoN2O*kgtoGg,IF('Net zero activities &amp; levers'!$C$12="MS",('Net zero Activity data'!AP22*EF!$H53*EF!$H71)*NtoN2O*kgtoGg,"ERROR")))</f>
        <v>7.0799908793239955E-2</v>
      </c>
      <c r="X965" s="100">
        <f>IF('Net zero activities &amp; levers'!$C$12="Off",('Activity data'!AQ22*EF!$H53*EF!$H71)*NtoN2O*kgtoGg,IF('Net zero activities &amp; levers'!$C$12="PB",('Activity data'!AQ22*EF!$H53*EF!$H71)*NtoN2O*kgtoGg,IF('Net zero activities &amp; levers'!$C$12="MS",('Net zero Activity data'!AQ22*EF!$H53*EF!$H71)*NtoN2O*kgtoGg,"ERROR")))</f>
        <v>7.4543127608603252E-2</v>
      </c>
      <c r="Y965" s="100">
        <f>IF('Net zero activities &amp; levers'!$C$12="Off",('Activity data'!AR22*EF!$H53*EF!$H71)*NtoN2O*kgtoGg,IF('Net zero activities &amp; levers'!$C$12="PB",('Activity data'!AR22*EF!$H53*EF!$H71)*NtoN2O*kgtoGg,IF('Net zero activities &amp; levers'!$C$12="MS",('Net zero Activity data'!AR22*EF!$H53*EF!$H71)*NtoN2O*kgtoGg,"ERROR")))</f>
        <v>7.8729503829471928E-2</v>
      </c>
      <c r="Z965" s="100">
        <f>IF('Net zero activities &amp; levers'!$C$12="Off",('Activity data'!AS22*EF!$H53*EF!$H71)*NtoN2O*kgtoGg,IF('Net zero activities &amp; levers'!$C$12="PB",('Activity data'!AS22*EF!$H53*EF!$H71)*NtoN2O*kgtoGg,IF('Net zero activities &amp; levers'!$C$12="MS",('Net zero Activity data'!AS22*EF!$H53*EF!$H71)*NtoN2O*kgtoGg,"ERROR")))</f>
        <v>8.3282057452745667E-2</v>
      </c>
      <c r="AA965" s="100">
        <f>IF('Net zero activities &amp; levers'!$C$12="Off",('Activity data'!AT22*EF!$H53*EF!$H71)*NtoN2O*kgtoGg,IF('Net zero activities &amp; levers'!$C$12="PB",('Activity data'!AT22*EF!$H53*EF!$H71)*NtoN2O*kgtoGg,IF('Net zero activities &amp; levers'!$C$12="MS",('Net zero Activity data'!AT22*EF!$H53*EF!$H71)*NtoN2O*kgtoGg,"ERROR")))</f>
        <v>8.7279597566230077E-2</v>
      </c>
      <c r="AB965" s="100">
        <f>IF('Net zero activities &amp; levers'!$C$12="Off",('Activity data'!AU22*EF!$H53*EF!$H71)*NtoN2O*kgtoGg,IF('Net zero activities &amp; levers'!$C$12="PB",('Activity data'!AU22*EF!$H53*EF!$H71)*NtoN2O*kgtoGg,IF('Net zero activities &amp; levers'!$C$12="MS",('Net zero Activity data'!AU22*EF!$H53*EF!$H71)*NtoN2O*kgtoGg,"ERROR")))</f>
        <v>9.1933815570422989E-2</v>
      </c>
      <c r="AC965" s="100">
        <f>IF('Net zero activities &amp; levers'!$C$12="Off",('Activity data'!AV22*EF!$H53*EF!$H71)*NtoN2O*kgtoGg,IF('Net zero activities &amp; levers'!$C$12="PB",('Activity data'!AV22*EF!$H53*EF!$H71)*NtoN2O*kgtoGg,IF('Net zero activities &amp; levers'!$C$12="MS",('Net zero Activity data'!AV22*EF!$H53*EF!$H71)*NtoN2O*kgtoGg,"ERROR")))</f>
        <v>9.7398941298330002E-2</v>
      </c>
      <c r="AD965" s="100">
        <f>IF('Net zero activities &amp; levers'!$C$12="Off",('Activity data'!AW22*EF!$H53*EF!$H71)*NtoN2O*kgtoGg,IF('Net zero activities &amp; levers'!$C$12="PB",('Activity data'!AW22*EF!$H53*EF!$H71)*NtoN2O*kgtoGg,IF('Net zero activities &amp; levers'!$C$12="MS",('Net zero Activity data'!AW22*EF!$H53*EF!$H71)*NtoN2O*kgtoGg,"ERROR")))</f>
        <v>0.10280958923979837</v>
      </c>
      <c r="AE965" s="100">
        <f>IF('Net zero activities &amp; levers'!$C$12="Off",('Activity data'!AX22*EF!$H53*EF!$H71)*NtoN2O*kgtoGg,IF('Net zero activities &amp; levers'!$C$12="PB",('Activity data'!AX22*EF!$H53*EF!$H71)*NtoN2O*kgtoGg,IF('Net zero activities &amp; levers'!$C$12="MS",('Net zero Activity data'!AX22*EF!$H53*EF!$H71)*NtoN2O*kgtoGg,"ERROR")))</f>
        <v>0.10848503728274725</v>
      </c>
      <c r="AF965" s="100">
        <f>IF('Net zero activities &amp; levers'!$C$12="Off",('Activity data'!AY22*EF!$H53*EF!$H71)*NtoN2O*kgtoGg,IF('Net zero activities &amp; levers'!$C$12="PB",('Activity data'!AY22*EF!$H53*EF!$H71)*NtoN2O*kgtoGg,IF('Net zero activities &amp; levers'!$C$12="MS",('Net zero Activity data'!AY22*EF!$H53*EF!$H71)*NtoN2O*kgtoGg,"ERROR")))</f>
        <v>0.11429972078980519</v>
      </c>
      <c r="AG965" s="100">
        <f>IF('Net zero activities &amp; levers'!$C$12="Off",('Activity data'!AZ22*EF!$H53*EF!$H71)*NtoN2O*kgtoGg,IF('Net zero activities &amp; levers'!$C$12="PB",('Activity data'!AZ22*EF!$H53*EF!$H71)*NtoN2O*kgtoGg,IF('Net zero activities &amp; levers'!$C$12="MS",('Net zero Activity data'!AZ22*EF!$H53*EF!$H71)*NtoN2O*kgtoGg,"ERROR")))</f>
        <v>0.12081079383964298</v>
      </c>
      <c r="AH965" s="100">
        <f>IF('Net zero activities &amp; levers'!$C$12="Off",('Activity data'!BA22*EF!$H53*EF!$H71)*NtoN2O*kgtoGg,IF('Net zero activities &amp; levers'!$C$12="PB",('Activity data'!BA22*EF!$H53*EF!$H71)*NtoN2O*kgtoGg,IF('Net zero activities &amp; levers'!$C$12="MS",('Net zero Activity data'!BA22*EF!$H53*EF!$H71)*NtoN2O*kgtoGg,"ERROR")))</f>
        <v>0.12656066470471328</v>
      </c>
      <c r="AI965" s="100">
        <f>IF('Net zero activities &amp; levers'!$C$12="Off",('Activity data'!BB22*EF!$H53*EF!$H71)*NtoN2O*kgtoGg,IF('Net zero activities &amp; levers'!$C$12="PB",('Activity data'!BB22*EF!$H53*EF!$H71)*NtoN2O*kgtoGg,IF('Net zero activities &amp; levers'!$C$12="MS",('Net zero Activity data'!BB22*EF!$H53*EF!$H71)*NtoN2O*kgtoGg,"ERROR")))</f>
        <v>0.13275137462979095</v>
      </c>
      <c r="AJ965" s="100">
        <f>IF('Net zero activities &amp; levers'!$C$12="Off",('Activity data'!BC22*EF!$H53*EF!$H71)*NtoN2O*kgtoGg,IF('Net zero activities &amp; levers'!$C$12="PB",('Activity data'!BC22*EF!$H53*EF!$H71)*NtoN2O*kgtoGg,IF('Net zero activities &amp; levers'!$C$12="MS",('Net zero Activity data'!BC22*EF!$H53*EF!$H71)*NtoN2O*kgtoGg,"ERROR")))</f>
        <v>0.13907093558437875</v>
      </c>
      <c r="AK965" s="100">
        <f>IF('Net zero activities &amp; levers'!$C$12="Off",('Activity data'!BD22*EF!$H53*EF!$H71)*NtoN2O*kgtoGg,IF('Net zero activities &amp; levers'!$C$12="PB",('Activity data'!BD22*EF!$H53*EF!$H71)*NtoN2O*kgtoGg,IF('Net zero activities &amp; levers'!$C$12="MS",('Net zero Activity data'!BD22*EF!$H53*EF!$H71)*NtoN2O*kgtoGg,"ERROR")))</f>
        <v>0.14512626198327211</v>
      </c>
      <c r="AL965" s="100">
        <f>IF('Net zero activities &amp; levers'!$C$12="Off",('Activity data'!BE22*EF!$H53*EF!$H71)*NtoN2O*kgtoGg,IF('Net zero activities &amp; levers'!$C$12="PB",('Activity data'!BE22*EF!$H53*EF!$H71)*NtoN2O*kgtoGg,IF('Net zero activities &amp; levers'!$C$12="MS",('Net zero Activity data'!BE22*EF!$H53*EF!$H71)*NtoN2O*kgtoGg,"ERROR")))</f>
        <v>0.15118451043105</v>
      </c>
      <c r="AM965" s="100">
        <f>IF('Net zero activities &amp; levers'!$C$12="Off",('Activity data'!BF22*EF!$H53*EF!$H71)*NtoN2O*kgtoGg,IF('Net zero activities &amp; levers'!$C$12="PB",('Activity data'!BF22*EF!$H53*EF!$H71)*NtoN2O*kgtoGg,IF('Net zero activities &amp; levers'!$C$12="MS",('Net zero Activity data'!BF22*EF!$H53*EF!$H71)*NtoN2O*kgtoGg,"ERROR")))</f>
        <v>0.15748785685420838</v>
      </c>
      <c r="AN965" s="100">
        <f>IF('Net zero activities &amp; levers'!$C$12="Off",('Activity data'!BG22*EF!$H53*EF!$H71)*NtoN2O*kgtoGg,IF('Net zero activities &amp; levers'!$C$12="PB",('Activity data'!BG22*EF!$H53*EF!$H71)*NtoN2O*kgtoGg,IF('Net zero activities &amp; levers'!$C$12="MS",('Net zero Activity data'!BG22*EF!$H53*EF!$H71)*NtoN2O*kgtoGg,"ERROR")))</f>
        <v>0.16419488761888268</v>
      </c>
      <c r="AO965" s="100">
        <f>IF('Net zero activities &amp; levers'!$C$12="Off",('Activity data'!BH22*EF!$H53*EF!$H71)*NtoN2O*kgtoGg,IF('Net zero activities &amp; levers'!$C$12="PB",('Activity data'!BH22*EF!$H53*EF!$H71)*NtoN2O*kgtoGg,IF('Net zero activities &amp; levers'!$C$12="MS",('Net zero Activity data'!BH22*EF!$H53*EF!$H71)*NtoN2O*kgtoGg,"ERROR")))</f>
        <v>0.17052191914024933</v>
      </c>
      <c r="AP965" s="100">
        <f>IF('Net zero activities &amp; levers'!$C$12="Off",('Activity data'!BI22*EF!$H53*EF!$H71)*NtoN2O*kgtoGg,IF('Net zero activities &amp; levers'!$C$12="PB",('Activity data'!BI22*EF!$H53*EF!$H71)*NtoN2O*kgtoGg,IF('Net zero activities &amp; levers'!$C$12="MS",('Net zero Activity data'!BI22*EF!$H53*EF!$H71)*NtoN2O*kgtoGg,"ERROR")))</f>
        <v>0.17695332462474059</v>
      </c>
      <c r="AQ965" s="100">
        <f>IF('Net zero activities &amp; levers'!$C$12="Off",('Activity data'!BJ22*EF!$H53*EF!$H71)*NtoN2O*kgtoGg,IF('Net zero activities &amp; levers'!$C$12="PB",('Activity data'!BJ22*EF!$H53*EF!$H71)*NtoN2O*kgtoGg,IF('Net zero activities &amp; levers'!$C$12="MS",('Net zero Activity data'!BJ22*EF!$H53*EF!$H71)*NtoN2O*kgtoGg,"ERROR")))</f>
        <v>0.18350218786762987</v>
      </c>
      <c r="AR965" s="100">
        <f>IF('Net zero activities &amp; levers'!$C$12="Off",('Activity data'!BK22*EF!$H53*EF!$H71)*NtoN2O*kgtoGg,IF('Net zero activities &amp; levers'!$C$12="PB",('Activity data'!BK22*EF!$H53*EF!$H71)*NtoN2O*kgtoGg,IF('Net zero activities &amp; levers'!$C$12="MS",('Net zero Activity data'!BK22*EF!$H53*EF!$H71)*NtoN2O*kgtoGg,"ERROR")))</f>
        <v>0.1905160276682408</v>
      </c>
      <c r="AS965" s="100">
        <f>IF('Net zero activities &amp; levers'!$C$12="Off",('Activity data'!BL22*EF!$H53*EF!$H71)*NtoN2O*kgtoGg,IF('Net zero activities &amp; levers'!$C$12="PB",('Activity data'!BL22*EF!$H53*EF!$H71)*NtoN2O*kgtoGg,IF('Net zero activities &amp; levers'!$C$12="MS",('Net zero Activity data'!BL22*EF!$H53*EF!$H71)*NtoN2O*kgtoGg,"ERROR")))</f>
        <v>0.19778450323422284</v>
      </c>
      <c r="AT965" s="100">
        <f>IF('Net zero activities &amp; levers'!$C$12="Off",('Activity data'!BM22*EF!$H53*EF!$H71)*NtoN2O*kgtoGg,IF('Net zero activities &amp; levers'!$C$12="PB",('Activity data'!BM22*EF!$H53*EF!$H71)*NtoN2O*kgtoGg,IF('Net zero activities &amp; levers'!$C$12="MS",('Net zero Activity data'!BM22*EF!$H53*EF!$H71)*NtoN2O*kgtoGg,"ERROR")))</f>
        <v>0.20184152861562438</v>
      </c>
      <c r="AU965" s="100">
        <f>IF('Net zero activities &amp; levers'!$C$12="Off",('Activity data'!BN22*EF!$H53*EF!$H71)*NtoN2O*kgtoGg,IF('Net zero activities &amp; levers'!$C$12="PB",('Activity data'!BN22*EF!$H53*EF!$H71)*NtoN2O*kgtoGg,IF('Net zero activities &amp; levers'!$C$12="MS",('Net zero Activity data'!BN22*EF!$H53*EF!$H71)*NtoN2O*kgtoGg,"ERROR")))</f>
        <v>0.20568682385439491</v>
      </c>
      <c r="AV965" s="100">
        <f>IF('Net zero activities &amp; levers'!$C$12="Off",('Activity data'!BO22*EF!$H53*EF!$H71)*NtoN2O*kgtoGg,IF('Net zero activities &amp; levers'!$C$12="PB",('Activity data'!BO22*EF!$H53*EF!$H71)*NtoN2O*kgtoGg,IF('Net zero activities &amp; levers'!$C$12="MS",('Net zero Activity data'!BO22*EF!$H53*EF!$H71)*NtoN2O*kgtoGg,"ERROR")))</f>
        <v>0.20998553182446936</v>
      </c>
      <c r="AW965" s="100">
        <f>IF('Net zero activities &amp; levers'!$C$12="Off",('Activity data'!BP22*EF!$H53*EF!$H71)*NtoN2O*kgtoGg,IF('Net zero activities &amp; levers'!$C$12="PB",('Activity data'!BP22*EF!$H53*EF!$H71)*NtoN2O*kgtoGg,IF('Net zero activities &amp; levers'!$C$12="MS",('Net zero Activity data'!BP22*EF!$H53*EF!$H71)*NtoN2O*kgtoGg,"ERROR")))</f>
        <v>0.21411190639886218</v>
      </c>
      <c r="AY965" s="85"/>
      <c r="AZ965" s="85"/>
    </row>
    <row r="966" spans="1:52" x14ac:dyDescent="0.25">
      <c r="A966" s="102" t="str">
        <f t="shared" si="326"/>
        <v>DS Synthetic</v>
      </c>
      <c r="B966" s="102" t="s">
        <v>975</v>
      </c>
      <c r="C966" s="102" t="s">
        <v>1127</v>
      </c>
      <c r="D966" t="s">
        <v>369</v>
      </c>
      <c r="E966" t="s">
        <v>55</v>
      </c>
      <c r="H966" t="s">
        <v>419</v>
      </c>
      <c r="I966" t="s">
        <v>139</v>
      </c>
      <c r="J966" t="s">
        <v>287</v>
      </c>
      <c r="K966" s="22">
        <f>K1463</f>
        <v>6.6064812063358538</v>
      </c>
      <c r="L966" s="22">
        <f t="shared" ref="L966:AW966" si="339">L1463</f>
        <v>6.6056660352543144</v>
      </c>
      <c r="M966" s="22">
        <f t="shared" si="339"/>
        <v>6.6042995522505379</v>
      </c>
      <c r="N966" s="22">
        <f t="shared" si="339"/>
        <v>6.6031365898338095</v>
      </c>
      <c r="O966" s="22">
        <f t="shared" si="339"/>
        <v>6.6027560568732087</v>
      </c>
      <c r="P966" s="22">
        <f t="shared" si="339"/>
        <v>6.6023708971175274</v>
      </c>
      <c r="Q966" s="22">
        <f t="shared" si="339"/>
        <v>6.6011966991986881</v>
      </c>
      <c r="R966" s="22">
        <f t="shared" si="339"/>
        <v>6.6002765167075461</v>
      </c>
      <c r="S966" s="22">
        <f t="shared" si="339"/>
        <v>6.6002145648060502</v>
      </c>
      <c r="T966" s="22">
        <f t="shared" si="339"/>
        <v>6.6040420720172728</v>
      </c>
      <c r="U966" s="22">
        <f t="shared" si="339"/>
        <v>6.6019485697997204</v>
      </c>
      <c r="V966" s="22">
        <f t="shared" si="339"/>
        <v>6.6003652312909882</v>
      </c>
      <c r="W966" s="22">
        <f t="shared" si="339"/>
        <v>6.5989054673114653</v>
      </c>
      <c r="X966" s="22">
        <f t="shared" si="339"/>
        <v>6.5972835879321101</v>
      </c>
      <c r="Y966" s="22">
        <f t="shared" si="339"/>
        <v>6.5950794659321978</v>
      </c>
      <c r="Z966" s="22">
        <f t="shared" si="339"/>
        <v>6.5927714888243178</v>
      </c>
      <c r="AA966" s="22">
        <f t="shared" si="339"/>
        <v>6.5903551292141982</v>
      </c>
      <c r="AB966" s="22">
        <f t="shared" si="339"/>
        <v>6.5882075529961197</v>
      </c>
      <c r="AC966" s="22">
        <f t="shared" si="339"/>
        <v>6.5858383398788654</v>
      </c>
      <c r="AD966" s="22">
        <f t="shared" si="339"/>
        <v>6.5832049506454569</v>
      </c>
      <c r="AE966" s="22">
        <f t="shared" si="339"/>
        <v>6.5806825645343991</v>
      </c>
      <c r="AF966" s="22">
        <f t="shared" si="339"/>
        <v>6.5781181226611025</v>
      </c>
      <c r="AG966" s="22">
        <f t="shared" si="339"/>
        <v>6.5755610222279151</v>
      </c>
      <c r="AH966" s="22">
        <f t="shared" si="339"/>
        <v>6.5728213410220508</v>
      </c>
      <c r="AI966" s="22">
        <f t="shared" si="339"/>
        <v>6.5704025946446434</v>
      </c>
      <c r="AJ966" s="22">
        <f t="shared" si="339"/>
        <v>6.5679167627959911</v>
      </c>
      <c r="AK966" s="22">
        <f t="shared" si="339"/>
        <v>6.5654442966296829</v>
      </c>
      <c r="AL966" s="22">
        <f t="shared" si="339"/>
        <v>6.5631078462466625</v>
      </c>
      <c r="AM966" s="22">
        <f t="shared" si="339"/>
        <v>6.5608183818668682</v>
      </c>
      <c r="AN966" s="22">
        <f t="shared" si="339"/>
        <v>6.5585023260560664</v>
      </c>
      <c r="AO966" s="22">
        <f t="shared" si="339"/>
        <v>6.5561383844940604</v>
      </c>
      <c r="AP966" s="22">
        <f t="shared" si="339"/>
        <v>6.5539317250053788</v>
      </c>
      <c r="AQ966" s="22">
        <f t="shared" si="339"/>
        <v>6.5517393492300551</v>
      </c>
      <c r="AR966" s="22">
        <f t="shared" si="339"/>
        <v>6.5495579618392012</v>
      </c>
      <c r="AS966" s="22">
        <f t="shared" si="339"/>
        <v>6.5472963164045943</v>
      </c>
      <c r="AT966" s="22">
        <f t="shared" si="339"/>
        <v>6.5450342769214798</v>
      </c>
      <c r="AU966" s="22">
        <f t="shared" si="339"/>
        <v>6.5436308710087152</v>
      </c>
      <c r="AV966" s="22">
        <f t="shared" si="339"/>
        <v>6.5422967735758233</v>
      </c>
      <c r="AW966" s="22">
        <f t="shared" si="339"/>
        <v>6.5408646829531705</v>
      </c>
      <c r="AY966" s="85"/>
      <c r="AZ966" s="85"/>
    </row>
    <row r="967" spans="1:52" x14ac:dyDescent="0.25">
      <c r="A967" s="102" t="str">
        <f t="shared" si="326"/>
        <v>DS Organic</v>
      </c>
      <c r="B967" s="102" t="s">
        <v>975</v>
      </c>
      <c r="C967" s="102" t="s">
        <v>1128</v>
      </c>
      <c r="D967" t="s">
        <v>369</v>
      </c>
      <c r="E967" t="s">
        <v>55</v>
      </c>
      <c r="H967" t="s">
        <v>420</v>
      </c>
      <c r="I967" t="s">
        <v>139</v>
      </c>
      <c r="J967" t="s">
        <v>287</v>
      </c>
      <c r="K967" s="101">
        <f>IF('Net zero activities &amp; levers'!$C$12="Off",'Activity data'!AD48*ttokg*ONEF*NtoN2O*kgtoGg,IF('Net zero activities &amp; levers'!$C$12="PB",'Activity data'!AD48*ttokg*ONEF*NtoN2O*kgtoGg,IF('Net zero activities &amp; levers'!$C$12="MS",'Net zero Activity data'!AD48*ttokg*ONEF*NtoN2O*kgtoGg,"ERROR")))</f>
        <v>4.3602775961816637E-2</v>
      </c>
      <c r="L967" s="101">
        <f>IF('Net zero activities &amp; levers'!$C$12="Off",'Activity data'!AE48*ttokg*ONEF*NtoN2O*kgtoGg,IF('Net zero activities &amp; levers'!$C$12="PB",'Activity data'!AE48*ttokg*ONEF*NtoN2O*kgtoGg,IF('Net zero activities &amp; levers'!$C$12="MS",'Net zero Activity data'!AE48*ttokg*ONEF*NtoN2O*kgtoGg,"ERROR")))</f>
        <v>4.3597395832678479E-2</v>
      </c>
      <c r="M967" s="101">
        <f>IF('Net zero activities &amp; levers'!$C$12="Off",'Activity data'!AF48*ttokg*ONEF*NtoN2O*kgtoGg,IF('Net zero activities &amp; levers'!$C$12="PB",'Activity data'!AF48*ttokg*ONEF*NtoN2O*kgtoGg,IF('Net zero activities &amp; levers'!$C$12="MS",'Net zero Activity data'!AF48*ttokg*ONEF*NtoN2O*kgtoGg,"ERROR")))</f>
        <v>4.3588377044853563E-2</v>
      </c>
      <c r="N967" s="101">
        <f>IF('Net zero activities &amp; levers'!$C$12="Off",'Activity data'!AG48*ttokg*ONEF*NtoN2O*kgtoGg,IF('Net zero activities &amp; levers'!$C$12="PB",'Activity data'!AG48*ttokg*ONEF*NtoN2O*kgtoGg,IF('Net zero activities &amp; levers'!$C$12="MS",'Net zero Activity data'!AG48*ttokg*ONEF*NtoN2O*kgtoGg,"ERROR")))</f>
        <v>4.3580701492903162E-2</v>
      </c>
      <c r="O967" s="101">
        <f>IF('Net zero activities &amp; levers'!$C$12="Off",'Activity data'!AH48*ttokg*ONEF*NtoN2O*kgtoGg,IF('Net zero activities &amp; levers'!$C$12="PB",'Activity data'!AH48*ttokg*ONEF*NtoN2O*kgtoGg,IF('Net zero activities &amp; levers'!$C$12="MS",'Net zero Activity data'!AH48*ttokg*ONEF*NtoN2O*kgtoGg,"ERROR")))</f>
        <v>4.3578189975363169E-2</v>
      </c>
      <c r="P967" s="101">
        <f>IF('Net zero activities &amp; levers'!$C$12="Off",'Activity data'!AI48*ttokg*ONEF*NtoN2O*kgtoGg,IF('Net zero activities &amp; levers'!$C$12="PB",'Activity data'!AI48*ttokg*ONEF*NtoN2O*kgtoGg,IF('Net zero activities &amp; levers'!$C$12="MS",'Net zero Activity data'!AI48*ttokg*ONEF*NtoN2O*kgtoGg,"ERROR")))</f>
        <v>4.3575647920975694E-2</v>
      </c>
      <c r="Q967" s="101">
        <f>IF('Net zero activities &amp; levers'!$C$12="Off",'Activity data'!AJ48*ttokg*ONEF*NtoN2O*kgtoGg,IF('Net zero activities &amp; levers'!$C$12="PB",'Activity data'!AJ48*ttokg*ONEF*NtoN2O*kgtoGg,IF('Net zero activities &amp; levers'!$C$12="MS",'Net zero Activity data'!AJ48*ttokg*ONEF*NtoN2O*kgtoGg,"ERROR")))</f>
        <v>4.3567898214711354E-2</v>
      </c>
      <c r="R967" s="101">
        <f>IF('Net zero activities &amp; levers'!$C$12="Off",'Activity data'!AK48*ttokg*ONEF*NtoN2O*kgtoGg,IF('Net zero activities &amp; levers'!$C$12="PB",'Activity data'!AK48*ttokg*ONEF*NtoN2O*kgtoGg,IF('Net zero activities &amp; levers'!$C$12="MS",'Net zero Activity data'!AK48*ttokg*ONEF*NtoN2O*kgtoGg,"ERROR")))</f>
        <v>4.3561825010269811E-2</v>
      </c>
      <c r="S967" s="101">
        <f>IF('Net zero activities &amp; levers'!$C$12="Off",'Activity data'!AL48*ttokg*ONEF*NtoN2O*kgtoGg,IF('Net zero activities &amp; levers'!$C$12="PB",'Activity data'!AL48*ttokg*ONEF*NtoN2O*kgtoGg,IF('Net zero activities &amp; levers'!$C$12="MS",'Net zero Activity data'!AL48*ttokg*ONEF*NtoN2O*kgtoGg,"ERROR")))</f>
        <v>4.3561416127719944E-2</v>
      </c>
      <c r="T967" s="101">
        <f>IF('Net zero activities &amp; levers'!$C$12="Off",'Activity data'!AM48*ttokg*ONEF*NtoN2O*kgtoGg,IF('Net zero activities &amp; levers'!$C$12="PB",'Activity data'!AM48*ttokg*ONEF*NtoN2O*kgtoGg,IF('Net zero activities &amp; levers'!$C$12="MS",'Net zero Activity data'!AM48*ttokg*ONEF*NtoN2O*kgtoGg,"ERROR")))</f>
        <v>4.358667767531401E-2</v>
      </c>
      <c r="U967" s="101">
        <f>IF('Net zero activities &amp; levers'!$C$12="Off",'Activity data'!AN48*ttokg*ONEF*NtoN2O*kgtoGg,IF('Net zero activities &amp; levers'!$C$12="PB",'Activity data'!AN48*ttokg*ONEF*NtoN2O*kgtoGg,IF('Net zero activities &amp; levers'!$C$12="MS",'Net zero Activity data'!AN48*ttokg*ONEF*NtoN2O*kgtoGg,"ERROR")))</f>
        <v>4.3572860560678155E-2</v>
      </c>
      <c r="V967" s="101">
        <f>IF('Net zero activities &amp; levers'!$C$12="Off",'Activity data'!AO48*ttokg*ONEF*NtoN2O*kgtoGg,IF('Net zero activities &amp; levers'!$C$12="PB",'Activity data'!AO48*ttokg*ONEF*NtoN2O*kgtoGg,IF('Net zero activities &amp; levers'!$C$12="MS",'Net zero Activity data'!AO48*ttokg*ONEF*NtoN2O*kgtoGg,"ERROR")))</f>
        <v>4.3562410526520524E-2</v>
      </c>
      <c r="W967" s="101">
        <f>IF('Net zero activities &amp; levers'!$C$12="Off",'Activity data'!AP48*ttokg*ONEF*NtoN2O*kgtoGg,IF('Net zero activities &amp; levers'!$C$12="PB",'Activity data'!AP48*ttokg*ONEF*NtoN2O*kgtoGg,IF('Net zero activities &amp; levers'!$C$12="MS",'Net zero Activity data'!AP48*ttokg*ONEF*NtoN2O*kgtoGg,"ERROR")))</f>
        <v>4.3552776084255673E-2</v>
      </c>
      <c r="X967" s="101">
        <f>IF('Net zero activities &amp; levers'!$C$12="Off",'Activity data'!AQ48*ttokg*ONEF*NtoN2O*kgtoGg,IF('Net zero activities &amp; levers'!$C$12="PB",'Activity data'!AQ48*ttokg*ONEF*NtoN2O*kgtoGg,IF('Net zero activities &amp; levers'!$C$12="MS",'Net zero Activity data'!AQ48*ttokg*ONEF*NtoN2O*kgtoGg,"ERROR")))</f>
        <v>4.3542071680351936E-2</v>
      </c>
      <c r="Y967" s="101">
        <f>IF('Net zero activities &amp; levers'!$C$12="Off",'Activity data'!AR48*ttokg*ONEF*NtoN2O*kgtoGg,IF('Net zero activities &amp; levers'!$C$12="PB",'Activity data'!AR48*ttokg*ONEF*NtoN2O*kgtoGg,IF('Net zero activities &amp; levers'!$C$12="MS",'Net zero Activity data'!AR48*ttokg*ONEF*NtoN2O*kgtoGg,"ERROR")))</f>
        <v>4.3527524475152499E-2</v>
      </c>
      <c r="Z967" s="101">
        <f>IF('Net zero activities &amp; levers'!$C$12="Off",'Activity data'!AS48*ttokg*ONEF*NtoN2O*kgtoGg,IF('Net zero activities &amp; levers'!$C$12="PB",'Activity data'!AS48*ttokg*ONEF*NtoN2O*kgtoGg,IF('Net zero activities &amp; levers'!$C$12="MS",'Net zero Activity data'!AS48*ttokg*ONEF*NtoN2O*kgtoGg,"ERROR")))</f>
        <v>4.3512291826240515E-2</v>
      </c>
      <c r="AA967" s="101">
        <f>IF('Net zero activities &amp; levers'!$C$12="Off",'Activity data'!AT48*ttokg*ONEF*NtoN2O*kgtoGg,IF('Net zero activities &amp; levers'!$C$12="PB",'Activity data'!AT48*ttokg*ONEF*NtoN2O*kgtoGg,IF('Net zero activities &amp; levers'!$C$12="MS",'Net zero Activity data'!AT48*ttokg*ONEF*NtoN2O*kgtoGg,"ERROR")))</f>
        <v>4.3496343852813708E-2</v>
      </c>
      <c r="AB967" s="101">
        <f>IF('Net zero activities &amp; levers'!$C$12="Off",'Activity data'!AU48*ttokg*ONEF*NtoN2O*kgtoGg,IF('Net zero activities &amp; levers'!$C$12="PB",'Activity data'!AU48*ttokg*ONEF*NtoN2O*kgtoGg,IF('Net zero activities &amp; levers'!$C$12="MS",'Net zero Activity data'!AU48*ttokg*ONEF*NtoN2O*kgtoGg,"ERROR")))</f>
        <v>4.3482169849774405E-2</v>
      </c>
      <c r="AC967" s="101">
        <f>IF('Net zero activities &amp; levers'!$C$12="Off",'Activity data'!AV48*ttokg*ONEF*NtoN2O*kgtoGg,IF('Net zero activities &amp; levers'!$C$12="PB",'Activity data'!AV48*ttokg*ONEF*NtoN2O*kgtoGg,IF('Net zero activities &amp; levers'!$C$12="MS",'Net zero Activity data'!AV48*ttokg*ONEF*NtoN2O*kgtoGg,"ERROR")))</f>
        <v>4.3466533043200514E-2</v>
      </c>
      <c r="AD967" s="101">
        <f>IF('Net zero activities &amp; levers'!$C$12="Off",'Activity data'!AW48*ttokg*ONEF*NtoN2O*kgtoGg,IF('Net zero activities &amp; levers'!$C$12="PB",'Activity data'!AW48*ttokg*ONEF*NtoN2O*kgtoGg,IF('Net zero activities &amp; levers'!$C$12="MS",'Net zero Activity data'!AW48*ttokg*ONEF*NtoN2O*kgtoGg,"ERROR")))</f>
        <v>4.3449152674260021E-2</v>
      </c>
      <c r="AE967" s="101">
        <f>IF('Net zero activities &amp; levers'!$C$12="Off",'Activity data'!AX48*ttokg*ONEF*NtoN2O*kgtoGg,IF('Net zero activities &amp; levers'!$C$12="PB",'Activity data'!AX48*ttokg*ONEF*NtoN2O*kgtoGg,IF('Net zero activities &amp; levers'!$C$12="MS",'Net zero Activity data'!AX48*ttokg*ONEF*NtoN2O*kgtoGg,"ERROR")))</f>
        <v>4.3432504925927033E-2</v>
      </c>
      <c r="AF967" s="101">
        <f>IF('Net zero activities &amp; levers'!$C$12="Off",'Activity data'!AY48*ttokg*ONEF*NtoN2O*kgtoGg,IF('Net zero activities &amp; levers'!$C$12="PB",'Activity data'!AY48*ttokg*ONEF*NtoN2O*kgtoGg,IF('Net zero activities &amp; levers'!$C$12="MS",'Net zero Activity data'!AY48*ttokg*ONEF*NtoN2O*kgtoGg,"ERROR")))</f>
        <v>4.3415579609563271E-2</v>
      </c>
      <c r="AG967" s="101">
        <f>IF('Net zero activities &amp; levers'!$C$12="Off",'Activity data'!AZ48*ttokg*ONEF*NtoN2O*kgtoGg,IF('Net zero activities &amp; levers'!$C$12="PB",'Activity data'!AZ48*ttokg*ONEF*NtoN2O*kgtoGg,IF('Net zero activities &amp; levers'!$C$12="MS",'Net zero Activity data'!AZ48*ttokg*ONEF*NtoN2O*kgtoGg,"ERROR")))</f>
        <v>4.3398702746704231E-2</v>
      </c>
      <c r="AH967" s="101">
        <f>IF('Net zero activities &amp; levers'!$C$12="Off",'Activity data'!BA48*ttokg*ONEF*NtoN2O*kgtoGg,IF('Net zero activities &amp; levers'!$C$12="PB",'Activity data'!BA48*ttokg*ONEF*NtoN2O*kgtoGg,IF('Net zero activities &amp; levers'!$C$12="MS",'Net zero Activity data'!BA48*ttokg*ONEF*NtoN2O*kgtoGg,"ERROR")))</f>
        <v>4.3380620850745545E-2</v>
      </c>
      <c r="AI967" s="101">
        <f>IF('Net zero activities &amp; levers'!$C$12="Off",'Activity data'!BB48*ttokg*ONEF*NtoN2O*kgtoGg,IF('Net zero activities &amp; levers'!$C$12="PB",'Activity data'!BB48*ttokg*ONEF*NtoN2O*kgtoGg,IF('Net zero activities &amp; levers'!$C$12="MS",'Net zero Activity data'!BB48*ttokg*ONEF*NtoN2O*kgtoGg,"ERROR")))</f>
        <v>4.3364657124654649E-2</v>
      </c>
      <c r="AJ967" s="101">
        <f>IF('Net zero activities &amp; levers'!$C$12="Off",'Activity data'!BC48*ttokg*ONEF*NtoN2O*kgtoGg,IF('Net zero activities &amp; levers'!$C$12="PB",'Activity data'!BC48*ttokg*ONEF*NtoN2O*kgtoGg,IF('Net zero activities &amp; levers'!$C$12="MS",'Net zero Activity data'!BC48*ttokg*ONEF*NtoN2O*kgtoGg,"ERROR")))</f>
        <v>4.3348250634453557E-2</v>
      </c>
      <c r="AK967" s="101">
        <f>IF('Net zero activities &amp; levers'!$C$12="Off",'Activity data'!BD48*ttokg*ONEF*NtoN2O*kgtoGg,IF('Net zero activities &amp; levers'!$C$12="PB",'Activity data'!BD48*ttokg*ONEF*NtoN2O*kgtoGg,IF('Net zero activities &amp; levers'!$C$12="MS",'Net zero Activity data'!BD48*ttokg*ONEF*NtoN2O*kgtoGg,"ERROR")))</f>
        <v>4.3331932357755919E-2</v>
      </c>
      <c r="AL967" s="101">
        <f>IF('Net zero activities &amp; levers'!$C$12="Off",'Activity data'!BE48*ttokg*ONEF*NtoN2O*kgtoGg,IF('Net zero activities &amp; levers'!$C$12="PB",'Activity data'!BE48*ttokg*ONEF*NtoN2O*kgtoGg,IF('Net zero activities &amp; levers'!$C$12="MS",'Net zero Activity data'!BE48*ttokg*ONEF*NtoN2O*kgtoGg,"ERROR")))</f>
        <v>4.3316511785227982E-2</v>
      </c>
      <c r="AM967" s="101">
        <f>IF('Net zero activities &amp; levers'!$C$12="Off",'Activity data'!BF48*ttokg*ONEF*NtoN2O*kgtoGg,IF('Net zero activities &amp; levers'!$C$12="PB",'Activity data'!BF48*ttokg*ONEF*NtoN2O*kgtoGg,IF('Net zero activities &amp; levers'!$C$12="MS",'Net zero Activity data'!BF48*ttokg*ONEF*NtoN2O*kgtoGg,"ERROR")))</f>
        <v>4.3301401320321335E-2</v>
      </c>
      <c r="AN967" s="101">
        <f>IF('Net zero activities &amp; levers'!$C$12="Off",'Activity data'!BG48*ttokg*ONEF*NtoN2O*kgtoGg,IF('Net zero activities &amp; levers'!$C$12="PB",'Activity data'!BG48*ttokg*ONEF*NtoN2O*kgtoGg,IF('Net zero activities &amp; levers'!$C$12="MS",'Net zero Activity data'!BG48*ttokg*ONEF*NtoN2O*kgtoGg,"ERROR")))</f>
        <v>4.328611535197005E-2</v>
      </c>
      <c r="AO967" s="101">
        <f>IF('Net zero activities &amp; levers'!$C$12="Off",'Activity data'!BH48*ttokg*ONEF*NtoN2O*kgtoGg,IF('Net zero activities &amp; levers'!$C$12="PB",'Activity data'!BH48*ttokg*ONEF*NtoN2O*kgtoGg,IF('Net zero activities &amp; levers'!$C$12="MS",'Net zero Activity data'!BH48*ttokg*ONEF*NtoN2O*kgtoGg,"ERROR")))</f>
        <v>4.3270513337660813E-2</v>
      </c>
      <c r="AP967" s="101">
        <f>IF('Net zero activities &amp; levers'!$C$12="Off",'Activity data'!BI48*ttokg*ONEF*NtoN2O*kgtoGg,IF('Net zero activities &amp; levers'!$C$12="PB",'Activity data'!BI48*ttokg*ONEF*NtoN2O*kgtoGg,IF('Net zero activities &amp; levers'!$C$12="MS",'Net zero Activity data'!BI48*ttokg*ONEF*NtoN2O*kgtoGg,"ERROR")))</f>
        <v>4.3255949385035505E-2</v>
      </c>
      <c r="AQ967" s="101">
        <f>IF('Net zero activities &amp; levers'!$C$12="Off",'Activity data'!BJ48*ttokg*ONEF*NtoN2O*kgtoGg,IF('Net zero activities &amp; levers'!$C$12="PB",'Activity data'!BJ48*ttokg*ONEF*NtoN2O*kgtoGg,IF('Net zero activities &amp; levers'!$C$12="MS",'Net zero Activity data'!BJ48*ttokg*ONEF*NtoN2O*kgtoGg,"ERROR")))</f>
        <v>4.3241479704918373E-2</v>
      </c>
      <c r="AR967" s="101">
        <f>IF('Net zero activities &amp; levers'!$C$12="Off",'Activity data'!BK48*ttokg*ONEF*NtoN2O*kgtoGg,IF('Net zero activities &amp; levers'!$C$12="PB",'Activity data'!BK48*ttokg*ONEF*NtoN2O*kgtoGg,IF('Net zero activities &amp; levers'!$C$12="MS",'Net zero Activity data'!BK48*ttokg*ONEF*NtoN2O*kgtoGg,"ERROR")))</f>
        <v>4.3227082548138743E-2</v>
      </c>
      <c r="AS967" s="101">
        <f>IF('Net zero activities &amp; levers'!$C$12="Off",'Activity data'!BL48*ttokg*ONEF*NtoN2O*kgtoGg,IF('Net zero activities &amp; levers'!$C$12="PB",'Activity data'!BL48*ttokg*ONEF*NtoN2O*kgtoGg,IF('Net zero activities &amp; levers'!$C$12="MS",'Net zero Activity data'!BL48*ttokg*ONEF*NtoN2O*kgtoGg,"ERROR")))</f>
        <v>4.3212155688270325E-2</v>
      </c>
      <c r="AT967" s="101">
        <f>IF('Net zero activities &amp; levers'!$C$12="Off",'Activity data'!BM48*ttokg*ONEF*NtoN2O*kgtoGg,IF('Net zero activities &amp; levers'!$C$12="PB",'Activity data'!BM48*ttokg*ONEF*NtoN2O*kgtoGg,IF('Net zero activities &amp; levers'!$C$12="MS",'Net zero Activity data'!BM48*ttokg*ONEF*NtoN2O*kgtoGg,"ERROR")))</f>
        <v>4.3197226227681768E-2</v>
      </c>
      <c r="AU967" s="101">
        <f>IF('Net zero activities &amp; levers'!$C$12="Off",'Activity data'!BN48*ttokg*ONEF*NtoN2O*kgtoGg,IF('Net zero activities &amp; levers'!$C$12="PB",'Activity data'!BN48*ttokg*ONEF*NtoN2O*kgtoGg,IF('Net zero activities &amp; levers'!$C$12="MS",'Net zero Activity data'!BN48*ttokg*ONEF*NtoN2O*kgtoGg,"ERROR")))</f>
        <v>4.3187963748657528E-2</v>
      </c>
      <c r="AV967" s="101">
        <f>IF('Net zero activities &amp; levers'!$C$12="Off",'Activity data'!BO48*ttokg*ONEF*NtoN2O*kgtoGg,IF('Net zero activities &amp; levers'!$C$12="PB",'Activity data'!BO48*ttokg*ONEF*NtoN2O*kgtoGg,IF('Net zero activities &amp; levers'!$C$12="MS",'Net zero Activity data'!BO48*ttokg*ONEF*NtoN2O*kgtoGg,"ERROR")))</f>
        <v>4.3179158705600441E-2</v>
      </c>
      <c r="AW967" s="101">
        <f>IF('Net zero activities &amp; levers'!$C$12="Off",'Activity data'!BP48*ttokg*ONEF*NtoN2O*kgtoGg,IF('Net zero activities &amp; levers'!$C$12="PB",'Activity data'!BP48*ttokg*ONEF*NtoN2O*kgtoGg,IF('Net zero activities &amp; levers'!$C$12="MS",'Net zero Activity data'!BP48*ttokg*ONEF*NtoN2O*kgtoGg,"ERROR")))</f>
        <v>4.3169706907490939E-2</v>
      </c>
      <c r="AY967" s="85"/>
      <c r="AZ967" s="85"/>
    </row>
    <row r="968" spans="1:52" x14ac:dyDescent="0.25">
      <c r="A968" s="102" t="str">
        <f t="shared" si="326"/>
        <v>DS Crop residues</v>
      </c>
      <c r="B968" s="102" t="s">
        <v>975</v>
      </c>
      <c r="C968" s="102" t="s">
        <v>58</v>
      </c>
      <c r="D968" t="s">
        <v>369</v>
      </c>
      <c r="E968" t="s">
        <v>55</v>
      </c>
      <c r="H968" t="s">
        <v>58</v>
      </c>
      <c r="I968" t="s">
        <v>139</v>
      </c>
      <c r="J968" t="s">
        <v>287</v>
      </c>
      <c r="K968" s="22">
        <f>K1465</f>
        <v>2.94930909510781</v>
      </c>
      <c r="L968" s="22">
        <f t="shared" ref="L968:AW968" si="340">L1465</f>
        <v>2.9553948259346963</v>
      </c>
      <c r="M968" s="22">
        <f t="shared" si="340"/>
        <v>2.9655964240149095</v>
      </c>
      <c r="N968" s="22">
        <f t="shared" si="340"/>
        <v>2.9742786213968655</v>
      </c>
      <c r="O968" s="22">
        <f t="shared" si="340"/>
        <v>2.9771195234129291</v>
      </c>
      <c r="P968" s="22">
        <f t="shared" si="340"/>
        <v>2.9799949671713049</v>
      </c>
      <c r="Q968" s="22">
        <f t="shared" si="340"/>
        <v>2.9887610441744785</v>
      </c>
      <c r="R968" s="22">
        <f t="shared" si="340"/>
        <v>2.9956307468412153</v>
      </c>
      <c r="S968" s="22">
        <f t="shared" si="340"/>
        <v>2.9960932541666816</v>
      </c>
      <c r="T968" s="22">
        <f t="shared" si="340"/>
        <v>2.9675186651595986</v>
      </c>
      <c r="U968" s="22">
        <f t="shared" si="340"/>
        <v>2.9831478886073279</v>
      </c>
      <c r="V968" s="22">
        <f t="shared" si="340"/>
        <v>2.9949684403788361</v>
      </c>
      <c r="W968" s="22">
        <f t="shared" si="340"/>
        <v>3.0058664357215821</v>
      </c>
      <c r="X968" s="22">
        <f t="shared" si="340"/>
        <v>3.0179747177251275</v>
      </c>
      <c r="Y968" s="22">
        <f t="shared" si="340"/>
        <v>3.0344297828088291</v>
      </c>
      <c r="Z968" s="22">
        <f t="shared" si="340"/>
        <v>3.051660187261632</v>
      </c>
      <c r="AA968" s="22">
        <f t="shared" si="340"/>
        <v>3.0696997307404872</v>
      </c>
      <c r="AB968" s="22">
        <f t="shared" si="340"/>
        <v>3.0857326483566894</v>
      </c>
      <c r="AC968" s="22">
        <f t="shared" si="340"/>
        <v>3.1034202155798769</v>
      </c>
      <c r="AD968" s="22">
        <f t="shared" si="340"/>
        <v>3.1230800126456195</v>
      </c>
      <c r="AE968" s="22">
        <f t="shared" si="340"/>
        <v>3.1419111062172522</v>
      </c>
      <c r="AF968" s="22">
        <f t="shared" si="340"/>
        <v>3.1610561707509404</v>
      </c>
      <c r="AG968" s="22">
        <f t="shared" si="340"/>
        <v>3.1801464271230016</v>
      </c>
      <c r="AH968" s="22">
        <f t="shared" si="340"/>
        <v>3.2005997561822985</v>
      </c>
      <c r="AI968" s="22">
        <f t="shared" si="340"/>
        <v>3.2186571182805661</v>
      </c>
      <c r="AJ968" s="22">
        <f t="shared" si="340"/>
        <v>3.2372153128171188</v>
      </c>
      <c r="AK968" s="22">
        <f t="shared" si="340"/>
        <v>3.2556737246860838</v>
      </c>
      <c r="AL968" s="22">
        <f t="shared" si="340"/>
        <v>3.2731166988585363</v>
      </c>
      <c r="AM968" s="22">
        <f t="shared" si="340"/>
        <v>3.2902088949247208</v>
      </c>
      <c r="AN968" s="22">
        <f t="shared" si="340"/>
        <v>3.3074996116389994</v>
      </c>
      <c r="AO968" s="22">
        <f t="shared" si="340"/>
        <v>3.3251478236065783</v>
      </c>
      <c r="AP968" s="22">
        <f t="shared" si="340"/>
        <v>3.3416218325340545</v>
      </c>
      <c r="AQ968" s="22">
        <f t="shared" si="340"/>
        <v>3.3579892051532951</v>
      </c>
      <c r="AR968" s="22">
        <f t="shared" si="340"/>
        <v>3.3742745430296259</v>
      </c>
      <c r="AS968" s="22">
        <f t="shared" si="340"/>
        <v>3.391159054333535</v>
      </c>
      <c r="AT968" s="22">
        <f t="shared" si="340"/>
        <v>3.4080465074409378</v>
      </c>
      <c r="AU968" s="22">
        <f t="shared" si="340"/>
        <v>3.4185237567194666</v>
      </c>
      <c r="AV968" s="22">
        <f t="shared" si="340"/>
        <v>3.4284835774948501</v>
      </c>
      <c r="AW968" s="22">
        <f t="shared" si="340"/>
        <v>3.439174974977584</v>
      </c>
      <c r="AY968" s="85"/>
      <c r="AZ968" s="85"/>
    </row>
    <row r="969" spans="1:52" x14ac:dyDescent="0.25">
      <c r="A969" s="102" t="str">
        <f t="shared" si="326"/>
        <v>DS Organic</v>
      </c>
      <c r="B969" s="102" t="s">
        <v>975</v>
      </c>
      <c r="C969" s="102" t="s">
        <v>1128</v>
      </c>
      <c r="D969" t="s">
        <v>369</v>
      </c>
      <c r="E969" t="s">
        <v>55</v>
      </c>
      <c r="F969" t="s">
        <v>421</v>
      </c>
      <c r="G969" t="s">
        <v>1153</v>
      </c>
      <c r="H969" t="s">
        <v>1154</v>
      </c>
      <c r="I969" t="s">
        <v>139</v>
      </c>
      <c r="J969" t="s">
        <v>287</v>
      </c>
      <c r="K969" s="22">
        <f>K1466</f>
        <v>0.31910516055557447</v>
      </c>
      <c r="L969" s="22">
        <f t="shared" ref="L969:AW971" si="341">L1466</f>
        <v>0.32125977651579962</v>
      </c>
      <c r="M969" s="22">
        <f t="shared" si="341"/>
        <v>0.32314451970240549</v>
      </c>
      <c r="N969" s="22">
        <f t="shared" si="341"/>
        <v>0.32338831518425315</v>
      </c>
      <c r="O969" s="22">
        <f t="shared" si="341"/>
        <v>0.32380822899810918</v>
      </c>
      <c r="P969" s="22">
        <f t="shared" si="341"/>
        <v>0.32621761700786678</v>
      </c>
      <c r="Q969" s="22">
        <f t="shared" si="341"/>
        <v>0.32814424518292917</v>
      </c>
      <c r="R969" s="22">
        <f t="shared" si="341"/>
        <v>0.32816113797461788</v>
      </c>
      <c r="S969" s="22">
        <f t="shared" si="341"/>
        <v>0.31946691799605059</v>
      </c>
      <c r="T969" s="22">
        <f t="shared" si="341"/>
        <v>0.32366704753421133</v>
      </c>
      <c r="U969" s="22">
        <f t="shared" si="341"/>
        <v>0.32684647343041223</v>
      </c>
      <c r="V969" s="22">
        <f t="shared" si="341"/>
        <v>0.32984618652559566</v>
      </c>
      <c r="W969" s="22">
        <f t="shared" si="341"/>
        <v>0.33332444228182462</v>
      </c>
      <c r="X969" s="22">
        <f t="shared" si="341"/>
        <v>0.33830825606612447</v>
      </c>
      <c r="Y969" s="22">
        <f t="shared" si="341"/>
        <v>0.34349698611877544</v>
      </c>
      <c r="Z969" s="22">
        <f t="shared" si="341"/>
        <v>0.34913311823129872</v>
      </c>
      <c r="AA969" s="22">
        <f t="shared" si="341"/>
        <v>0.3542586043658163</v>
      </c>
      <c r="AB969" s="22">
        <f t="shared" si="341"/>
        <v>0.36013116096519615</v>
      </c>
      <c r="AC969" s="22">
        <f t="shared" si="341"/>
        <v>0.36691641068568986</v>
      </c>
      <c r="AD969" s="22">
        <f t="shared" si="341"/>
        <v>0.3734489276960708</v>
      </c>
      <c r="AE969" s="22">
        <f t="shared" si="341"/>
        <v>0.38032201074224209</v>
      </c>
      <c r="AF969" s="22">
        <f t="shared" si="341"/>
        <v>0.3874035589263955</v>
      </c>
      <c r="AG969" s="22">
        <f t="shared" si="341"/>
        <v>0.39528331644509546</v>
      </c>
      <c r="AH969" s="22">
        <f t="shared" si="341"/>
        <v>0.402417436180809</v>
      </c>
      <c r="AI969" s="22">
        <f t="shared" si="341"/>
        <v>0.40983057953506236</v>
      </c>
      <c r="AJ969" s="22">
        <f t="shared" si="341"/>
        <v>0.41743748809199982</v>
      </c>
      <c r="AK969" s="22">
        <f t="shared" si="341"/>
        <v>0.42481700614270618</v>
      </c>
      <c r="AL969" s="22">
        <f t="shared" si="341"/>
        <v>0.4322524543038212</v>
      </c>
      <c r="AM969" s="22">
        <f t="shared" si="341"/>
        <v>0.44000331272539195</v>
      </c>
      <c r="AN969" s="22">
        <f t="shared" si="341"/>
        <v>0.44801081079437804</v>
      </c>
      <c r="AO969" s="22">
        <f t="shared" si="341"/>
        <v>0.45565879156165573</v>
      </c>
      <c r="AP969" s="22">
        <f t="shared" si="341"/>
        <v>0.46346832830199552</v>
      </c>
      <c r="AQ969" s="22">
        <f t="shared" si="341"/>
        <v>0.47145349561124583</v>
      </c>
      <c r="AR969" s="22">
        <f t="shared" si="341"/>
        <v>0.47999285299993844</v>
      </c>
      <c r="AS969" s="22">
        <f t="shared" si="341"/>
        <v>0.4886261928960397</v>
      </c>
      <c r="AT969" s="22">
        <f t="shared" si="341"/>
        <v>0.49379335063722096</v>
      </c>
      <c r="AU969" s="22">
        <f t="shared" si="341"/>
        <v>0.4987597531133639</v>
      </c>
      <c r="AV969" s="22">
        <f t="shared" si="341"/>
        <v>0.5042544828247203</v>
      </c>
      <c r="AW969" s="22">
        <f t="shared" si="341"/>
        <v>0.50959085302689011</v>
      </c>
      <c r="AY969" s="85"/>
      <c r="AZ969" s="85"/>
    </row>
    <row r="970" spans="1:52" x14ac:dyDescent="0.25">
      <c r="A970" s="102" t="str">
        <f t="shared" si="326"/>
        <v>DS Organic</v>
      </c>
      <c r="B970" s="102" t="s">
        <v>975</v>
      </c>
      <c r="C970" s="102" t="s">
        <v>1128</v>
      </c>
      <c r="D970" t="s">
        <v>369</v>
      </c>
      <c r="E970" t="s">
        <v>55</v>
      </c>
      <c r="F970" t="s">
        <v>421</v>
      </c>
      <c r="G970" t="s">
        <v>1155</v>
      </c>
      <c r="H970" t="s">
        <v>1156</v>
      </c>
      <c r="I970" t="s">
        <v>139</v>
      </c>
      <c r="J970" t="s">
        <v>287</v>
      </c>
      <c r="K970" s="22">
        <f t="shared" ref="K970:Z971" si="342">K1467</f>
        <v>0.93305416014115006</v>
      </c>
      <c r="L970" s="22">
        <f t="shared" si="342"/>
        <v>0.93935419421673338</v>
      </c>
      <c r="M970" s="22">
        <f t="shared" si="342"/>
        <v>0.94486512819222468</v>
      </c>
      <c r="N970" s="22">
        <f t="shared" si="342"/>
        <v>0.94557797905356933</v>
      </c>
      <c r="O970" s="22">
        <f t="shared" si="342"/>
        <v>0.94680579476873028</v>
      </c>
      <c r="P970" s="22">
        <f t="shared" si="342"/>
        <v>0.9538507748686591</v>
      </c>
      <c r="Q970" s="22">
        <f t="shared" si="342"/>
        <v>0.95948417932585228</v>
      </c>
      <c r="R970" s="22">
        <f t="shared" si="342"/>
        <v>0.95953357335487388</v>
      </c>
      <c r="S970" s="22">
        <f t="shared" si="342"/>
        <v>0.9341119283208017</v>
      </c>
      <c r="T970" s="22">
        <f t="shared" si="342"/>
        <v>0.94639298429585894</v>
      </c>
      <c r="U970" s="22">
        <f t="shared" si="342"/>
        <v>0.95568953266300471</v>
      </c>
      <c r="V970" s="22">
        <f t="shared" si="342"/>
        <v>0.96446060605403905</v>
      </c>
      <c r="W970" s="22">
        <f t="shared" si="342"/>
        <v>0.97463092419535036</v>
      </c>
      <c r="X970" s="22">
        <f t="shared" si="342"/>
        <v>0.98920344999441168</v>
      </c>
      <c r="Y970" s="22">
        <f t="shared" si="342"/>
        <v>1.0043751449712224</v>
      </c>
      <c r="Z970" s="22">
        <f t="shared" si="342"/>
        <v>1.0208550304909023</v>
      </c>
      <c r="AA970" s="22">
        <f t="shared" si="341"/>
        <v>1.0358418021000837</v>
      </c>
      <c r="AB970" s="22">
        <f t="shared" si="341"/>
        <v>1.0530129859072517</v>
      </c>
      <c r="AC970" s="22">
        <f t="shared" si="341"/>
        <v>1.0728528577171612</v>
      </c>
      <c r="AD970" s="22">
        <f t="shared" si="341"/>
        <v>1.0919537464715672</v>
      </c>
      <c r="AE970" s="22">
        <f t="shared" si="341"/>
        <v>1.1120504403578721</v>
      </c>
      <c r="AF970" s="22">
        <f t="shared" si="341"/>
        <v>1.1327566802129738</v>
      </c>
      <c r="AG970" s="22">
        <f t="shared" si="341"/>
        <v>1.1557968608259288</v>
      </c>
      <c r="AH970" s="22">
        <f t="shared" si="341"/>
        <v>1.1766568183608164</v>
      </c>
      <c r="AI970" s="22">
        <f t="shared" si="341"/>
        <v>1.1983326327988097</v>
      </c>
      <c r="AJ970" s="22">
        <f t="shared" si="341"/>
        <v>1.2205750110245537</v>
      </c>
      <c r="AK970" s="22">
        <f t="shared" si="341"/>
        <v>1.2421525060580416</v>
      </c>
      <c r="AL970" s="22">
        <f t="shared" si="341"/>
        <v>1.2638935390991974</v>
      </c>
      <c r="AM970" s="22">
        <f t="shared" si="341"/>
        <v>1.2865568225206274</v>
      </c>
      <c r="AN970" s="22">
        <f t="shared" si="341"/>
        <v>1.3099705127680101</v>
      </c>
      <c r="AO970" s="22">
        <f t="shared" si="341"/>
        <v>1.3323329849360066</v>
      </c>
      <c r="AP970" s="22">
        <f t="shared" si="341"/>
        <v>1.3551678420460032</v>
      </c>
      <c r="AQ970" s="22">
        <f t="shared" si="341"/>
        <v>1.3785162378047791</v>
      </c>
      <c r="AR970" s="22">
        <f t="shared" si="341"/>
        <v>1.4034850691536036</v>
      </c>
      <c r="AS970" s="22">
        <f t="shared" si="341"/>
        <v>1.4287287026064286</v>
      </c>
      <c r="AT970" s="22">
        <f t="shared" si="341"/>
        <v>1.4438373207751876</v>
      </c>
      <c r="AU970" s="22">
        <f t="shared" si="341"/>
        <v>1.4583589364182332</v>
      </c>
      <c r="AV970" s="22">
        <f t="shared" si="341"/>
        <v>1.4744253654509265</v>
      </c>
      <c r="AW970" s="22">
        <f t="shared" si="341"/>
        <v>1.490028755908539</v>
      </c>
      <c r="AY970" s="85"/>
      <c r="AZ970" s="85"/>
    </row>
    <row r="971" spans="1:52" x14ac:dyDescent="0.25">
      <c r="A971" s="102" t="str">
        <f t="shared" si="326"/>
        <v>DS Organic</v>
      </c>
      <c r="B971" s="102" t="s">
        <v>975</v>
      </c>
      <c r="C971" s="102" t="s">
        <v>1128</v>
      </c>
      <c r="D971" t="s">
        <v>369</v>
      </c>
      <c r="E971" t="s">
        <v>55</v>
      </c>
      <c r="F971" t="s">
        <v>421</v>
      </c>
      <c r="G971" t="s">
        <v>1157</v>
      </c>
      <c r="H971" t="s">
        <v>1158</v>
      </c>
      <c r="I971" t="s">
        <v>139</v>
      </c>
      <c r="J971" t="s">
        <v>287</v>
      </c>
      <c r="K971" s="22">
        <f t="shared" si="342"/>
        <v>4.9913136648560473E-2</v>
      </c>
      <c r="L971" s="22">
        <f t="shared" si="341"/>
        <v>5.0250152949583772E-2</v>
      </c>
      <c r="M971" s="22">
        <f t="shared" si="341"/>
        <v>5.0544956844502678E-2</v>
      </c>
      <c r="N971" s="22">
        <f t="shared" si="341"/>
        <v>5.0583090346256708E-2</v>
      </c>
      <c r="O971" s="22">
        <f t="shared" si="341"/>
        <v>5.0648771564119566E-2</v>
      </c>
      <c r="P971" s="22">
        <f t="shared" si="341"/>
        <v>5.1025638277152528E-2</v>
      </c>
      <c r="Q971" s="22">
        <f t="shared" si="341"/>
        <v>5.1326993652306703E-2</v>
      </c>
      <c r="R971" s="22">
        <f t="shared" si="341"/>
        <v>5.1329635954356786E-2</v>
      </c>
      <c r="S971" s="22">
        <f t="shared" si="341"/>
        <v>4.9969721282067128E-2</v>
      </c>
      <c r="T971" s="22">
        <f t="shared" si="341"/>
        <v>5.0626688531405499E-2</v>
      </c>
      <c r="U971" s="22">
        <f t="shared" si="341"/>
        <v>5.1124001451524841E-2</v>
      </c>
      <c r="V971" s="22">
        <f t="shared" si="341"/>
        <v>5.1593204423252687E-2</v>
      </c>
      <c r="W971" s="22">
        <f t="shared" si="341"/>
        <v>5.2137259099639094E-2</v>
      </c>
      <c r="X971" s="22">
        <f t="shared" si="341"/>
        <v>5.2916807064371608E-2</v>
      </c>
      <c r="Y971" s="22">
        <f t="shared" si="341"/>
        <v>5.3728407201766935E-2</v>
      </c>
      <c r="Z971" s="22">
        <f t="shared" si="341"/>
        <v>5.4609988157123229E-2</v>
      </c>
      <c r="AA971" s="22">
        <f t="shared" si="341"/>
        <v>5.5411695937019619E-2</v>
      </c>
      <c r="AB971" s="22">
        <f t="shared" si="341"/>
        <v>5.6330257452950339E-2</v>
      </c>
      <c r="AC971" s="22">
        <f t="shared" si="341"/>
        <v>5.7391578729936159E-2</v>
      </c>
      <c r="AD971" s="22">
        <f t="shared" si="341"/>
        <v>5.8413368580123831E-2</v>
      </c>
      <c r="AE971" s="22">
        <f t="shared" si="341"/>
        <v>5.9488428390134962E-2</v>
      </c>
      <c r="AF971" s="22">
        <f t="shared" si="341"/>
        <v>6.0596095472621583E-2</v>
      </c>
      <c r="AG971" s="22">
        <f t="shared" si="341"/>
        <v>6.1828615225995781E-2</v>
      </c>
      <c r="AH971" s="22">
        <f t="shared" si="341"/>
        <v>6.2944505337631407E-2</v>
      </c>
      <c r="AI971" s="22">
        <f t="shared" si="341"/>
        <v>6.4104039193467549E-2</v>
      </c>
      <c r="AJ971" s="22">
        <f t="shared" si="341"/>
        <v>6.5293881017443309E-2</v>
      </c>
      <c r="AK971" s="22">
        <f t="shared" si="341"/>
        <v>6.6448155339501103E-2</v>
      </c>
      <c r="AL971" s="22">
        <f t="shared" si="341"/>
        <v>6.7611178022878776E-2</v>
      </c>
      <c r="AM971" s="22">
        <f t="shared" si="341"/>
        <v>6.8823535901598024E-2</v>
      </c>
      <c r="AN971" s="22">
        <f t="shared" si="341"/>
        <v>7.0076036314422829E-2</v>
      </c>
      <c r="AO971" s="22">
        <f t="shared" si="341"/>
        <v>7.1272302487173145E-2</v>
      </c>
      <c r="AP971" s="22">
        <f t="shared" si="341"/>
        <v>7.2493838590832138E-2</v>
      </c>
      <c r="AQ971" s="22">
        <f t="shared" si="341"/>
        <v>7.3742846116671951E-2</v>
      </c>
      <c r="AR971" s="22">
        <f t="shared" si="341"/>
        <v>7.507853780993895E-2</v>
      </c>
      <c r="AS971" s="22">
        <f t="shared" si="341"/>
        <v>7.6428929866329778E-2</v>
      </c>
      <c r="AT971" s="22">
        <f t="shared" si="341"/>
        <v>7.7237155750145656E-2</v>
      </c>
      <c r="AU971" s="22">
        <f t="shared" si="341"/>
        <v>7.8013980308582434E-2</v>
      </c>
      <c r="AV971" s="22">
        <f t="shared" si="341"/>
        <v>7.8873443673111984E-2</v>
      </c>
      <c r="AW971" s="22">
        <f t="shared" si="341"/>
        <v>7.970813708466469E-2</v>
      </c>
      <c r="AY971" s="85"/>
      <c r="AZ971" s="85"/>
    </row>
    <row r="972" spans="1:52" x14ac:dyDescent="0.25">
      <c r="A972" s="102" t="str">
        <f t="shared" si="326"/>
        <v>DS Organic</v>
      </c>
      <c r="B972" s="102" t="s">
        <v>975</v>
      </c>
      <c r="C972" s="102" t="s">
        <v>1128</v>
      </c>
      <c r="D972" t="s">
        <v>369</v>
      </c>
      <c r="E972" t="s">
        <v>55</v>
      </c>
      <c r="F972" t="s">
        <v>421</v>
      </c>
      <c r="G972" t="s">
        <v>1159</v>
      </c>
      <c r="H972" t="s">
        <v>1160</v>
      </c>
      <c r="I972" t="s">
        <v>139</v>
      </c>
      <c r="J972" t="s">
        <v>287</v>
      </c>
      <c r="K972" s="101">
        <f>IF('Net zero activities &amp; levers'!$C$12="Off",'Activity data'!AD53*ManureNEF*NtoN2O*kgtoGg,'Net zero Activity data'!AD53*ManureNEF*NtoN2O*kgtoGg)</f>
        <v>0.40197336823107255</v>
      </c>
      <c r="L972" s="101">
        <f>IF('Net zero activities &amp; levers'!$C$12="Off",'Activity data'!AE53*ManureNEF*NtoN2O*kgtoGg,'Net zero Activity data'!AE53*ManureNEF*NtoN2O*kgtoGg)</f>
        <v>0.39992683453201888</v>
      </c>
      <c r="M972" s="101">
        <f>IF('Net zero activities &amp; levers'!$C$12="Off",'Activity data'!AF53*ManureNEF*NtoN2O*kgtoGg,'Net zero Activity data'!AF53*ManureNEF*NtoN2O*kgtoGg)</f>
        <v>0.39619153570803745</v>
      </c>
      <c r="N972" s="101">
        <f>IF('Net zero activities &amp; levers'!$C$12="Off",'Activity data'!AG53*ManureNEF*NtoN2O*kgtoGg,'Net zero Activity data'!AG53*ManureNEF*NtoN2O*kgtoGg)</f>
        <v>0.38596696743557218</v>
      </c>
      <c r="O972" s="101">
        <f>IF('Net zero activities &amp; levers'!$C$12="Off",'Activity data'!AH53*ManureNEF*NtoN2O*kgtoGg,'Net zero Activity data'!AH53*ManureNEF*NtoN2O*kgtoGg)</f>
        <v>0.37615042112991043</v>
      </c>
      <c r="P972" s="101">
        <f>IF('Net zero activities &amp; levers'!$C$12="Off",'Activity data'!AI53*ManureNEF*NtoN2O*kgtoGg,'Net zero Activity data'!AI53*ManureNEF*NtoN2O*kgtoGg)</f>
        <v>0.37293713836150383</v>
      </c>
      <c r="Q972" s="101">
        <f>IF('Net zero activities &amp; levers'!$C$12="Off",'Activity data'!AJ53*ManureNEF*NtoN2O*kgtoGg,'Net zero Activity data'!AJ53*ManureNEF*NtoN2O*kgtoGg)</f>
        <v>0.36774734482056881</v>
      </c>
      <c r="R972" s="101">
        <f>IF('Net zero activities &amp; levers'!$C$12="Off",'Activity data'!AK53*ManureNEF*NtoN2O*kgtoGg,'Net zero Activity data'!AK53*ManureNEF*NtoN2O*kgtoGg)</f>
        <v>0.35608688957109119</v>
      </c>
      <c r="S972" s="101">
        <f>IF('Net zero activities &amp; levers'!$C$12="Off",'Activity data'!AL53*ManureNEF*NtoN2O*kgtoGg,'Net zero Activity data'!AL53*ManureNEF*NtoN2O*kgtoGg)</f>
        <v>0.31696486473191704</v>
      </c>
      <c r="T972" s="101">
        <f>IF('Net zero activities &amp; levers'!$C$12="Off",'Activity data'!AM53*ManureNEF*NtoN2O*kgtoGg,'Net zero Activity data'!AM53*ManureNEF*NtoN2O*kgtoGg)</f>
        <v>0.31648204564301863</v>
      </c>
      <c r="U972" s="101">
        <f>IF('Net zero activities &amp; levers'!$C$12="Off",'Activity data'!AN53*ManureNEF*NtoN2O*kgtoGg,'Net zero Activity data'!AN53*ManureNEF*NtoN2O*kgtoGg)</f>
        <v>0.31236529186506867</v>
      </c>
      <c r="V972" s="101">
        <f>IF('Net zero activities &amp; levers'!$C$12="Off",'Activity data'!AO53*ManureNEF*NtoN2O*kgtoGg,'Net zero Activity data'!AO53*ManureNEF*NtoN2O*kgtoGg)</f>
        <v>0.30737870112862636</v>
      </c>
      <c r="W972" s="101">
        <f>IF('Net zero activities &amp; levers'!$C$12="Off",'Activity data'!AP53*ManureNEF*NtoN2O*kgtoGg,'Net zero Activity data'!AP53*ManureNEF*NtoN2O*kgtoGg)</f>
        <v>0.30339966199657725</v>
      </c>
      <c r="X972" s="101">
        <f>IF('Net zero activities &amp; levers'!$C$12="Off",'Activity data'!AQ53*ManureNEF*NtoN2O*kgtoGg,'Net zero Activity data'!AQ53*ManureNEF*NtoN2O*kgtoGg)</f>
        <v>0.3029804135361821</v>
      </c>
      <c r="Y972" s="101">
        <f>IF('Net zero activities &amp; levers'!$C$12="Off",'Activity data'!AR53*ManureNEF*NtoN2O*kgtoGg,'Net zero Activity data'!AR53*ManureNEF*NtoN2O*kgtoGg)</f>
        <v>0.30300054164256607</v>
      </c>
      <c r="Z972" s="101">
        <f>IF('Net zero activities &amp; levers'!$C$12="Off",'Activity data'!AS53*ManureNEF*NtoN2O*kgtoGg,'Net zero Activity data'!AS53*ManureNEF*NtoN2O*kgtoGg)</f>
        <v>0.30343815391769152</v>
      </c>
      <c r="AA972" s="101">
        <f>IF('Net zero activities &amp; levers'!$C$12="Off",'Activity data'!AT53*ManureNEF*NtoN2O*kgtoGg,'Net zero Activity data'!AT53*ManureNEF*NtoN2O*kgtoGg)</f>
        <v>0.30200495968417901</v>
      </c>
      <c r="AB972" s="101">
        <f>IF('Net zero activities &amp; levers'!$C$12="Off",'Activity data'!AU53*ManureNEF*NtoN2O*kgtoGg,'Net zero Activity data'!AU53*ManureNEF*NtoN2O*kgtoGg)</f>
        <v>0.30167322485527831</v>
      </c>
      <c r="AC972" s="101">
        <f>IF('Net zero activities &amp; levers'!$C$12="Off",'Activity data'!AV53*ManureNEF*NtoN2O*kgtoGg,'Net zero Activity data'!AV53*ManureNEF*NtoN2O*kgtoGg)</f>
        <v>0.30263571404325273</v>
      </c>
      <c r="AD972" s="101">
        <f>IF('Net zero activities &amp; levers'!$C$12="Off",'Activity data'!AW53*ManureNEF*NtoN2O*kgtoGg,'Net zero Activity data'!AW53*ManureNEF*NtoN2O*kgtoGg)</f>
        <v>0.30434974092079836</v>
      </c>
      <c r="AE972" s="101">
        <f>IF('Net zero activities &amp; levers'!$C$12="Off",'Activity data'!AX53*ManureNEF*NtoN2O*kgtoGg,'Net zero Activity data'!AX53*ManureNEF*NtoN2O*kgtoGg)</f>
        <v>0.30605345803005068</v>
      </c>
      <c r="AF972" s="101">
        <f>IF('Net zero activities &amp; levers'!$C$12="Off",'Activity data'!AY53*ManureNEF*NtoN2O*kgtoGg,'Net zero Activity data'!AY53*ManureNEF*NtoN2O*kgtoGg)</f>
        <v>0.30745949383424687</v>
      </c>
      <c r="AG972" s="101">
        <f>IF('Net zero activities &amp; levers'!$C$12="Off",'Activity data'!AZ53*ManureNEF*NtoN2O*kgtoGg,'Net zero Activity data'!AZ53*ManureNEF*NtoN2O*kgtoGg)</f>
        <v>0.3096406279879137</v>
      </c>
      <c r="AH972" s="101">
        <f>IF('Net zero activities &amp; levers'!$C$12="Off",'Activity data'!BA53*ManureNEF*NtoN2O*kgtoGg,'Net zero Activity data'!BA53*ManureNEF*NtoN2O*kgtoGg)</f>
        <v>0.30975118745202407</v>
      </c>
      <c r="AI972" s="101">
        <f>IF('Net zero activities &amp; levers'!$C$12="Off",'Activity data'!BB53*ManureNEF*NtoN2O*kgtoGg,'Net zero Activity data'!BB53*ManureNEF*NtoN2O*kgtoGg)</f>
        <v>0.31000292929744971</v>
      </c>
      <c r="AJ972" s="101">
        <f>IF('Net zero activities &amp; levers'!$C$12="Off",'Activity data'!BC53*ManureNEF*NtoN2O*kgtoGg,'Net zero Activity data'!BC53*ManureNEF*NtoN2O*kgtoGg)</f>
        <v>0.30993113863843996</v>
      </c>
      <c r="AK972" s="101">
        <f>IF('Net zero activities &amp; levers'!$C$12="Off",'Activity data'!BD53*ManureNEF*NtoN2O*kgtoGg,'Net zero Activity data'!BD53*ManureNEF*NtoN2O*kgtoGg)</f>
        <v>0.30887457535115542</v>
      </c>
      <c r="AL972" s="101">
        <f>IF('Net zero activities &amp; levers'!$C$12="Off",'Activity data'!BE53*ManureNEF*NtoN2O*kgtoGg,'Net zero Activity data'!BE53*ManureNEF*NtoN2O*kgtoGg)</f>
        <v>0.30733638203665409</v>
      </c>
      <c r="AM972" s="101">
        <f>IF('Net zero activities &amp; levers'!$C$12="Off",'Activity data'!BF53*ManureNEF*NtoN2O*kgtoGg,'Net zero Activity data'!BF53*ManureNEF*NtoN2O*kgtoGg)</f>
        <v>0.3057140068977463</v>
      </c>
      <c r="AN972" s="101">
        <f>IF('Net zero activities &amp; levers'!$C$12="Off",'Activity data'!BG53*ManureNEF*NtoN2O*kgtoGg,'Net zero Activity data'!BG53*ManureNEF*NtoN2O*kgtoGg)</f>
        <v>0.3079300080138978</v>
      </c>
      <c r="AO972" s="101">
        <f>IF('Net zero activities &amp; levers'!$C$12="Off",'Activity data'!BH53*ManureNEF*NtoN2O*kgtoGg,'Net zero Activity data'!BH53*ManureNEF*NtoN2O*kgtoGg)</f>
        <v>0.30918442438431998</v>
      </c>
      <c r="AP972" s="101">
        <f>IF('Net zero activities &amp; levers'!$C$12="Off",'Activity data'!BI53*ManureNEF*NtoN2O*kgtoGg,'Net zero Activity data'!BI53*ManureNEF*NtoN2O*kgtoGg)</f>
        <v>0.31022855026440438</v>
      </c>
      <c r="AQ972" s="101">
        <f>IF('Net zero activities &amp; levers'!$C$12="Off",'Activity data'!BJ53*ManureNEF*NtoN2O*kgtoGg,'Net zero Activity data'!BJ53*ManureNEF*NtoN2O*kgtoGg)</f>
        <v>0.31107869785311565</v>
      </c>
      <c r="AR972" s="101">
        <f>IF('Net zero activities &amp; levers'!$C$12="Off",'Activity data'!BK53*ManureNEF*NtoN2O*kgtoGg,'Net zero Activity data'!BK53*ManureNEF*NtoN2O*kgtoGg)</f>
        <v>0.31220386361239449</v>
      </c>
      <c r="AS972" s="101">
        <f>IF('Net zero activities &amp; levers'!$C$12="Off",'Activity data'!BL53*ManureNEF*NtoN2O*kgtoGg,'Net zero Activity data'!BL53*ManureNEF*NtoN2O*kgtoGg)</f>
        <v>0.31319462294828965</v>
      </c>
      <c r="AT972" s="101">
        <f>IF('Net zero activities &amp; levers'!$C$12="Off",'Activity data'!BM53*ManureNEF*NtoN2O*kgtoGg,'Net zero Activity data'!BM53*ManureNEF*NtoN2O*kgtoGg)</f>
        <v>0.30967625472190002</v>
      </c>
      <c r="AU972" s="101">
        <f>IF('Net zero activities &amp; levers'!$C$12="Off",'Activity data'!BN53*ManureNEF*NtoN2O*kgtoGg,'Net zero Activity data'!BN53*ManureNEF*NtoN2O*kgtoGg)</f>
        <v>0.30575302835905838</v>
      </c>
      <c r="AV972" s="101">
        <f>IF('Net zero activities &amp; levers'!$C$12="Off",'Activity data'!BO53*ManureNEF*NtoN2O*kgtoGg,'Net zero Activity data'!BO53*ManureNEF*NtoN2O*kgtoGg)</f>
        <v>0.30225933587688003</v>
      </c>
      <c r="AW972" s="101">
        <f>IF('Net zero activities &amp; levers'!$C$12="Off",'Activity data'!BP53*ManureNEF*NtoN2O*kgtoGg,'Net zero Activity data'!BP53*ManureNEF*NtoN2O*kgtoGg)</f>
        <v>0.29841526004174268</v>
      </c>
      <c r="AY972" s="85"/>
      <c r="AZ972" s="85"/>
    </row>
    <row r="973" spans="1:52" x14ac:dyDescent="0.25">
      <c r="A973" s="102" t="str">
        <f t="shared" si="326"/>
        <v>DS Organic</v>
      </c>
      <c r="B973" s="102" t="s">
        <v>975</v>
      </c>
      <c r="C973" s="102" t="s">
        <v>1128</v>
      </c>
      <c r="D973" t="s">
        <v>369</v>
      </c>
      <c r="E973" t="s">
        <v>55</v>
      </c>
      <c r="F973" t="s">
        <v>421</v>
      </c>
      <c r="G973" t="s">
        <v>1161</v>
      </c>
      <c r="H973" t="s">
        <v>1162</v>
      </c>
      <c r="I973" t="s">
        <v>139</v>
      </c>
      <c r="J973" t="s">
        <v>287</v>
      </c>
      <c r="K973" s="101">
        <f>IF('Net zero activities &amp; levers'!$C$12="Off",'Activity data'!AD54*ManureNEF*NtoN2O*kgtoGg,'Net zero Activity data'!AD54*ManureNEF*NtoN2O*kgtoGg)</f>
        <v>2.6734246327620794</v>
      </c>
      <c r="L973" s="101">
        <f>IF('Net zero activities &amp; levers'!$C$12="Off",'Activity data'!AE54*ManureNEF*NtoN2O*kgtoGg,'Net zero Activity data'!AE54*ManureNEF*NtoN2O*kgtoGg)</f>
        <v>2.6598136474699339</v>
      </c>
      <c r="M973" s="101">
        <f>IF('Net zero activities &amp; levers'!$C$12="Off",'Activity data'!AF54*ManureNEF*NtoN2O*kgtoGg,'Net zero Activity data'!AF54*ManureNEF*NtoN2O*kgtoGg)</f>
        <v>2.6349711064560761</v>
      </c>
      <c r="N973" s="101">
        <f>IF('Net zero activities &amp; levers'!$C$12="Off",'Activity data'!AG54*ManureNEF*NtoN2O*kgtoGg,'Net zero Activity data'!AG54*ManureNEF*NtoN2O*kgtoGg)</f>
        <v>2.5669700525572687</v>
      </c>
      <c r="O973" s="101">
        <f>IF('Net zero activities &amp; levers'!$C$12="Off",'Activity data'!AH54*ManureNEF*NtoN2O*kgtoGg,'Net zero Activity data'!AH54*ManureNEF*NtoN2O*kgtoGg)</f>
        <v>2.5016826510120014</v>
      </c>
      <c r="P973" s="101">
        <f>IF('Net zero activities &amp; levers'!$C$12="Off",'Activity data'!AI54*ManureNEF*NtoN2O*kgtoGg,'Net zero Activity data'!AI54*ManureNEF*NtoN2O*kgtoGg)</f>
        <v>2.4803119086096084</v>
      </c>
      <c r="Q973" s="101">
        <f>IF('Net zero activities &amp; levers'!$C$12="Off",'Activity data'!AJ54*ManureNEF*NtoN2O*kgtoGg,'Net zero Activity data'!AJ54*ManureNEF*NtoN2O*kgtoGg)</f>
        <v>2.4457958859379039</v>
      </c>
      <c r="R973" s="101">
        <f>IF('Net zero activities &amp; levers'!$C$12="Off",'Activity data'!AK54*ManureNEF*NtoN2O*kgtoGg,'Net zero Activity data'!AK54*ManureNEF*NtoN2O*kgtoGg)</f>
        <v>2.3682451058194229</v>
      </c>
      <c r="S973" s="101">
        <f>IF('Net zero activities &amp; levers'!$C$12="Off",'Activity data'!AL54*ManureNEF*NtoN2O*kgtoGg,'Net zero Activity data'!AL54*ManureNEF*NtoN2O*kgtoGg)</f>
        <v>2.1080542743998265</v>
      </c>
      <c r="T973" s="101">
        <f>IF('Net zero activities &amp; levers'!$C$12="Off",'Activity data'!AM54*ManureNEF*NtoN2O*kgtoGg,'Net zero Activity data'!AM54*ManureNEF*NtoN2O*kgtoGg)</f>
        <v>2.1048431650392505</v>
      </c>
      <c r="U973" s="101">
        <f>IF('Net zero activities &amp; levers'!$C$12="Off",'Activity data'!AN54*ManureNEF*NtoN2O*kgtoGg,'Net zero Activity data'!AN54*ManureNEF*NtoN2O*kgtoGg)</f>
        <v>2.0774636622492526</v>
      </c>
      <c r="V973" s="101">
        <f>IF('Net zero activities &amp; levers'!$C$12="Off",'Activity data'!AO54*ManureNEF*NtoN2O*kgtoGg,'Net zero Activity data'!AO54*ManureNEF*NtoN2O*kgtoGg)</f>
        <v>2.0442990907579284</v>
      </c>
      <c r="W973" s="101">
        <f>IF('Net zero activities &amp; levers'!$C$12="Off",'Activity data'!AP54*ManureNEF*NtoN2O*kgtoGg,'Net zero Activity data'!AP54*ManureNEF*NtoN2O*kgtoGg)</f>
        <v>2.0178354937361735</v>
      </c>
      <c r="X973" s="101">
        <f>IF('Net zero activities &amp; levers'!$C$12="Off",'Activity data'!AQ54*ManureNEF*NtoN2O*kgtoGg,'Net zero Activity data'!AQ54*ManureNEF*NtoN2O*kgtoGg)</f>
        <v>2.0150471767732858</v>
      </c>
      <c r="Y973" s="101">
        <f>IF('Net zero activities &amp; levers'!$C$12="Off",'Activity data'!AR54*ManureNEF*NtoN2O*kgtoGg,'Net zero Activity data'!AR54*ManureNEF*NtoN2O*kgtoGg)</f>
        <v>2.0151810437895374</v>
      </c>
      <c r="Z973" s="101">
        <f>IF('Net zero activities &amp; levers'!$C$12="Off",'Activity data'!AS54*ManureNEF*NtoN2O*kgtoGg,'Net zero Activity data'!AS54*ManureNEF*NtoN2O*kgtoGg)</f>
        <v>2.0180914939048469</v>
      </c>
      <c r="AA973" s="101">
        <f>IF('Net zero activities &amp; levers'!$C$12="Off",'Activity data'!AT54*ManureNEF*NtoN2O*kgtoGg,'Net zero Activity data'!AT54*ManureNEF*NtoN2O*kgtoGg)</f>
        <v>2.0085596764507057</v>
      </c>
      <c r="AB973" s="101">
        <f>IF('Net zero activities &amp; levers'!$C$12="Off",'Activity data'!AU54*ManureNEF*NtoN2O*kgtoGg,'Net zero Activity data'!AU54*ManureNEF*NtoN2O*kgtoGg)</f>
        <v>2.0063533908277771</v>
      </c>
      <c r="AC973" s="101">
        <f>IF('Net zero activities &amp; levers'!$C$12="Off",'Activity data'!AV54*ManureNEF*NtoN2O*kgtoGg,'Net zero Activity data'!AV54*ManureNEF*NtoN2O*kgtoGg)</f>
        <v>2.012754666402877</v>
      </c>
      <c r="AD973" s="101">
        <f>IF('Net zero activities &amp; levers'!$C$12="Off",'Activity data'!AW54*ManureNEF*NtoN2O*kgtoGg,'Net zero Activity data'!AW54*ManureNEF*NtoN2O*kgtoGg)</f>
        <v>2.024154231741774</v>
      </c>
      <c r="AE973" s="101">
        <f>IF('Net zero activities &amp; levers'!$C$12="Off",'Activity data'!AX54*ManureNEF*NtoN2O*kgtoGg,'Net zero Activity data'!AX54*ManureNEF*NtoN2O*kgtoGg)</f>
        <v>2.03548522938268</v>
      </c>
      <c r="AF973" s="101">
        <f>IF('Net zero activities &amp; levers'!$C$12="Off",'Activity data'!AY54*ManureNEF*NtoN2O*kgtoGg,'Net zero Activity data'!AY54*ManureNEF*NtoN2O*kgtoGg)</f>
        <v>2.0448364228958851</v>
      </c>
      <c r="AG973" s="101">
        <f>IF('Net zero activities &amp; levers'!$C$12="Off",'Activity data'!AZ54*ManureNEF*NtoN2O*kgtoGg,'Net zero Activity data'!AZ54*ManureNEF*NtoN2O*kgtoGg)</f>
        <v>2.0593426022466006</v>
      </c>
      <c r="AH973" s="101">
        <f>IF('Net zero activities &amp; levers'!$C$12="Off",'Activity data'!BA54*ManureNEF*NtoN2O*kgtoGg,'Net zero Activity data'!BA54*ManureNEF*NtoN2O*kgtoGg)</f>
        <v>2.0600779056723937</v>
      </c>
      <c r="AI973" s="101">
        <f>IF('Net zero activities &amp; levers'!$C$12="Off",'Activity data'!BB54*ManureNEF*NtoN2O*kgtoGg,'Net zero Activity data'!BB54*ManureNEF*NtoN2O*kgtoGg)</f>
        <v>2.0617521779099288</v>
      </c>
      <c r="AJ973" s="101">
        <f>IF('Net zero activities &amp; levers'!$C$12="Off",'Activity data'!BC54*ManureNEF*NtoN2O*kgtoGg,'Net zero Activity data'!BC54*ManureNEF*NtoN2O*kgtoGg)</f>
        <v>2.0612747161391569</v>
      </c>
      <c r="AK973" s="101">
        <f>IF('Net zero activities &amp; levers'!$C$12="Off",'Activity data'!BD54*ManureNEF*NtoN2O*kgtoGg,'Net zero Activity data'!BD54*ManureNEF*NtoN2O*kgtoGg)</f>
        <v>2.0542477771886269</v>
      </c>
      <c r="AL973" s="101">
        <f>IF('Net zero activities &amp; levers'!$C$12="Off",'Activity data'!BE54*ManureNEF*NtoN2O*kgtoGg,'Net zero Activity data'!BE54*ManureNEF*NtoN2O*kgtoGg)</f>
        <v>2.0440176370302527</v>
      </c>
      <c r="AM973" s="101">
        <f>IF('Net zero activities &amp; levers'!$C$12="Off",'Activity data'!BF54*ManureNEF*NtoN2O*kgtoGg,'Net zero Activity data'!BF54*ManureNEF*NtoN2O*kgtoGg)</f>
        <v>2.0332276245500145</v>
      </c>
      <c r="AN973" s="101">
        <f>IF('Net zero activities &amp; levers'!$C$12="Off",'Activity data'!BG54*ManureNEF*NtoN2O*kgtoGg,'Net zero Activity data'!BG54*ManureNEF*NtoN2O*kgtoGg)</f>
        <v>2.0479656953735077</v>
      </c>
      <c r="AO973" s="101">
        <f>IF('Net zero activities &amp; levers'!$C$12="Off",'Activity data'!BH54*ManureNEF*NtoN2O*kgtoGg,'Net zero Activity data'!BH54*ManureNEF*NtoN2O*kgtoGg)</f>
        <v>2.0563085058417343</v>
      </c>
      <c r="AP973" s="101">
        <f>IF('Net zero activities &amp; levers'!$C$12="Off",'Activity data'!BI54*ManureNEF*NtoN2O*kgtoGg,'Net zero Activity data'!BI54*ManureNEF*NtoN2O*kgtoGg)</f>
        <v>2.0632527266984679</v>
      </c>
      <c r="AQ973" s="101">
        <f>IF('Net zero activities &amp; levers'!$C$12="Off",'Activity data'!BJ54*ManureNEF*NtoN2O*kgtoGg,'Net zero Activity data'!BJ54*ManureNEF*NtoN2O*kgtoGg)</f>
        <v>2.0689068463112825</v>
      </c>
      <c r="AR973" s="101">
        <f>IF('Net zero activities &amp; levers'!$C$12="Off",'Activity data'!BK54*ManureNEF*NtoN2O*kgtoGg,'Net zero Activity data'!BK54*ManureNEF*NtoN2O*kgtoGg)</f>
        <v>2.0763900431957762</v>
      </c>
      <c r="AS973" s="101">
        <f>IF('Net zero activities &amp; levers'!$C$12="Off",'Activity data'!BL54*ManureNEF*NtoN2O*kgtoGg,'Net zero Activity data'!BL54*ManureNEF*NtoN2O*kgtoGg)</f>
        <v>2.0829793364750229</v>
      </c>
      <c r="AT973" s="101">
        <f>IF('Net zero activities &amp; levers'!$C$12="Off",'Activity data'!BM54*ManureNEF*NtoN2O*kgtoGg,'Net zero Activity data'!BM54*ManureNEF*NtoN2O*kgtoGg)</f>
        <v>2.0595795467701734</v>
      </c>
      <c r="AU973" s="101">
        <f>IF('Net zero activities &amp; levers'!$C$12="Off",'Activity data'!BN54*ManureNEF*NtoN2O*kgtoGg,'Net zero Activity data'!BN54*ManureNEF*NtoN2O*kgtoGg)</f>
        <v>2.0334871465584921</v>
      </c>
      <c r="AV973" s="101">
        <f>IF('Net zero activities &amp; levers'!$C$12="Off",'Activity data'!BO54*ManureNEF*NtoN2O*kgtoGg,'Net zero Activity data'!BO54*ManureNEF*NtoN2O*kgtoGg)</f>
        <v>2.010251469075047</v>
      </c>
      <c r="AW973" s="101">
        <f>IF('Net zero activities &amp; levers'!$C$12="Off",'Activity data'!BP54*ManureNEF*NtoN2O*kgtoGg,'Net zero Activity data'!BP54*ManureNEF*NtoN2O*kgtoGg)</f>
        <v>1.9846854792855095</v>
      </c>
      <c r="AY973" s="85"/>
      <c r="AZ973" s="85"/>
    </row>
    <row r="974" spans="1:52" x14ac:dyDescent="0.25">
      <c r="A974" s="102" t="str">
        <f t="shared" si="326"/>
        <v>DS Organic</v>
      </c>
      <c r="B974" s="102" t="s">
        <v>975</v>
      </c>
      <c r="C974" s="102" t="s">
        <v>1128</v>
      </c>
      <c r="D974" t="s">
        <v>369</v>
      </c>
      <c r="E974" t="s">
        <v>55</v>
      </c>
      <c r="F974" t="s">
        <v>421</v>
      </c>
      <c r="G974" t="s">
        <v>1163</v>
      </c>
      <c r="H974" t="s">
        <v>1164</v>
      </c>
      <c r="I974" t="s">
        <v>139</v>
      </c>
      <c r="J974" t="s">
        <v>287</v>
      </c>
      <c r="K974" s="101">
        <f>IF('Net zero activities &amp; levers'!$C$12="Off",'Activity data'!AD55*ManureNEF*NtoN2O*kgtoGg,'Net zero Activity data'!AD55*ManureNEF*NtoN2O*kgtoGg)</f>
        <v>0.34456271820054257</v>
      </c>
      <c r="L974" s="101">
        <f>IF('Net zero activities &amp; levers'!$C$12="Off",'Activity data'!AE55*ManureNEF*NtoN2O*kgtoGg,'Net zero Activity data'!AE55*ManureNEF*NtoN2O*kgtoGg)</f>
        <v>0.35741698731572036</v>
      </c>
      <c r="M974" s="101">
        <f>IF('Net zero activities &amp; levers'!$C$12="Off",'Activity data'!AF55*ManureNEF*NtoN2O*kgtoGg,'Net zero Activity data'!AF55*ManureNEF*NtoN2O*kgtoGg)</f>
        <v>0.36896489164513291</v>
      </c>
      <c r="N974" s="101">
        <f>IF('Net zero activities &amp; levers'!$C$12="Off",'Activity data'!AG55*ManureNEF*NtoN2O*kgtoGg,'Net zero Activity data'!AG55*ManureNEF*NtoN2O*kgtoGg)</f>
        <v>0.37438401076610434</v>
      </c>
      <c r="O974" s="101">
        <f>IF('Net zero activities &amp; levers'!$C$12="Off",'Activity data'!AH55*ManureNEF*NtoN2O*kgtoGg,'Net zero Activity data'!AH55*ManureNEF*NtoN2O*kgtoGg)</f>
        <v>0.37988604718806568</v>
      </c>
      <c r="P974" s="101">
        <f>IF('Net zero activities &amp; levers'!$C$12="Off",'Activity data'!AI55*ManureNEF*NtoN2O*kgtoGg,'Net zero Activity data'!AI55*ManureNEF*NtoN2O*kgtoGg)</f>
        <v>0.39203102133073692</v>
      </c>
      <c r="Q974" s="101">
        <f>IF('Net zero activities &amp; levers'!$C$12="Off",'Activity data'!AJ55*ManureNEF*NtoN2O*kgtoGg,'Net zero Activity data'!AJ55*ManureNEF*NtoN2O*kgtoGg)</f>
        <v>0.40227536328848007</v>
      </c>
      <c r="R974" s="101">
        <f>IF('Net zero activities &amp; levers'!$C$12="Off",'Activity data'!AK55*ManureNEF*NtoN2O*kgtoGg,'Net zero Activity data'!AK55*ManureNEF*NtoN2O*kgtoGg)</f>
        <v>0.40526591417131741</v>
      </c>
      <c r="S974" s="101">
        <f>IF('Net zero activities &amp; levers'!$C$12="Off",'Activity data'!AL55*ManureNEF*NtoN2O*kgtoGg,'Net zero Activity data'!AL55*ManureNEF*NtoN2O*kgtoGg)</f>
        <v>0.37527481867018142</v>
      </c>
      <c r="T974" s="101">
        <f>IF('Net zero activities &amp; levers'!$C$12="Off",'Activity data'!AM55*ManureNEF*NtoN2O*kgtoGg,'Net zero Activity data'!AM55*ManureNEF*NtoN2O*kgtoGg)</f>
        <v>0.38783783852415621</v>
      </c>
      <c r="U974" s="101">
        <f>IF('Net zero activities &amp; levers'!$C$12="Off",'Activity data'!AN55*ManureNEF*NtoN2O*kgtoGg,'Net zero Activity data'!AN55*ManureNEF*NtoN2O*kgtoGg)</f>
        <v>0.39611258413037764</v>
      </c>
      <c r="V974" s="101">
        <f>IF('Net zero activities &amp; levers'!$C$12="Off",'Activity data'!AO55*ManureNEF*NtoN2O*kgtoGg,'Net zero Activity data'!AO55*ManureNEF*NtoN2O*kgtoGg)</f>
        <v>0.40326356259153767</v>
      </c>
      <c r="W974" s="101">
        <f>IF('Net zero activities &amp; levers'!$C$12="Off",'Activity data'!AP55*ManureNEF*NtoN2O*kgtoGg,'Net zero Activity data'!AP55*ManureNEF*NtoN2O*kgtoGg)</f>
        <v>0.41172344948842088</v>
      </c>
      <c r="X974" s="101">
        <f>IF('Net zero activities &amp; levers'!$C$12="Off",'Activity data'!AQ55*ManureNEF*NtoN2O*kgtoGg,'Net zero Activity data'!AQ55*ManureNEF*NtoN2O*kgtoGg)</f>
        <v>0.42521310665197531</v>
      </c>
      <c r="Y974" s="101">
        <f>IF('Net zero activities &amp; levers'!$C$12="Off",'Activity data'!AR55*ManureNEF*NtoN2O*kgtoGg,'Net zero Activity data'!AR55*ManureNEF*NtoN2O*kgtoGg)</f>
        <v>0.43971650541893587</v>
      </c>
      <c r="Z974" s="101">
        <f>IF('Net zero activities &amp; levers'!$C$12="Off",'Activity data'!AS55*ManureNEF*NtoN2O*kgtoGg,'Net zero Activity data'!AS55*ManureNEF*NtoN2O*kgtoGg)</f>
        <v>0.45528270196780979</v>
      </c>
      <c r="AA974" s="101">
        <f>IF('Net zero activities &amp; levers'!$C$12="Off",'Activity data'!AT55*ManureNEF*NtoN2O*kgtoGg,'Net zero Activity data'!AT55*ManureNEF*NtoN2O*kgtoGg)</f>
        <v>0.46844532370840114</v>
      </c>
      <c r="AB974" s="101">
        <f>IF('Net zero activities &amp; levers'!$C$12="Off",'Activity data'!AU55*ManureNEF*NtoN2O*kgtoGg,'Net zero Activity data'!AU55*ManureNEF*NtoN2O*kgtoGg)</f>
        <v>0.48369888710644504</v>
      </c>
      <c r="AC974" s="101">
        <f>IF('Net zero activities &amp; levers'!$C$12="Off",'Activity data'!AV55*ManureNEF*NtoN2O*kgtoGg,'Net zero Activity data'!AV55*ManureNEF*NtoN2O*kgtoGg)</f>
        <v>0.50155485112354048</v>
      </c>
      <c r="AD974" s="101">
        <f>IF('Net zero activities &amp; levers'!$C$12="Off",'Activity data'!AW55*ManureNEF*NtoN2O*kgtoGg,'Net zero Activity data'!AW55*ManureNEF*NtoN2O*kgtoGg)</f>
        <v>0.52136980143686562</v>
      </c>
      <c r="AE974" s="101">
        <f>IF('Net zero activities &amp; levers'!$C$12="Off",'Activity data'!AX55*ManureNEF*NtoN2O*kgtoGg,'Net zero Activity data'!AX55*ManureNEF*NtoN2O*kgtoGg)</f>
        <v>0.54196801871569633</v>
      </c>
      <c r="AF974" s="101">
        <f>IF('Net zero activities &amp; levers'!$C$12="Off",'Activity data'!AY55*ManureNEF*NtoN2O*kgtoGg,'Net zero Activity data'!AY55*ManureNEF*NtoN2O*kgtoGg)</f>
        <v>0.56286648067759448</v>
      </c>
      <c r="AG974" s="101">
        <f>IF('Net zero activities &amp; levers'!$C$12="Off",'Activity data'!AZ55*ManureNEF*NtoN2O*kgtoGg,'Net zero Activity data'!AZ55*ManureNEF*NtoN2O*kgtoGg)</f>
        <v>0.58608824740498355</v>
      </c>
      <c r="AH974" s="101">
        <f>IF('Net zero activities &amp; levers'!$C$12="Off",'Activity data'!BA55*ManureNEF*NtoN2O*kgtoGg,'Net zero Activity data'!BA55*ManureNEF*NtoN2O*kgtoGg)</f>
        <v>0.60626273604863568</v>
      </c>
      <c r="AI974" s="101">
        <f>IF('Net zero activities &amp; levers'!$C$12="Off",'Activity data'!BB55*ManureNEF*NtoN2O*kgtoGg,'Net zero Activity data'!BB55*ManureNEF*NtoN2O*kgtoGg)</f>
        <v>0.62750973971218593</v>
      </c>
      <c r="AJ974" s="101">
        <f>IF('Net zero activities &amp; levers'!$C$12="Off",'Activity data'!BC55*ManureNEF*NtoN2O*kgtoGg,'Net zero Activity data'!BC55*ManureNEF*NtoN2O*kgtoGg)</f>
        <v>0.64893228288125915</v>
      </c>
      <c r="AK974" s="101">
        <f>IF('Net zero activities &amp; levers'!$C$12="Off",'Activity data'!BD55*ManureNEF*NtoN2O*kgtoGg,'Net zero Activity data'!BD55*ManureNEF*NtoN2O*kgtoGg)</f>
        <v>0.66907896803408007</v>
      </c>
      <c r="AL974" s="101">
        <f>IF('Net zero activities &amp; levers'!$C$12="Off",'Activity data'!BE55*ManureNEF*NtoN2O*kgtoGg,'Net zero Activity data'!BE55*ManureNEF*NtoN2O*kgtoGg)</f>
        <v>0.68890724971311523</v>
      </c>
      <c r="AM974" s="101">
        <f>IF('Net zero activities &amp; levers'!$C$12="Off",'Activity data'!BF55*ManureNEF*NtoN2O*kgtoGg,'Net zero Activity data'!BF55*ManureNEF*NtoN2O*kgtoGg)</f>
        <v>0.70927282946025161</v>
      </c>
      <c r="AN974" s="101">
        <f>IF('Net zero activities &amp; levers'!$C$12="Off",'Activity data'!BG55*ManureNEF*NtoN2O*kgtoGg,'Net zero Activity data'!BG55*ManureNEF*NtoN2O*kgtoGg)</f>
        <v>0.73495293516356586</v>
      </c>
      <c r="AO974" s="101">
        <f>IF('Net zero activities &amp; levers'!$C$12="Off",'Activity data'!BH55*ManureNEF*NtoN2O*kgtoGg,'Net zero Activity data'!BH55*ManureNEF*NtoN2O*kgtoGg)</f>
        <v>0.7592376387050519</v>
      </c>
      <c r="AP974" s="101">
        <f>IF('Net zero activities &amp; levers'!$C$12="Off",'Activity data'!BI55*ManureNEF*NtoN2O*kgtoGg,'Net zero Activity data'!BI55*ManureNEF*NtoN2O*kgtoGg)</f>
        <v>0.78386800278505075</v>
      </c>
      <c r="AQ974" s="101">
        <f>IF('Net zero activities &amp; levers'!$C$12="Off",'Activity data'!BJ55*ManureNEF*NtoN2O*kgtoGg,'Net zero Activity data'!BJ55*ManureNEF*NtoN2O*kgtoGg)</f>
        <v>0.80888415123265511</v>
      </c>
      <c r="AR974" s="101">
        <f>IF('Net zero activities &amp; levers'!$C$12="Off",'Activity data'!BK55*ManureNEF*NtoN2O*kgtoGg,'Net zero Activity data'!BK55*ManureNEF*NtoN2O*kgtoGg)</f>
        <v>0.83554233035298786</v>
      </c>
      <c r="AS974" s="101">
        <f>IF('Net zero activities &amp; levers'!$C$12="Off",'Activity data'!BL55*ManureNEF*NtoN2O*kgtoGg,'Net zero Activity data'!BL55*ManureNEF*NtoN2O*kgtoGg)</f>
        <v>0.86282623003057179</v>
      </c>
      <c r="AT974" s="101">
        <f>IF('Net zero activities &amp; levers'!$C$12="Off",'Activity data'!BM55*ManureNEF*NtoN2O*kgtoGg,'Net zero Activity data'!BM55*ManureNEF*NtoN2O*kgtoGg)</f>
        <v>0.87834693373696993</v>
      </c>
      <c r="AU974" s="101">
        <f>IF('Net zero activities &amp; levers'!$C$12="Off",'Activity data'!BN55*ManureNEF*NtoN2O*kgtoGg,'Net zero Activity data'!BN55*ManureNEF*NtoN2O*kgtoGg)</f>
        <v>0.89300528362769183</v>
      </c>
      <c r="AV974" s="101">
        <f>IF('Net zero activities &amp; levers'!$C$12="Off",'Activity data'!BO55*ManureNEF*NtoN2O*kgtoGg,'Net zero Activity data'!BO55*ManureNEF*NtoN2O*kgtoGg)</f>
        <v>0.90922164965215835</v>
      </c>
      <c r="AW974" s="101">
        <f>IF('Net zero activities &amp; levers'!$C$12="Off",'Activity data'!BP55*ManureNEF*NtoN2O*kgtoGg,'Net zero Activity data'!BP55*ManureNEF*NtoN2O*kgtoGg)</f>
        <v>0.92470981855406131</v>
      </c>
      <c r="AY974" s="85"/>
      <c r="AZ974" s="85"/>
    </row>
    <row r="975" spans="1:52" x14ac:dyDescent="0.25">
      <c r="A975" s="102" t="str">
        <f t="shared" si="326"/>
        <v>DS Organic</v>
      </c>
      <c r="B975" s="102" t="s">
        <v>975</v>
      </c>
      <c r="C975" s="102" t="s">
        <v>1128</v>
      </c>
      <c r="D975" t="s">
        <v>369</v>
      </c>
      <c r="E975" t="s">
        <v>55</v>
      </c>
      <c r="F975" t="s">
        <v>421</v>
      </c>
      <c r="G975" t="s">
        <v>1165</v>
      </c>
      <c r="H975" t="s">
        <v>1166</v>
      </c>
      <c r="I975" t="s">
        <v>139</v>
      </c>
      <c r="J975" t="s">
        <v>287</v>
      </c>
      <c r="K975" s="101">
        <f>IF('Net zero activities &amp; levers'!$C$12="Off",'Activity data'!AD56*ManureNEF*NtoN2O*kgtoGg,IF('Net zero activities &amp; levers'!$C$12="PB",'Activity data'!AD56*ManureNEF*NtoN2O*kgtoGg,IF('Net zero activities &amp; levers'!$C$12="MS",'Net zero Activity data'!AD56*ManureNEF*NtoN2O*kgtoGg,"ERROR")))</f>
        <v>5.8351352726762881E-2</v>
      </c>
      <c r="L975" s="101">
        <f>IF('Net zero activities &amp; levers'!$C$12="Off",'Activity data'!AE56*ManureNEF*NtoN2O*kgtoGg,IF('Net zero activities &amp; levers'!$C$12="PB",'Activity data'!AE56*ManureNEF*NtoN2O*kgtoGg,IF('Net zero activities &amp; levers'!$C$12="MS",'Net zero Activity data'!AE56*ManureNEF*NtoN2O*kgtoGg,"ERROR")))</f>
        <v>5.838284383946888E-2</v>
      </c>
      <c r="M975" s="101">
        <f>IF('Net zero activities &amp; levers'!$C$12="Off",'Activity data'!AF56*ManureNEF*NtoN2O*kgtoGg,IF('Net zero activities &amp; levers'!$C$12="PB",'Activity data'!AF56*ManureNEF*NtoN2O*kgtoGg,IF('Net zero activities &amp; levers'!$C$12="MS",'Net zero Activity data'!AF56*ManureNEF*NtoN2O*kgtoGg,"ERROR")))</f>
        <v>5.8455239222652444E-2</v>
      </c>
      <c r="N975" s="101">
        <f>IF('Net zero activities &amp; levers'!$C$12="Off",'Activity data'!AG56*ManureNEF*NtoN2O*kgtoGg,IF('Net zero activities &amp; levers'!$C$12="PB",'Activity data'!AG56*ManureNEF*NtoN2O*kgtoGg,IF('Net zero activities &amp; levers'!$C$12="MS",'Net zero Activity data'!AG56*ManureNEF*NtoN2O*kgtoGg,"ERROR")))</f>
        <v>5.8562716913640872E-2</v>
      </c>
      <c r="O975" s="101">
        <f>IF('Net zero activities &amp; levers'!$C$12="Off",'Activity data'!AH56*ManureNEF*NtoN2O*kgtoGg,IF('Net zero activities &amp; levers'!$C$12="PB",'Activity data'!AH56*ManureNEF*NtoN2O*kgtoGg,IF('Net zero activities &amp; levers'!$C$12="MS",'Net zero Activity data'!AH56*ManureNEF*NtoN2O*kgtoGg,"ERROR")))</f>
        <v>5.8707782505400478E-2</v>
      </c>
      <c r="P975" s="101">
        <f>IF('Net zero activities &amp; levers'!$C$12="Off",'Activity data'!AI56*ManureNEF*NtoN2O*kgtoGg,IF('Net zero activities &amp; levers'!$C$12="PB",'Activity data'!AI56*ManureNEF*NtoN2O*kgtoGg,IF('Net zero activities &amp; levers'!$C$12="MS",'Net zero Activity data'!AI56*ManureNEF*NtoN2O*kgtoGg,"ERROR")))</f>
        <v>5.8893351419097517E-2</v>
      </c>
      <c r="Q975" s="101">
        <f>IF('Net zero activities &amp; levers'!$C$12="Off",'Activity data'!AJ56*ManureNEF*NtoN2O*kgtoGg,IF('Net zero activities &amp; levers'!$C$12="PB",'Activity data'!AJ56*ManureNEF*NtoN2O*kgtoGg,IF('Net zero activities &amp; levers'!$C$12="MS",'Net zero Activity data'!AJ56*ManureNEF*NtoN2O*kgtoGg,"ERROR")))</f>
        <v>5.909782905733385E-2</v>
      </c>
      <c r="R975" s="101">
        <f>IF('Net zero activities &amp; levers'!$C$12="Off",'Activity data'!AK56*ManureNEF*NtoN2O*kgtoGg,IF('Net zero activities &amp; levers'!$C$12="PB",'Activity data'!AK56*ManureNEF*NtoN2O*kgtoGg,IF('Net zero activities &amp; levers'!$C$12="MS",'Net zero Activity data'!AK56*ManureNEF*NtoN2O*kgtoGg,"ERROR")))</f>
        <v>5.9318039560246685E-2</v>
      </c>
      <c r="S975" s="101">
        <f>IF('Net zero activities &amp; levers'!$C$12="Off",'Activity data'!AL56*ManureNEF*NtoN2O*kgtoGg,IF('Net zero activities &amp; levers'!$C$12="PB",'Activity data'!AL56*ManureNEF*NtoN2O*kgtoGg,IF('Net zero activities &amp; levers'!$C$12="MS",'Net zero Activity data'!AL56*ManureNEF*NtoN2O*kgtoGg,"ERROR")))</f>
        <v>5.9536211182470676E-2</v>
      </c>
      <c r="T975" s="101">
        <f>IF('Net zero activities &amp; levers'!$C$12="Off",'Activity data'!AM56*ManureNEF*NtoN2O*kgtoGg,IF('Net zero activities &amp; levers'!$C$12="PB",'Activity data'!AM56*ManureNEF*NtoN2O*kgtoGg,IF('Net zero activities &amp; levers'!$C$12="MS",'Net zero Activity data'!AM56*ManureNEF*NtoN2O*kgtoGg,"ERROR")))</f>
        <v>5.9625496743982688E-2</v>
      </c>
      <c r="U975" s="101">
        <f>IF('Net zero activities &amp; levers'!$C$12="Off",'Activity data'!AN56*ManureNEF*NtoN2O*kgtoGg,IF('Net zero activities &amp; levers'!$C$12="PB",'Activity data'!AN56*ManureNEF*NtoN2O*kgtoGg,IF('Net zero activities &amp; levers'!$C$12="MS",'Net zero Activity data'!AN56*ManureNEF*NtoN2O*kgtoGg,"ERROR")))</f>
        <v>5.9726883271183619E-2</v>
      </c>
      <c r="V975" s="101">
        <f>IF('Net zero activities &amp; levers'!$C$12="Off",'Activity data'!AO56*ManureNEF*NtoN2O*kgtoGg,IF('Net zero activities &amp; levers'!$C$12="PB",'Activity data'!AO56*ManureNEF*NtoN2O*kgtoGg,IF('Net zero activities &amp; levers'!$C$12="MS",'Net zero Activity data'!AO56*ManureNEF*NtoN2O*kgtoGg,"ERROR")))</f>
        <v>5.9841544259393621E-2</v>
      </c>
      <c r="W975" s="101">
        <f>IF('Net zero activities &amp; levers'!$C$12="Off",'Activity data'!AP56*ManureNEF*NtoN2O*kgtoGg,IF('Net zero activities &amp; levers'!$C$12="PB",'Activity data'!AP56*ManureNEF*NtoN2O*kgtoGg,IF('Net zero activities &amp; levers'!$C$12="MS",'Net zero Activity data'!AP56*ManureNEF*NtoN2O*kgtoGg,"ERROR")))</f>
        <v>5.9970311446414445E-2</v>
      </c>
      <c r="X975" s="101">
        <f>IF('Net zero activities &amp; levers'!$C$12="Off",'Activity data'!AQ56*ManureNEF*NtoN2O*kgtoGg,IF('Net zero activities &amp; levers'!$C$12="PB",'Activity data'!AQ56*ManureNEF*NtoN2O*kgtoGg,IF('Net zero activities &amp; levers'!$C$12="MS",'Net zero Activity data'!AQ56*ManureNEF*NtoN2O*kgtoGg,"ERROR")))</f>
        <v>6.0115005305831533E-2</v>
      </c>
      <c r="Y975" s="101">
        <f>IF('Net zero activities &amp; levers'!$C$12="Off",'Activity data'!AR56*ManureNEF*NtoN2O*kgtoGg,IF('Net zero activities &amp; levers'!$C$12="PB",'Activity data'!AR56*ManureNEF*NtoN2O*kgtoGg,IF('Net zero activities &amp; levers'!$C$12="MS",'Net zero Activity data'!AR56*ManureNEF*NtoN2O*kgtoGg,"ERROR")))</f>
        <v>6.0205982501934943E-2</v>
      </c>
      <c r="Z975" s="101">
        <f>IF('Net zero activities &amp; levers'!$C$12="Off",'Activity data'!AS56*ManureNEF*NtoN2O*kgtoGg,IF('Net zero activities &amp; levers'!$C$12="PB",'Activity data'!AS56*ManureNEF*NtoN2O*kgtoGg,IF('Net zero activities &amp; levers'!$C$12="MS",'Net zero Activity data'!AS56*ManureNEF*NtoN2O*kgtoGg,"ERROR")))</f>
        <v>6.0308427456259674E-2</v>
      </c>
      <c r="AA975" s="101">
        <f>IF('Net zero activities &amp; levers'!$C$12="Off",'Activity data'!AT56*ManureNEF*NtoN2O*kgtoGg,IF('Net zero activities &amp; levers'!$C$12="PB",'Activity data'!AT56*ManureNEF*NtoN2O*kgtoGg,IF('Net zero activities &amp; levers'!$C$12="MS",'Net zero Activity data'!AT56*ManureNEF*NtoN2O*kgtoGg,"ERROR")))</f>
        <v>6.0419488984851388E-2</v>
      </c>
      <c r="AB975" s="101">
        <f>IF('Net zero activities &amp; levers'!$C$12="Off",'Activity data'!AU56*ManureNEF*NtoN2O*kgtoGg,IF('Net zero activities &amp; levers'!$C$12="PB",'Activity data'!AU56*ManureNEF*NtoN2O*kgtoGg,IF('Net zero activities &amp; levers'!$C$12="MS",'Net zero Activity data'!AU56*ManureNEF*NtoN2O*kgtoGg,"ERROR")))</f>
        <v>6.0541770911636386E-2</v>
      </c>
      <c r="AC975" s="101">
        <f>IF('Net zero activities &amp; levers'!$C$12="Off",'Activity data'!AV56*ManureNEF*NtoN2O*kgtoGg,IF('Net zero activities &amp; levers'!$C$12="PB",'Activity data'!AV56*ManureNEF*NtoN2O*kgtoGg,IF('Net zero activities &amp; levers'!$C$12="MS",'Net zero Activity data'!AV56*ManureNEF*NtoN2O*kgtoGg,"ERROR")))</f>
        <v>6.0675259234702413E-2</v>
      </c>
      <c r="AD975" s="101">
        <f>IF('Net zero activities &amp; levers'!$C$12="Off",'Activity data'!AW56*ManureNEF*NtoN2O*kgtoGg,IF('Net zero activities &amp; levers'!$C$12="PB",'Activity data'!AW56*ManureNEF*NtoN2O*kgtoGg,IF('Net zero activities &amp; levers'!$C$12="MS",'Net zero Activity data'!AW56*ManureNEF*NtoN2O*kgtoGg,"ERROR")))</f>
        <v>6.0763612545599144E-2</v>
      </c>
      <c r="AE975" s="101">
        <f>IF('Net zero activities &amp; levers'!$C$12="Off",'Activity data'!AX56*ManureNEF*NtoN2O*kgtoGg,IF('Net zero activities &amp; levers'!$C$12="PB",'Activity data'!AX56*ManureNEF*NtoN2O*kgtoGg,IF('Net zero activities &amp; levers'!$C$12="MS",'Net zero Activity data'!AX56*ManureNEF*NtoN2O*kgtoGg,"ERROR")))</f>
        <v>6.0860562125647062E-2</v>
      </c>
      <c r="AF975" s="101">
        <f>IF('Net zero activities &amp; levers'!$C$12="Off",'Activity data'!AY56*ManureNEF*NtoN2O*kgtoGg,IF('Net zero activities &amp; levers'!$C$12="PB",'Activity data'!AY56*ManureNEF*NtoN2O*kgtoGg,IF('Net zero activities &amp; levers'!$C$12="MS",'Net zero Activity data'!AY56*ManureNEF*NtoN2O*kgtoGg,"ERROR")))</f>
        <v>6.0965456696796608E-2</v>
      </c>
      <c r="AG975" s="101">
        <f>IF('Net zero activities &amp; levers'!$C$12="Off",'Activity data'!AZ56*ManureNEF*NtoN2O*kgtoGg,IF('Net zero activities &amp; levers'!$C$12="PB",'Activity data'!AZ56*ManureNEF*NtoN2O*kgtoGg,IF('Net zero activities &amp; levers'!$C$12="MS",'Net zero Activity data'!AZ56*ManureNEF*NtoN2O*kgtoGg,"ERROR")))</f>
        <v>6.1079431750386354E-2</v>
      </c>
      <c r="AH975" s="101">
        <f>IF('Net zero activities &amp; levers'!$C$12="Off",'Activity data'!BA56*ManureNEF*NtoN2O*kgtoGg,IF('Net zero activities &amp; levers'!$C$12="PB",'Activity data'!BA56*ManureNEF*NtoN2O*kgtoGg,IF('Net zero activities &amp; levers'!$C$12="MS",'Net zero Activity data'!BA56*ManureNEF*NtoN2O*kgtoGg,"ERROR")))</f>
        <v>6.1198454005462005E-2</v>
      </c>
      <c r="AI975" s="101">
        <f>IF('Net zero activities &amp; levers'!$C$12="Off",'Activity data'!BB56*ManureNEF*NtoN2O*kgtoGg,IF('Net zero activities &amp; levers'!$C$12="PB",'Activity data'!BB56*ManureNEF*NtoN2O*kgtoGg,IF('Net zero activities &amp; levers'!$C$12="MS",'Net zero Activity data'!BB56*ManureNEF*NtoN2O*kgtoGg,"ERROR")))</f>
        <v>6.1274601225536553E-2</v>
      </c>
      <c r="AJ975" s="101">
        <f>IF('Net zero activities &amp; levers'!$C$12="Off",'Activity data'!BC56*ManureNEF*NtoN2O*kgtoGg,IF('Net zero activities &amp; levers'!$C$12="PB",'Activity data'!BC56*ManureNEF*NtoN2O*kgtoGg,IF('Net zero activities &amp; levers'!$C$12="MS",'Net zero Activity data'!BC56*ManureNEF*NtoN2O*kgtoGg,"ERROR")))</f>
        <v>6.1357207979697827E-2</v>
      </c>
      <c r="AK975" s="101">
        <f>IF('Net zero activities &amp; levers'!$C$12="Off",'Activity data'!BD56*ManureNEF*NtoN2O*kgtoGg,IF('Net zero activities &amp; levers'!$C$12="PB",'Activity data'!BD56*ManureNEF*NtoN2O*kgtoGg,IF('Net zero activities &amp; levers'!$C$12="MS",'Net zero Activity data'!BD56*ManureNEF*NtoN2O*kgtoGg,"ERROR")))</f>
        <v>6.1445023192111883E-2</v>
      </c>
      <c r="AL975" s="101">
        <f>IF('Net zero activities &amp; levers'!$C$12="Off",'Activity data'!BE56*ManureNEF*NtoN2O*kgtoGg,IF('Net zero activities &amp; levers'!$C$12="PB",'Activity data'!BE56*ManureNEF*NtoN2O*kgtoGg,IF('Net zero activities &amp; levers'!$C$12="MS",'Net zero Activity data'!BE56*ManureNEF*NtoN2O*kgtoGg,"ERROR")))</f>
        <v>6.1538527566909175E-2</v>
      </c>
      <c r="AM975" s="101">
        <f>IF('Net zero activities &amp; levers'!$C$12="Off",'Activity data'!BF56*ManureNEF*NtoN2O*kgtoGg,IF('Net zero activities &amp; levers'!$C$12="PB",'Activity data'!BF56*ManureNEF*NtoN2O*kgtoGg,IF('Net zero activities &amp; levers'!$C$12="MS",'Net zero Activity data'!BF56*ManureNEF*NtoN2O*kgtoGg,"ERROR")))</f>
        <v>6.163815914834115E-2</v>
      </c>
      <c r="AN975" s="101">
        <f>IF('Net zero activities &amp; levers'!$C$12="Off",'Activity data'!BG56*ManureNEF*NtoN2O*kgtoGg,IF('Net zero activities &amp; levers'!$C$12="PB",'Activity data'!BG56*ManureNEF*NtoN2O*kgtoGg,IF('Net zero activities &amp; levers'!$C$12="MS",'Net zero Activity data'!BG56*ManureNEF*NtoN2O*kgtoGg,"ERROR")))</f>
        <v>6.1696880609150663E-2</v>
      </c>
      <c r="AO975" s="101">
        <f>IF('Net zero activities &amp; levers'!$C$12="Off",'Activity data'!BH56*ManureNEF*NtoN2O*kgtoGg,IF('Net zero activities &amp; levers'!$C$12="PB",'Activity data'!BH56*ManureNEF*NtoN2O*kgtoGg,IF('Net zero activities &amp; levers'!$C$12="MS",'Net zero Activity data'!BH56*ManureNEF*NtoN2O*kgtoGg,"ERROR")))</f>
        <v>6.1759449666934245E-2</v>
      </c>
      <c r="AP975" s="101">
        <f>IF('Net zero activities &amp; levers'!$C$12="Off",'Activity data'!BI56*ManureNEF*NtoN2O*kgtoGg,IF('Net zero activities &amp; levers'!$C$12="PB",'Activity data'!BI56*ManureNEF*NtoN2O*kgtoGg,IF('Net zero activities &amp; levers'!$C$12="MS",'Net zero Activity data'!BI56*ManureNEF*NtoN2O*kgtoGg,"ERROR")))</f>
        <v>6.1826968943055068E-2</v>
      </c>
      <c r="AQ975" s="101">
        <f>IF('Net zero activities &amp; levers'!$C$12="Off",'Activity data'!BJ56*ManureNEF*NtoN2O*kgtoGg,IF('Net zero activities &amp; levers'!$C$12="PB",'Activity data'!BJ56*ManureNEF*NtoN2O*kgtoGg,IF('Net zero activities &amp; levers'!$C$12="MS",'Net zero Activity data'!BJ56*ManureNEF*NtoN2O*kgtoGg,"ERROR")))</f>
        <v>6.1899319328770012E-2</v>
      </c>
      <c r="AR975" s="101">
        <f>IF('Net zero activities &amp; levers'!$C$12="Off",'Activity data'!BK56*ManureNEF*NtoN2O*kgtoGg,IF('Net zero activities &amp; levers'!$C$12="PB",'Activity data'!BK56*ManureNEF*NtoN2O*kgtoGg,IF('Net zero activities &amp; levers'!$C$12="MS",'Net zero Activity data'!BK56*ManureNEF*NtoN2O*kgtoGg,"ERROR")))</f>
        <v>6.1977277610442229E-2</v>
      </c>
      <c r="AS975" s="101">
        <f>IF('Net zero activities &amp; levers'!$C$12="Off",'Activity data'!BL56*ManureNEF*NtoN2O*kgtoGg,IF('Net zero activities &amp; levers'!$C$12="PB",'Activity data'!BL56*ManureNEF*NtoN2O*kgtoGg,IF('Net zero activities &amp; levers'!$C$12="MS",'Net zero Activity data'!BL56*ManureNEF*NtoN2O*kgtoGg,"ERROR")))</f>
        <v>6.2012413359244796E-2</v>
      </c>
      <c r="AT975" s="101">
        <f>IF('Net zero activities &amp; levers'!$C$12="Off",'Activity data'!BM56*ManureNEF*NtoN2O*kgtoGg,IF('Net zero activities &amp; levers'!$C$12="PB",'Activity data'!BM56*ManureNEF*NtoN2O*kgtoGg,IF('Net zero activities &amp; levers'!$C$12="MS",'Net zero Activity data'!BM56*ManureNEF*NtoN2O*kgtoGg,"ERROR")))</f>
        <v>6.2042910745793073E-2</v>
      </c>
      <c r="AU975" s="101">
        <f>IF('Net zero activities &amp; levers'!$C$12="Off",'Activity data'!BN56*ManureNEF*NtoN2O*kgtoGg,IF('Net zero activities &amp; levers'!$C$12="PB",'Activity data'!BN56*ManureNEF*NtoN2O*kgtoGg,IF('Net zero activities &amp; levers'!$C$12="MS",'Net zero Activity data'!BN56*ManureNEF*NtoN2O*kgtoGg,"ERROR")))</f>
        <v>6.2076578921359475E-2</v>
      </c>
      <c r="AV975" s="101">
        <f>IF('Net zero activities &amp; levers'!$C$12="Off",'Activity data'!BO56*ManureNEF*NtoN2O*kgtoGg,IF('Net zero activities &amp; levers'!$C$12="PB",'Activity data'!BO56*ManureNEF*NtoN2O*kgtoGg,IF('Net zero activities &amp; levers'!$C$12="MS",'Net zero Activity data'!BO56*ManureNEF*NtoN2O*kgtoGg,"ERROR")))</f>
        <v>6.2115070786636459E-2</v>
      </c>
      <c r="AW975" s="101">
        <f>IF('Net zero activities &amp; levers'!$C$12="Off",'Activity data'!BP56*ManureNEF*NtoN2O*kgtoGg,IF('Net zero activities &amp; levers'!$C$12="PB",'Activity data'!BP56*ManureNEF*NtoN2O*kgtoGg,IF('Net zero activities &amp; levers'!$C$12="MS",'Net zero Activity data'!BP56*ManureNEF*NtoN2O*kgtoGg,"ERROR")))</f>
        <v>6.2156607972806463E-2</v>
      </c>
      <c r="AY975" s="85"/>
      <c r="AZ975" s="85"/>
    </row>
    <row r="976" spans="1:52" x14ac:dyDescent="0.25">
      <c r="A976" s="102" t="str">
        <f t="shared" si="326"/>
        <v>DS Organic</v>
      </c>
      <c r="B976" s="102" t="s">
        <v>975</v>
      </c>
      <c r="C976" s="102" t="s">
        <v>1128</v>
      </c>
      <c r="D976" t="s">
        <v>369</v>
      </c>
      <c r="E976" t="s">
        <v>55</v>
      </c>
      <c r="F976" t="s">
        <v>421</v>
      </c>
      <c r="G976" t="s">
        <v>1167</v>
      </c>
      <c r="H976" t="s">
        <v>1168</v>
      </c>
      <c r="I976" t="s">
        <v>139</v>
      </c>
      <c r="J976" t="s">
        <v>287</v>
      </c>
      <c r="K976" s="101">
        <f>IF('Net zero activities &amp; levers'!$C$12="Off",'Activity data'!AD57*ManureNEF*NtoN2O*kgtoGg,IF('Net zero activities &amp; levers'!$C$12="PB",'Activity data'!AD57*ManureNEF*NtoN2O*kgtoGg,IF('Net zero activities &amp; levers'!$C$12="MS",'Net zero Activity data'!AD57*ManureNEF*NtoN2O*kgtoGg,"ERROR")))</f>
        <v>4.7490069351463909E-2</v>
      </c>
      <c r="L976" s="101">
        <f>IF('Net zero activities &amp; levers'!$C$12="Off",'Activity data'!AE57*ManureNEF*NtoN2O*kgtoGg,IF('Net zero activities &amp; levers'!$C$12="PB",'Activity data'!AE57*ManureNEF*NtoN2O*kgtoGg,IF('Net zero activities &amp; levers'!$C$12="MS",'Net zero Activity data'!AE57*ManureNEF*NtoN2O*kgtoGg,"ERROR")))</f>
        <v>4.7515698836582541E-2</v>
      </c>
      <c r="M976" s="101">
        <f>IF('Net zero activities &amp; levers'!$C$12="Off",'Activity data'!AF57*ManureNEF*NtoN2O*kgtoGg,IF('Net zero activities &amp; levers'!$C$12="PB",'Activity data'!AF57*ManureNEF*NtoN2O*kgtoGg,IF('Net zero activities &amp; levers'!$C$12="MS",'Net zero Activity data'!AF57*ManureNEF*NtoN2O*kgtoGg,"ERROR")))</f>
        <v>4.7574618837704238E-2</v>
      </c>
      <c r="N976" s="101">
        <f>IF('Net zero activities &amp; levers'!$C$12="Off",'Activity data'!AG57*ManureNEF*NtoN2O*kgtoGg,IF('Net zero activities &amp; levers'!$C$12="PB",'Activity data'!AG57*ManureNEF*NtoN2O*kgtoGg,IF('Net zero activities &amp; levers'!$C$12="MS",'Net zero Activity data'!AG57*ManureNEF*NtoN2O*kgtoGg,"ERROR")))</f>
        <v>4.7662091068599664E-2</v>
      </c>
      <c r="O976" s="101">
        <f>IF('Net zero activities &amp; levers'!$C$12="Off",'Activity data'!AH57*ManureNEF*NtoN2O*kgtoGg,IF('Net zero activities &amp; levers'!$C$12="PB",'Activity data'!AH57*ManureNEF*NtoN2O*kgtoGg,IF('Net zero activities &amp; levers'!$C$12="MS",'Net zero Activity data'!AH57*ManureNEF*NtoN2O*kgtoGg,"ERROR")))</f>
        <v>4.7780154741355184E-2</v>
      </c>
      <c r="P976" s="101">
        <f>IF('Net zero activities &amp; levers'!$C$12="Off",'Activity data'!AI57*ManureNEF*NtoN2O*kgtoGg,IF('Net zero activities &amp; levers'!$C$12="PB",'Activity data'!AI57*ManureNEF*NtoN2O*kgtoGg,IF('Net zero activities &amp; levers'!$C$12="MS",'Net zero Activity data'!AI57*ManureNEF*NtoN2O*kgtoGg,"ERROR")))</f>
        <v>4.7931182612503523E-2</v>
      </c>
      <c r="Q976" s="101">
        <f>IF('Net zero activities &amp; levers'!$C$12="Off",'Activity data'!AJ57*ManureNEF*NtoN2O*kgtoGg,IF('Net zero activities &amp; levers'!$C$12="PB",'Activity data'!AJ57*ManureNEF*NtoN2O*kgtoGg,IF('Net zero activities &amp; levers'!$C$12="MS",'Net zero Activity data'!AJ57*ManureNEF*NtoN2O*kgtoGg,"ERROR")))</f>
        <v>4.809759961514163E-2</v>
      </c>
      <c r="R976" s="101">
        <f>IF('Net zero activities &amp; levers'!$C$12="Off",'Activity data'!AK57*ManureNEF*NtoN2O*kgtoGg,IF('Net zero activities &amp; levers'!$C$12="PB",'Activity data'!AK57*ManureNEF*NtoN2O*kgtoGg,IF('Net zero activities &amp; levers'!$C$12="MS",'Net zero Activity data'!AK57*ManureNEF*NtoN2O*kgtoGg,"ERROR")))</f>
        <v>4.8276821031039585E-2</v>
      </c>
      <c r="S976" s="101">
        <f>IF('Net zero activities &amp; levers'!$C$12="Off",'Activity data'!AL57*ManureNEF*NtoN2O*kgtoGg,IF('Net zero activities &amp; levers'!$C$12="PB",'Activity data'!AL57*ManureNEF*NtoN2O*kgtoGg,IF('Net zero activities &amp; levers'!$C$12="MS",'Net zero Activity data'!AL57*ManureNEF*NtoN2O*kgtoGg,"ERROR")))</f>
        <v>4.845438307520427E-2</v>
      </c>
      <c r="T976" s="101">
        <f>IF('Net zero activities &amp; levers'!$C$12="Off",'Activity data'!AM57*ManureNEF*NtoN2O*kgtoGg,IF('Net zero activities &amp; levers'!$C$12="PB",'Activity data'!AM57*ManureNEF*NtoN2O*kgtoGg,IF('Net zero activities &amp; levers'!$C$12="MS",'Net zero Activity data'!AM57*ManureNEF*NtoN2O*kgtoGg,"ERROR")))</f>
        <v>4.8527049385583491E-2</v>
      </c>
      <c r="U976" s="101">
        <f>IF('Net zero activities &amp; levers'!$C$12="Off",'Activity data'!AN57*ManureNEF*NtoN2O*kgtoGg,IF('Net zero activities &amp; levers'!$C$12="PB",'Activity data'!AN57*ManureNEF*NtoN2O*kgtoGg,IF('Net zero activities &amp; levers'!$C$12="MS",'Net zero Activity data'!AN57*ManureNEF*NtoN2O*kgtoGg,"ERROR")))</f>
        <v>4.8609564237134945E-2</v>
      </c>
      <c r="V976" s="101">
        <f>IF('Net zero activities &amp; levers'!$C$12="Off",'Activity data'!AO57*ManureNEF*NtoN2O*kgtoGg,IF('Net zero activities &amp; levers'!$C$12="PB",'Activity data'!AO57*ManureNEF*NtoN2O*kgtoGg,IF('Net zero activities &amp; levers'!$C$12="MS",'Net zero Activity data'!AO57*ManureNEF*NtoN2O*kgtoGg,"ERROR")))</f>
        <v>4.8702882695534688E-2</v>
      </c>
      <c r="W976" s="101">
        <f>IF('Net zero activities &amp; levers'!$C$12="Off",'Activity data'!AP57*ManureNEF*NtoN2O*kgtoGg,IF('Net zero activities &amp; levers'!$C$12="PB",'Activity data'!AP57*ManureNEF*NtoN2O*kgtoGg,IF('Net zero activities &amp; levers'!$C$12="MS",'Net zero Activity data'!AP57*ManureNEF*NtoN2O*kgtoGg,"ERROR")))</f>
        <v>4.8807681682294192E-2</v>
      </c>
      <c r="X976" s="101">
        <f>IF('Net zero activities &amp; levers'!$C$12="Off",'Activity data'!AQ57*ManureNEF*NtoN2O*kgtoGg,IF('Net zero activities &amp; levers'!$C$12="PB",'Activity data'!AQ57*ManureNEF*NtoN2O*kgtoGg,IF('Net zero activities &amp; levers'!$C$12="MS",'Net zero Activity data'!AQ57*ManureNEF*NtoN2O*kgtoGg,"ERROR")))</f>
        <v>4.8925442815452934E-2</v>
      </c>
      <c r="Y976" s="101">
        <f>IF('Net zero activities &amp; levers'!$C$12="Off",'Activity data'!AR57*ManureNEF*NtoN2O*kgtoGg,IF('Net zero activities &amp; levers'!$C$12="PB",'Activity data'!AR57*ManureNEF*NtoN2O*kgtoGg,IF('Net zero activities &amp; levers'!$C$12="MS",'Net zero Activity data'!AR57*ManureNEF*NtoN2O*kgtoGg,"ERROR")))</f>
        <v>4.899948588644365E-2</v>
      </c>
      <c r="Z976" s="101">
        <f>IF('Net zero activities &amp; levers'!$C$12="Off",'Activity data'!AS57*ManureNEF*NtoN2O*kgtoGg,IF('Net zero activities &amp; levers'!$C$12="PB",'Activity data'!AS57*ManureNEF*NtoN2O*kgtoGg,IF('Net zero activities &amp; levers'!$C$12="MS",'Net zero Activity data'!AS57*ManureNEF*NtoN2O*kgtoGg,"ERROR")))</f>
        <v>4.9082862153800644E-2</v>
      </c>
      <c r="AA976" s="101">
        <f>IF('Net zero activities &amp; levers'!$C$12="Off",'Activity data'!AT57*ManureNEF*NtoN2O*kgtoGg,IF('Net zero activities &amp; levers'!$C$12="PB",'Activity data'!AT57*ManureNEF*NtoN2O*kgtoGg,IF('Net zero activities &amp; levers'!$C$12="MS",'Net zero Activity data'!AT57*ManureNEF*NtoN2O*kgtoGg,"ERROR")))</f>
        <v>4.9173251141349877E-2</v>
      </c>
      <c r="AB976" s="101">
        <f>IF('Net zero activities &amp; levers'!$C$12="Off",'Activity data'!AU57*ManureNEF*NtoN2O*kgtoGg,IF('Net zero activities &amp; levers'!$C$12="PB",'Activity data'!AU57*ManureNEF*NtoN2O*kgtoGg,IF('Net zero activities &amp; levers'!$C$12="MS",'Net zero Activity data'!AU57*ManureNEF*NtoN2O*kgtoGg,"ERROR")))</f>
        <v>4.9272772007826496E-2</v>
      </c>
      <c r="AC976" s="101">
        <f>IF('Net zero activities &amp; levers'!$C$12="Off",'Activity data'!AV57*ManureNEF*NtoN2O*kgtoGg,IF('Net zero activities &amp; levers'!$C$12="PB",'Activity data'!AV57*ManureNEF*NtoN2O*kgtoGg,IF('Net zero activities &amp; levers'!$C$12="MS",'Net zero Activity data'!AV57*ManureNEF*NtoN2O*kgtoGg,"ERROR")))</f>
        <v>4.9381413357577224E-2</v>
      </c>
      <c r="AD976" s="101">
        <f>IF('Net zero activities &amp; levers'!$C$12="Off",'Activity data'!AW57*ManureNEF*NtoN2O*kgtoGg,IF('Net zero activities &amp; levers'!$C$12="PB",'Activity data'!AW57*ManureNEF*NtoN2O*kgtoGg,IF('Net zero activities &amp; levers'!$C$12="MS",'Net zero Activity data'!AW57*ManureNEF*NtoN2O*kgtoGg,"ERROR")))</f>
        <v>4.9453320942677535E-2</v>
      </c>
      <c r="AE976" s="101">
        <f>IF('Net zero activities &amp; levers'!$C$12="Off",'Activity data'!AX57*ManureNEF*NtoN2O*kgtoGg,IF('Net zero activities &amp; levers'!$C$12="PB",'Activity data'!AX57*ManureNEF*NtoN2O*kgtoGg,IF('Net zero activities &amp; levers'!$C$12="MS",'Net zero Activity data'!AX57*ManureNEF*NtoN2O*kgtoGg,"ERROR")))</f>
        <v>4.9532224722365882E-2</v>
      </c>
      <c r="AF976" s="101">
        <f>IF('Net zero activities &amp; levers'!$C$12="Off",'Activity data'!AY57*ManureNEF*NtoN2O*kgtoGg,IF('Net zero activities &amp; levers'!$C$12="PB",'Activity data'!AY57*ManureNEF*NtoN2O*kgtoGg,IF('Net zero activities &amp; levers'!$C$12="MS",'Net zero Activity data'!AY57*ManureNEF*NtoN2O*kgtoGg,"ERROR")))</f>
        <v>4.9617594644838996E-2</v>
      </c>
      <c r="AG976" s="101">
        <f>IF('Net zero activities &amp; levers'!$C$12="Off",'Activity data'!AZ57*ManureNEF*NtoN2O*kgtoGg,IF('Net zero activities &amp; levers'!$C$12="PB",'Activity data'!AZ57*ManureNEF*NtoN2O*kgtoGg,IF('Net zero activities &amp; levers'!$C$12="MS",'Net zero Activity data'!AZ57*ManureNEF*NtoN2O*kgtoGg,"ERROR")))</f>
        <v>4.9710354845697732E-2</v>
      </c>
      <c r="AH976" s="101">
        <f>IF('Net zero activities &amp; levers'!$C$12="Off",'Activity data'!BA57*ManureNEF*NtoN2O*kgtoGg,IF('Net zero activities &amp; levers'!$C$12="PB",'Activity data'!BA57*ManureNEF*NtoN2O*kgtoGg,IF('Net zero activities &amp; levers'!$C$12="MS",'Net zero Activity data'!BA57*ManureNEF*NtoN2O*kgtoGg,"ERROR")))</f>
        <v>4.9807222782493964E-2</v>
      </c>
      <c r="AI976" s="101">
        <f>IF('Net zero activities &amp; levers'!$C$12="Off",'Activity data'!BB57*ManureNEF*NtoN2O*kgtoGg,IF('Net zero activities &amp; levers'!$C$12="PB",'Activity data'!BB57*ManureNEF*NtoN2O*kgtoGg,IF('Net zero activities &amp; levers'!$C$12="MS",'Net zero Activity data'!BB57*ManureNEF*NtoN2O*kgtoGg,"ERROR")))</f>
        <v>4.9869196268853305E-2</v>
      </c>
      <c r="AJ976" s="101">
        <f>IF('Net zero activities &amp; levers'!$C$12="Off",'Activity data'!BC57*ManureNEF*NtoN2O*kgtoGg,IF('Net zero activities &amp; levers'!$C$12="PB",'Activity data'!BC57*ManureNEF*NtoN2O*kgtoGg,IF('Net zero activities &amp; levers'!$C$12="MS",'Net zero Activity data'!BC57*ManureNEF*NtoN2O*kgtoGg,"ERROR")))</f>
        <v>4.9936426937907168E-2</v>
      </c>
      <c r="AK976" s="101">
        <f>IF('Net zero activities &amp; levers'!$C$12="Off",'Activity data'!BD57*ManureNEF*NtoN2O*kgtoGg,IF('Net zero activities &amp; levers'!$C$12="PB",'Activity data'!BD57*ManureNEF*NtoN2O*kgtoGg,IF('Net zero activities &amp; levers'!$C$12="MS",'Net zero Activity data'!BD57*ManureNEF*NtoN2O*kgtoGg,"ERROR")))</f>
        <v>5.0007896583986924E-2</v>
      </c>
      <c r="AL976" s="101">
        <f>IF('Net zero activities &amp; levers'!$C$12="Off",'Activity data'!BE57*ManureNEF*NtoN2O*kgtoGg,IF('Net zero activities &amp; levers'!$C$12="PB",'Activity data'!BE57*ManureNEF*NtoN2O*kgtoGg,IF('Net zero activities &amp; levers'!$C$12="MS",'Net zero Activity data'!BE57*ManureNEF*NtoN2O*kgtoGg,"ERROR")))</f>
        <v>5.0083996434912091E-2</v>
      </c>
      <c r="AM976" s="101">
        <f>IF('Net zero activities &amp; levers'!$C$12="Off",'Activity data'!BF57*ManureNEF*NtoN2O*kgtoGg,IF('Net zero activities &amp; levers'!$C$12="PB",'Activity data'!BF57*ManureNEF*NtoN2O*kgtoGg,IF('Net zero activities &amp; levers'!$C$12="MS",'Net zero Activity data'!BF57*ManureNEF*NtoN2O*kgtoGg,"ERROR")))</f>
        <v>5.0165082999159477E-2</v>
      </c>
      <c r="AN976" s="101">
        <f>IF('Net zero activities &amp; levers'!$C$12="Off",'Activity data'!BG57*ManureNEF*NtoN2O*kgtoGg,IF('Net zero activities &amp; levers'!$C$12="PB",'Activity data'!BG57*ManureNEF*NtoN2O*kgtoGg,IF('Net zero activities &amp; levers'!$C$12="MS",'Net zero Activity data'!BG57*ManureNEF*NtoN2O*kgtoGg,"ERROR")))</f>
        <v>5.0212874286181063E-2</v>
      </c>
      <c r="AO976" s="101">
        <f>IF('Net zero activities &amp; levers'!$C$12="Off",'Activity data'!BH57*ManureNEF*NtoN2O*kgtoGg,IF('Net zero activities &amp; levers'!$C$12="PB",'Activity data'!BH57*ManureNEF*NtoN2O*kgtoGg,IF('Net zero activities &amp; levers'!$C$12="MS",'Net zero Activity data'!BH57*ManureNEF*NtoN2O*kgtoGg,"ERROR")))</f>
        <v>5.0263796994131166E-2</v>
      </c>
      <c r="AP976" s="101">
        <f>IF('Net zero activities &amp; levers'!$C$12="Off",'Activity data'!BI57*ManureNEF*NtoN2O*kgtoGg,IF('Net zero activities &amp; levers'!$C$12="PB",'Activity data'!BI57*ManureNEF*NtoN2O*kgtoGg,IF('Net zero activities &amp; levers'!$C$12="MS",'Net zero Activity data'!BI57*ManureNEF*NtoN2O*kgtoGg,"ERROR")))</f>
        <v>5.0318748506918774E-2</v>
      </c>
      <c r="AQ976" s="101">
        <f>IF('Net zero activities &amp; levers'!$C$12="Off",'Activity data'!BJ57*ManureNEF*NtoN2O*kgtoGg,IF('Net zero activities &amp; levers'!$C$12="PB",'Activity data'!BJ57*ManureNEF*NtoN2O*kgtoGg,IF('Net zero activities &amp; levers'!$C$12="MS",'Net zero Activity data'!BJ57*ManureNEF*NtoN2O*kgtoGg,"ERROR")))</f>
        <v>5.0377631886217578E-2</v>
      </c>
      <c r="AR976" s="101">
        <f>IF('Net zero activities &amp; levers'!$C$12="Off",'Activity data'!BK57*ManureNEF*NtoN2O*kgtoGg,IF('Net zero activities &amp; levers'!$C$12="PB",'Activity data'!BK57*ManureNEF*NtoN2O*kgtoGg,IF('Net zero activities &amp; levers'!$C$12="MS",'Net zero Activity data'!BK57*ManureNEF*NtoN2O*kgtoGg,"ERROR")))</f>
        <v>5.0441079330537687E-2</v>
      </c>
      <c r="AS976" s="101">
        <f>IF('Net zero activities &amp; levers'!$C$12="Off",'Activity data'!BL57*ManureNEF*NtoN2O*kgtoGg,IF('Net zero activities &amp; levers'!$C$12="PB",'Activity data'!BL57*ManureNEF*NtoN2O*kgtoGg,IF('Net zero activities &amp; levers'!$C$12="MS",'Net zero Activity data'!BL57*ManureNEF*NtoN2O*kgtoGg,"ERROR")))</f>
        <v>5.0469675054019239E-2</v>
      </c>
      <c r="AT976" s="101">
        <f>IF('Net zero activities &amp; levers'!$C$12="Off",'Activity data'!BM57*ManureNEF*NtoN2O*kgtoGg,IF('Net zero activities &amp; levers'!$C$12="PB",'Activity data'!BM57*ManureNEF*NtoN2O*kgtoGg,IF('Net zero activities &amp; levers'!$C$12="MS",'Net zero Activity data'!BM57*ManureNEF*NtoN2O*kgtoGg,"ERROR")))</f>
        <v>5.049449578112386E-2</v>
      </c>
      <c r="AU976" s="101">
        <f>IF('Net zero activities &amp; levers'!$C$12="Off",'Activity data'!BN57*ManureNEF*NtoN2O*kgtoGg,IF('Net zero activities &amp; levers'!$C$12="PB",'Activity data'!BN57*ManureNEF*NtoN2O*kgtoGg,IF('Net zero activities &amp; levers'!$C$12="MS",'Net zero Activity data'!BN57*ManureNEF*NtoN2O*kgtoGg,"ERROR")))</f>
        <v>5.0521897099480149E-2</v>
      </c>
      <c r="AV976" s="101">
        <f>IF('Net zero activities &amp; levers'!$C$12="Off",'Activity data'!BO57*ManureNEF*NtoN2O*kgtoGg,IF('Net zero activities &amp; levers'!$C$12="PB",'Activity data'!BO57*ManureNEF*NtoN2O*kgtoGg,IF('Net zero activities &amp; levers'!$C$12="MS",'Net zero Activity data'!BO57*ManureNEF*NtoN2O*kgtoGg,"ERROR")))</f>
        <v>5.055322424557103E-2</v>
      </c>
      <c r="AW976" s="101">
        <f>IF('Net zero activities &amp; levers'!$C$12="Off",'Activity data'!BP57*ManureNEF*NtoN2O*kgtoGg,IF('Net zero activities &amp; levers'!$C$12="PB",'Activity data'!BP57*ManureNEF*NtoN2O*kgtoGg,IF('Net zero activities &amp; levers'!$C$12="MS",'Net zero Activity data'!BP57*ManureNEF*NtoN2O*kgtoGg,"ERROR")))</f>
        <v>5.0587029868914744E-2</v>
      </c>
      <c r="AY976" s="85"/>
      <c r="AZ976" s="85"/>
    </row>
    <row r="977" spans="1:52" x14ac:dyDescent="0.25">
      <c r="A977" s="102" t="str">
        <f t="shared" si="326"/>
        <v>DS Organic</v>
      </c>
      <c r="B977" s="102" t="s">
        <v>975</v>
      </c>
      <c r="C977" s="102" t="s">
        <v>1128</v>
      </c>
      <c r="D977" t="s">
        <v>369</v>
      </c>
      <c r="E977" t="s">
        <v>55</v>
      </c>
      <c r="F977" t="s">
        <v>421</v>
      </c>
      <c r="G977" t="s">
        <v>1169</v>
      </c>
      <c r="H977" t="s">
        <v>1170</v>
      </c>
      <c r="I977" t="s">
        <v>139</v>
      </c>
      <c r="J977" t="s">
        <v>287</v>
      </c>
      <c r="K977" s="22">
        <f t="shared" ref="K977:Z980" si="343">K1474</f>
        <v>7.2124379000375856E-3</v>
      </c>
      <c r="L977" s="22">
        <f t="shared" si="343"/>
        <v>7.2311842253661622E-3</v>
      </c>
      <c r="M977" s="22">
        <f t="shared" si="343"/>
        <v>7.2564640106272402E-3</v>
      </c>
      <c r="N977" s="22">
        <f t="shared" si="343"/>
        <v>7.287254147269725E-3</v>
      </c>
      <c r="O977" s="22">
        <f t="shared" si="343"/>
        <v>7.3241333035294473E-3</v>
      </c>
      <c r="P977" s="22">
        <f t="shared" si="343"/>
        <v>7.3677329801347495E-3</v>
      </c>
      <c r="Q977" s="22">
        <f t="shared" si="343"/>
        <v>7.4139400326720672E-3</v>
      </c>
      <c r="R977" s="22">
        <f t="shared" si="343"/>
        <v>7.4622138016085145E-3</v>
      </c>
      <c r="S977" s="22">
        <f t="shared" si="343"/>
        <v>7.509211214865451E-3</v>
      </c>
      <c r="T977" s="22">
        <f t="shared" si="343"/>
        <v>7.5307669987204583E-3</v>
      </c>
      <c r="U977" s="22">
        <f t="shared" si="343"/>
        <v>7.5540126929522231E-3</v>
      </c>
      <c r="V977" s="22">
        <f t="shared" si="343"/>
        <v>7.5792072480240892E-3</v>
      </c>
      <c r="W977" s="22">
        <f t="shared" si="343"/>
        <v>7.6065371736612122E-3</v>
      </c>
      <c r="X977" s="22">
        <f t="shared" si="343"/>
        <v>7.6363701343967012E-3</v>
      </c>
      <c r="Y977" s="22">
        <f t="shared" si="343"/>
        <v>7.6555716504049104E-3</v>
      </c>
      <c r="Z977" s="22">
        <f t="shared" si="343"/>
        <v>7.6765259853692923E-3</v>
      </c>
      <c r="AA977" s="22">
        <f t="shared" ref="L977:AW980" si="344">AA1474</f>
        <v>7.6987119024127136E-3</v>
      </c>
      <c r="AB977" s="22">
        <f t="shared" si="344"/>
        <v>7.7226338019690602E-3</v>
      </c>
      <c r="AC977" s="22">
        <f t="shared" si="344"/>
        <v>7.7482997485057862E-3</v>
      </c>
      <c r="AD977" s="22">
        <f t="shared" si="344"/>
        <v>7.7651933997685552E-3</v>
      </c>
      <c r="AE977" s="22">
        <f t="shared" si="344"/>
        <v>7.7834037435669879E-3</v>
      </c>
      <c r="AF977" s="22">
        <f t="shared" si="344"/>
        <v>7.802817413015653E-3</v>
      </c>
      <c r="AG977" s="22">
        <f t="shared" si="344"/>
        <v>7.8236526131203795E-3</v>
      </c>
      <c r="AH977" s="22">
        <f t="shared" si="344"/>
        <v>7.8451669042542294E-3</v>
      </c>
      <c r="AI977" s="22">
        <f t="shared" si="344"/>
        <v>7.8585039220798909E-3</v>
      </c>
      <c r="AJ977" s="22">
        <f t="shared" si="344"/>
        <v>7.8728299564684995E-3</v>
      </c>
      <c r="AK977" s="22">
        <f t="shared" si="344"/>
        <v>7.8879188408277207E-3</v>
      </c>
      <c r="AL977" s="22">
        <f t="shared" si="344"/>
        <v>7.9038640214346874E-3</v>
      </c>
      <c r="AM977" s="22">
        <f t="shared" si="344"/>
        <v>7.9207498637461782E-3</v>
      </c>
      <c r="AN977" s="22">
        <f t="shared" si="344"/>
        <v>7.9299570033797458E-3</v>
      </c>
      <c r="AO977" s="22">
        <f t="shared" si="344"/>
        <v>7.9397231588042138E-3</v>
      </c>
      <c r="AP977" s="22">
        <f t="shared" si="344"/>
        <v>7.9502533101027516E-3</v>
      </c>
      <c r="AQ977" s="22">
        <f t="shared" si="344"/>
        <v>7.9615278668621423E-3</v>
      </c>
      <c r="AR977" s="22">
        <f t="shared" si="344"/>
        <v>7.9736901552170548E-3</v>
      </c>
      <c r="AS977" s="22">
        <f t="shared" si="344"/>
        <v>7.9779384467945549E-3</v>
      </c>
      <c r="AT977" s="22">
        <f t="shared" si="344"/>
        <v>7.9812454824287754E-3</v>
      </c>
      <c r="AU977" s="22">
        <f t="shared" si="344"/>
        <v>7.9850348723730785E-3</v>
      </c>
      <c r="AV977" s="22">
        <f t="shared" si="344"/>
        <v>7.9896072385955193E-3</v>
      </c>
      <c r="AW977" s="22">
        <f t="shared" si="344"/>
        <v>7.9946414377677251E-3</v>
      </c>
      <c r="AY977" s="85"/>
      <c r="AZ977" s="85"/>
    </row>
    <row r="978" spans="1:52" x14ac:dyDescent="0.25">
      <c r="A978" s="102" t="str">
        <f t="shared" si="326"/>
        <v>DS Organic</v>
      </c>
      <c r="B978" s="102" t="s">
        <v>975</v>
      </c>
      <c r="C978" s="102" t="s">
        <v>1128</v>
      </c>
      <c r="D978" t="s">
        <v>369</v>
      </c>
      <c r="E978" t="s">
        <v>55</v>
      </c>
      <c r="F978" t="s">
        <v>421</v>
      </c>
      <c r="G978" t="s">
        <v>1171</v>
      </c>
      <c r="H978" t="s">
        <v>1172</v>
      </c>
      <c r="I978" t="s">
        <v>139</v>
      </c>
      <c r="J978" t="s">
        <v>287</v>
      </c>
      <c r="K978" s="22">
        <f t="shared" si="343"/>
        <v>8.7025704097551199E-2</v>
      </c>
      <c r="L978" s="22">
        <f t="shared" si="344"/>
        <v>8.7251898372437478E-2</v>
      </c>
      <c r="M978" s="22">
        <f t="shared" si="344"/>
        <v>8.7556925762935861E-2</v>
      </c>
      <c r="N978" s="22">
        <f t="shared" si="344"/>
        <v>8.7928441380499503E-2</v>
      </c>
      <c r="O978" s="22">
        <f t="shared" si="344"/>
        <v>8.8373427470433044E-2</v>
      </c>
      <c r="P978" s="22">
        <f t="shared" si="344"/>
        <v>8.8899503758033641E-2</v>
      </c>
      <c r="Q978" s="22">
        <f t="shared" si="344"/>
        <v>8.9457040798499768E-2</v>
      </c>
      <c r="R978" s="22">
        <f t="shared" si="344"/>
        <v>9.0039514961794118E-2</v>
      </c>
      <c r="S978" s="22">
        <f t="shared" si="344"/>
        <v>9.0606588541648075E-2</v>
      </c>
      <c r="T978" s="22">
        <f t="shared" si="344"/>
        <v>9.0866681909987077E-2</v>
      </c>
      <c r="U978" s="22">
        <f t="shared" si="344"/>
        <v>9.1147165837307267E-2</v>
      </c>
      <c r="V978" s="22">
        <f t="shared" si="344"/>
        <v>9.1451164835280221E-2</v>
      </c>
      <c r="W978" s="22">
        <f t="shared" si="344"/>
        <v>9.1780929341327769E-2</v>
      </c>
      <c r="X978" s="22">
        <f t="shared" si="344"/>
        <v>9.2140895617544447E-2</v>
      </c>
      <c r="Y978" s="22">
        <f t="shared" si="344"/>
        <v>9.2372582250207988E-2</v>
      </c>
      <c r="Z978" s="22">
        <f t="shared" si="344"/>
        <v>9.2625418500508608E-2</v>
      </c>
      <c r="AA978" s="22">
        <f t="shared" si="344"/>
        <v>9.2893115093326858E-2</v>
      </c>
      <c r="AB978" s="22">
        <f t="shared" si="344"/>
        <v>9.3181758154257929E-2</v>
      </c>
      <c r="AC978" s="22">
        <f t="shared" si="344"/>
        <v>9.3491444989645012E-2</v>
      </c>
      <c r="AD978" s="22">
        <f t="shared" si="344"/>
        <v>9.3695284789210367E-2</v>
      </c>
      <c r="AE978" s="22">
        <f t="shared" si="344"/>
        <v>9.3915011879118299E-2</v>
      </c>
      <c r="AF978" s="22">
        <f t="shared" si="344"/>
        <v>9.4149258367795627E-2</v>
      </c>
      <c r="AG978" s="22">
        <f t="shared" si="344"/>
        <v>9.4400657129803389E-2</v>
      </c>
      <c r="AH978" s="22">
        <f t="shared" si="344"/>
        <v>9.4660249844504385E-2</v>
      </c>
      <c r="AI978" s="22">
        <f t="shared" si="344"/>
        <v>9.4821175093764906E-2</v>
      </c>
      <c r="AJ978" s="22">
        <f t="shared" si="344"/>
        <v>9.4994033875618389E-2</v>
      </c>
      <c r="AK978" s="22">
        <f t="shared" si="344"/>
        <v>9.5176097250528169E-2</v>
      </c>
      <c r="AL978" s="22">
        <f t="shared" si="344"/>
        <v>9.5368492746824421E-2</v>
      </c>
      <c r="AM978" s="22">
        <f t="shared" si="344"/>
        <v>9.5572238323119812E-2</v>
      </c>
      <c r="AN978" s="22">
        <f t="shared" si="344"/>
        <v>9.5683332216812994E-2</v>
      </c>
      <c r="AO978" s="22">
        <f t="shared" si="344"/>
        <v>9.5801171228242971E-2</v>
      </c>
      <c r="AP978" s="22">
        <f t="shared" si="344"/>
        <v>9.5928228659268394E-2</v>
      </c>
      <c r="AQ978" s="22">
        <f t="shared" si="344"/>
        <v>9.6064268130799754E-2</v>
      </c>
      <c r="AR978" s="22">
        <f t="shared" si="344"/>
        <v>9.6211019024491043E-2</v>
      </c>
      <c r="AS978" s="22">
        <f t="shared" si="344"/>
        <v>9.6262279163000078E-2</v>
      </c>
      <c r="AT978" s="22">
        <f t="shared" si="344"/>
        <v>9.6302182051389879E-2</v>
      </c>
      <c r="AU978" s="22">
        <f t="shared" si="344"/>
        <v>9.634790505553549E-2</v>
      </c>
      <c r="AV978" s="22">
        <f t="shared" si="344"/>
        <v>9.6403075497959345E-2</v>
      </c>
      <c r="AW978" s="22">
        <f t="shared" si="344"/>
        <v>9.6463818444186472E-2</v>
      </c>
      <c r="AY978" s="85"/>
      <c r="AZ978" s="85"/>
    </row>
    <row r="979" spans="1:52" x14ac:dyDescent="0.25">
      <c r="A979" s="102" t="str">
        <f t="shared" si="326"/>
        <v>DS Organic</v>
      </c>
      <c r="B979" s="102" t="s">
        <v>975</v>
      </c>
      <c r="C979" s="102" t="s">
        <v>1128</v>
      </c>
      <c r="D979" t="s">
        <v>369</v>
      </c>
      <c r="E979" t="s">
        <v>55</v>
      </c>
      <c r="F979" t="s">
        <v>421</v>
      </c>
      <c r="G979" t="s">
        <v>1173</v>
      </c>
      <c r="H979" t="s">
        <v>1174</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85"/>
      <c r="AZ979" s="85"/>
    </row>
    <row r="980" spans="1:52" x14ac:dyDescent="0.25">
      <c r="A980" s="102" t="str">
        <f t="shared" ref="A980:A1057" si="345">B980&amp;" "&amp;C980</f>
        <v>DS Organic</v>
      </c>
      <c r="B980" s="102" t="s">
        <v>975</v>
      </c>
      <c r="C980" s="102" t="s">
        <v>1128</v>
      </c>
      <c r="D980" t="s">
        <v>369</v>
      </c>
      <c r="E980" t="s">
        <v>55</v>
      </c>
      <c r="F980" t="s">
        <v>421</v>
      </c>
      <c r="G980" t="s">
        <v>1175</v>
      </c>
      <c r="H980" t="s">
        <v>1176</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85"/>
      <c r="AZ980" s="85"/>
    </row>
    <row r="981" spans="1:52" x14ac:dyDescent="0.25">
      <c r="A981" s="102" t="str">
        <f t="shared" si="345"/>
        <v>DS Organic</v>
      </c>
      <c r="B981" s="102" t="s">
        <v>975</v>
      </c>
      <c r="C981" s="102" t="s">
        <v>1128</v>
      </c>
      <c r="D981" t="s">
        <v>369</v>
      </c>
      <c r="E981" t="s">
        <v>55</v>
      </c>
      <c r="F981" t="s">
        <v>421</v>
      </c>
      <c r="G981" t="s">
        <v>1177</v>
      </c>
      <c r="H981" t="s">
        <v>1178</v>
      </c>
      <c r="I981" t="s">
        <v>139</v>
      </c>
      <c r="J981" t="s">
        <v>287</v>
      </c>
      <c r="K981" s="101">
        <f>IF('Net zero activities &amp; levers'!$C$12="Off",'Activity data'!AD62*ManureNEF*NtoN2O*kgtoGg,IF('Net zero activities &amp; levers'!$C$12="PB",'Activity data'!AD62*ManureNEF*NtoN2O*kgtoGg,IF('Net zero activities &amp; levers'!$C$12="MS",'Net zero Activity data'!AD62*ManureNEF*NtoN2O*kgtoGg,"ERROR")))</f>
        <v>0.12512489027733434</v>
      </c>
      <c r="L981" s="101">
        <f>IF('Net zero activities &amp; levers'!$C$12="Off",'Activity data'!AE62*ManureNEF*NtoN2O*kgtoGg,IF('Net zero activities &amp; levers'!$C$12="PB",'Activity data'!AE62*ManureNEF*NtoN2O*kgtoGg,IF('Net zero activities &amp; levers'!$C$12="MS",'Net zero Activity data'!AE62*ManureNEF*NtoN2O*kgtoGg,"ERROR")))</f>
        <v>0.1249037465490002</v>
      </c>
      <c r="M981" s="101">
        <f>IF('Net zero activities &amp; levers'!$C$12="Off",'Activity data'!AF62*ManureNEF*NtoN2O*kgtoGg,IF('Net zero activities &amp; levers'!$C$12="PB",'Activity data'!AF62*ManureNEF*NtoN2O*kgtoGg,IF('Net zero activities &amp; levers'!$C$12="MS",'Net zero Activity data'!AF62*ManureNEF*NtoN2O*kgtoGg,"ERROR")))</f>
        <v>0.12420297117813216</v>
      </c>
      <c r="N981" s="101">
        <f>IF('Net zero activities &amp; levers'!$C$12="Off",'Activity data'!AG62*ManureNEF*NtoN2O*kgtoGg,IF('Net zero activities &amp; levers'!$C$12="PB",'Activity data'!AG62*ManureNEF*NtoN2O*kgtoGg,IF('Net zero activities &amp; levers'!$C$12="MS",'Net zero Activity data'!AG62*ManureNEF*NtoN2O*kgtoGg,"ERROR")))</f>
        <v>0.12146227380625023</v>
      </c>
      <c r="O981" s="101">
        <f>IF('Net zero activities &amp; levers'!$C$12="Off",'Activity data'!AH62*ManureNEF*NtoN2O*kgtoGg,IF('Net zero activities &amp; levers'!$C$12="PB",'Activity data'!AH62*ManureNEF*NtoN2O*kgtoGg,IF('Net zero activities &amp; levers'!$C$12="MS",'Net zero Activity data'!AH62*ManureNEF*NtoN2O*kgtoGg,"ERROR")))</f>
        <v>0.11887050141065171</v>
      </c>
      <c r="P981" s="101">
        <f>IF('Net zero activities &amp; levers'!$C$12="Off",'Activity data'!AI62*ManureNEF*NtoN2O*kgtoGg,IF('Net zero activities &amp; levers'!$C$12="PB",'Activity data'!AI62*ManureNEF*NtoN2O*kgtoGg,IF('Net zero activities &amp; levers'!$C$12="MS",'Net zero Activity data'!AI62*ManureNEF*NtoN2O*kgtoGg,"ERROR")))</f>
        <v>0.11845218382715161</v>
      </c>
      <c r="Q981" s="101">
        <f>IF('Net zero activities &amp; levers'!$C$12="Off",'Activity data'!AJ62*ManureNEF*NtoN2O*kgtoGg,IF('Net zero activities &amp; levers'!$C$12="PB",'Activity data'!AJ62*ManureNEF*NtoN2O*kgtoGg,IF('Net zero activities &amp; levers'!$C$12="MS",'Net zero Activity data'!AJ62*ManureNEF*NtoN2O*kgtoGg,"ERROR")))</f>
        <v>0.11743671165425351</v>
      </c>
      <c r="R981" s="101">
        <f>IF('Net zero activities &amp; levers'!$C$12="Off",'Activity data'!AK62*ManureNEF*NtoN2O*kgtoGg,IF('Net zero activities &amp; levers'!$C$12="PB",'Activity data'!AK62*ManureNEF*NtoN2O*kgtoGg,IF('Net zero activities &amp; levers'!$C$12="MS",'Net zero Activity data'!AK62*ManureNEF*NtoN2O*kgtoGg,"ERROR")))</f>
        <v>0.11430912679136991</v>
      </c>
      <c r="S981" s="101">
        <f>IF('Net zero activities &amp; levers'!$C$12="Off",'Activity data'!AL62*ManureNEF*NtoN2O*kgtoGg,IF('Net zero activities &amp; levers'!$C$12="PB",'Activity data'!AL62*ManureNEF*NtoN2O*kgtoGg,IF('Net zero activities &amp; levers'!$C$12="MS",'Net zero Activity data'!AL62*ManureNEF*NtoN2O*kgtoGg,"ERROR")))</f>
        <v>0.1019584522188007</v>
      </c>
      <c r="T981" s="101">
        <f>IF('Net zero activities &amp; levers'!$C$12="Off",'Activity data'!AM62*ManureNEF*NtoN2O*kgtoGg,IF('Net zero activities &amp; levers'!$C$12="PB",'Activity data'!AM62*ManureNEF*NtoN2O*kgtoGg,IF('Net zero activities &amp; levers'!$C$12="MS",'Net zero Activity data'!AM62*ManureNEF*NtoN2O*kgtoGg,"ERROR")))</f>
        <v>0.10415164096850968</v>
      </c>
      <c r="U981" s="101">
        <f>IF('Net zero activities &amp; levers'!$C$12="Off",'Activity data'!AN62*ManureNEF*NtoN2O*kgtoGg,IF('Net zero activities &amp; levers'!$C$12="PB",'Activity data'!AN62*ManureNEF*NtoN2O*kgtoGg,IF('Net zero activities &amp; levers'!$C$12="MS",'Net zero Activity data'!AN62*ManureNEF*NtoN2O*kgtoGg,"ERROR")))</f>
        <v>0.10516156472619907</v>
      </c>
      <c r="V981" s="101">
        <f>IF('Net zero activities &amp; levers'!$C$12="Off",'Activity data'!AO62*ManureNEF*NtoN2O*kgtoGg,IF('Net zero activities &amp; levers'!$C$12="PB",'Activity data'!AO62*ManureNEF*NtoN2O*kgtoGg,IF('Net zero activities &amp; levers'!$C$12="MS",'Net zero Activity data'!AO62*ManureNEF*NtoN2O*kgtoGg,"ERROR")))</f>
        <v>0.10589710072304019</v>
      </c>
      <c r="W981" s="101">
        <f>IF('Net zero activities &amp; levers'!$C$12="Off",'Activity data'!AP62*ManureNEF*NtoN2O*kgtoGg,IF('Net zero activities &amp; levers'!$C$12="PB",'Activity data'!AP62*ManureNEF*NtoN2O*kgtoGg,IF('Net zero activities &amp; levers'!$C$12="MS",'Net zero Activity data'!AP62*ManureNEF*NtoN2O*kgtoGg,"ERROR")))</f>
        <v>0.10702634667209501</v>
      </c>
      <c r="X981" s="101">
        <f>IF('Net zero activities &amp; levers'!$C$12="Off",'Activity data'!AQ62*ManureNEF*NtoN2O*kgtoGg,IF('Net zero activities &amp; levers'!$C$12="PB",'Activity data'!AQ62*ManureNEF*NtoN2O*kgtoGg,IF('Net zero activities &amp; levers'!$C$12="MS",'Net zero Activity data'!AQ62*ManureNEF*NtoN2O*kgtoGg,"ERROR")))</f>
        <v>0.10953406099380125</v>
      </c>
      <c r="Y981" s="101">
        <f>IF('Net zero activities &amp; levers'!$C$12="Off",'Activity data'!AR62*ManureNEF*NtoN2O*kgtoGg,IF('Net zero activities &amp; levers'!$C$12="PB",'Activity data'!AR62*ManureNEF*NtoN2O*kgtoGg,IF('Net zero activities &amp; levers'!$C$12="MS",'Net zero Activity data'!AR62*ManureNEF*NtoN2O*kgtoGg,"ERROR")))</f>
        <v>0.11235635375154626</v>
      </c>
      <c r="Z981" s="101">
        <f>IF('Net zero activities &amp; levers'!$C$12="Off",'Activity data'!AS62*ManureNEF*NtoN2O*kgtoGg,IF('Net zero activities &amp; levers'!$C$12="PB",'Activity data'!AS62*ManureNEF*NtoN2O*kgtoGg,IF('Net zero activities &amp; levers'!$C$12="MS",'Net zero Activity data'!AS62*ManureNEF*NtoN2O*kgtoGg,"ERROR")))</f>
        <v>0.11546203967262161</v>
      </c>
      <c r="AA981" s="101">
        <f>IF('Net zero activities &amp; levers'!$C$12="Off",'Activity data'!AT62*ManureNEF*NtoN2O*kgtoGg,IF('Net zero activities &amp; levers'!$C$12="PB",'Activity data'!AT62*ManureNEF*NtoN2O*kgtoGg,IF('Net zero activities &amp; levers'!$C$12="MS",'Net zero Activity data'!AT62*ManureNEF*NtoN2O*kgtoGg,"ERROR")))</f>
        <v>0.11794547104868178</v>
      </c>
      <c r="AB981" s="101">
        <f>IF('Net zero activities &amp; levers'!$C$12="Off",'Activity data'!AU62*ManureNEF*NtoN2O*kgtoGg,IF('Net zero activities &amp; levers'!$C$12="PB",'Activity data'!AU62*ManureNEF*NtoN2O*kgtoGg,IF('Net zero activities &amp; levers'!$C$12="MS",'Net zero Activity data'!AU62*ManureNEF*NtoN2O*kgtoGg,"ERROR")))</f>
        <v>0.12098722785949015</v>
      </c>
      <c r="AC981" s="101">
        <f>IF('Net zero activities &amp; levers'!$C$12="Off",'Activity data'!AV62*ManureNEF*NtoN2O*kgtoGg,IF('Net zero activities &amp; levers'!$C$12="PB",'Activity data'!AV62*ManureNEF*NtoN2O*kgtoGg,IF('Net zero activities &amp; levers'!$C$12="MS",'Net zero Activity data'!AV62*ManureNEF*NtoN2O*kgtoGg,"ERROR")))</f>
        <v>0.12470963867892285</v>
      </c>
      <c r="AD981" s="101">
        <f>IF('Net zero activities &amp; levers'!$C$12="Off",'Activity data'!AW62*ManureNEF*NtoN2O*kgtoGg,IF('Net zero activities &amp; levers'!$C$12="PB",'Activity data'!AW62*ManureNEF*NtoN2O*kgtoGg,IF('Net zero activities &amp; levers'!$C$12="MS",'Net zero Activity data'!AW62*ManureNEF*NtoN2O*kgtoGg,"ERROR")))</f>
        <v>0.12823307755990843</v>
      </c>
      <c r="AE981" s="101">
        <f>IF('Net zero activities &amp; levers'!$C$12="Off",'Activity data'!AX62*ManureNEF*NtoN2O*kgtoGg,IF('Net zero activities &amp; levers'!$C$12="PB",'Activity data'!AX62*ManureNEF*NtoN2O*kgtoGg,IF('Net zero activities &amp; levers'!$C$12="MS",'Net zero Activity data'!AX62*ManureNEF*NtoN2O*kgtoGg,"ERROR")))</f>
        <v>0.13190019989335749</v>
      </c>
      <c r="AF981" s="101">
        <f>IF('Net zero activities &amp; levers'!$C$12="Off",'Activity data'!AY62*ManureNEF*NtoN2O*kgtoGg,IF('Net zero activities &amp; levers'!$C$12="PB",'Activity data'!AY62*ManureNEF*NtoN2O*kgtoGg,IF('Net zero activities &amp; levers'!$C$12="MS",'Net zero Activity data'!AY62*ManureNEF*NtoN2O*kgtoGg,"ERROR")))</f>
        <v>0.13558882448809464</v>
      </c>
      <c r="AG981" s="101">
        <f>IF('Net zero activities &amp; levers'!$C$12="Off",'Activity data'!AZ62*ManureNEF*NtoN2O*kgtoGg,IF('Net zero activities &amp; levers'!$C$12="PB",'Activity data'!AZ62*ManureNEF*NtoN2O*kgtoGg,IF('Net zero activities &amp; levers'!$C$12="MS",'Net zero Activity data'!AZ62*ManureNEF*NtoN2O*kgtoGg,"ERROR")))</f>
        <v>0.139795617096279</v>
      </c>
      <c r="AH981" s="101">
        <f>IF('Net zero activities &amp; levers'!$C$12="Off",'Activity data'!BA62*ManureNEF*NtoN2O*kgtoGg,IF('Net zero activities &amp; levers'!$C$12="PB",'Activity data'!BA62*ManureNEF*NtoN2O*kgtoGg,IF('Net zero activities &amp; levers'!$C$12="MS",'Net zero Activity data'!BA62*ManureNEF*NtoN2O*kgtoGg,"ERROR")))</f>
        <v>0.14320619245252167</v>
      </c>
      <c r="AI981" s="101">
        <f>IF('Net zero activities &amp; levers'!$C$12="Off",'Activity data'!BB62*ManureNEF*NtoN2O*kgtoGg,IF('Net zero activities &amp; levers'!$C$12="PB",'Activity data'!BB62*ManureNEF*NtoN2O*kgtoGg,IF('Net zero activities &amp; levers'!$C$12="MS",'Net zero Activity data'!BB62*ManureNEF*NtoN2O*kgtoGg,"ERROR")))</f>
        <v>0.14686073920515186</v>
      </c>
      <c r="AJ981" s="101">
        <f>IF('Net zero activities &amp; levers'!$C$12="Off",'Activity data'!BC62*ManureNEF*NtoN2O*kgtoGg,IF('Net zero activities &amp; levers'!$C$12="PB",'Activity data'!BC62*ManureNEF*NtoN2O*kgtoGg,IF('Net zero activities &amp; levers'!$C$12="MS",'Net zero Activity data'!BC62*ManureNEF*NtoN2O*kgtoGg,"ERROR")))</f>
        <v>0.15051597642167761</v>
      </c>
      <c r="AK981" s="101">
        <f>IF('Net zero activities &amp; levers'!$C$12="Off",'Activity data'!BD62*ManureNEF*NtoN2O*kgtoGg,IF('Net zero activities &amp; levers'!$C$12="PB",'Activity data'!BD62*ManureNEF*NtoN2O*kgtoGg,IF('Net zero activities &amp; levers'!$C$12="MS",'Net zero Activity data'!BD62*ManureNEF*NtoN2O*kgtoGg,"ERROR")))</f>
        <v>0.15383345031493795</v>
      </c>
      <c r="AL981" s="101">
        <f>IF('Net zero activities &amp; levers'!$C$12="Off",'Activity data'!BE62*ManureNEF*NtoN2O*kgtoGg,IF('Net zero activities &amp; levers'!$C$12="PB",'Activity data'!BE62*ManureNEF*NtoN2O*kgtoGg,IF('Net zero activities &amp; levers'!$C$12="MS",'Net zero Activity data'!BE62*ManureNEF*NtoN2O*kgtoGg,"ERROR")))</f>
        <v>0.15704803055416769</v>
      </c>
      <c r="AM981" s="101">
        <f>IF('Net zero activities &amp; levers'!$C$12="Off",'Activity data'!BF62*ManureNEF*NtoN2O*kgtoGg,IF('Net zero activities &amp; levers'!$C$12="PB",'Activity data'!BF62*ManureNEF*NtoN2O*kgtoGg,IF('Net zero activities &amp; levers'!$C$12="MS",'Net zero Activity data'!BF62*ManureNEF*NtoN2O*kgtoGg,"ERROR")))</f>
        <v>0.16036221209585783</v>
      </c>
      <c r="AN981" s="101">
        <f>IF('Net zero activities &amp; levers'!$C$12="Off",'Activity data'!BG62*ManureNEF*NtoN2O*kgtoGg,IF('Net zero activities &amp; levers'!$C$12="PB",'Activity data'!BG62*ManureNEF*NtoN2O*kgtoGg,IF('Net zero activities &amp; levers'!$C$12="MS",'Net zero Activity data'!BG62*ManureNEF*NtoN2O*kgtoGg,"ERROR")))</f>
        <v>0.16386598018742685</v>
      </c>
      <c r="AO981" s="101">
        <f>IF('Net zero activities &amp; levers'!$C$12="Off",'Activity data'!BH62*ManureNEF*NtoN2O*kgtoGg,IF('Net zero activities &amp; levers'!$C$12="PB",'Activity data'!BH62*ManureNEF*NtoN2O*kgtoGg,IF('Net zero activities &amp; levers'!$C$12="MS",'Net zero Activity data'!BH62*ManureNEF*NtoN2O*kgtoGg,"ERROR")))</f>
        <v>0.16694649307070639</v>
      </c>
      <c r="AP981" s="101">
        <f>IF('Net zero activities &amp; levers'!$C$12="Off",'Activity data'!BI62*ManureNEF*NtoN2O*kgtoGg,IF('Net zero activities &amp; levers'!$C$12="PB",'Activity data'!BI62*ManureNEF*NtoN2O*kgtoGg,IF('Net zero activities &amp; levers'!$C$12="MS",'Net zero Activity data'!BI62*ManureNEF*NtoN2O*kgtoGg,"ERROR")))</f>
        <v>0.17000456077892223</v>
      </c>
      <c r="AQ981" s="101">
        <f>IF('Net zero activities &amp; levers'!$C$12="Off",'Activity data'!BJ62*ManureNEF*NtoN2O*kgtoGg,IF('Net zero activities &amp; levers'!$C$12="PB",'Activity data'!BJ62*ManureNEF*NtoN2O*kgtoGg,IF('Net zero activities &amp; levers'!$C$12="MS",'Net zero Activity data'!BJ62*ManureNEF*NtoN2O*kgtoGg,"ERROR")))</f>
        <v>0.17304831428445985</v>
      </c>
      <c r="AR981" s="101">
        <f>IF('Net zero activities &amp; levers'!$C$12="Off",'Activity data'!BK62*ManureNEF*NtoN2O*kgtoGg,IF('Net zero activities &amp; levers'!$C$12="PB",'Activity data'!BK62*ManureNEF*NtoN2O*kgtoGg,IF('Net zero activities &amp; levers'!$C$12="MS",'Net zero Activity data'!BK62*ManureNEF*NtoN2O*kgtoGg,"ERROR")))</f>
        <v>0.17634648819223331</v>
      </c>
      <c r="AS981" s="101">
        <f>IF('Net zero activities &amp; levers'!$C$12="Off",'Activity data'!BL62*ManureNEF*NtoN2O*kgtoGg,IF('Net zero activities &amp; levers'!$C$12="PB",'Activity data'!BL62*ManureNEF*NtoN2O*kgtoGg,IF('Net zero activities &amp; levers'!$C$12="MS",'Net zero Activity data'!BL62*ManureNEF*NtoN2O*kgtoGg,"ERROR")))</f>
        <v>0.17969250919958218</v>
      </c>
      <c r="AT981" s="101">
        <f>IF('Net zero activities &amp; levers'!$C$12="Off",'Activity data'!BM62*ManureNEF*NtoN2O*kgtoGg,IF('Net zero activities &amp; levers'!$C$12="PB",'Activity data'!BM62*ManureNEF*NtoN2O*kgtoGg,IF('Net zero activities &amp; levers'!$C$12="MS",'Net zero Activity data'!BM62*ManureNEF*NtoN2O*kgtoGg,"ERROR")))</f>
        <v>0.18047485756179946</v>
      </c>
      <c r="AU981" s="101">
        <f>IF('Net zero activities &amp; levers'!$C$12="Off",'Activity data'!BN62*ManureNEF*NtoN2O*kgtoGg,IF('Net zero activities &amp; levers'!$C$12="PB",'Activity data'!BN62*ManureNEF*NtoN2O*kgtoGg,IF('Net zero activities &amp; levers'!$C$12="MS",'Net zero Activity data'!BN62*ManureNEF*NtoN2O*kgtoGg,"ERROR")))</f>
        <v>0.18104197572914582</v>
      </c>
      <c r="AV981" s="101">
        <f>IF('Net zero activities &amp; levers'!$C$12="Off",'Activity data'!BO62*ManureNEF*NtoN2O*kgtoGg,IF('Net zero activities &amp; levers'!$C$12="PB",'Activity data'!BO62*ManureNEF*NtoN2O*kgtoGg,IF('Net zero activities &amp; levers'!$C$12="MS",'Net zero Activity data'!BO62*ManureNEF*NtoN2O*kgtoGg,"ERROR")))</f>
        <v>0.18189334709867436</v>
      </c>
      <c r="AW981" s="101">
        <f>IF('Net zero activities &amp; levers'!$C$12="Off",'Activity data'!BP62*ManureNEF*NtoN2O*kgtoGg,IF('Net zero activities &amp; levers'!$C$12="PB",'Activity data'!BP62*ManureNEF*NtoN2O*kgtoGg,IF('Net zero activities &amp; levers'!$C$12="MS",'Net zero Activity data'!BP62*ManureNEF*NtoN2O*kgtoGg,"ERROR")))</f>
        <v>0.18255809913012605</v>
      </c>
      <c r="AY981" s="85"/>
      <c r="AZ981" s="85"/>
    </row>
    <row r="982" spans="1:52" x14ac:dyDescent="0.25">
      <c r="A982" s="102" t="str">
        <f t="shared" si="345"/>
        <v>DS Organic</v>
      </c>
      <c r="B982" s="102" t="s">
        <v>975</v>
      </c>
      <c r="C982" s="102" t="s">
        <v>1128</v>
      </c>
      <c r="D982" t="s">
        <v>369</v>
      </c>
      <c r="E982" t="s">
        <v>55</v>
      </c>
      <c r="F982" t="s">
        <v>421</v>
      </c>
      <c r="G982" t="s">
        <v>1179</v>
      </c>
      <c r="H982" t="s">
        <v>1180</v>
      </c>
      <c r="I982" t="s">
        <v>139</v>
      </c>
      <c r="J982" t="s">
        <v>287</v>
      </c>
      <c r="K982" s="101">
        <f>IF('Net zero activities &amp; levers'!$C$12="Off",'Activity data'!AD63*ManureNEF*NtoN2O*kgtoGg,IF('Net zero activities &amp; levers'!$C$12="PB",'Activity data'!AD63*ManureNEF*NtoN2O*kgtoGg,IF('Net zero activities &amp; levers'!$C$12="MS",'Net zero Activity data'!AD63*ManureNEF*NtoN2O*kgtoGg,"ERROR")))</f>
        <v>3.1744662482237319E-2</v>
      </c>
      <c r="L982" s="101">
        <f>IF('Net zero activities &amp; levers'!$C$12="Off",'Activity data'!AE63*ManureNEF*NtoN2O*kgtoGg,IF('Net zero activities &amp; levers'!$C$12="PB",'Activity data'!AE63*ManureNEF*NtoN2O*kgtoGg,IF('Net zero activities &amp; levers'!$C$12="MS",'Net zero Activity data'!AE63*ManureNEF*NtoN2O*kgtoGg,"ERROR")))</f>
        <v>3.1688557473869519E-2</v>
      </c>
      <c r="M982" s="101">
        <f>IF('Net zero activities &amp; levers'!$C$12="Off",'Activity data'!AF63*ManureNEF*NtoN2O*kgtoGg,IF('Net zero activities &amp; levers'!$C$12="PB",'Activity data'!AF63*ManureNEF*NtoN2O*kgtoGg,IF('Net zero activities &amp; levers'!$C$12="MS",'Net zero Activity data'!AF63*ManureNEF*NtoN2O*kgtoGg,"ERROR")))</f>
        <v>3.151076808620442E-2</v>
      </c>
      <c r="N982" s="101">
        <f>IF('Net zero activities &amp; levers'!$C$12="Off",'Activity data'!AG63*ManureNEF*NtoN2O*kgtoGg,IF('Net zero activities &amp; levers'!$C$12="PB",'Activity data'!AG63*ManureNEF*NtoN2O*kgtoGg,IF('Net zero activities &amp; levers'!$C$12="MS",'Net zero Activity data'!AG63*ManureNEF*NtoN2O*kgtoGg,"ERROR")))</f>
        <v>3.0815442696959246E-2</v>
      </c>
      <c r="O982" s="101">
        <f>IF('Net zero activities &amp; levers'!$C$12="Off",'Activity data'!AH63*ManureNEF*NtoN2O*kgtoGg,IF('Net zero activities &amp; levers'!$C$12="PB",'Activity data'!AH63*ManureNEF*NtoN2O*kgtoGg,IF('Net zero activities &amp; levers'!$C$12="MS",'Net zero Activity data'!AH63*ManureNEF*NtoN2O*kgtoGg,"ERROR")))</f>
        <v>3.0157900142902292E-2</v>
      </c>
      <c r="P982" s="101">
        <f>IF('Net zero activities &amp; levers'!$C$12="Off",'Activity data'!AI63*ManureNEF*NtoN2O*kgtoGg,IF('Net zero activities &amp; levers'!$C$12="PB",'Activity data'!AI63*ManureNEF*NtoN2O*kgtoGg,IF('Net zero activities &amp; levers'!$C$12="MS",'Net zero Activity data'!AI63*ManureNEF*NtoN2O*kgtoGg,"ERROR")))</f>
        <v>3.0051771374524052E-2</v>
      </c>
      <c r="Q982" s="101">
        <f>IF('Net zero activities &amp; levers'!$C$12="Off",'Activity data'!AJ63*ManureNEF*NtoN2O*kgtoGg,IF('Net zero activities &amp; levers'!$C$12="PB",'Activity data'!AJ63*ManureNEF*NtoN2O*kgtoGg,IF('Net zero activities &amp; levers'!$C$12="MS",'Net zero Activity data'!AJ63*ManureNEF*NtoN2O*kgtoGg,"ERROR")))</f>
        <v>2.9794142206440031E-2</v>
      </c>
      <c r="R982" s="101">
        <f>IF('Net zero activities &amp; levers'!$C$12="Off",'Activity data'!AK63*ManureNEF*NtoN2O*kgtoGg,IF('Net zero activities &amp; levers'!$C$12="PB",'Activity data'!AK63*ManureNEF*NtoN2O*kgtoGg,IF('Net zero activities &amp; levers'!$C$12="MS",'Net zero Activity data'!AK63*ManureNEF*NtoN2O*kgtoGg,"ERROR")))</f>
        <v>2.9000661983306687E-2</v>
      </c>
      <c r="S982" s="101">
        <f>IF('Net zero activities &amp; levers'!$C$12="Off",'Activity data'!AL63*ManureNEF*NtoN2O*kgtoGg,IF('Net zero activities &amp; levers'!$C$12="PB",'Activity data'!AL63*ManureNEF*NtoN2O*kgtoGg,IF('Net zero activities &amp; levers'!$C$12="MS",'Net zero Activity data'!AL63*ManureNEF*NtoN2O*kgtoGg,"ERROR")))</f>
        <v>2.5867248680284741E-2</v>
      </c>
      <c r="T982" s="101">
        <f>IF('Net zero activities &amp; levers'!$C$12="Off",'Activity data'!AM63*ManureNEF*NtoN2O*kgtoGg,IF('Net zero activities &amp; levers'!$C$12="PB",'Activity data'!AM63*ManureNEF*NtoN2O*kgtoGg,IF('Net zero activities &amp; levers'!$C$12="MS",'Net zero Activity data'!AM63*ManureNEF*NtoN2O*kgtoGg,"ERROR")))</f>
        <v>2.6423669041293948E-2</v>
      </c>
      <c r="U982" s="101">
        <f>IF('Net zero activities &amp; levers'!$C$12="Off",'Activity data'!AN63*ManureNEF*NtoN2O*kgtoGg,IF('Net zero activities &amp; levers'!$C$12="PB",'Activity data'!AN63*ManureNEF*NtoN2O*kgtoGg,IF('Net zero activities &amp; levers'!$C$12="MS",'Net zero Activity data'!AN63*ManureNEF*NtoN2O*kgtoGg,"ERROR")))</f>
        <v>2.6679890555251589E-2</v>
      </c>
      <c r="V982" s="101">
        <f>IF('Net zero activities &amp; levers'!$C$12="Off",'Activity data'!AO63*ManureNEF*NtoN2O*kgtoGg,IF('Net zero activities &amp; levers'!$C$12="PB",'Activity data'!AO63*ManureNEF*NtoN2O*kgtoGg,IF('Net zero activities &amp; levers'!$C$12="MS",'Net zero Activity data'!AO63*ManureNEF*NtoN2O*kgtoGg,"ERROR")))</f>
        <v>2.6866498846467711E-2</v>
      </c>
      <c r="W982" s="101">
        <f>IF('Net zero activities &amp; levers'!$C$12="Off",'Activity data'!AP63*ManureNEF*NtoN2O*kgtoGg,IF('Net zero activities &amp; levers'!$C$12="PB",'Activity data'!AP63*ManureNEF*NtoN2O*kgtoGg,IF('Net zero activities &amp; levers'!$C$12="MS",'Net zero Activity data'!AP63*ManureNEF*NtoN2O*kgtoGg,"ERROR")))</f>
        <v>2.7152992856034661E-2</v>
      </c>
      <c r="X982" s="101">
        <f>IF('Net zero activities &amp; levers'!$C$12="Off",'Activity data'!AQ63*ManureNEF*NtoN2O*kgtoGg,IF('Net zero activities &amp; levers'!$C$12="PB",'Activity data'!AQ63*ManureNEF*NtoN2O*kgtoGg,IF('Net zero activities &amp; levers'!$C$12="MS",'Net zero Activity data'!AQ63*ManureNEF*NtoN2O*kgtoGg,"ERROR")))</f>
        <v>2.7789209555749587E-2</v>
      </c>
      <c r="Y982" s="101">
        <f>IF('Net zero activities &amp; levers'!$C$12="Off",'Activity data'!AR63*ManureNEF*NtoN2O*kgtoGg,IF('Net zero activities &amp; levers'!$C$12="PB",'Activity data'!AR63*ManureNEF*NtoN2O*kgtoGg,IF('Net zero activities &amp; levers'!$C$12="MS",'Net zero Activity data'!AR63*ManureNEF*NtoN2O*kgtoGg,"ERROR")))</f>
        <v>2.8505236005979432E-2</v>
      </c>
      <c r="Z982" s="101">
        <f>IF('Net zero activities &amp; levers'!$C$12="Off",'Activity data'!AS63*ManureNEF*NtoN2O*kgtoGg,IF('Net zero activities &amp; levers'!$C$12="PB",'Activity data'!AS63*ManureNEF*NtoN2O*kgtoGg,IF('Net zero activities &amp; levers'!$C$12="MS",'Net zero Activity data'!AS63*ManureNEF*NtoN2O*kgtoGg,"ERROR")))</f>
        <v>2.9293160383949742E-2</v>
      </c>
      <c r="AA982" s="101">
        <f>IF('Net zero activities &amp; levers'!$C$12="Off",'Activity data'!AT63*ManureNEF*NtoN2O*kgtoGg,IF('Net zero activities &amp; levers'!$C$12="PB",'Activity data'!AT63*ManureNEF*NtoN2O*kgtoGg,IF('Net zero activities &amp; levers'!$C$12="MS",'Net zero Activity data'!AT63*ManureNEF*NtoN2O*kgtoGg,"ERROR")))</f>
        <v>2.9923216407624114E-2</v>
      </c>
      <c r="AB982" s="101">
        <f>IF('Net zero activities &amp; levers'!$C$12="Off",'Activity data'!AU63*ManureNEF*NtoN2O*kgtoGg,IF('Net zero activities &amp; levers'!$C$12="PB",'Activity data'!AU63*ManureNEF*NtoN2O*kgtoGg,IF('Net zero activities &amp; levers'!$C$12="MS",'Net zero Activity data'!AU63*ManureNEF*NtoN2O*kgtoGg,"ERROR")))</f>
        <v>3.0694921726191319E-2</v>
      </c>
      <c r="AC982" s="101">
        <f>IF('Net zero activities &amp; levers'!$C$12="Off",'Activity data'!AV63*ManureNEF*NtoN2O*kgtoGg,IF('Net zero activities &amp; levers'!$C$12="PB",'Activity data'!AV63*ManureNEF*NtoN2O*kgtoGg,IF('Net zero activities &amp; levers'!$C$12="MS",'Net zero Activity data'!AV63*ManureNEF*NtoN2O*kgtoGg,"ERROR")))</f>
        <v>3.1639311565984256E-2</v>
      </c>
      <c r="AD982" s="101">
        <f>IF('Net zero activities &amp; levers'!$C$12="Off",'Activity data'!AW63*ManureNEF*NtoN2O*kgtoGg,IF('Net zero activities &amp; levers'!$C$12="PB",'Activity data'!AW63*ManureNEF*NtoN2O*kgtoGg,IF('Net zero activities &amp; levers'!$C$12="MS",'Net zero Activity data'!AW63*ManureNEF*NtoN2O*kgtoGg,"ERROR")))</f>
        <v>3.2533221465171916E-2</v>
      </c>
      <c r="AE982" s="101">
        <f>IF('Net zero activities &amp; levers'!$C$12="Off",'Activity data'!AX63*ManureNEF*NtoN2O*kgtoGg,IF('Net zero activities &amp; levers'!$C$12="PB",'Activity data'!AX63*ManureNEF*NtoN2O*kgtoGg,IF('Net zero activities &amp; levers'!$C$12="MS",'Net zero Activity data'!AX63*ManureNEF*NtoN2O*kgtoGg,"ERROR")))</f>
        <v>3.3463584404938677E-2</v>
      </c>
      <c r="AF982" s="101">
        <f>IF('Net zero activities &amp; levers'!$C$12="Off",'Activity data'!AY63*ManureNEF*NtoN2O*kgtoGg,IF('Net zero activities &amp; levers'!$C$12="PB",'Activity data'!AY63*ManureNEF*NtoN2O*kgtoGg,IF('Net zero activities &amp; levers'!$C$12="MS",'Net zero Activity data'!AY63*ManureNEF*NtoN2O*kgtoGg,"ERROR")))</f>
        <v>3.4399402550505692E-2</v>
      </c>
      <c r="AG982" s="101">
        <f>IF('Net zero activities &amp; levers'!$C$12="Off",'Activity data'!AZ63*ManureNEF*NtoN2O*kgtoGg,IF('Net zero activities &amp; levers'!$C$12="PB",'Activity data'!AZ63*ManureNEF*NtoN2O*kgtoGg,IF('Net zero activities &amp; levers'!$C$12="MS",'Net zero Activity data'!AZ63*ManureNEF*NtoN2O*kgtoGg,"ERROR")))</f>
        <v>3.5466681899830918E-2</v>
      </c>
      <c r="AH982" s="101">
        <f>IF('Net zero activities &amp; levers'!$C$12="Off",'Activity data'!BA63*ManureNEF*NtoN2O*kgtoGg,IF('Net zero activities &amp; levers'!$C$12="PB",'Activity data'!BA63*ManureNEF*NtoN2O*kgtoGg,IF('Net zero activities &amp; levers'!$C$12="MS",'Net zero Activity data'!BA63*ManureNEF*NtoN2O*kgtoGg,"ERROR")))</f>
        <v>3.633195789179533E-2</v>
      </c>
      <c r="AI982" s="101">
        <f>IF('Net zero activities &amp; levers'!$C$12="Off",'Activity data'!BB63*ManureNEF*NtoN2O*kgtoGg,IF('Net zero activities &amp; levers'!$C$12="PB",'Activity data'!BB63*ManureNEF*NtoN2O*kgtoGg,IF('Net zero activities &amp; levers'!$C$12="MS",'Net zero Activity data'!BB63*ManureNEF*NtoN2O*kgtoGg,"ERROR")))</f>
        <v>3.7259130358685527E-2</v>
      </c>
      <c r="AJ982" s="101">
        <f>IF('Net zero activities &amp; levers'!$C$12="Off",'Activity data'!BC63*ManureNEF*NtoN2O*kgtoGg,IF('Net zero activities &amp; levers'!$C$12="PB",'Activity data'!BC63*ManureNEF*NtoN2O*kgtoGg,IF('Net zero activities &amp; levers'!$C$12="MS",'Net zero Activity data'!BC63*ManureNEF*NtoN2O*kgtoGg,"ERROR")))</f>
        <v>3.8186477998902742E-2</v>
      </c>
      <c r="AK982" s="101">
        <f>IF('Net zero activities &amp; levers'!$C$12="Off",'Activity data'!BD63*ManureNEF*NtoN2O*kgtoGg,IF('Net zero activities &amp; levers'!$C$12="PB",'Activity data'!BD63*ManureNEF*NtoN2O*kgtoGg,IF('Net zero activities &amp; levers'!$C$12="MS",'Net zero Activity data'!BD63*ManureNEF*NtoN2O*kgtoGg,"ERROR")))</f>
        <v>3.9028133794178674E-2</v>
      </c>
      <c r="AL982" s="101">
        <f>IF('Net zero activities &amp; levers'!$C$12="Off",'Activity data'!BE63*ManureNEF*NtoN2O*kgtoGg,IF('Net zero activities &amp; levers'!$C$12="PB",'Activity data'!BE63*ManureNEF*NtoN2O*kgtoGg,IF('Net zero activities &amp; levers'!$C$12="MS",'Net zero Activity data'!BE63*ManureNEF*NtoN2O*kgtoGg,"ERROR")))</f>
        <v>3.984368507650337E-2</v>
      </c>
      <c r="AM982" s="101">
        <f>IF('Net zero activities &amp; levers'!$C$12="Off",'Activity data'!BF63*ManureNEF*NtoN2O*kgtoGg,IF('Net zero activities &amp; levers'!$C$12="PB",'Activity data'!BF63*ManureNEF*NtoN2O*kgtoGg,IF('Net zero activities &amp; levers'!$C$12="MS",'Net zero Activity data'!BF63*ManureNEF*NtoN2O*kgtoGg,"ERROR")))</f>
        <v>4.0684505589613319E-2</v>
      </c>
      <c r="AN982" s="101">
        <f>IF('Net zero activities &amp; levers'!$C$12="Off",'Activity data'!BG63*ManureNEF*NtoN2O*kgtoGg,IF('Net zero activities &amp; levers'!$C$12="PB",'Activity data'!BG63*ManureNEF*NtoN2O*kgtoGg,IF('Net zero activities &amp; levers'!$C$12="MS",'Net zero Activity data'!BG63*ManureNEF*NtoN2O*kgtoGg,"ERROR")))</f>
        <v>4.1573424934408458E-2</v>
      </c>
      <c r="AO982" s="101">
        <f>IF('Net zero activities &amp; levers'!$C$12="Off",'Activity data'!BH63*ManureNEF*NtoN2O*kgtoGg,IF('Net zero activities &amp; levers'!$C$12="PB",'Activity data'!BH63*ManureNEF*NtoN2O*kgtoGg,IF('Net zero activities &amp; levers'!$C$12="MS",'Net zero Activity data'!BH63*ManureNEF*NtoN2O*kgtoGg,"ERROR")))</f>
        <v>4.2354962816560815E-2</v>
      </c>
      <c r="AP982" s="101">
        <f>IF('Net zero activities &amp; levers'!$C$12="Off",'Activity data'!BI63*ManureNEF*NtoN2O*kgtoGg,IF('Net zero activities &amp; levers'!$C$12="PB",'Activity data'!BI63*ManureNEF*NtoN2O*kgtoGg,IF('Net zero activities &amp; levers'!$C$12="MS",'Net zero Activity data'!BI63*ManureNEF*NtoN2O*kgtoGg,"ERROR")))</f>
        <v>4.3130806272087305E-2</v>
      </c>
      <c r="AQ982" s="101">
        <f>IF('Net zero activities &amp; levers'!$C$12="Off",'Activity data'!BJ63*ManureNEF*NtoN2O*kgtoGg,IF('Net zero activities &amp; levers'!$C$12="PB",'Activity data'!BJ63*ManureNEF*NtoN2O*kgtoGg,IF('Net zero activities &amp; levers'!$C$12="MS",'Net zero Activity data'!BJ63*ManureNEF*NtoN2O*kgtoGg,"ERROR")))</f>
        <v>4.3903018159732181E-2</v>
      </c>
      <c r="AR982" s="101">
        <f>IF('Net zero activities &amp; levers'!$C$12="Off",'Activity data'!BK63*ManureNEF*NtoN2O*kgtoGg,IF('Net zero activities &amp; levers'!$C$12="PB",'Activity data'!BK63*ManureNEF*NtoN2O*kgtoGg,IF('Net zero activities &amp; levers'!$C$12="MS",'Net zero Activity data'!BK63*ManureNEF*NtoN2O*kgtoGg,"ERROR")))</f>
        <v>4.4739777474988543E-2</v>
      </c>
      <c r="AS982" s="101">
        <f>IF('Net zero activities &amp; levers'!$C$12="Off",'Activity data'!BL63*ManureNEF*NtoN2O*kgtoGg,IF('Net zero activities &amp; levers'!$C$12="PB",'Activity data'!BL63*ManureNEF*NtoN2O*kgtoGg,IF('Net zero activities &amp; levers'!$C$12="MS",'Net zero Activity data'!BL63*ManureNEF*NtoN2O*kgtoGg,"ERROR")))</f>
        <v>4.5588675782122633E-2</v>
      </c>
      <c r="AT982" s="101">
        <f>IF('Net zero activities &amp; levers'!$C$12="Off",'Activity data'!BM63*ManureNEF*NtoN2O*kgtoGg,IF('Net zero activities &amp; levers'!$C$12="PB",'Activity data'!BM63*ManureNEF*NtoN2O*kgtoGg,IF('Net zero activities &amp; levers'!$C$12="MS",'Net zero Activity data'!BM63*ManureNEF*NtoN2O*kgtoGg,"ERROR")))</f>
        <v>4.5787160549198715E-2</v>
      </c>
      <c r="AU982" s="101">
        <f>IF('Net zero activities &amp; levers'!$C$12="Off",'Activity data'!BN63*ManureNEF*NtoN2O*kgtoGg,IF('Net zero activities &amp; levers'!$C$12="PB",'Activity data'!BN63*ManureNEF*NtoN2O*kgtoGg,IF('Net zero activities &amp; levers'!$C$12="MS",'Net zero Activity data'!BN63*ManureNEF*NtoN2O*kgtoGg,"ERROR")))</f>
        <v>4.5931040593928836E-2</v>
      </c>
      <c r="AV982" s="101">
        <f>IF('Net zero activities &amp; levers'!$C$12="Off",'Activity data'!BO63*ManureNEF*NtoN2O*kgtoGg,IF('Net zero activities &amp; levers'!$C$12="PB",'Activity data'!BO63*ManureNEF*NtoN2O*kgtoGg,IF('Net zero activities &amp; levers'!$C$12="MS",'Net zero Activity data'!BO63*ManureNEF*NtoN2O*kgtoGg,"ERROR")))</f>
        <v>4.6147036761540416E-2</v>
      </c>
      <c r="AW982" s="101">
        <f>IF('Net zero activities &amp; levers'!$C$12="Off",'Activity data'!BP63*ManureNEF*NtoN2O*kgtoGg,IF('Net zero activities &amp; levers'!$C$12="PB",'Activity data'!BP63*ManureNEF*NtoN2O*kgtoGg,IF('Net zero activities &amp; levers'!$C$12="MS",'Net zero Activity data'!BP63*ManureNEF*NtoN2O*kgtoGg,"ERROR")))</f>
        <v>4.6315686890432001E-2</v>
      </c>
      <c r="AY982" s="85"/>
      <c r="AZ982" s="85"/>
    </row>
    <row r="983" spans="1:52" x14ac:dyDescent="0.25">
      <c r="A983" s="102" t="str">
        <f t="shared" si="345"/>
        <v>DS Organic</v>
      </c>
      <c r="B983" s="102" t="s">
        <v>975</v>
      </c>
      <c r="C983" s="102" t="s">
        <v>1128</v>
      </c>
      <c r="D983" t="s">
        <v>369</v>
      </c>
      <c r="E983" t="s">
        <v>55</v>
      </c>
      <c r="F983" t="s">
        <v>421</v>
      </c>
      <c r="G983" t="s">
        <v>1181</v>
      </c>
      <c r="H983" t="s">
        <v>1182</v>
      </c>
      <c r="I983" t="s">
        <v>139</v>
      </c>
      <c r="J983" t="s">
        <v>287</v>
      </c>
      <c r="K983" s="101">
        <f>IF('Net zero activities &amp; levers'!$C$12="Off",'Activity data'!AD64*ManureNEF*NtoN2O*kgtoGg,IF('Net zero activities &amp; levers'!$C$12="PB",'Activity data'!AD64*ManureNEF*NtoN2O*kgtoGg,IF('Net zero activities &amp; levers'!$C$12="MS",'Net zero Activity data'!AD64*ManureNEF*NtoN2O*kgtoGg,"ERROR")))</f>
        <v>0.1574619566019842</v>
      </c>
      <c r="L983" s="101">
        <f>IF('Net zero activities &amp; levers'!$C$12="Off",'Activity data'!AE64*ManureNEF*NtoN2O*kgtoGg,IF('Net zero activities &amp; levers'!$C$12="PB",'Activity data'!AE64*ManureNEF*NtoN2O*kgtoGg,IF('Net zero activities &amp; levers'!$C$12="MS",'Net zero Activity data'!AE64*ManureNEF*NtoN2O*kgtoGg,"ERROR")))</f>
        <v>0.16100119532971174</v>
      </c>
      <c r="M983" s="101">
        <f>IF('Net zero activities &amp; levers'!$C$12="Off",'Activity data'!AF64*ManureNEF*NtoN2O*kgtoGg,IF('Net zero activities &amp; levers'!$C$12="PB",'Activity data'!AF64*ManureNEF*NtoN2O*kgtoGg,IF('Net zero activities &amp; levers'!$C$12="MS",'Net zero Activity data'!AF64*ManureNEF*NtoN2O*kgtoGg,"ERROR")))</f>
        <v>0.16420239799096348</v>
      </c>
      <c r="N983" s="101">
        <f>IF('Net zero activities &amp; levers'!$C$12="Off",'Activity data'!AG64*ManureNEF*NtoN2O*kgtoGg,IF('Net zero activities &amp; levers'!$C$12="PB",'Activity data'!AG64*ManureNEF*NtoN2O*kgtoGg,IF('Net zero activities &amp; levers'!$C$12="MS",'Net zero Activity data'!AG64*ManureNEF*NtoN2O*kgtoGg,"ERROR")))</f>
        <v>0.16585503975435448</v>
      </c>
      <c r="O983" s="101">
        <f>IF('Net zero activities &amp; levers'!$C$12="Off",'Activity data'!AH64*ManureNEF*NtoN2O*kgtoGg,IF('Net zero activities &amp; levers'!$C$12="PB",'Activity data'!AH64*ManureNEF*NtoN2O*kgtoGg,IF('Net zero activities &amp; levers'!$C$12="MS",'Net zero Activity data'!AH64*ManureNEF*NtoN2O*kgtoGg,"ERROR")))</f>
        <v>0.16755324219146345</v>
      </c>
      <c r="P983" s="101">
        <f>IF('Net zero activities &amp; levers'!$C$12="Off",'Activity data'!AI64*ManureNEF*NtoN2O*kgtoGg,IF('Net zero activities &amp; levers'!$C$12="PB",'Activity data'!AI64*ManureNEF*NtoN2O*kgtoGg,IF('Net zero activities &amp; levers'!$C$12="MS",'Net zero Activity data'!AI64*ManureNEF*NtoN2O*kgtoGg,"ERROR")))</f>
        <v>0.1709343585165998</v>
      </c>
      <c r="Q983" s="101">
        <f>IF('Net zero activities &amp; levers'!$C$12="Off",'Activity data'!AJ64*ManureNEF*NtoN2O*kgtoGg,IF('Net zero activities &amp; levers'!$C$12="PB",'Activity data'!AJ64*ManureNEF*NtoN2O*kgtoGg,IF('Net zero activities &amp; levers'!$C$12="MS",'Net zero Activity data'!AJ64*ManureNEF*NtoN2O*kgtoGg,"ERROR")))</f>
        <v>0.17382552357996145</v>
      </c>
      <c r="R983" s="101">
        <f>IF('Net zero activities &amp; levers'!$C$12="Off",'Activity data'!AK64*ManureNEF*NtoN2O*kgtoGg,IF('Net zero activities &amp; levers'!$C$12="PB",'Activity data'!AK64*ManureNEF*NtoN2O*kgtoGg,IF('Net zero activities &amp; levers'!$C$12="MS",'Net zero Activity data'!AK64*ManureNEF*NtoN2O*kgtoGg,"ERROR")))</f>
        <v>0.17492293808026785</v>
      </c>
      <c r="S983" s="101">
        <f>IF('Net zero activities &amp; levers'!$C$12="Off",'Activity data'!AL64*ManureNEF*NtoN2O*kgtoGg,IF('Net zero activities &amp; levers'!$C$12="PB",'Activity data'!AL64*ManureNEF*NtoN2O*kgtoGg,IF('Net zero activities &amp; levers'!$C$12="MS",'Net zero Activity data'!AL64*ManureNEF*NtoN2O*kgtoGg,"ERROR")))</f>
        <v>0.16797595240358967</v>
      </c>
      <c r="T983" s="101">
        <f>IF('Net zero activities &amp; levers'!$C$12="Off",'Activity data'!AM64*ManureNEF*NtoN2O*kgtoGg,IF('Net zero activities &amp; levers'!$C$12="PB",'Activity data'!AM64*ManureNEF*NtoN2O*kgtoGg,IF('Net zero activities &amp; levers'!$C$12="MS",'Net zero Activity data'!AM64*ManureNEF*NtoN2O*kgtoGg,"ERROR")))</f>
        <v>0.17297492730025818</v>
      </c>
      <c r="U983" s="101">
        <f>IF('Net zero activities &amp; levers'!$C$12="Off",'Activity data'!AN64*ManureNEF*NtoN2O*kgtoGg,IF('Net zero activities &amp; levers'!$C$12="PB",'Activity data'!AN64*ManureNEF*NtoN2O*kgtoGg,IF('Net zero activities &amp; levers'!$C$12="MS",'Net zero Activity data'!AN64*ManureNEF*NtoN2O*kgtoGg,"ERROR")))</f>
        <v>0.17701513008922104</v>
      </c>
      <c r="V983" s="101">
        <f>IF('Net zero activities &amp; levers'!$C$12="Off",'Activity data'!AO64*ManureNEF*NtoN2O*kgtoGg,IF('Net zero activities &amp; levers'!$C$12="PB",'Activity data'!AO64*ManureNEF*NtoN2O*kgtoGg,IF('Net zero activities &amp; levers'!$C$12="MS",'Net zero Activity data'!AO64*ManureNEF*NtoN2O*kgtoGg,"ERROR")))</f>
        <v>0.18086520723507568</v>
      </c>
      <c r="W983" s="101">
        <f>IF('Net zero activities &amp; levers'!$C$12="Off",'Activity data'!AP64*ManureNEF*NtoN2O*kgtoGg,IF('Net zero activities &amp; levers'!$C$12="PB",'Activity data'!AP64*ManureNEF*NtoN2O*kgtoGg,IF('Net zero activities &amp; levers'!$C$12="MS",'Net zero Activity data'!AP64*ManureNEF*NtoN2O*kgtoGg,"ERROR")))</f>
        <v>0.18514026922037843</v>
      </c>
      <c r="X983" s="101">
        <f>IF('Net zero activities &amp; levers'!$C$12="Off",'Activity data'!AQ64*ManureNEF*NtoN2O*kgtoGg,IF('Net zero activities &amp; levers'!$C$12="PB",'Activity data'!AQ64*ManureNEF*NtoN2O*kgtoGg,IF('Net zero activities &amp; levers'!$C$12="MS",'Net zero Activity data'!AQ64*ManureNEF*NtoN2O*kgtoGg,"ERROR")))</f>
        <v>0.19081502616241675</v>
      </c>
      <c r="Y983" s="101">
        <f>IF('Net zero activities &amp; levers'!$C$12="Off",'Activity data'!AR64*ManureNEF*NtoN2O*kgtoGg,IF('Net zero activities &amp; levers'!$C$12="PB",'Activity data'!AR64*ManureNEF*NtoN2O*kgtoGg,IF('Net zero activities &amp; levers'!$C$12="MS",'Net zero Activity data'!AR64*ManureNEF*NtoN2O*kgtoGg,"ERROR")))</f>
        <v>0.19677527630059505</v>
      </c>
      <c r="Z983" s="101">
        <f>IF('Net zero activities &amp; levers'!$C$12="Off",'Activity data'!AS64*ManureNEF*NtoN2O*kgtoGg,IF('Net zero activities &amp; levers'!$C$12="PB",'Activity data'!AS64*ManureNEF*NtoN2O*kgtoGg,IF('Net zero activities &amp; levers'!$C$12="MS",'Net zero Activity data'!AS64*ManureNEF*NtoN2O*kgtoGg,"ERROR")))</f>
        <v>0.20316424040233105</v>
      </c>
      <c r="AA983" s="101">
        <f>IF('Net zero activities &amp; levers'!$C$12="Off",'Activity data'!AT64*ManureNEF*NtoN2O*kgtoGg,IF('Net zero activities &amp; levers'!$C$12="PB",'Activity data'!AT64*ManureNEF*NtoN2O*kgtoGg,IF('Net zero activities &amp; levers'!$C$12="MS",'Net zero Activity data'!AT64*ManureNEF*NtoN2O*kgtoGg,"ERROR")))</f>
        <v>0.2090740458335611</v>
      </c>
      <c r="AB983" s="101">
        <f>IF('Net zero activities &amp; levers'!$C$12="Off",'Activity data'!AU64*ManureNEF*NtoN2O*kgtoGg,IF('Net zero activities &amp; levers'!$C$12="PB",'Activity data'!AU64*ManureNEF*NtoN2O*kgtoGg,IF('Net zero activities &amp; levers'!$C$12="MS",'Net zero Activity data'!AU64*ManureNEF*NtoN2O*kgtoGg,"ERROR")))</f>
        <v>0.21570429527296558</v>
      </c>
      <c r="AC983" s="101">
        <f>IF('Net zero activities &amp; levers'!$C$12="Off",'Activity data'!AV64*ManureNEF*NtoN2O*kgtoGg,IF('Net zero activities &amp; levers'!$C$12="PB",'Activity data'!AV64*ManureNEF*NtoN2O*kgtoGg,IF('Net zero activities &amp; levers'!$C$12="MS",'Net zero Activity data'!AV64*ManureNEF*NtoN2O*kgtoGg,"ERROR")))</f>
        <v>0.22322461413005179</v>
      </c>
      <c r="AD983" s="101">
        <f>IF('Net zero activities &amp; levers'!$C$12="Off",'Activity data'!AW64*ManureNEF*NtoN2O*kgtoGg,IF('Net zero activities &amp; levers'!$C$12="PB",'Activity data'!AW64*ManureNEF*NtoN2O*kgtoGg,IF('Net zero activities &amp; levers'!$C$12="MS",'Net zero Activity data'!AW64*ManureNEF*NtoN2O*kgtoGg,"ERROR")))</f>
        <v>0.23059574512274245</v>
      </c>
      <c r="AE983" s="101">
        <f>IF('Net zero activities &amp; levers'!$C$12="Off",'Activity data'!AX64*ManureNEF*NtoN2O*kgtoGg,IF('Net zero activities &amp; levers'!$C$12="PB",'Activity data'!AX64*ManureNEF*NtoN2O*kgtoGg,IF('Net zero activities &amp; levers'!$C$12="MS",'Net zero Activity data'!AX64*ManureNEF*NtoN2O*kgtoGg,"ERROR")))</f>
        <v>0.23831574484289472</v>
      </c>
      <c r="AF983" s="101">
        <f>IF('Net zero activities &amp; levers'!$C$12="Off",'Activity data'!AY64*ManureNEF*NtoN2O*kgtoGg,IF('Net zero activities &amp; levers'!$C$12="PB",'Activity data'!AY64*ManureNEF*NtoN2O*kgtoGg,IF('Net zero activities &amp; levers'!$C$12="MS",'Net zero Activity data'!AY64*ManureNEF*NtoN2O*kgtoGg,"ERROR")))</f>
        <v>0.24625980781200643</v>
      </c>
      <c r="AG983" s="101">
        <f>IF('Net zero activities &amp; levers'!$C$12="Off",'Activity data'!AZ64*ManureNEF*NtoN2O*kgtoGg,IF('Net zero activities &amp; levers'!$C$12="PB",'Activity data'!AZ64*ManureNEF*NtoN2O*kgtoGg,IF('Net zero activities &amp; levers'!$C$12="MS",'Net zero Activity data'!AZ64*ManureNEF*NtoN2O*kgtoGg,"ERROR")))</f>
        <v>0.25500800669627088</v>
      </c>
      <c r="AH983" s="101">
        <f>IF('Net zero activities &amp; levers'!$C$12="Off",'Activity data'!BA64*ManureNEF*NtoN2O*kgtoGg,IF('Net zero activities &amp; levers'!$C$12="PB",'Activity data'!BA64*ManureNEF*NtoN2O*kgtoGg,IF('Net zero activities &amp; levers'!$C$12="MS",'Net zero Activity data'!BA64*ManureNEF*NtoN2O*kgtoGg,"ERROR")))</f>
        <v>0.26305100817364307</v>
      </c>
      <c r="AI983" s="101">
        <f>IF('Net zero activities &amp; levers'!$C$12="Off",'Activity data'!BB64*ManureNEF*NtoN2O*kgtoGg,IF('Net zero activities &amp; levers'!$C$12="PB",'Activity data'!BB64*ManureNEF*NtoN2O*kgtoGg,IF('Net zero activities &amp; levers'!$C$12="MS",'Net zero Activity data'!BB64*ManureNEF*NtoN2O*kgtoGg,"ERROR")))</f>
        <v>0.27146542700983761</v>
      </c>
      <c r="AJ983" s="101">
        <f>IF('Net zero activities &amp; levers'!$C$12="Off",'Activity data'!BC64*ManureNEF*NtoN2O*kgtoGg,IF('Net zero activities &amp; levers'!$C$12="PB",'Activity data'!BC64*ManureNEF*NtoN2O*kgtoGg,IF('Net zero activities &amp; levers'!$C$12="MS",'Net zero Activity data'!BC64*ManureNEF*NtoN2O*kgtoGg,"ERROR")))</f>
        <v>0.28009700813609817</v>
      </c>
      <c r="AK983" s="101">
        <f>IF('Net zero activities &amp; levers'!$C$12="Off",'Activity data'!BD64*ManureNEF*NtoN2O*kgtoGg,IF('Net zero activities &amp; levers'!$C$12="PB",'Activity data'!BD64*ManureNEF*NtoN2O*kgtoGg,IF('Net zero activities &amp; levers'!$C$12="MS",'Net zero Activity data'!BD64*ManureNEF*NtoN2O*kgtoGg,"ERROR")))</f>
        <v>0.28852863408778395</v>
      </c>
      <c r="AL983" s="101">
        <f>IF('Net zero activities &amp; levers'!$C$12="Off",'Activity data'!BE64*ManureNEF*NtoN2O*kgtoGg,IF('Net zero activities &amp; levers'!$C$12="PB",'Activity data'!BE64*ManureNEF*NtoN2O*kgtoGg,IF('Net zero activities &amp; levers'!$C$12="MS",'Net zero Activity data'!BE64*ManureNEF*NtoN2O*kgtoGg,"ERROR")))</f>
        <v>0.29704040587124897</v>
      </c>
      <c r="AM983" s="101">
        <f>IF('Net zero activities &amp; levers'!$C$12="Off",'Activity data'!BF64*ManureNEF*NtoN2O*kgtoGg,IF('Net zero activities &amp; levers'!$C$12="PB",'Activity data'!BF64*ManureNEF*NtoN2O*kgtoGg,IF('Net zero activities &amp; levers'!$C$12="MS",'Net zero Activity data'!BF64*ManureNEF*NtoN2O*kgtoGg,"ERROR")))</f>
        <v>0.30589267500220069</v>
      </c>
      <c r="AN983" s="101">
        <f>IF('Net zero activities &amp; levers'!$C$12="Off",'Activity data'!BG64*ManureNEF*NtoN2O*kgtoGg,IF('Net zero activities &amp; levers'!$C$12="PB",'Activity data'!BG64*ManureNEF*NtoN2O*kgtoGg,IF('Net zero activities &amp; levers'!$C$12="MS",'Net zero Activity data'!BG64*ManureNEF*NtoN2O*kgtoGg,"ERROR")))</f>
        <v>0.31509949249948005</v>
      </c>
      <c r="AO983" s="101">
        <f>IF('Net zero activities &amp; levers'!$C$12="Off",'Activity data'!BH64*ManureNEF*NtoN2O*kgtoGg,IF('Net zero activities &amp; levers'!$C$12="PB",'Activity data'!BH64*ManureNEF*NtoN2O*kgtoGg,IF('Net zero activities &amp; levers'!$C$12="MS",'Net zero Activity data'!BH64*ManureNEF*NtoN2O*kgtoGg,"ERROR")))</f>
        <v>0.32397232132243609</v>
      </c>
      <c r="AP983" s="101">
        <f>IF('Net zero activities &amp; levers'!$C$12="Off",'Activity data'!BI64*ManureNEF*NtoN2O*kgtoGg,IF('Net zero activities &amp; levers'!$C$12="PB",'Activity data'!BI64*ManureNEF*NtoN2O*kgtoGg,IF('Net zero activities &amp; levers'!$C$12="MS",'Net zero Activity data'!BI64*ManureNEF*NtoN2O*kgtoGg,"ERROR")))</f>
        <v>0.33303470425340953</v>
      </c>
      <c r="AQ983" s="101">
        <f>IF('Net zero activities &amp; levers'!$C$12="Off",'Activity data'!BJ64*ManureNEF*NtoN2O*kgtoGg,IF('Net zero activities &amp; levers'!$C$12="PB",'Activity data'!BJ64*ManureNEF*NtoN2O*kgtoGg,IF('Net zero activities &amp; levers'!$C$12="MS",'Net zero Activity data'!BJ64*ManureNEF*NtoN2O*kgtoGg,"ERROR")))</f>
        <v>0.34230228220604159</v>
      </c>
      <c r="AR983" s="101">
        <f>IF('Net zero activities &amp; levers'!$C$12="Off",'Activity data'!BK64*ManureNEF*NtoN2O*kgtoGg,IF('Net zero activities &amp; levers'!$C$12="PB",'Activity data'!BK64*ManureNEF*NtoN2O*kgtoGg,IF('Net zero activities &amp; levers'!$C$12="MS",'Net zero Activity data'!BK64*ManureNEF*NtoN2O*kgtoGg,"ERROR")))</f>
        <v>0.35216230168979662</v>
      </c>
      <c r="AS983" s="101">
        <f>IF('Net zero activities &amp; levers'!$C$12="Off",'Activity data'!BL64*ManureNEF*NtoN2O*kgtoGg,IF('Net zero activities &amp; levers'!$C$12="PB",'Activity data'!BL64*ManureNEF*NtoN2O*kgtoGg,IF('Net zero activities &amp; levers'!$C$12="MS",'Net zero Activity data'!BL64*ManureNEF*NtoN2O*kgtoGg,"ERROR")))</f>
        <v>0.36222138179977098</v>
      </c>
      <c r="AT983" s="101">
        <f>IF('Net zero activities &amp; levers'!$C$12="Off",'Activity data'!BM64*ManureNEF*NtoN2O*kgtoGg,IF('Net zero activities &amp; levers'!$C$12="PB",'Activity data'!BM64*ManureNEF*NtoN2O*kgtoGg,IF('Net zero activities &amp; levers'!$C$12="MS",'Net zero Activity data'!BM64*ManureNEF*NtoN2O*kgtoGg,"ERROR")))</f>
        <v>0.36875743363549901</v>
      </c>
      <c r="AU983" s="101">
        <f>IF('Net zero activities &amp; levers'!$C$12="Off",'Activity data'!BN64*ManureNEF*NtoN2O*kgtoGg,IF('Net zero activities &amp; levers'!$C$12="PB",'Activity data'!BN64*ManureNEF*NtoN2O*kgtoGg,IF('Net zero activities &amp; levers'!$C$12="MS",'Net zero Activity data'!BN64*ManureNEF*NtoN2O*kgtoGg,"ERROR")))</f>
        <v>0.37509652822170919</v>
      </c>
      <c r="AV983" s="101">
        <f>IF('Net zero activities &amp; levers'!$C$12="Off",'Activity data'!BO64*ManureNEF*NtoN2O*kgtoGg,IF('Net zero activities &amp; levers'!$C$12="PB",'Activity data'!BO64*ManureNEF*NtoN2O*kgtoGg,IF('Net zero activities &amp; levers'!$C$12="MS",'Net zero Activity data'!BO64*ManureNEF*NtoN2O*kgtoGg,"ERROR")))</f>
        <v>0.38198920884211868</v>
      </c>
      <c r="AW983" s="101">
        <f>IF('Net zero activities &amp; levers'!$C$12="Off",'Activity data'!BP64*ManureNEF*NtoN2O*kgtoGg,IF('Net zero activities &amp; levers'!$C$12="PB",'Activity data'!BP64*ManureNEF*NtoN2O*kgtoGg,IF('Net zero activities &amp; levers'!$C$12="MS",'Net zero Activity data'!BP64*ManureNEF*NtoN2O*kgtoGg,"ERROR")))</f>
        <v>0.3887297225488785</v>
      </c>
      <c r="AY983" s="85"/>
      <c r="AZ983" s="85"/>
    </row>
    <row r="984" spans="1:52" x14ac:dyDescent="0.25">
      <c r="A984" s="102" t="str">
        <f t="shared" si="345"/>
        <v>DS Organic</v>
      </c>
      <c r="B984" s="102" t="s">
        <v>975</v>
      </c>
      <c r="C984" s="102" t="s">
        <v>1128</v>
      </c>
      <c r="D984" t="s">
        <v>369</v>
      </c>
      <c r="E984" t="s">
        <v>55</v>
      </c>
      <c r="F984" t="s">
        <v>421</v>
      </c>
      <c r="G984" t="s">
        <v>1183</v>
      </c>
      <c r="H984" t="s">
        <v>1184</v>
      </c>
      <c r="I984" t="s">
        <v>139</v>
      </c>
      <c r="J984" t="s">
        <v>287</v>
      </c>
      <c r="K984" s="101">
        <f>IF('Net zero activities &amp; levers'!$C$12="Off",'Activity data'!AD65*ManureNEF*NtoN2O*kgtoGg,IF('Net zero activities &amp; levers'!$C$12="PB",'Activity data'!AD65*ManureNEF*NtoN2O*kgtoGg,IF('Net zero activities &amp; levers'!$C$12="MS",'Net zero Activity data'!AD65*ManureNEF*NtoN2O*kgtoGg,"ERROR")))</f>
        <v>0.79145317534147697</v>
      </c>
      <c r="L984" s="101">
        <f>IF('Net zero activities &amp; levers'!$C$12="Off",'Activity data'!AE65*ManureNEF*NtoN2O*kgtoGg,IF('Net zero activities &amp; levers'!$C$12="PB",'Activity data'!AE65*ManureNEF*NtoN2O*kgtoGg,IF('Net zero activities &amp; levers'!$C$12="MS",'Net zero Activity data'!AE65*ManureNEF*NtoN2O*kgtoGg,"ERROR")))</f>
        <v>0.80614249446586472</v>
      </c>
      <c r="M984" s="101">
        <f>IF('Net zero activities &amp; levers'!$C$12="Off",'Activity data'!AF65*ManureNEF*NtoN2O*kgtoGg,IF('Net zero activities &amp; levers'!$C$12="PB",'Activity data'!AF65*ManureNEF*NtoN2O*kgtoGg,IF('Net zero activities &amp; levers'!$C$12="MS",'Net zero Activity data'!AF65*ManureNEF*NtoN2O*kgtoGg,"ERROR")))</f>
        <v>0.81576351649757217</v>
      </c>
      <c r="N984" s="101">
        <f>IF('Net zero activities &amp; levers'!$C$12="Off",'Activity data'!AG65*ManureNEF*NtoN2O*kgtoGg,IF('Net zero activities &amp; levers'!$C$12="PB",'Activity data'!AG65*ManureNEF*NtoN2O*kgtoGg,IF('Net zero activities &amp; levers'!$C$12="MS",'Net zero Activity data'!AG65*ManureNEF*NtoN2O*kgtoGg,"ERROR")))</f>
        <v>0.8051815142548906</v>
      </c>
      <c r="O984" s="101">
        <f>IF('Net zero activities &amp; levers'!$C$12="Off",'Activity data'!AH65*ManureNEF*NtoN2O*kgtoGg,IF('Net zero activities &amp; levers'!$C$12="PB",'Activity data'!AH65*ManureNEF*NtoN2O*kgtoGg,IF('Net zero activities &amp; levers'!$C$12="MS",'Net zero Activity data'!AH65*ManureNEF*NtoN2O*kgtoGg,"ERROR")))</f>
        <v>0.79491912717906921</v>
      </c>
      <c r="P984" s="101">
        <f>IF('Net zero activities &amp; levers'!$C$12="Off",'Activity data'!AI65*ManureNEF*NtoN2O*kgtoGg,IF('Net zero activities &amp; levers'!$C$12="PB",'Activity data'!AI65*ManureNEF*NtoN2O*kgtoGg,IF('Net zero activities &amp; levers'!$C$12="MS",'Net zero Activity data'!AI65*ManureNEF*NtoN2O*kgtoGg,"ERROR")))</f>
        <v>0.8050882404927846</v>
      </c>
      <c r="Q984" s="101">
        <f>IF('Net zero activities &amp; levers'!$C$12="Off",'Activity data'!AJ65*ManureNEF*NtoN2O*kgtoGg,IF('Net zero activities &amp; levers'!$C$12="PB",'Activity data'!AJ65*ManureNEF*NtoN2O*kgtoGg,IF('Net zero activities &amp; levers'!$C$12="MS",'Net zero Activity data'!AJ65*ManureNEF*NtoN2O*kgtoGg,"ERROR")))</f>
        <v>0.80900668851215218</v>
      </c>
      <c r="R984" s="101">
        <f>IF('Net zero activities &amp; levers'!$C$12="Off",'Activity data'!AK65*ManureNEF*NtoN2O*kgtoGg,IF('Net zero activities &amp; levers'!$C$12="PB",'Activity data'!AK65*ManureNEF*NtoN2O*kgtoGg,IF('Net zero activities &amp; levers'!$C$12="MS",'Net zero Activity data'!AK65*ManureNEF*NtoN2O*kgtoGg,"ERROR")))</f>
        <v>0.79104206342465233</v>
      </c>
      <c r="S984" s="101">
        <f>IF('Net zero activities &amp; levers'!$C$12="Off",'Activity data'!AL65*ManureNEF*NtoN2O*kgtoGg,IF('Net zero activities &amp; levers'!$C$12="PB",'Activity data'!AL65*ManureNEF*NtoN2O*kgtoGg,IF('Net zero activities &amp; levers'!$C$12="MS",'Net zero Activity data'!AL65*ManureNEF*NtoN2O*kgtoGg,"ERROR")))</f>
        <v>0.67708002243474696</v>
      </c>
      <c r="T984" s="101">
        <f>IF('Net zero activities &amp; levers'!$C$12="Off",'Activity data'!AM65*ManureNEF*NtoN2O*kgtoGg,IF('Net zero activities &amp; levers'!$C$12="PB",'Activity data'!AM65*ManureNEF*NtoN2O*kgtoGg,IF('Net zero activities &amp; levers'!$C$12="MS",'Net zero Activity data'!AM65*ManureNEF*NtoN2O*kgtoGg,"ERROR")))</f>
        <v>0.71326971422678453</v>
      </c>
      <c r="U984" s="101">
        <f>IF('Net zero activities &amp; levers'!$C$12="Off",'Activity data'!AN65*ManureNEF*NtoN2O*kgtoGg,IF('Net zero activities &amp; levers'!$C$12="PB",'Activity data'!AN65*ManureNEF*NtoN2O*kgtoGg,IF('Net zero activities &amp; levers'!$C$12="MS",'Net zero Activity data'!AN65*ManureNEF*NtoN2O*kgtoGg,"ERROR")))</f>
        <v>0.73749777615328771</v>
      </c>
      <c r="V984" s="101">
        <f>IF('Net zero activities &amp; levers'!$C$12="Off",'Activity data'!AO65*ManureNEF*NtoN2O*kgtoGg,IF('Net zero activities &amp; levers'!$C$12="PB",'Activity data'!AO65*ManureNEF*NtoN2O*kgtoGg,IF('Net zero activities &amp; levers'!$C$12="MS",'Net zero Activity data'!AO65*ManureNEF*NtoN2O*kgtoGg,"ERROR")))</f>
        <v>0.75903343240977361</v>
      </c>
      <c r="W984" s="101">
        <f>IF('Net zero activities &amp; levers'!$C$12="Off",'Activity data'!AP65*ManureNEF*NtoN2O*kgtoGg,IF('Net zero activities &amp; levers'!$C$12="PB",'Activity data'!AP65*ManureNEF*NtoN2O*kgtoGg,IF('Net zero activities &amp; levers'!$C$12="MS",'Net zero Activity data'!AP65*ManureNEF*NtoN2O*kgtoGg,"ERROR")))</f>
        <v>0.78503971816941975</v>
      </c>
      <c r="X984" s="101">
        <f>IF('Net zero activities &amp; levers'!$C$12="Off",'Activity data'!AQ65*ManureNEF*NtoN2O*kgtoGg,IF('Net zero activities &amp; levers'!$C$12="PB",'Activity data'!AQ65*ManureNEF*NtoN2O*kgtoGg,IF('Net zero activities &amp; levers'!$C$12="MS",'Net zero Activity data'!AQ65*ManureNEF*NtoN2O*kgtoGg,"ERROR")))</f>
        <v>0.8265450745172781</v>
      </c>
      <c r="Y984" s="101">
        <f>IF('Net zero activities &amp; levers'!$C$12="Off",'Activity data'!AR65*ManureNEF*NtoN2O*kgtoGg,IF('Net zero activities &amp; levers'!$C$12="PB",'Activity data'!AR65*ManureNEF*NtoN2O*kgtoGg,IF('Net zero activities &amp; levers'!$C$12="MS",'Net zero Activity data'!AR65*ManureNEF*NtoN2O*kgtoGg,"ERROR")))</f>
        <v>0.87296422483256353</v>
      </c>
      <c r="Z984" s="101">
        <f>IF('Net zero activities &amp; levers'!$C$12="Off",'Activity data'!AS65*ManureNEF*NtoN2O*kgtoGg,IF('Net zero activities &amp; levers'!$C$12="PB",'Activity data'!AS65*ManureNEF*NtoN2O*kgtoGg,IF('Net zero activities &amp; levers'!$C$12="MS",'Net zero Activity data'!AS65*ManureNEF*NtoN2O*kgtoGg,"ERROR")))</f>
        <v>0.92344360360977484</v>
      </c>
      <c r="AA984" s="101">
        <f>IF('Net zero activities &amp; levers'!$C$12="Off",'Activity data'!AT65*ManureNEF*NtoN2O*kgtoGg,IF('Net zero activities &amp; levers'!$C$12="PB",'Activity data'!AT65*ManureNEF*NtoN2O*kgtoGg,IF('Net zero activities &amp; levers'!$C$12="MS",'Net zero Activity data'!AT65*ManureNEF*NtoN2O*kgtoGg,"ERROR")))</f>
        <v>0.9677689116158269</v>
      </c>
      <c r="AB984" s="101">
        <f>IF('Net zero activities &amp; levers'!$C$12="Off",'Activity data'!AU65*ManureNEF*NtoN2O*kgtoGg,IF('Net zero activities &amp; levers'!$C$12="PB",'Activity data'!AU65*ManureNEF*NtoN2O*kgtoGg,IF('Net zero activities &amp; levers'!$C$12="MS",'Net zero Activity data'!AU65*ManureNEF*NtoN2O*kgtoGg,"ERROR")))</f>
        <v>1.0193755598811634</v>
      </c>
      <c r="AC984" s="101">
        <f>IF('Net zero activities &amp; levers'!$C$12="Off",'Activity data'!AV65*ManureNEF*NtoN2O*kgtoGg,IF('Net zero activities &amp; levers'!$C$12="PB",'Activity data'!AV65*ManureNEF*NtoN2O*kgtoGg,IF('Net zero activities &amp; levers'!$C$12="MS",'Net zero Activity data'!AV65*ManureNEF*NtoN2O*kgtoGg,"ERROR")))</f>
        <v>1.0799736712957677</v>
      </c>
      <c r="AD984" s="101">
        <f>IF('Net zero activities &amp; levers'!$C$12="Off",'Activity data'!AW65*ManureNEF*NtoN2O*kgtoGg,IF('Net zero activities &amp; levers'!$C$12="PB",'Activity data'!AW65*ManureNEF*NtoN2O*kgtoGg,IF('Net zero activities &amp; levers'!$C$12="MS",'Net zero Activity data'!AW65*ManureNEF*NtoN2O*kgtoGg,"ERROR")))</f>
        <v>1.1399677250662128</v>
      </c>
      <c r="AE984" s="101">
        <f>IF('Net zero activities &amp; levers'!$C$12="Off",'Activity data'!AX65*ManureNEF*NtoN2O*kgtoGg,IF('Net zero activities &amp; levers'!$C$12="PB",'Activity data'!AX65*ManureNEF*NtoN2O*kgtoGg,IF('Net zero activities &amp; levers'!$C$12="MS",'Net zero Activity data'!AX65*ManureNEF*NtoN2O*kgtoGg,"ERROR")))</f>
        <v>1.2028979209953241</v>
      </c>
      <c r="AF984" s="101">
        <f>IF('Net zero activities &amp; levers'!$C$12="Off",'Activity data'!AY65*ManureNEF*NtoN2O*kgtoGg,IF('Net zero activities &amp; levers'!$C$12="PB",'Activity data'!AY65*ManureNEF*NtoN2O*kgtoGg,IF('Net zero activities &amp; levers'!$C$12="MS",'Net zero Activity data'!AY65*ManureNEF*NtoN2O*kgtoGg,"ERROR")))</f>
        <v>1.2673719800644652</v>
      </c>
      <c r="AG984" s="101">
        <f>IF('Net zero activities &amp; levers'!$C$12="Off",'Activity data'!AZ65*ManureNEF*NtoN2O*kgtoGg,IF('Net zero activities &amp; levers'!$C$12="PB",'Activity data'!AZ65*ManureNEF*NtoN2O*kgtoGg,IF('Net zero activities &amp; levers'!$C$12="MS",'Net zero Activity data'!AZ65*ManureNEF*NtoN2O*kgtoGg,"ERROR")))</f>
        <v>1.3395677079848545</v>
      </c>
      <c r="AH984" s="101">
        <f>IF('Net zero activities &amp; levers'!$C$12="Off",'Activity data'!BA65*ManureNEF*NtoN2O*kgtoGg,IF('Net zero activities &amp; levers'!$C$12="PB",'Activity data'!BA65*ManureNEF*NtoN2O*kgtoGg,IF('Net zero activities &amp; levers'!$C$12="MS",'Net zero Activity data'!BA65*ManureNEF*NtoN2O*kgtoGg,"ERROR")))</f>
        <v>1.4033231150236891</v>
      </c>
      <c r="AI984" s="101">
        <f>IF('Net zero activities &amp; levers'!$C$12="Off",'Activity data'!BB65*ManureNEF*NtoN2O*kgtoGg,IF('Net zero activities &amp; levers'!$C$12="PB",'Activity data'!BB65*ManureNEF*NtoN2O*kgtoGg,IF('Net zero activities &amp; levers'!$C$12="MS",'Net zero Activity data'!BB65*ManureNEF*NtoN2O*kgtoGg,"ERROR")))</f>
        <v>1.4719666098768296</v>
      </c>
      <c r="AJ984" s="101">
        <f>IF('Net zero activities &amp; levers'!$C$12="Off",'Activity data'!BC65*ManureNEF*NtoN2O*kgtoGg,IF('Net zero activities &amp; levers'!$C$12="PB",'Activity data'!BC65*ManureNEF*NtoN2O*kgtoGg,IF('Net zero activities &amp; levers'!$C$12="MS",'Net zero Activity data'!BC65*ManureNEF*NtoN2O*kgtoGg,"ERROR")))</f>
        <v>1.5420388237441127</v>
      </c>
      <c r="AK984" s="101">
        <f>IF('Net zero activities &amp; levers'!$C$12="Off",'Activity data'!BD65*ManureNEF*NtoN2O*kgtoGg,IF('Net zero activities &amp; levers'!$C$12="PB",'Activity data'!BD65*ManureNEF*NtoN2O*kgtoGg,IF('Net zero activities &amp; levers'!$C$12="MS",'Net zero Activity data'!BD65*ManureNEF*NtoN2O*kgtoGg,"ERROR")))</f>
        <v>1.6091811663069184</v>
      </c>
      <c r="AL984" s="101">
        <f>IF('Net zero activities &amp; levers'!$C$12="Off",'Activity data'!BE65*ManureNEF*NtoN2O*kgtoGg,IF('Net zero activities &amp; levers'!$C$12="PB",'Activity data'!BE65*ManureNEF*NtoN2O*kgtoGg,IF('Net zero activities &amp; levers'!$C$12="MS",'Net zero Activity data'!BE65*ManureNEF*NtoN2O*kgtoGg,"ERROR")))</f>
        <v>1.6763559089740723</v>
      </c>
      <c r="AM984" s="101">
        <f>IF('Net zero activities &amp; levers'!$C$12="Off",'Activity data'!BF65*ManureNEF*NtoN2O*kgtoGg,IF('Net zero activities &amp; levers'!$C$12="PB",'Activity data'!BF65*ManureNEF*NtoN2O*kgtoGg,IF('Net zero activities &amp; levers'!$C$12="MS",'Net zero Activity data'!BF65*ManureNEF*NtoN2O*kgtoGg,"ERROR")))</f>
        <v>1.7462483337512213</v>
      </c>
      <c r="AN984" s="101">
        <f>IF('Net zero activities &amp; levers'!$C$12="Off",'Activity data'!BG65*ManureNEF*NtoN2O*kgtoGg,IF('Net zero activities &amp; levers'!$C$12="PB",'Activity data'!BG65*ManureNEF*NtoN2O*kgtoGg,IF('Net zero activities &amp; levers'!$C$12="MS",'Net zero Activity data'!BG65*ManureNEF*NtoN2O*kgtoGg,"ERROR")))</f>
        <v>1.8206168694032934</v>
      </c>
      <c r="AO984" s="101">
        <f>IF('Net zero activities &amp; levers'!$C$12="Off",'Activity data'!BH65*ManureNEF*NtoN2O*kgtoGg,IF('Net zero activities &amp; levers'!$C$12="PB",'Activity data'!BH65*ManureNEF*NtoN2O*kgtoGg,IF('Net zero activities &amp; levers'!$C$12="MS",'Net zero Activity data'!BH65*ManureNEF*NtoN2O*kgtoGg,"ERROR")))</f>
        <v>1.8907719180049514</v>
      </c>
      <c r="AP984" s="101">
        <f>IF('Net zero activities &amp; levers'!$C$12="Off",'Activity data'!BI65*ManureNEF*NtoN2O*kgtoGg,IF('Net zero activities &amp; levers'!$C$12="PB",'Activity data'!BI65*ManureNEF*NtoN2O*kgtoGg,IF('Net zero activities &amp; levers'!$C$12="MS",'Net zero Activity data'!BI65*ManureNEF*NtoN2O*kgtoGg,"ERROR")))</f>
        <v>1.9620842803375478</v>
      </c>
      <c r="AQ984" s="101">
        <f>IF('Net zero activities &amp; levers'!$C$12="Off",'Activity data'!BJ65*ManureNEF*NtoN2O*kgtoGg,IF('Net zero activities &amp; levers'!$C$12="PB",'Activity data'!BJ65*ManureNEF*NtoN2O*kgtoGg,IF('Net zero activities &amp; levers'!$C$12="MS",'Net zero Activity data'!BJ65*ManureNEF*NtoN2O*kgtoGg,"ERROR")))</f>
        <v>2.0346990314319551</v>
      </c>
      <c r="AR984" s="101">
        <f>IF('Net zero activities &amp; levers'!$C$12="Off",'Activity data'!BK65*ManureNEF*NtoN2O*kgtoGg,IF('Net zero activities &amp; levers'!$C$12="PB",'Activity data'!BK65*ManureNEF*NtoN2O*kgtoGg,IF('Net zero activities &amp; levers'!$C$12="MS",'Net zero Activity data'!BK65*ManureNEF*NtoN2O*kgtoGg,"ERROR")))</f>
        <v>2.1124695104369047</v>
      </c>
      <c r="AS984" s="101">
        <f>IF('Net zero activities &amp; levers'!$C$12="Off",'Activity data'!BL65*ManureNEF*NtoN2O*kgtoGg,IF('Net zero activities &amp; levers'!$C$12="PB",'Activity data'!BL65*ManureNEF*NtoN2O*kgtoGg,IF('Net zero activities &amp; levers'!$C$12="MS",'Net zero Activity data'!BL65*ManureNEF*NtoN2O*kgtoGg,"ERROR")))</f>
        <v>2.1930634279587973</v>
      </c>
      <c r="AT984" s="101">
        <f>IF('Net zero activities &amp; levers'!$C$12="Off",'Activity data'!BM65*ManureNEF*NtoN2O*kgtoGg,IF('Net zero activities &amp; levers'!$C$12="PB",'Activity data'!BM65*ManureNEF*NtoN2O*kgtoGg,IF('Net zero activities &amp; levers'!$C$12="MS",'Net zero Activity data'!BM65*ManureNEF*NtoN2O*kgtoGg,"ERROR")))</f>
        <v>2.2380483172942163</v>
      </c>
      <c r="AU984" s="101">
        <f>IF('Net zero activities &amp; levers'!$C$12="Off",'Activity data'!BN65*ManureNEF*NtoN2O*kgtoGg,IF('Net zero activities &amp; levers'!$C$12="PB",'Activity data'!BN65*ManureNEF*NtoN2O*kgtoGg,IF('Net zero activities &amp; levers'!$C$12="MS",'Net zero Activity data'!BN65*ManureNEF*NtoN2O*kgtoGg,"ERROR")))</f>
        <v>2.2806855119174227</v>
      </c>
      <c r="AV984" s="101">
        <f>IF('Net zero activities &amp; levers'!$C$12="Off",'Activity data'!BO65*ManureNEF*NtoN2O*kgtoGg,IF('Net zero activities &amp; levers'!$C$12="PB",'Activity data'!BO65*ManureNEF*NtoN2O*kgtoGg,IF('Net zero activities &amp; levers'!$C$12="MS",'Net zero Activity data'!BO65*ManureNEF*NtoN2O*kgtoGg,"ERROR")))</f>
        <v>2.3283502130567282</v>
      </c>
      <c r="AW984" s="101">
        <f>IF('Net zero activities &amp; levers'!$C$12="Off",'Activity data'!BP65*ManureNEF*NtoN2O*kgtoGg,IF('Net zero activities &amp; levers'!$C$12="PB",'Activity data'!BP65*ManureNEF*NtoN2O*kgtoGg,IF('Net zero activities &amp; levers'!$C$12="MS",'Net zero Activity data'!BP65*ManureNEF*NtoN2O*kgtoGg,"ERROR")))</f>
        <v>2.3741040563618498</v>
      </c>
      <c r="AY984" s="85"/>
      <c r="AZ984" s="85"/>
    </row>
    <row r="985" spans="1:52" x14ac:dyDescent="0.25">
      <c r="A985" s="102" t="str">
        <f t="shared" si="345"/>
        <v>DS U&amp;D</v>
      </c>
      <c r="B985" s="102" t="s">
        <v>975</v>
      </c>
      <c r="C985" s="102" t="s">
        <v>1337</v>
      </c>
      <c r="D985" t="s">
        <v>369</v>
      </c>
      <c r="E985" t="s">
        <v>55</v>
      </c>
      <c r="F985" t="s">
        <v>422</v>
      </c>
      <c r="G985" t="s">
        <v>1153</v>
      </c>
      <c r="H985" t="s">
        <v>1241</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85"/>
      <c r="AZ985" s="85"/>
    </row>
    <row r="986" spans="1:52" x14ac:dyDescent="0.25">
      <c r="A986" s="102" t="str">
        <f t="shared" si="345"/>
        <v>DS U&amp;D</v>
      </c>
      <c r="B986" s="102" t="s">
        <v>975</v>
      </c>
      <c r="C986" s="102" t="s">
        <v>1337</v>
      </c>
      <c r="D986" t="s">
        <v>369</v>
      </c>
      <c r="E986" t="s">
        <v>55</v>
      </c>
      <c r="F986" t="s">
        <v>422</v>
      </c>
      <c r="G986" t="s">
        <v>1155</v>
      </c>
      <c r="H986" t="s">
        <v>1242</v>
      </c>
      <c r="I986" t="s">
        <v>139</v>
      </c>
      <c r="J986" t="s">
        <v>287</v>
      </c>
      <c r="K986" s="22">
        <f t="shared" ref="K986:Z987" si="347">K1483</f>
        <v>1.0786753296429479</v>
      </c>
      <c r="L986" s="22">
        <f t="shared" si="347"/>
        <v>1.0859586060309057</v>
      </c>
      <c r="M986" s="22">
        <f t="shared" si="347"/>
        <v>1.0923296279678898</v>
      </c>
      <c r="N986" s="22">
        <f t="shared" si="347"/>
        <v>1.0931537330099066</v>
      </c>
      <c r="O986" s="22">
        <f t="shared" si="347"/>
        <v>1.0945731731430408</v>
      </c>
      <c r="P986" s="22">
        <f t="shared" si="347"/>
        <v>1.1027176588076981</v>
      </c>
      <c r="Q986" s="22">
        <f t="shared" si="347"/>
        <v>1.1092302651165924</v>
      </c>
      <c r="R986" s="22">
        <f t="shared" si="347"/>
        <v>1.109287368040317</v>
      </c>
      <c r="S986" s="22">
        <f t="shared" si="347"/>
        <v>1.0798981830298287</v>
      </c>
      <c r="T986" s="22">
        <f t="shared" si="347"/>
        <v>1.0940959356021487</v>
      </c>
      <c r="U986" s="22">
        <f t="shared" si="347"/>
        <v>1.1048433903618551</v>
      </c>
      <c r="V986" s="22">
        <f t="shared" si="347"/>
        <v>1.1149833596000451</v>
      </c>
      <c r="W986" s="22">
        <f t="shared" si="347"/>
        <v>1.1267409528269945</v>
      </c>
      <c r="X986" s="22">
        <f t="shared" si="347"/>
        <v>1.1435878034617475</v>
      </c>
      <c r="Y986" s="22">
        <f t="shared" si="347"/>
        <v>1.1611273352268467</v>
      </c>
      <c r="Z986" s="22">
        <f t="shared" si="347"/>
        <v>1.1801792260010431</v>
      </c>
      <c r="AA986" s="22">
        <f t="shared" si="346"/>
        <v>1.1975049735261083</v>
      </c>
      <c r="AB986" s="22">
        <f t="shared" si="346"/>
        <v>1.2173560530719671</v>
      </c>
      <c r="AC986" s="22">
        <f t="shared" si="346"/>
        <v>1.2402923210603021</v>
      </c>
      <c r="AD986" s="22">
        <f t="shared" si="346"/>
        <v>1.2623742733775345</v>
      </c>
      <c r="AE986" s="22">
        <f t="shared" si="346"/>
        <v>1.2856074455004303</v>
      </c>
      <c r="AF986" s="22">
        <f t="shared" si="346"/>
        <v>1.3095452950439004</v>
      </c>
      <c r="AG986" s="22">
        <f t="shared" si="346"/>
        <v>1.3361813419952935</v>
      </c>
      <c r="AH986" s="22">
        <f t="shared" si="346"/>
        <v>1.3602968998390941</v>
      </c>
      <c r="AI986" s="22">
        <f t="shared" si="346"/>
        <v>1.3853556448541151</v>
      </c>
      <c r="AJ986" s="22">
        <f t="shared" si="346"/>
        <v>1.4110693769069982</v>
      </c>
      <c r="AK986" s="22">
        <f t="shared" si="346"/>
        <v>1.4360144578705683</v>
      </c>
      <c r="AL986" s="22">
        <f t="shared" si="346"/>
        <v>1.4611486001146794</v>
      </c>
      <c r="AM986" s="22">
        <f t="shared" si="346"/>
        <v>1.4873489277695111</v>
      </c>
      <c r="AN986" s="22">
        <f t="shared" si="346"/>
        <v>1.5144167777664856</v>
      </c>
      <c r="AO986" s="22">
        <f t="shared" si="346"/>
        <v>1.540269346746828</v>
      </c>
      <c r="AP986" s="22">
        <f t="shared" si="346"/>
        <v>1.5666680254867089</v>
      </c>
      <c r="AQ986" s="22">
        <f t="shared" si="346"/>
        <v>1.593660390525756</v>
      </c>
      <c r="AR986" s="22">
        <f t="shared" si="346"/>
        <v>1.6225260915070563</v>
      </c>
      <c r="AS986" s="22">
        <f t="shared" si="346"/>
        <v>1.6517094827819983</v>
      </c>
      <c r="AT986" s="22">
        <f t="shared" si="346"/>
        <v>1.6691760933817195</v>
      </c>
      <c r="AU986" s="22">
        <f t="shared" si="346"/>
        <v>1.6859640883447786</v>
      </c>
      <c r="AV986" s="22">
        <f t="shared" si="346"/>
        <v>1.7045379947409554</v>
      </c>
      <c r="AW986" s="22">
        <f t="shared" si="346"/>
        <v>1.7225765964260569</v>
      </c>
      <c r="AY986" s="85"/>
      <c r="AZ986" s="85"/>
    </row>
    <row r="987" spans="1:52" x14ac:dyDescent="0.25">
      <c r="A987" s="102" t="str">
        <f t="shared" si="345"/>
        <v>DS U&amp;D</v>
      </c>
      <c r="B987" s="102" t="s">
        <v>975</v>
      </c>
      <c r="C987" s="102" t="s">
        <v>1337</v>
      </c>
      <c r="D987" t="s">
        <v>369</v>
      </c>
      <c r="E987" t="s">
        <v>55</v>
      </c>
      <c r="F987" t="s">
        <v>422</v>
      </c>
      <c r="G987" t="s">
        <v>1157</v>
      </c>
      <c r="H987" t="s">
        <v>1243</v>
      </c>
      <c r="I987" t="s">
        <v>139</v>
      </c>
      <c r="J987" t="s">
        <v>287</v>
      </c>
      <c r="K987" s="22">
        <f t="shared" si="347"/>
        <v>0.73458527987811684</v>
      </c>
      <c r="L987" s="22">
        <f t="shared" si="346"/>
        <v>0.73954524093113228</v>
      </c>
      <c r="M987" s="22">
        <f t="shared" si="346"/>
        <v>0.74388395046130973</v>
      </c>
      <c r="N987" s="22">
        <f t="shared" si="346"/>
        <v>0.7444451716335222</v>
      </c>
      <c r="O987" s="22">
        <f t="shared" si="346"/>
        <v>0.7454118200761205</v>
      </c>
      <c r="P987" s="22">
        <f t="shared" si="346"/>
        <v>0.75095827053903796</v>
      </c>
      <c r="Q987" s="22">
        <f t="shared" si="346"/>
        <v>0.75539339999521871</v>
      </c>
      <c r="R987" s="22">
        <f t="shared" si="346"/>
        <v>0.75543228747697821</v>
      </c>
      <c r="S987" s="22">
        <f t="shared" si="346"/>
        <v>0.73541805140145267</v>
      </c>
      <c r="T987" s="22">
        <f t="shared" si="346"/>
        <v>0.74508681804547194</v>
      </c>
      <c r="U987" s="22">
        <f t="shared" si="346"/>
        <v>0.75240590827186049</v>
      </c>
      <c r="V987" s="22">
        <f t="shared" si="346"/>
        <v>0.75931129670162745</v>
      </c>
      <c r="W987" s="22">
        <f t="shared" si="346"/>
        <v>0.76731829813566454</v>
      </c>
      <c r="X987" s="22">
        <f t="shared" si="346"/>
        <v>0.77879111868556206</v>
      </c>
      <c r="Y987" s="22">
        <f t="shared" si="346"/>
        <v>0.79073565982461014</v>
      </c>
      <c r="Z987" s="22">
        <f t="shared" si="346"/>
        <v>0.80371012779654638</v>
      </c>
      <c r="AA987" s="22">
        <f t="shared" si="346"/>
        <v>0.81550908040540082</v>
      </c>
      <c r="AB987" s="22">
        <f t="shared" si="346"/>
        <v>0.82902780139895904</v>
      </c>
      <c r="AC987" s="22">
        <f t="shared" si="346"/>
        <v>0.84464755683097381</v>
      </c>
      <c r="AD987" s="22">
        <f t="shared" si="346"/>
        <v>0.85968551744566435</v>
      </c>
      <c r="AE987" s="22">
        <f t="shared" si="346"/>
        <v>0.8755074666247592</v>
      </c>
      <c r="AF987" s="22">
        <f t="shared" si="346"/>
        <v>0.89180930594872954</v>
      </c>
      <c r="AG987" s="22">
        <f t="shared" si="346"/>
        <v>0.90994863616879917</v>
      </c>
      <c r="AH987" s="22">
        <f t="shared" si="346"/>
        <v>0.9263714960611904</v>
      </c>
      <c r="AI987" s="22">
        <f t="shared" si="346"/>
        <v>0.94343667287055244</v>
      </c>
      <c r="AJ987" s="22">
        <f t="shared" si="346"/>
        <v>0.96094790033417754</v>
      </c>
      <c r="AK987" s="22">
        <f t="shared" si="346"/>
        <v>0.97793567114680158</v>
      </c>
      <c r="AL987" s="22">
        <f t="shared" si="346"/>
        <v>0.99505219398504785</v>
      </c>
      <c r="AM987" s="22">
        <f t="shared" si="346"/>
        <v>1.0128947963829298</v>
      </c>
      <c r="AN987" s="22">
        <f t="shared" si="346"/>
        <v>1.0313281874314744</v>
      </c>
      <c r="AO987" s="22">
        <f t="shared" si="346"/>
        <v>1.0489339637926334</v>
      </c>
      <c r="AP987" s="22">
        <f t="shared" si="346"/>
        <v>1.066911644636569</v>
      </c>
      <c r="AQ987" s="22">
        <f t="shared" si="346"/>
        <v>1.0852936299122902</v>
      </c>
      <c r="AR987" s="22">
        <f t="shared" si="346"/>
        <v>1.1049513697822153</v>
      </c>
      <c r="AS987" s="22">
        <f t="shared" si="346"/>
        <v>1.1248254589157749</v>
      </c>
      <c r="AT987" s="22">
        <f t="shared" si="346"/>
        <v>1.1367203402422674</v>
      </c>
      <c r="AU987" s="22">
        <f t="shared" si="346"/>
        <v>1.1481530796770461</v>
      </c>
      <c r="AV987" s="22">
        <f t="shared" si="346"/>
        <v>1.1608020370171399</v>
      </c>
      <c r="AW987" s="22">
        <f t="shared" si="346"/>
        <v>1.1730864481863896</v>
      </c>
      <c r="AY987" s="85"/>
      <c r="AZ987" s="85"/>
    </row>
    <row r="988" spans="1:52" x14ac:dyDescent="0.25">
      <c r="A988" s="102" t="str">
        <f t="shared" si="345"/>
        <v>DS U&amp;D</v>
      </c>
      <c r="B988" s="102" t="s">
        <v>975</v>
      </c>
      <c r="C988" s="102" t="s">
        <v>1337</v>
      </c>
      <c r="D988" t="s">
        <v>369</v>
      </c>
      <c r="E988" t="s">
        <v>55</v>
      </c>
      <c r="F988" t="s">
        <v>422</v>
      </c>
      <c r="G988" t="s">
        <v>1159</v>
      </c>
      <c r="H988" t="s">
        <v>1244</v>
      </c>
      <c r="I988" t="s">
        <v>139</v>
      </c>
      <c r="J988" t="s">
        <v>287</v>
      </c>
      <c r="K988" s="101">
        <f>IF('Net zero activities &amp; levers'!$C$12="Off",'Activity data'!AD69*UDCPPEF*NtoN2O*kgtoGg,'Net zero Activity data'!AD69*UDCPPEF*NtoN2O*kgtoGg)</f>
        <v>15.429280800788639</v>
      </c>
      <c r="L988" s="101">
        <f>IF('Net zero activities &amp; levers'!$C$12="Off",'Activity data'!AE69*UDCPPEF*NtoN2O*kgtoGg,'Net zero Activity data'!AE69*UDCPPEF*NtoN2O*kgtoGg)</f>
        <v>15.35072698203709</v>
      </c>
      <c r="M988" s="101">
        <f>IF('Net zero activities &amp; levers'!$C$12="Off",'Activity data'!AF69*UDCPPEF*NtoN2O*kgtoGg,'Net zero Activity data'!AF69*UDCPPEF*NtoN2O*kgtoGg)</f>
        <v>15.207351875662043</v>
      </c>
      <c r="N988" s="101">
        <f>IF('Net zero activities &amp; levers'!$C$12="Off",'Activity data'!AG69*UDCPPEF*NtoN2O*kgtoGg,'Net zero Activity data'!AG69*UDCPPEF*NtoN2O*kgtoGg)</f>
        <v>14.814893699547214</v>
      </c>
      <c r="O988" s="101">
        <f>IF('Net zero activities &amp; levers'!$C$12="Off",'Activity data'!AH69*UDCPPEF*NtoN2O*kgtoGg,'Net zero Activity data'!AH69*UDCPPEF*NtoN2O*kgtoGg)</f>
        <v>14.438096972663228</v>
      </c>
      <c r="P988" s="101">
        <f>IF('Net zero activities &amp; levers'!$C$12="Off",'Activity data'!AI69*UDCPPEF*NtoN2O*kgtoGg,'Net zero Activity data'!AI69*UDCPPEF*NtoN2O*kgtoGg)</f>
        <v>14.314758846199135</v>
      </c>
      <c r="Q988" s="101">
        <f>IF('Net zero activities &amp; levers'!$C$12="Off",'Activity data'!AJ69*UDCPPEF*NtoN2O*kgtoGg,'Net zero Activity data'!AJ69*UDCPPEF*NtoN2O*kgtoGg)</f>
        <v>14.115554649678398</v>
      </c>
      <c r="R988" s="101">
        <f>IF('Net zero activities &amp; levers'!$C$12="Off",'Activity data'!AK69*UDCPPEF*NtoN2O*kgtoGg,'Net zero Activity data'!AK69*UDCPPEF*NtoN2O*kgtoGg)</f>
        <v>13.66798161990047</v>
      </c>
      <c r="S988" s="101">
        <f>IF('Net zero activities &amp; levers'!$C$12="Off",'Activity data'!AL69*UDCPPEF*NtoN2O*kgtoGg,'Net zero Activity data'!AL69*UDCPPEF*NtoN2O*kgtoGg)</f>
        <v>12.166328141225097</v>
      </c>
      <c r="T988" s="101">
        <f>IF('Net zero activities &amp; levers'!$C$12="Off",'Activity data'!AM69*UDCPPEF*NtoN2O*kgtoGg,'Net zero Activity data'!AM69*UDCPPEF*NtoN2O*kgtoGg)</f>
        <v>12.14779569134819</v>
      </c>
      <c r="U988" s="101">
        <f>IF('Net zero activities &amp; levers'!$C$12="Off",'Activity data'!AN69*UDCPPEF*NtoN2O*kgtoGg,'Net zero Activity data'!AN69*UDCPPEF*NtoN2O*kgtoGg)</f>
        <v>11.9897788796693</v>
      </c>
      <c r="V988" s="101">
        <f>IF('Net zero activities &amp; levers'!$C$12="Off",'Activity data'!AO69*UDCPPEF*NtoN2O*kgtoGg,'Net zero Activity data'!AO69*UDCPPEF*NtoN2O*kgtoGg)</f>
        <v>11.798374386755354</v>
      </c>
      <c r="W988" s="101">
        <f>IF('Net zero activities &amp; levers'!$C$12="Off",'Activity data'!AP69*UDCPPEF*NtoN2O*kgtoGg,'Net zero Activity data'!AP69*UDCPPEF*NtoN2O*kgtoGg)</f>
        <v>11.645643591787811</v>
      </c>
      <c r="X988" s="101">
        <f>IF('Net zero activities &amp; levers'!$C$12="Off",'Activity data'!AQ69*UDCPPEF*NtoN2O*kgtoGg,'Net zero Activity data'!AQ69*UDCPPEF*NtoN2O*kgtoGg)</f>
        <v>11.629551226641333</v>
      </c>
      <c r="Y988" s="101">
        <f>IF('Net zero activities &amp; levers'!$C$12="Off",'Activity data'!AR69*UDCPPEF*NtoN2O*kgtoGg,'Net zero Activity data'!AR69*UDCPPEF*NtoN2O*kgtoGg)</f>
        <v>11.630323820623747</v>
      </c>
      <c r="Z988" s="101">
        <f>IF('Net zero activities &amp; levers'!$C$12="Off",'Activity data'!AS69*UDCPPEF*NtoN2O*kgtoGg,'Net zero Activity data'!AS69*UDCPPEF*NtoN2O*kgtoGg)</f>
        <v>11.647121059466951</v>
      </c>
      <c r="AA988" s="101">
        <f>IF('Net zero activities &amp; levers'!$C$12="Off",'Activity data'!AT69*UDCPPEF*NtoN2O*kgtoGg,'Net zero Activity data'!AT69*UDCPPEF*NtoN2O*kgtoGg)</f>
        <v>11.592109563635155</v>
      </c>
      <c r="AB988" s="101">
        <f>IF('Net zero activities &amp; levers'!$C$12="Off",'Activity data'!AU69*UDCPPEF*NtoN2O*kgtoGg,'Net zero Activity data'!AU69*UDCPPEF*NtoN2O*kgtoGg)</f>
        <v>11.579376307576339</v>
      </c>
      <c r="AC988" s="101">
        <f>IF('Net zero activities &amp; levers'!$C$12="Off",'Activity data'!AV69*UDCPPEF*NtoN2O*kgtoGg,'Net zero Activity data'!AV69*UDCPPEF*NtoN2O*kgtoGg)</f>
        <v>11.616320337013743</v>
      </c>
      <c r="AD988" s="101">
        <f>IF('Net zero activities &amp; levers'!$C$12="Off",'Activity data'!AW69*UDCPPEF*NtoN2O*kgtoGg,'Net zero Activity data'!AW69*UDCPPEF*NtoN2O*kgtoGg)</f>
        <v>11.682111267667006</v>
      </c>
      <c r="AE988" s="101">
        <f>IF('Net zero activities &amp; levers'!$C$12="Off",'Activity data'!AX69*UDCPPEF*NtoN2O*kgtoGg,'Net zero Activity data'!AX69*UDCPPEF*NtoN2O*kgtoGg)</f>
        <v>11.747506469840328</v>
      </c>
      <c r="AF988" s="101">
        <f>IF('Net zero activities &amp; levers'!$C$12="Off",'Activity data'!AY69*UDCPPEF*NtoN2O*kgtoGg,'Net zero Activity data'!AY69*UDCPPEF*NtoN2O*kgtoGg)</f>
        <v>11.801475520910488</v>
      </c>
      <c r="AG988" s="101">
        <f>IF('Net zero activities &amp; levers'!$C$12="Off",'Activity data'!AZ69*UDCPPEF*NtoN2O*kgtoGg,'Net zero Activity data'!AZ69*UDCPPEF*NtoN2O*kgtoGg)</f>
        <v>11.885195821758302</v>
      </c>
      <c r="AH988" s="101">
        <f>IF('Net zero activities &amp; levers'!$C$12="Off",'Activity data'!BA69*UDCPPEF*NtoN2O*kgtoGg,'Net zero Activity data'!BA69*UDCPPEF*NtoN2O*kgtoGg)</f>
        <v>11.889439518360518</v>
      </c>
      <c r="AI988" s="101">
        <f>IF('Net zero activities &amp; levers'!$C$12="Off",'Activity data'!BB69*UDCPPEF*NtoN2O*kgtoGg,'Net zero Activity data'!BB69*UDCPPEF*NtoN2O*kgtoGg)</f>
        <v>11.899102336669783</v>
      </c>
      <c r="AJ988" s="101">
        <f>IF('Net zero activities &amp; levers'!$C$12="Off",'Activity data'!BC69*UDCPPEF*NtoN2O*kgtoGg,'Net zero Activity data'!BC69*UDCPPEF*NtoN2O*kgtoGg)</f>
        <v>11.896346735616886</v>
      </c>
      <c r="AK988" s="101">
        <f>IF('Net zero activities &amp; levers'!$C$12="Off",'Activity data'!BD69*UDCPPEF*NtoN2O*kgtoGg,'Net zero Activity data'!BD69*UDCPPEF*NtoN2O*kgtoGg)</f>
        <v>11.855791781155459</v>
      </c>
      <c r="AL988" s="101">
        <f>IF('Net zero activities &amp; levers'!$C$12="Off",'Activity data'!BE69*UDCPPEF*NtoN2O*kgtoGg,'Net zero Activity data'!BE69*UDCPPEF*NtoN2O*kgtoGg)</f>
        <v>11.79675001756854</v>
      </c>
      <c r="AM988" s="101">
        <f>IF('Net zero activities &amp; levers'!$C$12="Off",'Activity data'!BF69*UDCPPEF*NtoN2O*kgtoGg,'Net zero Activity data'!BF69*UDCPPEF*NtoN2O*kgtoGg)</f>
        <v>11.734477032438747</v>
      </c>
      <c r="AN988" s="101">
        <f>IF('Net zero activities &amp; levers'!$C$12="Off",'Activity data'!BG69*UDCPPEF*NtoN2O*kgtoGg,'Net zero Activity data'!BG69*UDCPPEF*NtoN2O*kgtoGg)</f>
        <v>11.819535661139511</v>
      </c>
      <c r="AO988" s="101">
        <f>IF('Net zero activities &amp; levers'!$C$12="Off",'Activity data'!BH69*UDCPPEF*NtoN2O*kgtoGg,'Net zero Activity data'!BH69*UDCPPEF*NtoN2O*kgtoGg)</f>
        <v>11.867684976367837</v>
      </c>
      <c r="AP988" s="101">
        <f>IF('Net zero activities &amp; levers'!$C$12="Off",'Activity data'!BI69*UDCPPEF*NtoN2O*kgtoGg,'Net zero Activity data'!BI69*UDCPPEF*NtoN2O*kgtoGg)</f>
        <v>11.907762535401377</v>
      </c>
      <c r="AQ988" s="101">
        <f>IF('Net zero activities &amp; levers'!$C$12="Off",'Activity data'!BJ69*UDCPPEF*NtoN2O*kgtoGg,'Net zero Activity data'!BJ69*UDCPPEF*NtoN2O*kgtoGg)</f>
        <v>11.940394463048884</v>
      </c>
      <c r="AR988" s="101">
        <f>IF('Net zero activities &amp; levers'!$C$12="Off",'Activity data'!BK69*UDCPPEF*NtoN2O*kgtoGg,'Net zero Activity data'!BK69*UDCPPEF*NtoN2O*kgtoGg)</f>
        <v>11.983582643708068</v>
      </c>
      <c r="AS988" s="101">
        <f>IF('Net zero activities &amp; levers'!$C$12="Off",'Activity data'!BL69*UDCPPEF*NtoN2O*kgtoGg,'Net zero Activity data'!BL69*UDCPPEF*NtoN2O*kgtoGg)</f>
        <v>12.021611789934351</v>
      </c>
      <c r="AT988" s="101">
        <f>IF('Net zero activities &amp; levers'!$C$12="Off",'Activity data'!BM69*UDCPPEF*NtoN2O*kgtoGg,'Net zero Activity data'!BM69*UDCPPEF*NtoN2O*kgtoGg)</f>
        <v>11.886563312557779</v>
      </c>
      <c r="AU988" s="101">
        <f>IF('Net zero activities &amp; levers'!$C$12="Off",'Activity data'!BN69*UDCPPEF*NtoN2O*kgtoGg,'Net zero Activity data'!BN69*UDCPPEF*NtoN2O*kgtoGg)</f>
        <v>11.735974825903247</v>
      </c>
      <c r="AV988" s="101">
        <f>IF('Net zero activities &amp; levers'!$C$12="Off",'Activity data'!BO69*UDCPPEF*NtoN2O*kgtoGg,'Net zero Activity data'!BO69*UDCPPEF*NtoN2O*kgtoGg)</f>
        <v>11.601873498304485</v>
      </c>
      <c r="AW988" s="101">
        <f>IF('Net zero activities &amp; levers'!$C$12="Off",'Activity data'!BP69*UDCPPEF*NtoN2O*kgtoGg,'Net zero Activity data'!BP69*UDCPPEF*NtoN2O*kgtoGg)</f>
        <v>11.454323112713356</v>
      </c>
      <c r="AY988" s="85"/>
      <c r="AZ988" s="85"/>
    </row>
    <row r="989" spans="1:52" x14ac:dyDescent="0.25">
      <c r="A989" s="102" t="str">
        <f t="shared" si="345"/>
        <v>DS U&amp;D</v>
      </c>
      <c r="B989" s="102" t="s">
        <v>975</v>
      </c>
      <c r="C989" s="102" t="s">
        <v>1337</v>
      </c>
      <c r="D989" t="s">
        <v>369</v>
      </c>
      <c r="E989" t="s">
        <v>55</v>
      </c>
      <c r="F989" t="s">
        <v>422</v>
      </c>
      <c r="G989" t="s">
        <v>1161</v>
      </c>
      <c r="H989" t="s">
        <v>1245</v>
      </c>
      <c r="I989" t="s">
        <v>139</v>
      </c>
      <c r="J989" t="s">
        <v>287</v>
      </c>
      <c r="K989" s="101">
        <f>IF('Net zero activities &amp; levers'!$C$12="Off",'Activity data'!AD70*UDCPPEF*NtoN2O*kgtoGg,'Net zero Activity data'!AD70*UDCPPEF*NtoN2O*kgtoGg)</f>
        <v>9.701944231797869</v>
      </c>
      <c r="L989" s="101">
        <f>IF('Net zero activities &amp; levers'!$C$12="Off",'Activity data'!AE70*UDCPPEF*NtoN2O*kgtoGg,'Net zero Activity data'!AE70*UDCPPEF*NtoN2O*kgtoGg)</f>
        <v>9.652549527108631</v>
      </c>
      <c r="M989" s="101">
        <f>IF('Net zero activities &amp; levers'!$C$12="Off",'Activity data'!AF70*UDCPPEF*NtoN2O*kgtoGg,'Net zero Activity data'!AF70*UDCPPEF*NtoN2O*kgtoGg)</f>
        <v>9.5623951443970494</v>
      </c>
      <c r="N989" s="101">
        <f>IF('Net zero activities &amp; levers'!$C$12="Off",'Activity data'!AG70*UDCPPEF*NtoN2O*kgtoGg,'Net zero Activity data'!AG70*UDCPPEF*NtoN2O*kgtoGg)</f>
        <v>9.3156171262158942</v>
      </c>
      <c r="O989" s="101">
        <f>IF('Net zero activities &amp; levers'!$C$12="Off",'Activity data'!AH70*UDCPPEF*NtoN2O*kgtoGg,'Net zero Activity data'!AH70*UDCPPEF*NtoN2O*kgtoGg)</f>
        <v>9.0786870399629098</v>
      </c>
      <c r="P989" s="101">
        <f>IF('Net zero activities &amp; levers'!$C$12="Off",'Activity data'!AI70*UDCPPEF*NtoN2O*kgtoGg,'Net zero Activity data'!AI70*UDCPPEF*NtoN2O*kgtoGg)</f>
        <v>9.0011319264058365</v>
      </c>
      <c r="Q989" s="101">
        <f>IF('Net zero activities &amp; levers'!$C$12="Off",'Activity data'!AJ70*UDCPPEF*NtoN2O*kgtoGg,'Net zero Activity data'!AJ70*UDCPPEF*NtoN2O*kgtoGg)</f>
        <v>8.8758721667101366</v>
      </c>
      <c r="R989" s="101">
        <f>IF('Net zero activities &amp; levers'!$C$12="Off",'Activity data'!AK70*UDCPPEF*NtoN2O*kgtoGg,'Net zero Activity data'!AK70*UDCPPEF*NtoN2O*kgtoGg)</f>
        <v>8.5944378840220992</v>
      </c>
      <c r="S989" s="101">
        <f>IF('Net zero activities &amp; levers'!$C$12="Off",'Activity data'!AL70*UDCPPEF*NtoN2O*kgtoGg,'Net zero Activity data'!AL70*UDCPPEF*NtoN2O*kgtoGg)</f>
        <v>7.6501969635477565</v>
      </c>
      <c r="T989" s="101">
        <f>IF('Net zero activities &amp; levers'!$C$12="Off",'Activity data'!AM70*UDCPPEF*NtoN2O*kgtoGg,'Net zero Activity data'!AM70*UDCPPEF*NtoN2O*kgtoGg)</f>
        <v>7.5366964941728023</v>
      </c>
      <c r="U989" s="101">
        <f>IF('Net zero activities &amp; levers'!$C$12="Off",'Activity data'!AN70*UDCPPEF*NtoN2O*kgtoGg,'Net zero Activity data'!AN70*UDCPPEF*NtoN2O*kgtoGg)</f>
        <v>7.3381377747191348</v>
      </c>
      <c r="V989" s="101">
        <f>IF('Net zero activities &amp; levers'!$C$12="Off",'Activity data'!AO70*UDCPPEF*NtoN2O*kgtoGg,'Net zero Activity data'!AO70*UDCPPEF*NtoN2O*kgtoGg)</f>
        <v>7.1220742516727826</v>
      </c>
      <c r="W989" s="101">
        <f>IF('Net zero activities &amp; levers'!$C$12="Off",'Activity data'!AP70*UDCPPEF*NtoN2O*kgtoGg,'Net zero Activity data'!AP70*UDCPPEF*NtoN2O*kgtoGg)</f>
        <v>6.9322412929968555</v>
      </c>
      <c r="X989" s="101">
        <f>IF('Net zero activities &amp; levers'!$C$12="Off",'Activity data'!AQ70*UDCPPEF*NtoN2O*kgtoGg,'Net zero Activity data'!AQ70*UDCPPEF*NtoN2O*kgtoGg)</f>
        <v>6.8251597922966125</v>
      </c>
      <c r="Y989" s="101">
        <f>IF('Net zero activities &amp; levers'!$C$12="Off",'Activity data'!AR70*UDCPPEF*NtoN2O*kgtoGg,'Net zero Activity data'!AR70*UDCPPEF*NtoN2O*kgtoGg)</f>
        <v>6.7281044526521656</v>
      </c>
      <c r="Z989" s="101">
        <f>IF('Net zero activities &amp; levers'!$C$12="Off",'Activity data'!AS70*UDCPPEF*NtoN2O*kgtoGg,'Net zero Activity data'!AS70*UDCPPEF*NtoN2O*kgtoGg)</f>
        <v>6.6401720122030445</v>
      </c>
      <c r="AA989" s="101">
        <f>IF('Net zero activities &amp; levers'!$C$12="Off",'Activity data'!AT70*UDCPPEF*NtoN2O*kgtoGg,'Net zero Activity data'!AT70*UDCPPEF*NtoN2O*kgtoGg)</f>
        <v>6.5116208865579326</v>
      </c>
      <c r="AB989" s="101">
        <f>IF('Net zero activities &amp; levers'!$C$12="Off",'Activity data'!AU70*UDCPPEF*NtoN2O*kgtoGg,'Net zero Activity data'!AU70*UDCPPEF*NtoN2O*kgtoGg)</f>
        <v>6.4073866352241922</v>
      </c>
      <c r="AC989" s="101">
        <f>IF('Net zero activities &amp; levers'!$C$12="Off",'Activity data'!AV70*UDCPPEF*NtoN2O*kgtoGg,'Net zero Activity data'!AV70*UDCPPEF*NtoN2O*kgtoGg)</f>
        <v>6.3304380636864677</v>
      </c>
      <c r="AD989" s="101">
        <f>IF('Net zero activities &amp; levers'!$C$12="Off",'Activity data'!AW70*UDCPPEF*NtoN2O*kgtoGg,'Net zero Activity data'!AW70*UDCPPEF*NtoN2O*kgtoGg)</f>
        <v>6.333643886417808</v>
      </c>
      <c r="AE989" s="101">
        <f>IF('Net zero activities &amp; levers'!$C$12="Off",'Activity data'!AX70*UDCPPEF*NtoN2O*kgtoGg,'Net zero Activity data'!AX70*UDCPPEF*NtoN2O*kgtoGg)</f>
        <v>6.3362685366267293</v>
      </c>
      <c r="AF989" s="101">
        <f>IF('Net zero activities &amp; levers'!$C$12="Off",'Activity data'!AY70*UDCPPEF*NtoN2O*kgtoGg,'Net zero Activity data'!AY70*UDCPPEF*NtoN2O*kgtoGg)</f>
        <v>6.332396664451772</v>
      </c>
      <c r="AG989" s="101">
        <f>IF('Net zero activities &amp; levers'!$C$12="Off",'Activity data'!AZ70*UDCPPEF*NtoN2O*kgtoGg,'Net zero Activity data'!AZ70*UDCPPEF*NtoN2O*kgtoGg)</f>
        <v>6.3441038230500117</v>
      </c>
      <c r="AH989" s="101">
        <f>IF('Net zero activities &amp; levers'!$C$12="Off",'Activity data'!BA70*UDCPPEF*NtoN2O*kgtoGg,'Net zero Activity data'!BA70*UDCPPEF*NtoN2O*kgtoGg)</f>
        <v>6.3131419689960451</v>
      </c>
      <c r="AI989" s="101">
        <f>IF('Net zero activities &amp; levers'!$C$12="Off",'Activity data'!BB70*UDCPPEF*NtoN2O*kgtoGg,'Net zero Activity data'!BB70*UDCPPEF*NtoN2O*kgtoGg)</f>
        <v>6.2850187358867187</v>
      </c>
      <c r="AJ989" s="101">
        <f>IF('Net zero activities &amp; levers'!$C$12="Off",'Activity data'!BC70*UDCPPEF*NtoN2O*kgtoGg,'Net zero Activity data'!BC70*UDCPPEF*NtoN2O*kgtoGg)</f>
        <v>6.2503168811961531</v>
      </c>
      <c r="AK989" s="101">
        <f>IF('Net zero activities &amp; levers'!$C$12="Off",'Activity data'!BD70*UDCPPEF*NtoN2O*kgtoGg,'Net zero Activity data'!BD70*UDCPPEF*NtoN2O*kgtoGg)</f>
        <v>6.1958763602302129</v>
      </c>
      <c r="AL989" s="101">
        <f>IF('Net zero activities &amp; levers'!$C$12="Off",'Activity data'!BE70*UDCPPEF*NtoN2O*kgtoGg,'Net zero Activity data'!BE70*UDCPPEF*NtoN2O*kgtoGg)</f>
        <v>6.1320529110907565</v>
      </c>
      <c r="AM989" s="101">
        <f>IF('Net zero activities &amp; levers'!$C$12="Off",'Activity data'!BF70*UDCPPEF*NtoN2O*kgtoGg,'Net zero Activity data'!BF70*UDCPPEF*NtoN2O*kgtoGg)</f>
        <v>6.0668888797056875</v>
      </c>
      <c r="AN989" s="101">
        <f>IF('Net zero activities &amp; levers'!$C$12="Off",'Activity data'!BG70*UDCPPEF*NtoN2O*kgtoGg,'Net zero Activity data'!BG70*UDCPPEF*NtoN2O*kgtoGg)</f>
        <v>6.0778336765923431</v>
      </c>
      <c r="AO989" s="101">
        <f>IF('Net zero activities &amp; levers'!$C$12="Off",'Activity data'!BH70*UDCPPEF*NtoN2O*kgtoGg,'Net zero Activity data'!BH70*UDCPPEF*NtoN2O*kgtoGg)</f>
        <v>6.0694267188554409</v>
      </c>
      <c r="AP989" s="101">
        <f>IF('Net zero activities &amp; levers'!$C$12="Off",'Activity data'!BI70*UDCPPEF*NtoN2O*kgtoGg,'Net zero Activity data'!BI70*UDCPPEF*NtoN2O*kgtoGg)</f>
        <v>6.0566451009535678</v>
      </c>
      <c r="AQ989" s="101">
        <f>IF('Net zero activities &amp; levers'!$C$12="Off",'Activity data'!BJ70*UDCPPEF*NtoN2O*kgtoGg,'Net zero Activity data'!BJ70*UDCPPEF*NtoN2O*kgtoGg)</f>
        <v>6.0398732126184207</v>
      </c>
      <c r="AR989" s="101">
        <f>IF('Net zero activities &amp; levers'!$C$12="Off",'Activity data'!BK70*UDCPPEF*NtoN2O*kgtoGg,'Net zero Activity data'!BK70*UDCPPEF*NtoN2O*kgtoGg)</f>
        <v>6.0282291576651552</v>
      </c>
      <c r="AS989" s="101">
        <f>IF('Net zero activities &amp; levers'!$C$12="Off",'Activity data'!BL70*UDCPPEF*NtoN2O*kgtoGg,'Net zero Activity data'!BL70*UDCPPEF*NtoN2O*kgtoGg)</f>
        <v>6.0137629230488576</v>
      </c>
      <c r="AT989" s="101">
        <f>IF('Net zero activities &amp; levers'!$C$12="Off",'Activity data'!BM70*UDCPPEF*NtoN2O*kgtoGg,'Net zero Activity data'!BM70*UDCPPEF*NtoN2O*kgtoGg)</f>
        <v>5.9129864407272699</v>
      </c>
      <c r="AU989" s="101">
        <f>IF('Net zero activities &amp; levers'!$C$12="Off",'Activity data'!BN70*UDCPPEF*NtoN2O*kgtoGg,'Net zero Activity data'!BN70*UDCPPEF*NtoN2O*kgtoGg)</f>
        <v>5.8052778216266612</v>
      </c>
      <c r="AV989" s="101">
        <f>IF('Net zero activities &amp; levers'!$C$12="Off",'Activity data'!BO70*UDCPPEF*NtoN2O*kgtoGg,'Net zero Activity data'!BO70*UDCPPEF*NtoN2O*kgtoGg)</f>
        <v>5.7065202993098101</v>
      </c>
      <c r="AW989" s="101">
        <f>IF('Net zero activities &amp; levers'!$C$12="Off",'Activity data'!BP70*UDCPPEF*NtoN2O*kgtoGg,'Net zero Activity data'!BP70*UDCPPEF*NtoN2O*kgtoGg)</f>
        <v>5.6019348205639385</v>
      </c>
      <c r="AY989" s="85"/>
      <c r="AZ989" s="85"/>
    </row>
    <row r="990" spans="1:52" x14ac:dyDescent="0.25">
      <c r="A990" s="102" t="str">
        <f t="shared" si="345"/>
        <v>DS U&amp;D</v>
      </c>
      <c r="B990" s="102" t="s">
        <v>975</v>
      </c>
      <c r="C990" s="102" t="s">
        <v>1337</v>
      </c>
      <c r="D990" t="s">
        <v>369</v>
      </c>
      <c r="E990" t="s">
        <v>55</v>
      </c>
      <c r="F990" t="s">
        <v>422</v>
      </c>
      <c r="G990" t="s">
        <v>1163</v>
      </c>
      <c r="H990" t="s">
        <v>1246</v>
      </c>
      <c r="I990" t="s">
        <v>139</v>
      </c>
      <c r="J990" t="s">
        <v>287</v>
      </c>
      <c r="K990" s="101">
        <f>IF('Net zero activities &amp; levers'!$C$12="Off",'Activity data'!AD71*UDCPPEF*NtoN2O*kgtoGg,'Net zero Activity data'!AD71*UDCPPEF*NtoN2O*kgtoGg)</f>
        <v>0</v>
      </c>
      <c r="L990" s="101">
        <f>IF('Net zero activities &amp; levers'!$C$12="Off",'Activity data'!AE71*UDCPPEF*NtoN2O*kgtoGg,'Net zero Activity data'!AE71*UDCPPEF*NtoN2O*kgtoGg)</f>
        <v>0</v>
      </c>
      <c r="M990" s="101">
        <f>IF('Net zero activities &amp; levers'!$C$12="Off",'Activity data'!AF71*UDCPPEF*NtoN2O*kgtoGg,'Net zero Activity data'!AF71*UDCPPEF*NtoN2O*kgtoGg)</f>
        <v>0</v>
      </c>
      <c r="N990" s="101">
        <f>IF('Net zero activities &amp; levers'!$C$12="Off",'Activity data'!AG71*UDCPPEF*NtoN2O*kgtoGg,'Net zero Activity data'!AG71*UDCPPEF*NtoN2O*kgtoGg)</f>
        <v>0</v>
      </c>
      <c r="O990" s="101">
        <f>IF('Net zero activities &amp; levers'!$C$12="Off",'Activity data'!AH71*UDCPPEF*NtoN2O*kgtoGg,'Net zero Activity data'!AH71*UDCPPEF*NtoN2O*kgtoGg)</f>
        <v>0</v>
      </c>
      <c r="P990" s="101">
        <f>IF('Net zero activities &amp; levers'!$C$12="Off",'Activity data'!AI71*UDCPPEF*NtoN2O*kgtoGg,'Net zero Activity data'!AI71*UDCPPEF*NtoN2O*kgtoGg)</f>
        <v>0</v>
      </c>
      <c r="Q990" s="101">
        <f>IF('Net zero activities &amp; levers'!$C$12="Off",'Activity data'!AJ71*UDCPPEF*NtoN2O*kgtoGg,'Net zero Activity data'!AJ71*UDCPPEF*NtoN2O*kgtoGg)</f>
        <v>0</v>
      </c>
      <c r="R990" s="101">
        <f>IF('Net zero activities &amp; levers'!$C$12="Off",'Activity data'!AK71*UDCPPEF*NtoN2O*kgtoGg,'Net zero Activity data'!AK71*UDCPPEF*NtoN2O*kgtoGg)</f>
        <v>0</v>
      </c>
      <c r="S990" s="101">
        <f>IF('Net zero activities &amp; levers'!$C$12="Off",'Activity data'!AL71*UDCPPEF*NtoN2O*kgtoGg,'Net zero Activity data'!AL71*UDCPPEF*NtoN2O*kgtoGg)</f>
        <v>0</v>
      </c>
      <c r="T990" s="101">
        <f>IF('Net zero activities &amp; levers'!$C$12="Off",'Activity data'!AM71*UDCPPEF*NtoN2O*kgtoGg,'Net zero Activity data'!AM71*UDCPPEF*NtoN2O*kgtoGg)</f>
        <v>0</v>
      </c>
      <c r="U990" s="101">
        <f>IF('Net zero activities &amp; levers'!$C$12="Off",'Activity data'!AN71*UDCPPEF*NtoN2O*kgtoGg,'Net zero Activity data'!AN71*UDCPPEF*NtoN2O*kgtoGg)</f>
        <v>0</v>
      </c>
      <c r="V990" s="101">
        <f>IF('Net zero activities &amp; levers'!$C$12="Off",'Activity data'!AO71*UDCPPEF*NtoN2O*kgtoGg,'Net zero Activity data'!AO71*UDCPPEF*NtoN2O*kgtoGg)</f>
        <v>0</v>
      </c>
      <c r="W990" s="101">
        <f>IF('Net zero activities &amp; levers'!$C$12="Off",'Activity data'!AP71*UDCPPEF*NtoN2O*kgtoGg,'Net zero Activity data'!AP71*UDCPPEF*NtoN2O*kgtoGg)</f>
        <v>0</v>
      </c>
      <c r="X990" s="101">
        <f>IF('Net zero activities &amp; levers'!$C$12="Off",'Activity data'!AQ71*UDCPPEF*NtoN2O*kgtoGg,'Net zero Activity data'!AQ71*UDCPPEF*NtoN2O*kgtoGg)</f>
        <v>0</v>
      </c>
      <c r="Y990" s="101">
        <f>IF('Net zero activities &amp; levers'!$C$12="Off",'Activity data'!AR71*UDCPPEF*NtoN2O*kgtoGg,'Net zero Activity data'!AR71*UDCPPEF*NtoN2O*kgtoGg)</f>
        <v>0</v>
      </c>
      <c r="Z990" s="101">
        <f>IF('Net zero activities &amp; levers'!$C$12="Off",'Activity data'!AS71*UDCPPEF*NtoN2O*kgtoGg,'Net zero Activity data'!AS71*UDCPPEF*NtoN2O*kgtoGg)</f>
        <v>0</v>
      </c>
      <c r="AA990" s="101">
        <f>IF('Net zero activities &amp; levers'!$C$12="Off",'Activity data'!AT71*UDCPPEF*NtoN2O*kgtoGg,'Net zero Activity data'!AT71*UDCPPEF*NtoN2O*kgtoGg)</f>
        <v>0</v>
      </c>
      <c r="AB990" s="101">
        <f>IF('Net zero activities &amp; levers'!$C$12="Off",'Activity data'!AU71*UDCPPEF*NtoN2O*kgtoGg,'Net zero Activity data'!AU71*UDCPPEF*NtoN2O*kgtoGg)</f>
        <v>0</v>
      </c>
      <c r="AC990" s="101">
        <f>IF('Net zero activities &amp; levers'!$C$12="Off",'Activity data'!AV71*UDCPPEF*NtoN2O*kgtoGg,'Net zero Activity data'!AV71*UDCPPEF*NtoN2O*kgtoGg)</f>
        <v>0</v>
      </c>
      <c r="AD990" s="101">
        <f>IF('Net zero activities &amp; levers'!$C$12="Off",'Activity data'!AW71*UDCPPEF*NtoN2O*kgtoGg,'Net zero Activity data'!AW71*UDCPPEF*NtoN2O*kgtoGg)</f>
        <v>0</v>
      </c>
      <c r="AE990" s="101">
        <f>IF('Net zero activities &amp; levers'!$C$12="Off",'Activity data'!AX71*UDCPPEF*NtoN2O*kgtoGg,'Net zero Activity data'!AX71*UDCPPEF*NtoN2O*kgtoGg)</f>
        <v>0</v>
      </c>
      <c r="AF990" s="101">
        <f>IF('Net zero activities &amp; levers'!$C$12="Off",'Activity data'!AY71*UDCPPEF*NtoN2O*kgtoGg,'Net zero Activity data'!AY71*UDCPPEF*NtoN2O*kgtoGg)</f>
        <v>0</v>
      </c>
      <c r="AG990" s="101">
        <f>IF('Net zero activities &amp; levers'!$C$12="Off",'Activity data'!AZ71*UDCPPEF*NtoN2O*kgtoGg,'Net zero Activity data'!AZ71*UDCPPEF*NtoN2O*kgtoGg)</f>
        <v>0</v>
      </c>
      <c r="AH990" s="101">
        <f>IF('Net zero activities &amp; levers'!$C$12="Off",'Activity data'!BA71*UDCPPEF*NtoN2O*kgtoGg,'Net zero Activity data'!BA71*UDCPPEF*NtoN2O*kgtoGg)</f>
        <v>0</v>
      </c>
      <c r="AI990" s="101">
        <f>IF('Net zero activities &amp; levers'!$C$12="Off",'Activity data'!BB71*UDCPPEF*NtoN2O*kgtoGg,'Net zero Activity data'!BB71*UDCPPEF*NtoN2O*kgtoGg)</f>
        <v>0</v>
      </c>
      <c r="AJ990" s="101">
        <f>IF('Net zero activities &amp; levers'!$C$12="Off",'Activity data'!BC71*UDCPPEF*NtoN2O*kgtoGg,'Net zero Activity data'!BC71*UDCPPEF*NtoN2O*kgtoGg)</f>
        <v>0</v>
      </c>
      <c r="AK990" s="101">
        <f>IF('Net zero activities &amp; levers'!$C$12="Off",'Activity data'!BD71*UDCPPEF*NtoN2O*kgtoGg,'Net zero Activity data'!BD71*UDCPPEF*NtoN2O*kgtoGg)</f>
        <v>0</v>
      </c>
      <c r="AL990" s="101">
        <f>IF('Net zero activities &amp; levers'!$C$12="Off",'Activity data'!BE71*UDCPPEF*NtoN2O*kgtoGg,'Net zero Activity data'!BE71*UDCPPEF*NtoN2O*kgtoGg)</f>
        <v>0</v>
      </c>
      <c r="AM990" s="101">
        <f>IF('Net zero activities &amp; levers'!$C$12="Off",'Activity data'!BF71*UDCPPEF*NtoN2O*kgtoGg,'Net zero Activity data'!BF71*UDCPPEF*NtoN2O*kgtoGg)</f>
        <v>0</v>
      </c>
      <c r="AN990" s="101">
        <f>IF('Net zero activities &amp; levers'!$C$12="Off",'Activity data'!BG71*UDCPPEF*NtoN2O*kgtoGg,'Net zero Activity data'!BG71*UDCPPEF*NtoN2O*kgtoGg)</f>
        <v>0</v>
      </c>
      <c r="AO990" s="101">
        <f>IF('Net zero activities &amp; levers'!$C$12="Off",'Activity data'!BH71*UDCPPEF*NtoN2O*kgtoGg,'Net zero Activity data'!BH71*UDCPPEF*NtoN2O*kgtoGg)</f>
        <v>0</v>
      </c>
      <c r="AP990" s="101">
        <f>IF('Net zero activities &amp; levers'!$C$12="Off",'Activity data'!BI71*UDCPPEF*NtoN2O*kgtoGg,'Net zero Activity data'!BI71*UDCPPEF*NtoN2O*kgtoGg)</f>
        <v>0</v>
      </c>
      <c r="AQ990" s="101">
        <f>IF('Net zero activities &amp; levers'!$C$12="Off",'Activity data'!BJ71*UDCPPEF*NtoN2O*kgtoGg,'Net zero Activity data'!BJ71*UDCPPEF*NtoN2O*kgtoGg)</f>
        <v>0</v>
      </c>
      <c r="AR990" s="101">
        <f>IF('Net zero activities &amp; levers'!$C$12="Off",'Activity data'!BK71*UDCPPEF*NtoN2O*kgtoGg,'Net zero Activity data'!BK71*UDCPPEF*NtoN2O*kgtoGg)</f>
        <v>0</v>
      </c>
      <c r="AS990" s="101">
        <f>IF('Net zero activities &amp; levers'!$C$12="Off",'Activity data'!BL71*UDCPPEF*NtoN2O*kgtoGg,'Net zero Activity data'!BL71*UDCPPEF*NtoN2O*kgtoGg)</f>
        <v>0</v>
      </c>
      <c r="AT990" s="101">
        <f>IF('Net zero activities &amp; levers'!$C$12="Off",'Activity data'!BM71*UDCPPEF*NtoN2O*kgtoGg,'Net zero Activity data'!BM71*UDCPPEF*NtoN2O*kgtoGg)</f>
        <v>0</v>
      </c>
      <c r="AU990" s="101">
        <f>IF('Net zero activities &amp; levers'!$C$12="Off",'Activity data'!BN71*UDCPPEF*NtoN2O*kgtoGg,'Net zero Activity data'!BN71*UDCPPEF*NtoN2O*kgtoGg)</f>
        <v>0</v>
      </c>
      <c r="AV990" s="101">
        <f>IF('Net zero activities &amp; levers'!$C$12="Off",'Activity data'!BO71*UDCPPEF*NtoN2O*kgtoGg,'Net zero Activity data'!BO71*UDCPPEF*NtoN2O*kgtoGg)</f>
        <v>0</v>
      </c>
      <c r="AW990" s="101">
        <f>IF('Net zero activities &amp; levers'!$C$12="Off",'Activity data'!BP71*UDCPPEF*NtoN2O*kgtoGg,'Net zero Activity data'!BP71*UDCPPEF*NtoN2O*kgtoGg)</f>
        <v>0</v>
      </c>
      <c r="AY990" s="85"/>
      <c r="AZ990" s="85"/>
    </row>
    <row r="991" spans="1:52" x14ac:dyDescent="0.25">
      <c r="A991" s="102" t="str">
        <f t="shared" si="345"/>
        <v>DS U&amp;D</v>
      </c>
      <c r="B991" s="102" t="s">
        <v>975</v>
      </c>
      <c r="C991" s="102" t="s">
        <v>1337</v>
      </c>
      <c r="D991" t="s">
        <v>369</v>
      </c>
      <c r="E991" t="s">
        <v>55</v>
      </c>
      <c r="F991" t="s">
        <v>422</v>
      </c>
      <c r="G991" t="s">
        <v>1165</v>
      </c>
      <c r="H991" t="s">
        <v>1247</v>
      </c>
      <c r="I991" t="s">
        <v>139</v>
      </c>
      <c r="J991" t="s">
        <v>287</v>
      </c>
      <c r="K991" s="101">
        <f>IF('Net zero activities &amp; levers'!$C$12="Off",'Activity data'!AD72*UDSOEF*NtoN2O*kgtoGg,IF('Net zero activities &amp; levers'!$C$12="PB",'Activity data'!AD72*UDSOEF*NtoN2O*kgtoGg,IF('Net zero activities &amp; levers'!$C$12="MS",'Net zero Activity data'!AD72*UDSOEF*NtoN2O*kgtoGg,"ERROR")))</f>
        <v>5.7999838553710088</v>
      </c>
      <c r="L991" s="101">
        <f>IF('Net zero activities &amp; levers'!$C$12="Off",'Activity data'!AE72*UDSOEF*NtoN2O*kgtoGg,IF('Net zero activities &amp; levers'!$C$12="PB",'Activity data'!AE72*UDSOEF*NtoN2O*kgtoGg,IF('Net zero activities &amp; levers'!$C$12="MS",'Net zero Activity data'!AE72*UDSOEF*NtoN2O*kgtoGg,"ERROR")))</f>
        <v>5.8031139960917857</v>
      </c>
      <c r="M991" s="101">
        <f>IF('Net zero activities &amp; levers'!$C$12="Off",'Activity data'!AF72*UDSOEF*NtoN2O*kgtoGg,IF('Net zero activities &amp; levers'!$C$12="PB",'Activity data'!AF72*UDSOEF*NtoN2O*kgtoGg,IF('Net zero activities &amp; levers'!$C$12="MS",'Net zero Activity data'!AF72*UDSOEF*NtoN2O*kgtoGg,"ERROR")))</f>
        <v>5.8103099227335253</v>
      </c>
      <c r="N991" s="101">
        <f>IF('Net zero activities &amp; levers'!$C$12="Off",'Activity data'!AG72*UDSOEF*NtoN2O*kgtoGg,IF('Net zero activities &amp; levers'!$C$12="PB",'Activity data'!AG72*UDSOEF*NtoN2O*kgtoGg,IF('Net zero activities &amp; levers'!$C$12="MS",'Net zero Activity data'!AG72*UDSOEF*NtoN2O*kgtoGg,"ERROR")))</f>
        <v>5.8209929462353873</v>
      </c>
      <c r="O991" s="101">
        <f>IF('Net zero activities &amp; levers'!$C$12="Off",'Activity data'!AH72*UDSOEF*NtoN2O*kgtoGg,IF('Net zero activities &amp; levers'!$C$12="PB",'Activity data'!AH72*UDSOEF*NtoN2O*kgtoGg,IF('Net zero activities &amp; levers'!$C$12="MS",'Net zero Activity data'!AH72*UDSOEF*NtoN2O*kgtoGg,"ERROR")))</f>
        <v>5.8354121165006498</v>
      </c>
      <c r="P991" s="101">
        <f>IF('Net zero activities &amp; levers'!$C$12="Off",'Activity data'!AI72*UDSOEF*NtoN2O*kgtoGg,IF('Net zero activities &amp; levers'!$C$12="PB",'Activity data'!AI72*UDSOEF*NtoN2O*kgtoGg,IF('Net zero activities &amp; levers'!$C$12="MS",'Net zero Activity data'!AI72*UDSOEF*NtoN2O*kgtoGg,"ERROR")))</f>
        <v>5.8538572193681269</v>
      </c>
      <c r="Q991" s="101">
        <f>IF('Net zero activities &amp; levers'!$C$12="Off",'Activity data'!AJ72*UDSOEF*NtoN2O*kgtoGg,IF('Net zero activities &amp; levers'!$C$12="PB",'Activity data'!AJ72*UDSOEF*NtoN2O*kgtoGg,IF('Net zero activities &amp; levers'!$C$12="MS",'Net zero Activity data'!AJ72*UDSOEF*NtoN2O*kgtoGg,"ERROR")))</f>
        <v>5.8741818038916174</v>
      </c>
      <c r="R991" s="101">
        <f>IF('Net zero activities &amp; levers'!$C$12="Off",'Activity data'!AK72*UDSOEF*NtoN2O*kgtoGg,IF('Net zero activities &amp; levers'!$C$12="PB",'Activity data'!AK72*UDSOEF*NtoN2O*kgtoGg,IF('Net zero activities &amp; levers'!$C$12="MS",'Net zero Activity data'!AK72*UDSOEF*NtoN2O*kgtoGg,"ERROR")))</f>
        <v>5.8960701972534357</v>
      </c>
      <c r="S991" s="101">
        <f>IF('Net zero activities &amp; levers'!$C$12="Off",'Activity data'!AL72*UDSOEF*NtoN2O*kgtoGg,IF('Net zero activities &amp; levers'!$C$12="PB",'Activity data'!AL72*UDSOEF*NtoN2O*kgtoGg,IF('Net zero activities &amp; levers'!$C$12="MS",'Net zero Activity data'!AL72*UDSOEF*NtoN2O*kgtoGg,"ERROR")))</f>
        <v>5.9177559307877479</v>
      </c>
      <c r="T991" s="101">
        <f>IF('Net zero activities &amp; levers'!$C$12="Off",'Activity data'!AM72*UDSOEF*NtoN2O*kgtoGg,IF('Net zero activities &amp; levers'!$C$12="PB",'Activity data'!AM72*UDSOEF*NtoN2O*kgtoGg,IF('Net zero activities &amp; levers'!$C$12="MS",'Net zero Activity data'!AM72*UDSOEF*NtoN2O*kgtoGg,"ERROR")))</f>
        <v>5.9266307004561112</v>
      </c>
      <c r="U991" s="101">
        <f>IF('Net zero activities &amp; levers'!$C$12="Off",'Activity data'!AN72*UDSOEF*NtoN2O*kgtoGg,IF('Net zero activities &amp; levers'!$C$12="PB",'Activity data'!AN72*UDSOEF*NtoN2O*kgtoGg,IF('Net zero activities &amp; levers'!$C$12="MS",'Net zero Activity data'!AN72*UDSOEF*NtoN2O*kgtoGg,"ERROR")))</f>
        <v>5.9367082769549988</v>
      </c>
      <c r="V991" s="101">
        <f>IF('Net zero activities &amp; levers'!$C$12="Off",'Activity data'!AO72*UDSOEF*NtoN2O*kgtoGg,IF('Net zero activities &amp; levers'!$C$12="PB",'Activity data'!AO72*UDSOEF*NtoN2O*kgtoGg,IF('Net zero activities &amp; levers'!$C$12="MS",'Net zero Activity data'!AO72*UDSOEF*NtoN2O*kgtoGg,"ERROR")))</f>
        <v>5.9481053028915358</v>
      </c>
      <c r="W991" s="101">
        <f>IF('Net zero activities &amp; levers'!$C$12="Off",'Activity data'!AP72*UDSOEF*NtoN2O*kgtoGg,IF('Net zero activities &amp; levers'!$C$12="PB",'Activity data'!AP72*UDSOEF*NtoN2O*kgtoGg,IF('Net zero activities &amp; levers'!$C$12="MS",'Net zero Activity data'!AP72*UDSOEF*NtoN2O*kgtoGg,"ERROR")))</f>
        <v>5.960904450999025</v>
      </c>
      <c r="X991" s="101">
        <f>IF('Net zero activities &amp; levers'!$C$12="Off",'Activity data'!AQ72*UDSOEF*NtoN2O*kgtoGg,IF('Net zero activities &amp; levers'!$C$12="PB",'Activity data'!AQ72*UDSOEF*NtoN2O*kgtoGg,IF('Net zero activities &amp; levers'!$C$12="MS",'Net zero Activity data'!AQ72*UDSOEF*NtoN2O*kgtoGg,"ERROR")))</f>
        <v>5.9752866719651836</v>
      </c>
      <c r="Y991" s="101">
        <f>IF('Net zero activities &amp; levers'!$C$12="Off",'Activity data'!AR72*UDSOEF*NtoN2O*kgtoGg,IF('Net zero activities &amp; levers'!$C$12="PB",'Activity data'!AR72*UDSOEF*NtoN2O*kgtoGg,IF('Net zero activities &amp; levers'!$C$12="MS",'Net zero Activity data'!AR72*UDSOEF*NtoN2O*kgtoGg,"ERROR")))</f>
        <v>5.9843295860357024</v>
      </c>
      <c r="Z991" s="101">
        <f>IF('Net zero activities &amp; levers'!$C$12="Off",'Activity data'!AS72*UDSOEF*NtoN2O*kgtoGg,IF('Net zero activities &amp; levers'!$C$12="PB",'Activity data'!AS72*UDSOEF*NtoN2O*kgtoGg,IF('Net zero activities &amp; levers'!$C$12="MS",'Net zero Activity data'!AS72*UDSOEF*NtoN2O*kgtoGg,"ERROR")))</f>
        <v>5.9945123676402678</v>
      </c>
      <c r="AA991" s="101">
        <f>IF('Net zero activities &amp; levers'!$C$12="Off",'Activity data'!AT72*UDSOEF*NtoN2O*kgtoGg,IF('Net zero activities &amp; levers'!$C$12="PB",'Activity data'!AT72*UDSOEF*NtoN2O*kgtoGg,IF('Net zero activities &amp; levers'!$C$12="MS",'Net zero Activity data'!AT72*UDSOEF*NtoN2O*kgtoGg,"ERROR")))</f>
        <v>6.0055516159641433</v>
      </c>
      <c r="AB991" s="101">
        <f>IF('Net zero activities &amp; levers'!$C$12="Off",'Activity data'!AU72*UDSOEF*NtoN2O*kgtoGg,IF('Net zero activities &amp; levers'!$C$12="PB",'Activity data'!AU72*UDSOEF*NtoN2O*kgtoGg,IF('Net zero activities &amp; levers'!$C$12="MS",'Net zero Activity data'!AU72*UDSOEF*NtoN2O*kgtoGg,"ERROR")))</f>
        <v>6.0177061448313278</v>
      </c>
      <c r="AC991" s="101">
        <f>IF('Net zero activities &amp; levers'!$C$12="Off",'Activity data'!AV72*UDSOEF*NtoN2O*kgtoGg,IF('Net zero activities &amp; levers'!$C$12="PB",'Activity data'!AV72*UDSOEF*NtoN2O*kgtoGg,IF('Net zero activities &amp; levers'!$C$12="MS",'Net zero Activity data'!AV72*UDSOEF*NtoN2O*kgtoGg,"ERROR")))</f>
        <v>6.03097456248548</v>
      </c>
      <c r="AD991" s="101">
        <f>IF('Net zero activities &amp; levers'!$C$12="Off",'Activity data'!AW72*UDSOEF*NtoN2O*kgtoGg,IF('Net zero activities &amp; levers'!$C$12="PB",'Activity data'!AW72*UDSOEF*NtoN2O*kgtoGg,IF('Net zero activities &amp; levers'!$C$12="MS",'Net zero Activity data'!AW72*UDSOEF*NtoN2O*kgtoGg,"ERROR")))</f>
        <v>6.0397566686890718</v>
      </c>
      <c r="AE991" s="101">
        <f>IF('Net zero activities &amp; levers'!$C$12="Off",'Activity data'!AX72*UDSOEF*NtoN2O*kgtoGg,IF('Net zero activities &amp; levers'!$C$12="PB",'Activity data'!AX72*UDSOEF*NtoN2O*kgtoGg,IF('Net zero activities &amp; levers'!$C$12="MS",'Net zero Activity data'!AX72*UDSOEF*NtoN2O*kgtoGg,"ERROR")))</f>
        <v>6.0493932233323875</v>
      </c>
      <c r="AF991" s="101">
        <f>IF('Net zero activities &amp; levers'!$C$12="Off",'Activity data'!AY72*UDSOEF*NtoN2O*kgtoGg,IF('Net zero activities &amp; levers'!$C$12="PB",'Activity data'!AY72*UDSOEF*NtoN2O*kgtoGg,IF('Net zero activities &amp; levers'!$C$12="MS",'Net zero Activity data'!AY72*UDSOEF*NtoN2O*kgtoGg,"ERROR")))</f>
        <v>6.0598194909466505</v>
      </c>
      <c r="AG991" s="101">
        <f>IF('Net zero activities &amp; levers'!$C$12="Off",'Activity data'!AZ72*UDSOEF*NtoN2O*kgtoGg,IF('Net zero activities &amp; levers'!$C$12="PB",'Activity data'!AZ72*UDSOEF*NtoN2O*kgtoGg,IF('Net zero activities &amp; levers'!$C$12="MS",'Net zero Activity data'!AZ72*UDSOEF*NtoN2O*kgtoGg,"ERROR")))</f>
        <v>6.0711483366347876</v>
      </c>
      <c r="AH991" s="101">
        <f>IF('Net zero activities &amp; levers'!$C$12="Off",'Activity data'!BA72*UDSOEF*NtoN2O*kgtoGg,IF('Net zero activities &amp; levers'!$C$12="PB",'Activity data'!BA72*UDSOEF*NtoN2O*kgtoGg,IF('Net zero activities &amp; levers'!$C$12="MS",'Net zero Activity data'!BA72*UDSOEF*NtoN2O*kgtoGg,"ERROR")))</f>
        <v>6.0829788619886944</v>
      </c>
      <c r="AI991" s="101">
        <f>IF('Net zero activities &amp; levers'!$C$12="Off",'Activity data'!BB72*UDSOEF*NtoN2O*kgtoGg,IF('Net zero activities &amp; levers'!$C$12="PB",'Activity data'!BB72*UDSOEF*NtoN2O*kgtoGg,IF('Net zero activities &amp; levers'!$C$12="MS",'Net zero Activity data'!BB72*UDSOEF*NtoN2O*kgtoGg,"ERROR")))</f>
        <v>6.0905477121768259</v>
      </c>
      <c r="AJ991" s="101">
        <f>IF('Net zero activities &amp; levers'!$C$12="Off",'Activity data'!BC72*UDSOEF*NtoN2O*kgtoGg,IF('Net zero activities &amp; levers'!$C$12="PB",'Activity data'!BC72*UDSOEF*NtoN2O*kgtoGg,IF('Net zero activities &amp; levers'!$C$12="MS",'Net zero Activity data'!BC72*UDSOEF*NtoN2O*kgtoGg,"ERROR")))</f>
        <v>6.0987586244880356</v>
      </c>
      <c r="AK991" s="101">
        <f>IF('Net zero activities &amp; levers'!$C$12="Off",'Activity data'!BD72*UDSOEF*NtoN2O*kgtoGg,IF('Net zero activities &amp; levers'!$C$12="PB",'Activity data'!BD72*UDSOEF*NtoN2O*kgtoGg,IF('Net zero activities &amp; levers'!$C$12="MS",'Net zero Activity data'!BD72*UDSOEF*NtoN2O*kgtoGg,"ERROR")))</f>
        <v>6.1074872449990725</v>
      </c>
      <c r="AL991" s="101">
        <f>IF('Net zero activities &amp; levers'!$C$12="Off",'Activity data'!BE72*UDSOEF*NtoN2O*kgtoGg,IF('Net zero activities &amp; levers'!$C$12="PB",'Activity data'!BE72*UDSOEF*NtoN2O*kgtoGg,IF('Net zero activities &amp; levers'!$C$12="MS",'Net zero Activity data'!BE72*UDSOEF*NtoN2O*kgtoGg,"ERROR")))</f>
        <v>6.1167813545421765</v>
      </c>
      <c r="AM991" s="101">
        <f>IF('Net zero activities &amp; levers'!$C$12="Off",'Activity data'!BF72*UDSOEF*NtoN2O*kgtoGg,IF('Net zero activities &amp; levers'!$C$12="PB",'Activity data'!BF72*UDSOEF*NtoN2O*kgtoGg,IF('Net zero activities &amp; levers'!$C$12="MS",'Net zero Activity data'!BF72*UDSOEF*NtoN2O*kgtoGg,"ERROR")))</f>
        <v>6.1266844936604166</v>
      </c>
      <c r="AN991" s="101">
        <f>IF('Net zero activities &amp; levers'!$C$12="Off",'Activity data'!BG72*UDSOEF*NtoN2O*kgtoGg,IF('Net zero activities &amp; levers'!$C$12="PB",'Activity data'!BG72*UDSOEF*NtoN2O*kgtoGg,IF('Net zero activities &amp; levers'!$C$12="MS",'Net zero Activity data'!BG72*UDSOEF*NtoN2O*kgtoGg,"ERROR")))</f>
        <v>6.1325212653673837</v>
      </c>
      <c r="AO991" s="101">
        <f>IF('Net zero activities &amp; levers'!$C$12="Off",'Activity data'!BH72*UDSOEF*NtoN2O*kgtoGg,IF('Net zero activities &amp; levers'!$C$12="PB",'Activity data'!BH72*UDSOEF*NtoN2O*kgtoGg,IF('Net zero activities &amp; levers'!$C$12="MS",'Net zero Activity data'!BH72*UDSOEF*NtoN2O*kgtoGg,"ERROR")))</f>
        <v>6.1387404789422586</v>
      </c>
      <c r="AP991" s="101">
        <f>IF('Net zero activities &amp; levers'!$C$12="Off",'Activity data'!BI72*UDSOEF*NtoN2O*kgtoGg,IF('Net zero activities &amp; levers'!$C$12="PB",'Activity data'!BI72*UDSOEF*NtoN2O*kgtoGg,IF('Net zero activities &amp; levers'!$C$12="MS",'Net zero Activity data'!BI72*UDSOEF*NtoN2O*kgtoGg,"ERROR")))</f>
        <v>6.145451732291618</v>
      </c>
      <c r="AQ991" s="101">
        <f>IF('Net zero activities &amp; levers'!$C$12="Off",'Activity data'!BJ72*UDSOEF*NtoN2O*kgtoGg,IF('Net zero activities &amp; levers'!$C$12="PB",'Activity data'!BJ72*UDSOEF*NtoN2O*kgtoGg,IF('Net zero activities &amp; levers'!$C$12="MS",'Net zero Activity data'!BJ72*UDSOEF*NtoN2O*kgtoGg,"ERROR")))</f>
        <v>6.152643186293405</v>
      </c>
      <c r="AR991" s="101">
        <f>IF('Net zero activities &amp; levers'!$C$12="Off",'Activity data'!BK72*UDSOEF*NtoN2O*kgtoGg,IF('Net zero activities &amp; levers'!$C$12="PB",'Activity data'!BK72*UDSOEF*NtoN2O*kgtoGg,IF('Net zero activities &amp; levers'!$C$12="MS",'Net zero Activity data'!BK72*UDSOEF*NtoN2O*kgtoGg,"ERROR")))</f>
        <v>6.1603920516403416</v>
      </c>
      <c r="AS991" s="101">
        <f>IF('Net zero activities &amp; levers'!$C$12="Off",'Activity data'!BL72*UDSOEF*NtoN2O*kgtoGg,IF('Net zero activities &amp; levers'!$C$12="PB",'Activity data'!BL72*UDSOEF*NtoN2O*kgtoGg,IF('Net zero activities &amp; levers'!$C$12="MS",'Net zero Activity data'!BL72*UDSOEF*NtoN2O*kgtoGg,"ERROR")))</f>
        <v>6.1638844604068606</v>
      </c>
      <c r="AT991" s="101">
        <f>IF('Net zero activities &amp; levers'!$C$12="Off",'Activity data'!BM72*UDSOEF*NtoN2O*kgtoGg,IF('Net zero activities &amp; levers'!$C$12="PB",'Activity data'!BM72*UDSOEF*NtoN2O*kgtoGg,IF('Net zero activities &amp; levers'!$C$12="MS",'Net zero Activity data'!BM72*UDSOEF*NtoN2O*kgtoGg,"ERROR")))</f>
        <v>6.1669158271420823</v>
      </c>
      <c r="AU991" s="101">
        <f>IF('Net zero activities &amp; levers'!$C$12="Off",'Activity data'!BN72*UDSOEF*NtoN2O*kgtoGg,IF('Net zero activities &amp; levers'!$C$12="PB",'Activity data'!BN72*UDSOEF*NtoN2O*kgtoGg,IF('Net zero activities &amp; levers'!$C$12="MS",'Net zero Activity data'!BN72*UDSOEF*NtoN2O*kgtoGg,"ERROR")))</f>
        <v>6.1702623626652491</v>
      </c>
      <c r="AV991" s="101">
        <f>IF('Net zero activities &amp; levers'!$C$12="Off",'Activity data'!BO72*UDSOEF*NtoN2O*kgtoGg,IF('Net zero activities &amp; levers'!$C$12="PB",'Activity data'!BO72*UDSOEF*NtoN2O*kgtoGg,IF('Net zero activities &amp; levers'!$C$12="MS",'Net zero Activity data'!BO72*UDSOEF*NtoN2O*kgtoGg,"ERROR")))</f>
        <v>6.1740883613222994</v>
      </c>
      <c r="AW991" s="101">
        <f>IF('Net zero activities &amp; levers'!$C$12="Off",'Activity data'!BP72*UDSOEF*NtoN2O*kgtoGg,IF('Net zero activities &amp; levers'!$C$12="PB",'Activity data'!BP72*UDSOEF*NtoN2O*kgtoGg,IF('Net zero activities &amp; levers'!$C$12="MS",'Net zero Activity data'!BP72*UDSOEF*NtoN2O*kgtoGg,"ERROR")))</f>
        <v>6.1782170575379913</v>
      </c>
      <c r="AY991" s="85"/>
      <c r="AZ991" s="85"/>
    </row>
    <row r="992" spans="1:52" x14ac:dyDescent="0.25">
      <c r="A992" s="102" t="str">
        <f t="shared" si="345"/>
        <v>DS U&amp;D</v>
      </c>
      <c r="B992" s="102" t="s">
        <v>975</v>
      </c>
      <c r="C992" s="102" t="s">
        <v>1337</v>
      </c>
      <c r="D992" t="s">
        <v>369</v>
      </c>
      <c r="E992" t="s">
        <v>55</v>
      </c>
      <c r="F992" t="s">
        <v>422</v>
      </c>
      <c r="G992" t="s">
        <v>1167</v>
      </c>
      <c r="H992" t="s">
        <v>1248</v>
      </c>
      <c r="I992" t="s">
        <v>139</v>
      </c>
      <c r="J992" t="s">
        <v>287</v>
      </c>
      <c r="K992" s="101">
        <f>IF('Net zero activities &amp; levers'!$C$12="Off",'Activity data'!AD73*UDSOEF*NtoN2O*kgtoGg,IF('Net zero activities &amp; levers'!$C$12="PB",'Activity data'!AD73*UDSOEF*NtoN2O*kgtoGg,IF('Net zero activities &amp; levers'!$C$12="MS",'Net zero Activity data'!AD73*UDSOEF*NtoN2O*kgtoGg,"ERROR")))</f>
        <v>0.64744945388640951</v>
      </c>
      <c r="L992" s="101">
        <f>IF('Net zero activities &amp; levers'!$C$12="Off",'Activity data'!AE73*UDSOEF*NtoN2O*kgtoGg,IF('Net zero activities &amp; levers'!$C$12="PB",'Activity data'!AE73*UDSOEF*NtoN2O*kgtoGg,IF('Net zero activities &amp; levers'!$C$12="MS",'Net zero Activity data'!AE73*UDSOEF*NtoN2O*kgtoGg,"ERROR")))</f>
        <v>0.64779887001424552</v>
      </c>
      <c r="M992" s="101">
        <f>IF('Net zero activities &amp; levers'!$C$12="Off",'Activity data'!AF73*UDSOEF*NtoN2O*kgtoGg,IF('Net zero activities &amp; levers'!$C$12="PB",'Activity data'!AF73*UDSOEF*NtoN2O*kgtoGg,IF('Net zero activities &amp; levers'!$C$12="MS",'Net zero Activity data'!AF73*UDSOEF*NtoN2O*kgtoGg,"ERROR")))</f>
        <v>0.64860214790097404</v>
      </c>
      <c r="N992" s="101">
        <f>IF('Net zero activities &amp; levers'!$C$12="Off",'Activity data'!AG73*UDSOEF*NtoN2O*kgtoGg,IF('Net zero activities &amp; levers'!$C$12="PB",'Activity data'!AG73*UDSOEF*NtoN2O*kgtoGg,IF('Net zero activities &amp; levers'!$C$12="MS",'Net zero Activity data'!AG73*UDSOEF*NtoN2O*kgtoGg,"ERROR")))</f>
        <v>0.64979468876050261</v>
      </c>
      <c r="O992" s="101">
        <f>IF('Net zero activities &amp; levers'!$C$12="Off",'Activity data'!AH73*UDSOEF*NtoN2O*kgtoGg,IF('Net zero activities &amp; levers'!$C$12="PB",'Activity data'!AH73*UDSOEF*NtoN2O*kgtoGg,IF('Net zero activities &amp; levers'!$C$12="MS",'Net zero Activity data'!AH73*UDSOEF*NtoN2O*kgtoGg,"ERROR")))</f>
        <v>0.65140429391571231</v>
      </c>
      <c r="P992" s="101">
        <f>IF('Net zero activities &amp; levers'!$C$12="Off",'Activity data'!AI73*UDSOEF*NtoN2O*kgtoGg,IF('Net zero activities &amp; levers'!$C$12="PB",'Activity data'!AI73*UDSOEF*NtoN2O*kgtoGg,IF('Net zero activities &amp; levers'!$C$12="MS",'Net zero Activity data'!AI73*UDSOEF*NtoN2O*kgtoGg,"ERROR")))</f>
        <v>0.6534633120226967</v>
      </c>
      <c r="Q992" s="101">
        <f>IF('Net zero activities &amp; levers'!$C$12="Off",'Activity data'!AJ73*UDSOEF*NtoN2O*kgtoGg,IF('Net zero activities &amp; levers'!$C$12="PB",'Activity data'!AJ73*UDSOEF*NtoN2O*kgtoGg,IF('Net zero activities &amp; levers'!$C$12="MS",'Net zero Activity data'!AJ73*UDSOEF*NtoN2O*kgtoGg,"ERROR")))</f>
        <v>0.65573213577778644</v>
      </c>
      <c r="R992" s="101">
        <f>IF('Net zero activities &amp; levers'!$C$12="Off",'Activity data'!AK73*UDSOEF*NtoN2O*kgtoGg,IF('Net zero activities &amp; levers'!$C$12="PB",'Activity data'!AK73*UDSOEF*NtoN2O*kgtoGg,IF('Net zero activities &amp; levers'!$C$12="MS",'Net zero Activity data'!AK73*UDSOEF*NtoN2O*kgtoGg,"ERROR")))</f>
        <v>0.65817552677368318</v>
      </c>
      <c r="S992" s="101">
        <f>IF('Net zero activities &amp; levers'!$C$12="Off",'Activity data'!AL73*UDSOEF*NtoN2O*kgtoGg,IF('Net zero activities &amp; levers'!$C$12="PB",'Activity data'!AL73*UDSOEF*NtoN2O*kgtoGg,IF('Net zero activities &amp; levers'!$C$12="MS",'Net zero Activity data'!AL73*UDSOEF*NtoN2O*kgtoGg,"ERROR")))</f>
        <v>0.66059629494891092</v>
      </c>
      <c r="T992" s="101">
        <f>IF('Net zero activities &amp; levers'!$C$12="Off",'Activity data'!AM73*UDSOEF*NtoN2O*kgtoGg,IF('Net zero activities &amp; levers'!$C$12="PB",'Activity data'!AM73*UDSOEF*NtoN2O*kgtoGg,IF('Net zero activities &amp; levers'!$C$12="MS",'Net zero Activity data'!AM73*UDSOEF*NtoN2O*kgtoGg,"ERROR")))</f>
        <v>0.66158698128846494</v>
      </c>
      <c r="U992" s="101">
        <f>IF('Net zero activities &amp; levers'!$C$12="Off",'Activity data'!AN73*UDSOEF*NtoN2O*kgtoGg,IF('Net zero activities &amp; levers'!$C$12="PB",'Activity data'!AN73*UDSOEF*NtoN2O*kgtoGg,IF('Net zero activities &amp; levers'!$C$12="MS",'Net zero Activity data'!AN73*UDSOEF*NtoN2O*kgtoGg,"ERROR")))</f>
        <v>0.66271193638547965</v>
      </c>
      <c r="V992" s="101">
        <f>IF('Net zero activities &amp; levers'!$C$12="Off",'Activity data'!AO73*UDSOEF*NtoN2O*kgtoGg,IF('Net zero activities &amp; levers'!$C$12="PB",'Activity data'!AO73*UDSOEF*NtoN2O*kgtoGg,IF('Net zero activities &amp; levers'!$C$12="MS",'Net zero Activity data'!AO73*UDSOEF*NtoN2O*kgtoGg,"ERROR")))</f>
        <v>0.6639841809990068</v>
      </c>
      <c r="W992" s="101">
        <f>IF('Net zero activities &amp; levers'!$C$12="Off",'Activity data'!AP73*UDSOEF*NtoN2O*kgtoGg,IF('Net zero activities &amp; levers'!$C$12="PB",'Activity data'!AP73*UDSOEF*NtoN2O*kgtoGg,IF('Net zero activities &amp; levers'!$C$12="MS",'Net zero Activity data'!AP73*UDSOEF*NtoN2O*kgtoGg,"ERROR")))</f>
        <v>0.66541294384715366</v>
      </c>
      <c r="X992" s="101">
        <f>IF('Net zero activities &amp; levers'!$C$12="Off",'Activity data'!AQ73*UDSOEF*NtoN2O*kgtoGg,IF('Net zero activities &amp; levers'!$C$12="PB",'Activity data'!AQ73*UDSOEF*NtoN2O*kgtoGg,IF('Net zero activities &amp; levers'!$C$12="MS",'Net zero Activity data'!AQ73*UDSOEF*NtoN2O*kgtoGg,"ERROR")))</f>
        <v>0.66701842436958481</v>
      </c>
      <c r="Y992" s="101">
        <f>IF('Net zero activities &amp; levers'!$C$12="Off",'Activity data'!AR73*UDSOEF*NtoN2O*kgtoGg,IF('Net zero activities &amp; levers'!$C$12="PB",'Activity data'!AR73*UDSOEF*NtoN2O*kgtoGg,IF('Net zero activities &amp; levers'!$C$12="MS",'Net zero Activity data'!AR73*UDSOEF*NtoN2O*kgtoGg,"ERROR")))</f>
        <v>0.66802788058920459</v>
      </c>
      <c r="Z992" s="101">
        <f>IF('Net zero activities &amp; levers'!$C$12="Off",'Activity data'!AS73*UDSOEF*NtoN2O*kgtoGg,IF('Net zero activities &amp; levers'!$C$12="PB",'Activity data'!AS73*UDSOEF*NtoN2O*kgtoGg,IF('Net zero activities &amp; levers'!$C$12="MS",'Net zero Activity data'!AS73*UDSOEF*NtoN2O*kgtoGg,"ERROR")))</f>
        <v>0.66916457968239529</v>
      </c>
      <c r="AA992" s="101">
        <f>IF('Net zero activities &amp; levers'!$C$12="Off",'Activity data'!AT73*UDSOEF*NtoN2O*kgtoGg,IF('Net zero activities &amp; levers'!$C$12="PB",'Activity data'!AT73*UDSOEF*NtoN2O*kgtoGg,IF('Net zero activities &amp; levers'!$C$12="MS",'Net zero Activity data'!AT73*UDSOEF*NtoN2O*kgtoGg,"ERROR")))</f>
        <v>0.67039688575028045</v>
      </c>
      <c r="AB992" s="101">
        <f>IF('Net zero activities &amp; levers'!$C$12="Off",'Activity data'!AU73*UDSOEF*NtoN2O*kgtoGg,IF('Net zero activities &amp; levers'!$C$12="PB",'Activity data'!AU73*UDSOEF*NtoN2O*kgtoGg,IF('Net zero activities &amp; levers'!$C$12="MS",'Net zero Activity data'!AU73*UDSOEF*NtoN2O*kgtoGg,"ERROR")))</f>
        <v>0.671753690057592</v>
      </c>
      <c r="AC992" s="101">
        <f>IF('Net zero activities &amp; levers'!$C$12="Off",'Activity data'!AV73*UDSOEF*NtoN2O*kgtoGg,IF('Net zero activities &amp; levers'!$C$12="PB",'Activity data'!AV73*UDSOEF*NtoN2O*kgtoGg,IF('Net zero activities &amp; levers'!$C$12="MS",'Net zero Activity data'!AV73*UDSOEF*NtoN2O*kgtoGg,"ERROR")))</f>
        <v>0.67323483724322841</v>
      </c>
      <c r="AD992" s="101">
        <f>IF('Net zero activities &amp; levers'!$C$12="Off",'Activity data'!AW73*UDSOEF*NtoN2O*kgtoGg,IF('Net zero activities &amp; levers'!$C$12="PB",'Activity data'!AW73*UDSOEF*NtoN2O*kgtoGg,IF('Net zero activities &amp; levers'!$C$12="MS",'Net zero Activity data'!AW73*UDSOEF*NtoN2O*kgtoGg,"ERROR")))</f>
        <v>0.67421517960404742</v>
      </c>
      <c r="AE992" s="101">
        <f>IF('Net zero activities &amp; levers'!$C$12="Off",'Activity data'!AX73*UDSOEF*NtoN2O*kgtoGg,IF('Net zero activities &amp; levers'!$C$12="PB",'Activity data'!AX73*UDSOEF*NtoN2O*kgtoGg,IF('Net zero activities &amp; levers'!$C$12="MS",'Net zero Activity data'!AX73*UDSOEF*NtoN2O*kgtoGg,"ERROR")))</f>
        <v>0.6752909036399658</v>
      </c>
      <c r="AF992" s="101">
        <f>IF('Net zero activities &amp; levers'!$C$12="Off",'Activity data'!AY73*UDSOEF*NtoN2O*kgtoGg,IF('Net zero activities &amp; levers'!$C$12="PB",'Activity data'!AY73*UDSOEF*NtoN2O*kgtoGg,IF('Net zero activities &amp; levers'!$C$12="MS",'Net zero Activity data'!AY73*UDSOEF*NtoN2O*kgtoGg,"ERROR")))</f>
        <v>0.67645478296122918</v>
      </c>
      <c r="AG992" s="101">
        <f>IF('Net zero activities &amp; levers'!$C$12="Off",'Activity data'!AZ73*UDSOEF*NtoN2O*kgtoGg,IF('Net zero activities &amp; levers'!$C$12="PB",'Activity data'!AZ73*UDSOEF*NtoN2O*kgtoGg,IF('Net zero activities &amp; levers'!$C$12="MS",'Net zero Activity data'!AZ73*UDSOEF*NtoN2O*kgtoGg,"ERROR")))</f>
        <v>0.67771941664588264</v>
      </c>
      <c r="AH992" s="101">
        <f>IF('Net zero activities &amp; levers'!$C$12="Off",'Activity data'!BA73*UDSOEF*NtoN2O*kgtoGg,IF('Net zero activities &amp; levers'!$C$12="PB",'Activity data'!BA73*UDSOEF*NtoN2O*kgtoGg,IF('Net zero activities &amp; levers'!$C$12="MS",'Net zero Activity data'!BA73*UDSOEF*NtoN2O*kgtoGg,"ERROR")))</f>
        <v>0.67904005259428835</v>
      </c>
      <c r="AI992" s="101">
        <f>IF('Net zero activities &amp; levers'!$C$12="Off",'Activity data'!BB73*UDSOEF*NtoN2O*kgtoGg,IF('Net zero activities &amp; levers'!$C$12="PB",'Activity data'!BB73*UDSOEF*NtoN2O*kgtoGg,IF('Net zero activities &amp; levers'!$C$12="MS",'Net zero Activity data'!BB73*UDSOEF*NtoN2O*kgtoGg,"ERROR")))</f>
        <v>0.67988495976007579</v>
      </c>
      <c r="AJ992" s="101">
        <f>IF('Net zero activities &amp; levers'!$C$12="Off",'Activity data'!BC73*UDSOEF*NtoN2O*kgtoGg,IF('Net zero activities &amp; levers'!$C$12="PB",'Activity data'!BC73*UDSOEF*NtoN2O*kgtoGg,IF('Net zero activities &amp; levers'!$C$12="MS",'Net zero Activity data'!BC73*UDSOEF*NtoN2O*kgtoGg,"ERROR")))</f>
        <v>0.68080154001691195</v>
      </c>
      <c r="AK992" s="101">
        <f>IF('Net zero activities &amp; levers'!$C$12="Off",'Activity data'!BD73*UDSOEF*NtoN2O*kgtoGg,IF('Net zero activities &amp; levers'!$C$12="PB",'Activity data'!BD73*UDSOEF*NtoN2O*kgtoGg,IF('Net zero activities &amp; levers'!$C$12="MS",'Net zero Activity data'!BD73*UDSOEF*NtoN2O*kgtoGg,"ERROR")))</f>
        <v>0.68177591179517449</v>
      </c>
      <c r="AL992" s="101">
        <f>IF('Net zero activities &amp; levers'!$C$12="Off",'Activity data'!BE73*UDSOEF*NtoN2O*kgtoGg,IF('Net zero activities &amp; levers'!$C$12="PB",'Activity data'!BE73*UDSOEF*NtoN2O*kgtoGg,IF('Net zero activities &amp; levers'!$C$12="MS",'Net zero Activity data'!BE73*UDSOEF*NtoN2O*kgtoGg,"ERROR")))</f>
        <v>0.68281340884656228</v>
      </c>
      <c r="AM992" s="101">
        <f>IF('Net zero activities &amp; levers'!$C$12="Off",'Activity data'!BF73*UDSOEF*NtoN2O*kgtoGg,IF('Net zero activities &amp; levers'!$C$12="PB",'Activity data'!BF73*UDSOEF*NtoN2O*kgtoGg,IF('Net zero activities &amp; levers'!$C$12="MS",'Net zero Activity data'!BF73*UDSOEF*NtoN2O*kgtoGg,"ERROR")))</f>
        <v>0.68391889158129904</v>
      </c>
      <c r="AN992" s="101">
        <f>IF('Net zero activities &amp; levers'!$C$12="Off",'Activity data'!BG73*UDSOEF*NtoN2O*kgtoGg,IF('Net zero activities &amp; levers'!$C$12="PB",'Activity data'!BG73*UDSOEF*NtoN2O*kgtoGg,IF('Net zero activities &amp; levers'!$C$12="MS",'Net zero Activity data'!BG73*UDSOEF*NtoN2O*kgtoGg,"ERROR")))</f>
        <v>0.68457044764565533</v>
      </c>
      <c r="AO992" s="101">
        <f>IF('Net zero activities &amp; levers'!$C$12="Off",'Activity data'!BH73*UDSOEF*NtoN2O*kgtoGg,IF('Net zero activities &amp; levers'!$C$12="PB",'Activity data'!BH73*UDSOEF*NtoN2O*kgtoGg,IF('Net zero activities &amp; levers'!$C$12="MS",'Net zero Activity data'!BH73*UDSOEF*NtoN2O*kgtoGg,"ERROR")))</f>
        <v>0.68526469551479852</v>
      </c>
      <c r="AP992" s="101">
        <f>IF('Net zero activities &amp; levers'!$C$12="Off",'Activity data'!BI73*UDSOEF*NtoN2O*kgtoGg,IF('Net zero activities &amp; levers'!$C$12="PB",'Activity data'!BI73*UDSOEF*NtoN2O*kgtoGg,IF('Net zero activities &amp; levers'!$C$12="MS",'Net zero Activity data'!BI73*UDSOEF*NtoN2O*kgtoGg,"ERROR")))</f>
        <v>0.68601386955119048</v>
      </c>
      <c r="AQ992" s="101">
        <f>IF('Net zero activities &amp; levers'!$C$12="Off",'Activity data'!BJ73*UDSOEF*NtoN2O*kgtoGg,IF('Net zero activities &amp; levers'!$C$12="PB",'Activity data'!BJ73*UDSOEF*NtoN2O*kgtoGg,IF('Net zero activities &amp; levers'!$C$12="MS",'Net zero Activity data'!BJ73*UDSOEF*NtoN2O*kgtoGg,"ERROR")))</f>
        <v>0.68681664815923671</v>
      </c>
      <c r="AR992" s="101">
        <f>IF('Net zero activities &amp; levers'!$C$12="Off",'Activity data'!BK73*UDSOEF*NtoN2O*kgtoGg,IF('Net zero activities &amp; levers'!$C$12="PB",'Activity data'!BK73*UDSOEF*NtoN2O*kgtoGg,IF('Net zero activities &amp; levers'!$C$12="MS",'Net zero Activity data'!BK73*UDSOEF*NtoN2O*kgtoGg,"ERROR")))</f>
        <v>0.68768165033203899</v>
      </c>
      <c r="AS992" s="101">
        <f>IF('Net zero activities &amp; levers'!$C$12="Off",'Activity data'!BL73*UDSOEF*NtoN2O*kgtoGg,IF('Net zero activities &amp; levers'!$C$12="PB",'Activity data'!BL73*UDSOEF*NtoN2O*kgtoGg,IF('Net zero activities &amp; levers'!$C$12="MS",'Net zero Activity data'!BL73*UDSOEF*NtoN2O*kgtoGg,"ERROR")))</f>
        <v>0.68807150627043723</v>
      </c>
      <c r="AT992" s="101">
        <f>IF('Net zero activities &amp; levers'!$C$12="Off",'Activity data'!BM73*UDSOEF*NtoN2O*kgtoGg,IF('Net zero activities &amp; levers'!$C$12="PB",'Activity data'!BM73*UDSOEF*NtoN2O*kgtoGg,IF('Net zero activities &amp; levers'!$C$12="MS",'Net zero Activity data'!BM73*UDSOEF*NtoN2O*kgtoGg,"ERROR")))</f>
        <v>0.68840989630499416</v>
      </c>
      <c r="AU992" s="101">
        <f>IF('Net zero activities &amp; levers'!$C$12="Off",'Activity data'!BN73*UDSOEF*NtoN2O*kgtoGg,IF('Net zero activities &amp; levers'!$C$12="PB",'Activity data'!BN73*UDSOEF*NtoN2O*kgtoGg,IF('Net zero activities &amp; levers'!$C$12="MS",'Net zero Activity data'!BN73*UDSOEF*NtoN2O*kgtoGg,"ERROR")))</f>
        <v>0.68878346848224781</v>
      </c>
      <c r="AV992" s="101">
        <f>IF('Net zero activities &amp; levers'!$C$12="Off",'Activity data'!BO73*UDSOEF*NtoN2O*kgtoGg,IF('Net zero activities &amp; levers'!$C$12="PB",'Activity data'!BO73*UDSOEF*NtoN2O*kgtoGg,IF('Net zero activities &amp; levers'!$C$12="MS",'Net zero Activity data'!BO73*UDSOEF*NtoN2O*kgtoGg,"ERROR")))</f>
        <v>0.68921056290230964</v>
      </c>
      <c r="AW992" s="101">
        <f>IF('Net zero activities &amp; levers'!$C$12="Off",'Activity data'!BP73*UDSOEF*NtoN2O*kgtoGg,IF('Net zero activities &amp; levers'!$C$12="PB",'Activity data'!BP73*UDSOEF*NtoN2O*kgtoGg,IF('Net zero activities &amp; levers'!$C$12="MS",'Net zero Activity data'!BP73*UDSOEF*NtoN2O*kgtoGg,"ERROR")))</f>
        <v>0.68967144730764052</v>
      </c>
      <c r="AY992" s="85"/>
      <c r="AZ992" s="85"/>
    </row>
    <row r="993" spans="1:52" x14ac:dyDescent="0.25">
      <c r="A993" s="102" t="str">
        <f t="shared" si="345"/>
        <v>DS U&amp;D</v>
      </c>
      <c r="B993" s="102" t="s">
        <v>975</v>
      </c>
      <c r="C993" s="102" t="s">
        <v>1337</v>
      </c>
      <c r="D993" t="s">
        <v>369</v>
      </c>
      <c r="E993" t="s">
        <v>55</v>
      </c>
      <c r="F993" t="s">
        <v>422</v>
      </c>
      <c r="G993" t="s">
        <v>1169</v>
      </c>
      <c r="H993" t="s">
        <v>1249</v>
      </c>
      <c r="I993" t="s">
        <v>139</v>
      </c>
      <c r="J993" t="s">
        <v>287</v>
      </c>
      <c r="K993" s="22">
        <f t="shared" ref="K993:Z996" si="348">K1490</f>
        <v>0.71689894789530229</v>
      </c>
      <c r="L993" s="22">
        <f t="shared" si="348"/>
        <v>0.71876228746109427</v>
      </c>
      <c r="M993" s="22">
        <f t="shared" si="348"/>
        <v>0.72127503720090047</v>
      </c>
      <c r="N993" s="22">
        <f t="shared" si="348"/>
        <v>0.72433550259006296</v>
      </c>
      <c r="O993" s="22">
        <f t="shared" si="348"/>
        <v>0.72800120185684258</v>
      </c>
      <c r="P993" s="22">
        <f t="shared" si="348"/>
        <v>0.73233490465194795</v>
      </c>
      <c r="Q993" s="22">
        <f t="shared" si="348"/>
        <v>0.73692777433186207</v>
      </c>
      <c r="R993" s="22">
        <f t="shared" si="348"/>
        <v>0.74172607064181018</v>
      </c>
      <c r="S993" s="22">
        <f t="shared" si="348"/>
        <v>0.74639750027277085</v>
      </c>
      <c r="T993" s="22">
        <f t="shared" si="348"/>
        <v>0.74854009324631066</v>
      </c>
      <c r="U993" s="22">
        <f t="shared" si="348"/>
        <v>0.75085065923922678</v>
      </c>
      <c r="V993" s="22">
        <f t="shared" si="348"/>
        <v>0.75335493730359926</v>
      </c>
      <c r="W993" s="22">
        <f t="shared" si="348"/>
        <v>0.75607146605668685</v>
      </c>
      <c r="X993" s="22">
        <f t="shared" si="348"/>
        <v>0.75903679046714201</v>
      </c>
      <c r="Y993" s="22">
        <f t="shared" si="348"/>
        <v>0.76094537488964475</v>
      </c>
      <c r="Z993" s="22">
        <f t="shared" si="348"/>
        <v>0.76302818529273087</v>
      </c>
      <c r="AA993" s="22">
        <f t="shared" ref="L993:AW996" si="349">AA1490</f>
        <v>0.76523341198680583</v>
      </c>
      <c r="AB993" s="22">
        <f t="shared" si="349"/>
        <v>0.76761119115957532</v>
      </c>
      <c r="AC993" s="22">
        <f t="shared" si="349"/>
        <v>0.77016232439967147</v>
      </c>
      <c r="AD993" s="22">
        <f t="shared" si="349"/>
        <v>0.77184151262759737</v>
      </c>
      <c r="AE993" s="22">
        <f t="shared" si="349"/>
        <v>0.7736515769208151</v>
      </c>
      <c r="AF993" s="22">
        <f t="shared" si="349"/>
        <v>0.77558124888408586</v>
      </c>
      <c r="AG993" s="22">
        <f t="shared" si="349"/>
        <v>0.77765221756919434</v>
      </c>
      <c r="AH993" s="22">
        <f t="shared" si="349"/>
        <v>0.7797906862662336</v>
      </c>
      <c r="AI993" s="22">
        <f t="shared" si="349"/>
        <v>0.7811163537007122</v>
      </c>
      <c r="AJ993" s="22">
        <f t="shared" si="349"/>
        <v>0.78254032699837495</v>
      </c>
      <c r="AK993" s="22">
        <f t="shared" si="349"/>
        <v>0.78404012574492399</v>
      </c>
      <c r="AL993" s="22">
        <f t="shared" si="349"/>
        <v>0.78562503827513464</v>
      </c>
      <c r="AM993" s="22">
        <f t="shared" si="349"/>
        <v>0.78730345031212023</v>
      </c>
      <c r="AN993" s="22">
        <f t="shared" si="349"/>
        <v>0.78821861780581803</v>
      </c>
      <c r="AO993" s="22">
        <f t="shared" si="349"/>
        <v>0.78918935012210545</v>
      </c>
      <c r="AP993" s="22">
        <f t="shared" si="349"/>
        <v>0.79023602178732166</v>
      </c>
      <c r="AQ993" s="22">
        <f t="shared" si="349"/>
        <v>0.79135668556159844</v>
      </c>
      <c r="AR993" s="22">
        <f t="shared" si="349"/>
        <v>0.79256558771735774</v>
      </c>
      <c r="AS993" s="22">
        <f t="shared" si="349"/>
        <v>0.79298785766331426</v>
      </c>
      <c r="AT993" s="22">
        <f t="shared" si="349"/>
        <v>0.79331656903659509</v>
      </c>
      <c r="AU993" s="22">
        <f t="shared" si="349"/>
        <v>0.79369322526599873</v>
      </c>
      <c r="AV993" s="22">
        <f t="shared" si="349"/>
        <v>0.79414770745075947</v>
      </c>
      <c r="AW993" s="22">
        <f t="shared" si="349"/>
        <v>0.79464809471787612</v>
      </c>
      <c r="AY993" s="85"/>
      <c r="AZ993" s="85"/>
    </row>
    <row r="994" spans="1:52" x14ac:dyDescent="0.25">
      <c r="A994" s="102" t="str">
        <f t="shared" si="345"/>
        <v>DS U&amp;D</v>
      </c>
      <c r="B994" s="102" t="s">
        <v>975</v>
      </c>
      <c r="C994" s="102" t="s">
        <v>1337</v>
      </c>
      <c r="D994" t="s">
        <v>369</v>
      </c>
      <c r="E994" t="s">
        <v>55</v>
      </c>
      <c r="F994" t="s">
        <v>422</v>
      </c>
      <c r="G994" t="s">
        <v>1171</v>
      </c>
      <c r="H994" t="s">
        <v>1250</v>
      </c>
      <c r="I994" t="s">
        <v>139</v>
      </c>
      <c r="J994" t="s">
        <v>287</v>
      </c>
      <c r="K994" s="22">
        <f t="shared" si="348"/>
        <v>1.1864531966682197</v>
      </c>
      <c r="L994" s="22">
        <f t="shared" si="349"/>
        <v>1.1895369858002907</v>
      </c>
      <c r="M994" s="22">
        <f t="shared" si="349"/>
        <v>1.1936955355791294</v>
      </c>
      <c r="N994" s="22">
        <f t="shared" si="349"/>
        <v>1.1987605436321125</v>
      </c>
      <c r="O994" s="22">
        <f t="shared" si="349"/>
        <v>1.2048272014586632</v>
      </c>
      <c r="P994" s="22">
        <f t="shared" si="349"/>
        <v>1.2119993915556884</v>
      </c>
      <c r="Q994" s="22">
        <f t="shared" si="349"/>
        <v>1.2196004975827131</v>
      </c>
      <c r="R994" s="22">
        <f t="shared" si="349"/>
        <v>1.2275415805096901</v>
      </c>
      <c r="S994" s="22">
        <f t="shared" si="349"/>
        <v>1.2352727016599383</v>
      </c>
      <c r="T994" s="22">
        <f t="shared" si="349"/>
        <v>1.238818649509462</v>
      </c>
      <c r="U994" s="22">
        <f t="shared" si="349"/>
        <v>1.2426425892940813</v>
      </c>
      <c r="V994" s="22">
        <f t="shared" si="349"/>
        <v>1.2467871186221595</v>
      </c>
      <c r="W994" s="22">
        <f t="shared" si="349"/>
        <v>1.2512829185286929</v>
      </c>
      <c r="X994" s="22">
        <f t="shared" si="349"/>
        <v>1.2561904701944779</v>
      </c>
      <c r="Y994" s="22">
        <f t="shared" si="349"/>
        <v>1.2593491386453628</v>
      </c>
      <c r="Z994" s="22">
        <f t="shared" si="349"/>
        <v>1.2627961475551268</v>
      </c>
      <c r="AA994" s="22">
        <f t="shared" si="349"/>
        <v>1.2664457529398805</v>
      </c>
      <c r="AB994" s="22">
        <f t="shared" si="349"/>
        <v>1.2703809291718808</v>
      </c>
      <c r="AC994" s="22">
        <f t="shared" si="349"/>
        <v>1.2746030028640307</v>
      </c>
      <c r="AD994" s="22">
        <f t="shared" si="349"/>
        <v>1.2773820252725296</v>
      </c>
      <c r="AE994" s="22">
        <f t="shared" si="349"/>
        <v>1.2803776449106503</v>
      </c>
      <c r="AF994" s="22">
        <f t="shared" si="349"/>
        <v>1.2835712128131631</v>
      </c>
      <c r="AG994" s="22">
        <f t="shared" si="349"/>
        <v>1.2869986239202102</v>
      </c>
      <c r="AH994" s="22">
        <f t="shared" si="349"/>
        <v>1.2905377461759007</v>
      </c>
      <c r="AI994" s="22">
        <f t="shared" si="349"/>
        <v>1.2927316988521784</v>
      </c>
      <c r="AJ994" s="22">
        <f t="shared" si="349"/>
        <v>1.2950883457351767</v>
      </c>
      <c r="AK994" s="22">
        <f t="shared" si="349"/>
        <v>1.2975704821958689</v>
      </c>
      <c r="AL994" s="22">
        <f t="shared" si="349"/>
        <v>1.3001934802396349</v>
      </c>
      <c r="AM994" s="22">
        <f t="shared" si="349"/>
        <v>1.3029712180678941</v>
      </c>
      <c r="AN994" s="22">
        <f t="shared" si="349"/>
        <v>1.3044858016805112</v>
      </c>
      <c r="AO994" s="22">
        <f t="shared" si="349"/>
        <v>1.3060923439458467</v>
      </c>
      <c r="AP994" s="22">
        <f t="shared" si="349"/>
        <v>1.3078245642911324</v>
      </c>
      <c r="AQ994" s="22">
        <f t="shared" si="349"/>
        <v>1.309679240073939</v>
      </c>
      <c r="AR994" s="22">
        <f t="shared" si="349"/>
        <v>1.3116799485857458</v>
      </c>
      <c r="AS994" s="22">
        <f t="shared" si="349"/>
        <v>1.3123787967688931</v>
      </c>
      <c r="AT994" s="22">
        <f t="shared" si="349"/>
        <v>1.3129228074146826</v>
      </c>
      <c r="AU994" s="22">
        <f t="shared" si="349"/>
        <v>1.3135461658234697</v>
      </c>
      <c r="AV994" s="22">
        <f t="shared" si="349"/>
        <v>1.3142983246075228</v>
      </c>
      <c r="AW994" s="22">
        <f t="shared" si="349"/>
        <v>1.3151264553704232</v>
      </c>
      <c r="AY994" s="85"/>
      <c r="AZ994" s="85"/>
    </row>
    <row r="995" spans="1:52" x14ac:dyDescent="0.25">
      <c r="A995" s="102" t="str">
        <f t="shared" si="345"/>
        <v>DS U&amp;D</v>
      </c>
      <c r="B995" s="102" t="s">
        <v>975</v>
      </c>
      <c r="C995" s="102" t="s">
        <v>1337</v>
      </c>
      <c r="D995" t="s">
        <v>369</v>
      </c>
      <c r="E995" t="s">
        <v>55</v>
      </c>
      <c r="F995" t="s">
        <v>422</v>
      </c>
      <c r="G995" t="s">
        <v>1173</v>
      </c>
      <c r="H995" t="s">
        <v>1251</v>
      </c>
      <c r="I995" t="s">
        <v>139</v>
      </c>
      <c r="J995" t="s">
        <v>287</v>
      </c>
      <c r="K995" s="22">
        <f t="shared" si="348"/>
        <v>0.19181822763057532</v>
      </c>
      <c r="L995" s="22">
        <f t="shared" si="349"/>
        <v>0.19311010534642395</v>
      </c>
      <c r="M995" s="22">
        <f t="shared" si="349"/>
        <v>0.19389173119299405</v>
      </c>
      <c r="N995" s="22">
        <f t="shared" si="349"/>
        <v>0.19286331841675533</v>
      </c>
      <c r="O995" s="22">
        <f t="shared" si="349"/>
        <v>0.19181235815879408</v>
      </c>
      <c r="P995" s="22">
        <f t="shared" si="349"/>
        <v>0.19246355732374573</v>
      </c>
      <c r="Q995" s="22">
        <f t="shared" si="349"/>
        <v>0.19254768245204176</v>
      </c>
      <c r="R995" s="22">
        <f t="shared" si="349"/>
        <v>0.1907519738898287</v>
      </c>
      <c r="S995" s="22">
        <f t="shared" si="349"/>
        <v>0.18088699682644091</v>
      </c>
      <c r="T995" s="22">
        <f t="shared" si="349"/>
        <v>0.1838972381660133</v>
      </c>
      <c r="U995" s="22">
        <f t="shared" si="349"/>
        <v>0.18587548996919678</v>
      </c>
      <c r="V995" s="22">
        <f t="shared" si="349"/>
        <v>0.18760159282395869</v>
      </c>
      <c r="W995" s="22">
        <f t="shared" si="349"/>
        <v>0.1896732782375587</v>
      </c>
      <c r="X995" s="22">
        <f t="shared" si="349"/>
        <v>0.1930022477976579</v>
      </c>
      <c r="Y995" s="22">
        <f t="shared" si="349"/>
        <v>0.19680822491201644</v>
      </c>
      <c r="Z995" s="22">
        <f t="shared" si="349"/>
        <v>0.20092114686502896</v>
      </c>
      <c r="AA995" s="22">
        <f t="shared" si="349"/>
        <v>0.20449468327122119</v>
      </c>
      <c r="AB995" s="22">
        <f t="shared" si="349"/>
        <v>0.20863723377024176</v>
      </c>
      <c r="AC995" s="22">
        <f t="shared" si="349"/>
        <v>0.21348409201000912</v>
      </c>
      <c r="AD995" s="22">
        <f t="shared" si="349"/>
        <v>0.21835511855598433</v>
      </c>
      <c r="AE995" s="22">
        <f t="shared" si="349"/>
        <v>0.22343868148870985</v>
      </c>
      <c r="AF995" s="22">
        <f t="shared" si="349"/>
        <v>0.22861834548683552</v>
      </c>
      <c r="AG995" s="22">
        <f t="shared" si="349"/>
        <v>0.23439670920107816</v>
      </c>
      <c r="AH995" s="22">
        <f t="shared" si="349"/>
        <v>0.23945118587989581</v>
      </c>
      <c r="AI995" s="22">
        <f t="shared" si="349"/>
        <v>0.24500563890300198</v>
      </c>
      <c r="AJ995" s="22">
        <f t="shared" si="349"/>
        <v>0.25065226424650994</v>
      </c>
      <c r="AK995" s="22">
        <f t="shared" si="349"/>
        <v>0.25603495440723167</v>
      </c>
      <c r="AL995" s="22">
        <f t="shared" si="349"/>
        <v>0.26139389266760604</v>
      </c>
      <c r="AM995" s="22">
        <f t="shared" si="349"/>
        <v>0.26694586167829398</v>
      </c>
      <c r="AN995" s="22">
        <f t="shared" si="349"/>
        <v>0.2729875481925238</v>
      </c>
      <c r="AO995" s="22">
        <f t="shared" si="349"/>
        <v>0.27866949697835908</v>
      </c>
      <c r="AP995" s="22">
        <f t="shared" si="349"/>
        <v>0.28442636508269281</v>
      </c>
      <c r="AQ995" s="22">
        <f t="shared" si="349"/>
        <v>0.29026877942449542</v>
      </c>
      <c r="AR995" s="22">
        <f t="shared" si="349"/>
        <v>0.2965076361345787</v>
      </c>
      <c r="AS995" s="22">
        <f t="shared" si="349"/>
        <v>0.30314124222534444</v>
      </c>
      <c r="AT995" s="22">
        <f t="shared" si="349"/>
        <v>0.30687944467675132</v>
      </c>
      <c r="AU995" s="22">
        <f t="shared" si="349"/>
        <v>0.31041516575775774</v>
      </c>
      <c r="AV995" s="22">
        <f t="shared" si="349"/>
        <v>0.31434593932944749</v>
      </c>
      <c r="AW995" s="22">
        <f t="shared" si="349"/>
        <v>0.31810899011348942</v>
      </c>
      <c r="AY995" s="85"/>
      <c r="AZ995" s="85"/>
    </row>
    <row r="996" spans="1:52" x14ac:dyDescent="0.25">
      <c r="A996" s="102" t="str">
        <f t="shared" si="345"/>
        <v>DS U&amp;D</v>
      </c>
      <c r="B996" s="102" t="s">
        <v>975</v>
      </c>
      <c r="C996" s="102" t="s">
        <v>1337</v>
      </c>
      <c r="D996" t="s">
        <v>369</v>
      </c>
      <c r="E996" t="s">
        <v>55</v>
      </c>
      <c r="F996" t="s">
        <v>422</v>
      </c>
      <c r="G996" t="s">
        <v>1175</v>
      </c>
      <c r="H996" t="s">
        <v>1252</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85"/>
      <c r="AZ996" s="85"/>
    </row>
    <row r="997" spans="1:52" x14ac:dyDescent="0.25">
      <c r="A997" s="102" t="str">
        <f t="shared" si="345"/>
        <v>DS U&amp;D</v>
      </c>
      <c r="B997" s="102" t="s">
        <v>975</v>
      </c>
      <c r="C997" s="102" t="s">
        <v>1337</v>
      </c>
      <c r="D997" t="s">
        <v>369</v>
      </c>
      <c r="E997" t="s">
        <v>55</v>
      </c>
      <c r="F997" t="s">
        <v>422</v>
      </c>
      <c r="G997" t="s">
        <v>1177</v>
      </c>
      <c r="H997" t="s">
        <v>1253</v>
      </c>
      <c r="I997" t="s">
        <v>139</v>
      </c>
      <c r="J997" t="s">
        <v>287</v>
      </c>
      <c r="K997" s="101">
        <f>IF('Net zero activities &amp; levers'!$C$12="Off",'Activity data'!AD78*UDCPPEF*NtoN2O*kgtoGg,IF('Net zero activities &amp; levers'!$C$12="PB",'Activity data'!AD78*UDCPPEF*NtoN2O*kgtoGg,IF('Net zero activities &amp; levers'!$C$12="MS",'Net zero Activity data'!AD78*UDCPPEF*NtoN2O*kgtoGg,"ERROR")))</f>
        <v>0</v>
      </c>
      <c r="L997" s="101">
        <f>IF('Net zero activities &amp; levers'!$C$12="Off",'Activity data'!AE78*UDCPPEF*NtoN2O*kgtoGg,IF('Net zero activities &amp; levers'!$C$12="PB",'Activity data'!AE78*UDCPPEF*NtoN2O*kgtoGg,IF('Net zero activities &amp; levers'!$C$12="MS",'Net zero Activity data'!AE78*UDCPPEF*NtoN2O*kgtoGg,"ERROR")))</f>
        <v>0</v>
      </c>
      <c r="M997" s="101">
        <f>IF('Net zero activities &amp; levers'!$C$12="Off",'Activity data'!AF78*UDCPPEF*NtoN2O*kgtoGg,IF('Net zero activities &amp; levers'!$C$12="PB",'Activity data'!AF78*UDCPPEF*NtoN2O*kgtoGg,IF('Net zero activities &amp; levers'!$C$12="MS",'Net zero Activity data'!AF78*UDCPPEF*NtoN2O*kgtoGg,"ERROR")))</f>
        <v>0</v>
      </c>
      <c r="N997" s="101">
        <f>IF('Net zero activities &amp; levers'!$C$12="Off",'Activity data'!AG78*UDCPPEF*NtoN2O*kgtoGg,IF('Net zero activities &amp; levers'!$C$12="PB",'Activity data'!AG78*UDCPPEF*NtoN2O*kgtoGg,IF('Net zero activities &amp; levers'!$C$12="MS",'Net zero Activity data'!AG78*UDCPPEF*NtoN2O*kgtoGg,"ERROR")))</f>
        <v>0</v>
      </c>
      <c r="O997" s="101">
        <f>IF('Net zero activities &amp; levers'!$C$12="Off",'Activity data'!AH78*UDCPPEF*NtoN2O*kgtoGg,IF('Net zero activities &amp; levers'!$C$12="PB",'Activity data'!AH78*UDCPPEF*NtoN2O*kgtoGg,IF('Net zero activities &amp; levers'!$C$12="MS",'Net zero Activity data'!AH78*UDCPPEF*NtoN2O*kgtoGg,"ERROR")))</f>
        <v>0</v>
      </c>
      <c r="P997" s="101">
        <f>IF('Net zero activities &amp; levers'!$C$12="Off",'Activity data'!AI78*UDCPPEF*NtoN2O*kgtoGg,IF('Net zero activities &amp; levers'!$C$12="PB",'Activity data'!AI78*UDCPPEF*NtoN2O*kgtoGg,IF('Net zero activities &amp; levers'!$C$12="MS",'Net zero Activity data'!AI78*UDCPPEF*NtoN2O*kgtoGg,"ERROR")))</f>
        <v>0</v>
      </c>
      <c r="Q997" s="101">
        <f>IF('Net zero activities &amp; levers'!$C$12="Off",'Activity data'!AJ78*UDCPPEF*NtoN2O*kgtoGg,IF('Net zero activities &amp; levers'!$C$12="PB",'Activity data'!AJ78*UDCPPEF*NtoN2O*kgtoGg,IF('Net zero activities &amp; levers'!$C$12="MS",'Net zero Activity data'!AJ78*UDCPPEF*NtoN2O*kgtoGg,"ERROR")))</f>
        <v>0</v>
      </c>
      <c r="R997" s="101">
        <f>IF('Net zero activities &amp; levers'!$C$12="Off",'Activity data'!AK78*UDCPPEF*NtoN2O*kgtoGg,IF('Net zero activities &amp; levers'!$C$12="PB",'Activity data'!AK78*UDCPPEF*NtoN2O*kgtoGg,IF('Net zero activities &amp; levers'!$C$12="MS",'Net zero Activity data'!AK78*UDCPPEF*NtoN2O*kgtoGg,"ERROR")))</f>
        <v>0</v>
      </c>
      <c r="S997" s="101">
        <f>IF('Net zero activities &amp; levers'!$C$12="Off",'Activity data'!AL78*UDCPPEF*NtoN2O*kgtoGg,IF('Net zero activities &amp; levers'!$C$12="PB",'Activity data'!AL78*UDCPPEF*NtoN2O*kgtoGg,IF('Net zero activities &amp; levers'!$C$12="MS",'Net zero Activity data'!AL78*UDCPPEF*NtoN2O*kgtoGg,"ERROR")))</f>
        <v>0</v>
      </c>
      <c r="T997" s="101">
        <f>IF('Net zero activities &amp; levers'!$C$12="Off",'Activity data'!AM78*UDCPPEF*NtoN2O*kgtoGg,IF('Net zero activities &amp; levers'!$C$12="PB",'Activity data'!AM78*UDCPPEF*NtoN2O*kgtoGg,IF('Net zero activities &amp; levers'!$C$12="MS",'Net zero Activity data'!AM78*UDCPPEF*NtoN2O*kgtoGg,"ERROR")))</f>
        <v>0</v>
      </c>
      <c r="U997" s="101">
        <f>IF('Net zero activities &amp; levers'!$C$12="Off",'Activity data'!AN78*UDCPPEF*NtoN2O*kgtoGg,IF('Net zero activities &amp; levers'!$C$12="PB",'Activity data'!AN78*UDCPPEF*NtoN2O*kgtoGg,IF('Net zero activities &amp; levers'!$C$12="MS",'Net zero Activity data'!AN78*UDCPPEF*NtoN2O*kgtoGg,"ERROR")))</f>
        <v>0</v>
      </c>
      <c r="V997" s="101">
        <f>IF('Net zero activities &amp; levers'!$C$12="Off",'Activity data'!AO78*UDCPPEF*NtoN2O*kgtoGg,IF('Net zero activities &amp; levers'!$C$12="PB",'Activity data'!AO78*UDCPPEF*NtoN2O*kgtoGg,IF('Net zero activities &amp; levers'!$C$12="MS",'Net zero Activity data'!AO78*UDCPPEF*NtoN2O*kgtoGg,"ERROR")))</f>
        <v>0</v>
      </c>
      <c r="W997" s="101">
        <f>IF('Net zero activities &amp; levers'!$C$12="Off",'Activity data'!AP78*UDCPPEF*NtoN2O*kgtoGg,IF('Net zero activities &amp; levers'!$C$12="PB",'Activity data'!AP78*UDCPPEF*NtoN2O*kgtoGg,IF('Net zero activities &amp; levers'!$C$12="MS",'Net zero Activity data'!AP78*UDCPPEF*NtoN2O*kgtoGg,"ERROR")))</f>
        <v>0</v>
      </c>
      <c r="X997" s="101">
        <f>IF('Net zero activities &amp; levers'!$C$12="Off",'Activity data'!AQ78*UDCPPEF*NtoN2O*kgtoGg,IF('Net zero activities &amp; levers'!$C$12="PB",'Activity data'!AQ78*UDCPPEF*NtoN2O*kgtoGg,IF('Net zero activities &amp; levers'!$C$12="MS",'Net zero Activity data'!AQ78*UDCPPEF*NtoN2O*kgtoGg,"ERROR")))</f>
        <v>0</v>
      </c>
      <c r="Y997" s="101">
        <f>IF('Net zero activities &amp; levers'!$C$12="Off",'Activity data'!AR78*UDCPPEF*NtoN2O*kgtoGg,IF('Net zero activities &amp; levers'!$C$12="PB",'Activity data'!AR78*UDCPPEF*NtoN2O*kgtoGg,IF('Net zero activities &amp; levers'!$C$12="MS",'Net zero Activity data'!AR78*UDCPPEF*NtoN2O*kgtoGg,"ERROR")))</f>
        <v>0</v>
      </c>
      <c r="Z997" s="101">
        <f>IF('Net zero activities &amp; levers'!$C$12="Off",'Activity data'!AS78*UDCPPEF*NtoN2O*kgtoGg,IF('Net zero activities &amp; levers'!$C$12="PB",'Activity data'!AS78*UDCPPEF*NtoN2O*kgtoGg,IF('Net zero activities &amp; levers'!$C$12="MS",'Net zero Activity data'!AS78*UDCPPEF*NtoN2O*kgtoGg,"ERROR")))</f>
        <v>0</v>
      </c>
      <c r="AA997" s="101">
        <f>IF('Net zero activities &amp; levers'!$C$12="Off",'Activity data'!AT78*UDCPPEF*NtoN2O*kgtoGg,IF('Net zero activities &amp; levers'!$C$12="PB",'Activity data'!AT78*UDCPPEF*NtoN2O*kgtoGg,IF('Net zero activities &amp; levers'!$C$12="MS",'Net zero Activity data'!AT78*UDCPPEF*NtoN2O*kgtoGg,"ERROR")))</f>
        <v>0</v>
      </c>
      <c r="AB997" s="101">
        <f>IF('Net zero activities &amp; levers'!$C$12="Off",'Activity data'!AU78*UDCPPEF*NtoN2O*kgtoGg,IF('Net zero activities &amp; levers'!$C$12="PB",'Activity data'!AU78*UDCPPEF*NtoN2O*kgtoGg,IF('Net zero activities &amp; levers'!$C$12="MS",'Net zero Activity data'!AU78*UDCPPEF*NtoN2O*kgtoGg,"ERROR")))</f>
        <v>0</v>
      </c>
      <c r="AC997" s="101">
        <f>IF('Net zero activities &amp; levers'!$C$12="Off",'Activity data'!AV78*UDCPPEF*NtoN2O*kgtoGg,IF('Net zero activities &amp; levers'!$C$12="PB",'Activity data'!AV78*UDCPPEF*NtoN2O*kgtoGg,IF('Net zero activities &amp; levers'!$C$12="MS",'Net zero Activity data'!AV78*UDCPPEF*NtoN2O*kgtoGg,"ERROR")))</f>
        <v>0</v>
      </c>
      <c r="AD997" s="101">
        <f>IF('Net zero activities &amp; levers'!$C$12="Off",'Activity data'!AW78*UDCPPEF*NtoN2O*kgtoGg,IF('Net zero activities &amp; levers'!$C$12="PB",'Activity data'!AW78*UDCPPEF*NtoN2O*kgtoGg,IF('Net zero activities &amp; levers'!$C$12="MS",'Net zero Activity data'!AW78*UDCPPEF*NtoN2O*kgtoGg,"ERROR")))</f>
        <v>0</v>
      </c>
      <c r="AE997" s="101">
        <f>IF('Net zero activities &amp; levers'!$C$12="Off",'Activity data'!AX78*UDCPPEF*NtoN2O*kgtoGg,IF('Net zero activities &amp; levers'!$C$12="PB",'Activity data'!AX78*UDCPPEF*NtoN2O*kgtoGg,IF('Net zero activities &amp; levers'!$C$12="MS",'Net zero Activity data'!AX78*UDCPPEF*NtoN2O*kgtoGg,"ERROR")))</f>
        <v>0</v>
      </c>
      <c r="AF997" s="101">
        <f>IF('Net zero activities &amp; levers'!$C$12="Off",'Activity data'!AY78*UDCPPEF*NtoN2O*kgtoGg,IF('Net zero activities &amp; levers'!$C$12="PB",'Activity data'!AY78*UDCPPEF*NtoN2O*kgtoGg,IF('Net zero activities &amp; levers'!$C$12="MS",'Net zero Activity data'!AY78*UDCPPEF*NtoN2O*kgtoGg,"ERROR")))</f>
        <v>0</v>
      </c>
      <c r="AG997" s="101">
        <f>IF('Net zero activities &amp; levers'!$C$12="Off",'Activity data'!AZ78*UDCPPEF*NtoN2O*kgtoGg,IF('Net zero activities &amp; levers'!$C$12="PB",'Activity data'!AZ78*UDCPPEF*NtoN2O*kgtoGg,IF('Net zero activities &amp; levers'!$C$12="MS",'Net zero Activity data'!AZ78*UDCPPEF*NtoN2O*kgtoGg,"ERROR")))</f>
        <v>0</v>
      </c>
      <c r="AH997" s="101">
        <f>IF('Net zero activities &amp; levers'!$C$12="Off",'Activity data'!BA78*UDCPPEF*NtoN2O*kgtoGg,IF('Net zero activities &amp; levers'!$C$12="PB",'Activity data'!BA78*UDCPPEF*NtoN2O*kgtoGg,IF('Net zero activities &amp; levers'!$C$12="MS",'Net zero Activity data'!BA78*UDCPPEF*NtoN2O*kgtoGg,"ERROR")))</f>
        <v>0</v>
      </c>
      <c r="AI997" s="101">
        <f>IF('Net zero activities &amp; levers'!$C$12="Off",'Activity data'!BB78*UDCPPEF*NtoN2O*kgtoGg,IF('Net zero activities &amp; levers'!$C$12="PB",'Activity data'!BB78*UDCPPEF*NtoN2O*kgtoGg,IF('Net zero activities &amp; levers'!$C$12="MS",'Net zero Activity data'!BB78*UDCPPEF*NtoN2O*kgtoGg,"ERROR")))</f>
        <v>0</v>
      </c>
      <c r="AJ997" s="101">
        <f>IF('Net zero activities &amp; levers'!$C$12="Off",'Activity data'!BC78*UDCPPEF*NtoN2O*kgtoGg,IF('Net zero activities &amp; levers'!$C$12="PB",'Activity data'!BC78*UDCPPEF*NtoN2O*kgtoGg,IF('Net zero activities &amp; levers'!$C$12="MS",'Net zero Activity data'!BC78*UDCPPEF*NtoN2O*kgtoGg,"ERROR")))</f>
        <v>0</v>
      </c>
      <c r="AK997" s="101">
        <f>IF('Net zero activities &amp; levers'!$C$12="Off",'Activity data'!BD78*UDCPPEF*NtoN2O*kgtoGg,IF('Net zero activities &amp; levers'!$C$12="PB",'Activity data'!BD78*UDCPPEF*NtoN2O*kgtoGg,IF('Net zero activities &amp; levers'!$C$12="MS",'Net zero Activity data'!BD78*UDCPPEF*NtoN2O*kgtoGg,"ERROR")))</f>
        <v>0</v>
      </c>
      <c r="AL997" s="101">
        <f>IF('Net zero activities &amp; levers'!$C$12="Off",'Activity data'!BE78*UDCPPEF*NtoN2O*kgtoGg,IF('Net zero activities &amp; levers'!$C$12="PB",'Activity data'!BE78*UDCPPEF*NtoN2O*kgtoGg,IF('Net zero activities &amp; levers'!$C$12="MS",'Net zero Activity data'!BE78*UDCPPEF*NtoN2O*kgtoGg,"ERROR")))</f>
        <v>0</v>
      </c>
      <c r="AM997" s="101">
        <f>IF('Net zero activities &amp; levers'!$C$12="Off",'Activity data'!BF78*UDCPPEF*NtoN2O*kgtoGg,IF('Net zero activities &amp; levers'!$C$12="PB",'Activity data'!BF78*UDCPPEF*NtoN2O*kgtoGg,IF('Net zero activities &amp; levers'!$C$12="MS",'Net zero Activity data'!BF78*UDCPPEF*NtoN2O*kgtoGg,"ERROR")))</f>
        <v>0</v>
      </c>
      <c r="AN997" s="101">
        <f>IF('Net zero activities &amp; levers'!$C$12="Off",'Activity data'!BG78*UDCPPEF*NtoN2O*kgtoGg,IF('Net zero activities &amp; levers'!$C$12="PB",'Activity data'!BG78*UDCPPEF*NtoN2O*kgtoGg,IF('Net zero activities &amp; levers'!$C$12="MS",'Net zero Activity data'!BG78*UDCPPEF*NtoN2O*kgtoGg,"ERROR")))</f>
        <v>0</v>
      </c>
      <c r="AO997" s="101">
        <f>IF('Net zero activities &amp; levers'!$C$12="Off",'Activity data'!BH78*UDCPPEF*NtoN2O*kgtoGg,IF('Net zero activities &amp; levers'!$C$12="PB",'Activity data'!BH78*UDCPPEF*NtoN2O*kgtoGg,IF('Net zero activities &amp; levers'!$C$12="MS",'Net zero Activity data'!BH78*UDCPPEF*NtoN2O*kgtoGg,"ERROR")))</f>
        <v>0</v>
      </c>
      <c r="AP997" s="101">
        <f>IF('Net zero activities &amp; levers'!$C$12="Off",'Activity data'!BI78*UDCPPEF*NtoN2O*kgtoGg,IF('Net zero activities &amp; levers'!$C$12="PB",'Activity data'!BI78*UDCPPEF*NtoN2O*kgtoGg,IF('Net zero activities &amp; levers'!$C$12="MS",'Net zero Activity data'!BI78*UDCPPEF*NtoN2O*kgtoGg,"ERROR")))</f>
        <v>0</v>
      </c>
      <c r="AQ997" s="101">
        <f>IF('Net zero activities &amp; levers'!$C$12="Off",'Activity data'!BJ78*UDCPPEF*NtoN2O*kgtoGg,IF('Net zero activities &amp; levers'!$C$12="PB",'Activity data'!BJ78*UDCPPEF*NtoN2O*kgtoGg,IF('Net zero activities &amp; levers'!$C$12="MS",'Net zero Activity data'!BJ78*UDCPPEF*NtoN2O*kgtoGg,"ERROR")))</f>
        <v>0</v>
      </c>
      <c r="AR997" s="101">
        <f>IF('Net zero activities &amp; levers'!$C$12="Off",'Activity data'!BK78*UDCPPEF*NtoN2O*kgtoGg,IF('Net zero activities &amp; levers'!$C$12="PB",'Activity data'!BK78*UDCPPEF*NtoN2O*kgtoGg,IF('Net zero activities &amp; levers'!$C$12="MS",'Net zero Activity data'!BK78*UDCPPEF*NtoN2O*kgtoGg,"ERROR")))</f>
        <v>0</v>
      </c>
      <c r="AS997" s="101">
        <f>IF('Net zero activities &amp; levers'!$C$12="Off",'Activity data'!BL78*UDCPPEF*NtoN2O*kgtoGg,IF('Net zero activities &amp; levers'!$C$12="PB",'Activity data'!BL78*UDCPPEF*NtoN2O*kgtoGg,IF('Net zero activities &amp; levers'!$C$12="MS",'Net zero Activity data'!BL78*UDCPPEF*NtoN2O*kgtoGg,"ERROR")))</f>
        <v>0</v>
      </c>
      <c r="AT997" s="101">
        <f>IF('Net zero activities &amp; levers'!$C$12="Off",'Activity data'!BM78*UDCPPEF*NtoN2O*kgtoGg,IF('Net zero activities &amp; levers'!$C$12="PB",'Activity data'!BM78*UDCPPEF*NtoN2O*kgtoGg,IF('Net zero activities &amp; levers'!$C$12="MS",'Net zero Activity data'!BM78*UDCPPEF*NtoN2O*kgtoGg,"ERROR")))</f>
        <v>0</v>
      </c>
      <c r="AU997" s="101">
        <f>IF('Net zero activities &amp; levers'!$C$12="Off",'Activity data'!BN78*UDCPPEF*NtoN2O*kgtoGg,IF('Net zero activities &amp; levers'!$C$12="PB",'Activity data'!BN78*UDCPPEF*NtoN2O*kgtoGg,IF('Net zero activities &amp; levers'!$C$12="MS",'Net zero Activity data'!BN78*UDCPPEF*NtoN2O*kgtoGg,"ERROR")))</f>
        <v>0</v>
      </c>
      <c r="AV997" s="101">
        <f>IF('Net zero activities &amp; levers'!$C$12="Off",'Activity data'!BO78*UDCPPEF*NtoN2O*kgtoGg,IF('Net zero activities &amp; levers'!$C$12="PB",'Activity data'!BO78*UDCPPEF*NtoN2O*kgtoGg,IF('Net zero activities &amp; levers'!$C$12="MS",'Net zero Activity data'!BO78*UDCPPEF*NtoN2O*kgtoGg,"ERROR")))</f>
        <v>0</v>
      </c>
      <c r="AW997" s="101">
        <f>IF('Net zero activities &amp; levers'!$C$12="Off",'Activity data'!BP78*UDCPPEF*NtoN2O*kgtoGg,IF('Net zero activities &amp; levers'!$C$12="PB",'Activity data'!BP78*UDCPPEF*NtoN2O*kgtoGg,IF('Net zero activities &amp; levers'!$C$12="MS",'Net zero Activity data'!BP78*UDCPPEF*NtoN2O*kgtoGg,"ERROR")))</f>
        <v>0</v>
      </c>
      <c r="AY997" s="85"/>
      <c r="AZ997" s="85"/>
    </row>
    <row r="998" spans="1:52" x14ac:dyDescent="0.25">
      <c r="A998" s="102" t="str">
        <f t="shared" si="345"/>
        <v>DS U&amp;D</v>
      </c>
      <c r="B998" s="102" t="s">
        <v>975</v>
      </c>
      <c r="C998" s="102" t="s">
        <v>1337</v>
      </c>
      <c r="D998" t="s">
        <v>369</v>
      </c>
      <c r="E998" t="s">
        <v>55</v>
      </c>
      <c r="F998" t="s">
        <v>422</v>
      </c>
      <c r="G998" t="s">
        <v>1179</v>
      </c>
      <c r="H998" t="s">
        <v>1254</v>
      </c>
      <c r="I998" t="s">
        <v>139</v>
      </c>
      <c r="J998" t="s">
        <v>287</v>
      </c>
      <c r="K998" s="101">
        <f>IF('Net zero activities &amp; levers'!$C$12="Off",'Activity data'!AD79*UDCPPEF*NtoN2O*kgtoGg,IF('Net zero activities &amp; levers'!$C$12="PB",'Activity data'!AD79*UDCPPEF*NtoN2O*kgtoGg,IF('Net zero activities &amp; levers'!$C$12="MS",'Net zero Activity data'!AD79*UDCPPEF*NtoN2O*kgtoGg,"ERROR")))</f>
        <v>0</v>
      </c>
      <c r="L998" s="101">
        <f>IF('Net zero activities &amp; levers'!$C$12="Off",'Activity data'!AE79*UDCPPEF*NtoN2O*kgtoGg,IF('Net zero activities &amp; levers'!$C$12="PB",'Activity data'!AE79*UDCPPEF*NtoN2O*kgtoGg,IF('Net zero activities &amp; levers'!$C$12="MS",'Net zero Activity data'!AE79*UDCPPEF*NtoN2O*kgtoGg,"ERROR")))</f>
        <v>0</v>
      </c>
      <c r="M998" s="101">
        <f>IF('Net zero activities &amp; levers'!$C$12="Off",'Activity data'!AF79*UDCPPEF*NtoN2O*kgtoGg,IF('Net zero activities &amp; levers'!$C$12="PB",'Activity data'!AF79*UDCPPEF*NtoN2O*kgtoGg,IF('Net zero activities &amp; levers'!$C$12="MS",'Net zero Activity data'!AF79*UDCPPEF*NtoN2O*kgtoGg,"ERROR")))</f>
        <v>0</v>
      </c>
      <c r="N998" s="101">
        <f>IF('Net zero activities &amp; levers'!$C$12="Off",'Activity data'!AG79*UDCPPEF*NtoN2O*kgtoGg,IF('Net zero activities &amp; levers'!$C$12="PB",'Activity data'!AG79*UDCPPEF*NtoN2O*kgtoGg,IF('Net zero activities &amp; levers'!$C$12="MS",'Net zero Activity data'!AG79*UDCPPEF*NtoN2O*kgtoGg,"ERROR")))</f>
        <v>0</v>
      </c>
      <c r="O998" s="101">
        <f>IF('Net zero activities &amp; levers'!$C$12="Off",'Activity data'!AH79*UDCPPEF*NtoN2O*kgtoGg,IF('Net zero activities &amp; levers'!$C$12="PB",'Activity data'!AH79*UDCPPEF*NtoN2O*kgtoGg,IF('Net zero activities &amp; levers'!$C$12="MS",'Net zero Activity data'!AH79*UDCPPEF*NtoN2O*kgtoGg,"ERROR")))</f>
        <v>0</v>
      </c>
      <c r="P998" s="101">
        <f>IF('Net zero activities &amp; levers'!$C$12="Off",'Activity data'!AI79*UDCPPEF*NtoN2O*kgtoGg,IF('Net zero activities &amp; levers'!$C$12="PB",'Activity data'!AI79*UDCPPEF*NtoN2O*kgtoGg,IF('Net zero activities &amp; levers'!$C$12="MS",'Net zero Activity data'!AI79*UDCPPEF*NtoN2O*kgtoGg,"ERROR")))</f>
        <v>0</v>
      </c>
      <c r="Q998" s="101">
        <f>IF('Net zero activities &amp; levers'!$C$12="Off",'Activity data'!AJ79*UDCPPEF*NtoN2O*kgtoGg,IF('Net zero activities &amp; levers'!$C$12="PB",'Activity data'!AJ79*UDCPPEF*NtoN2O*kgtoGg,IF('Net zero activities &amp; levers'!$C$12="MS",'Net zero Activity data'!AJ79*UDCPPEF*NtoN2O*kgtoGg,"ERROR")))</f>
        <v>0</v>
      </c>
      <c r="R998" s="101">
        <f>IF('Net zero activities &amp; levers'!$C$12="Off",'Activity data'!AK79*UDCPPEF*NtoN2O*kgtoGg,IF('Net zero activities &amp; levers'!$C$12="PB",'Activity data'!AK79*UDCPPEF*NtoN2O*kgtoGg,IF('Net zero activities &amp; levers'!$C$12="MS",'Net zero Activity data'!AK79*UDCPPEF*NtoN2O*kgtoGg,"ERROR")))</f>
        <v>0</v>
      </c>
      <c r="S998" s="101">
        <f>IF('Net zero activities &amp; levers'!$C$12="Off",'Activity data'!AL79*UDCPPEF*NtoN2O*kgtoGg,IF('Net zero activities &amp; levers'!$C$12="PB",'Activity data'!AL79*UDCPPEF*NtoN2O*kgtoGg,IF('Net zero activities &amp; levers'!$C$12="MS",'Net zero Activity data'!AL79*UDCPPEF*NtoN2O*kgtoGg,"ERROR")))</f>
        <v>0</v>
      </c>
      <c r="T998" s="101">
        <f>IF('Net zero activities &amp; levers'!$C$12="Off",'Activity data'!AM79*UDCPPEF*NtoN2O*kgtoGg,IF('Net zero activities &amp; levers'!$C$12="PB",'Activity data'!AM79*UDCPPEF*NtoN2O*kgtoGg,IF('Net zero activities &amp; levers'!$C$12="MS",'Net zero Activity data'!AM79*UDCPPEF*NtoN2O*kgtoGg,"ERROR")))</f>
        <v>0</v>
      </c>
      <c r="U998" s="101">
        <f>IF('Net zero activities &amp; levers'!$C$12="Off",'Activity data'!AN79*UDCPPEF*NtoN2O*kgtoGg,IF('Net zero activities &amp; levers'!$C$12="PB",'Activity data'!AN79*UDCPPEF*NtoN2O*kgtoGg,IF('Net zero activities &amp; levers'!$C$12="MS",'Net zero Activity data'!AN79*UDCPPEF*NtoN2O*kgtoGg,"ERROR")))</f>
        <v>0</v>
      </c>
      <c r="V998" s="101">
        <f>IF('Net zero activities &amp; levers'!$C$12="Off",'Activity data'!AO79*UDCPPEF*NtoN2O*kgtoGg,IF('Net zero activities &amp; levers'!$C$12="PB",'Activity data'!AO79*UDCPPEF*NtoN2O*kgtoGg,IF('Net zero activities &amp; levers'!$C$12="MS",'Net zero Activity data'!AO79*UDCPPEF*NtoN2O*kgtoGg,"ERROR")))</f>
        <v>0</v>
      </c>
      <c r="W998" s="101">
        <f>IF('Net zero activities &amp; levers'!$C$12="Off",'Activity data'!AP79*UDCPPEF*NtoN2O*kgtoGg,IF('Net zero activities &amp; levers'!$C$12="PB",'Activity data'!AP79*UDCPPEF*NtoN2O*kgtoGg,IF('Net zero activities &amp; levers'!$C$12="MS",'Net zero Activity data'!AP79*UDCPPEF*NtoN2O*kgtoGg,"ERROR")))</f>
        <v>0</v>
      </c>
      <c r="X998" s="101">
        <f>IF('Net zero activities &amp; levers'!$C$12="Off",'Activity data'!AQ79*UDCPPEF*NtoN2O*kgtoGg,IF('Net zero activities &amp; levers'!$C$12="PB",'Activity data'!AQ79*UDCPPEF*NtoN2O*kgtoGg,IF('Net zero activities &amp; levers'!$C$12="MS",'Net zero Activity data'!AQ79*UDCPPEF*NtoN2O*kgtoGg,"ERROR")))</f>
        <v>0</v>
      </c>
      <c r="Y998" s="101">
        <f>IF('Net zero activities &amp; levers'!$C$12="Off",'Activity data'!AR79*UDCPPEF*NtoN2O*kgtoGg,IF('Net zero activities &amp; levers'!$C$12="PB",'Activity data'!AR79*UDCPPEF*NtoN2O*kgtoGg,IF('Net zero activities &amp; levers'!$C$12="MS",'Net zero Activity data'!AR79*UDCPPEF*NtoN2O*kgtoGg,"ERROR")))</f>
        <v>0</v>
      </c>
      <c r="Z998" s="101">
        <f>IF('Net zero activities &amp; levers'!$C$12="Off",'Activity data'!AS79*UDCPPEF*NtoN2O*kgtoGg,IF('Net zero activities &amp; levers'!$C$12="PB",'Activity data'!AS79*UDCPPEF*NtoN2O*kgtoGg,IF('Net zero activities &amp; levers'!$C$12="MS",'Net zero Activity data'!AS79*UDCPPEF*NtoN2O*kgtoGg,"ERROR")))</f>
        <v>0</v>
      </c>
      <c r="AA998" s="101">
        <f>IF('Net zero activities &amp; levers'!$C$12="Off",'Activity data'!AT79*UDCPPEF*NtoN2O*kgtoGg,IF('Net zero activities &amp; levers'!$C$12="PB",'Activity data'!AT79*UDCPPEF*NtoN2O*kgtoGg,IF('Net zero activities &amp; levers'!$C$12="MS",'Net zero Activity data'!AT79*UDCPPEF*NtoN2O*kgtoGg,"ERROR")))</f>
        <v>0</v>
      </c>
      <c r="AB998" s="101">
        <f>IF('Net zero activities &amp; levers'!$C$12="Off",'Activity data'!AU79*UDCPPEF*NtoN2O*kgtoGg,IF('Net zero activities &amp; levers'!$C$12="PB",'Activity data'!AU79*UDCPPEF*NtoN2O*kgtoGg,IF('Net zero activities &amp; levers'!$C$12="MS",'Net zero Activity data'!AU79*UDCPPEF*NtoN2O*kgtoGg,"ERROR")))</f>
        <v>0</v>
      </c>
      <c r="AC998" s="101">
        <f>IF('Net zero activities &amp; levers'!$C$12="Off",'Activity data'!AV79*UDCPPEF*NtoN2O*kgtoGg,IF('Net zero activities &amp; levers'!$C$12="PB",'Activity data'!AV79*UDCPPEF*NtoN2O*kgtoGg,IF('Net zero activities &amp; levers'!$C$12="MS",'Net zero Activity data'!AV79*UDCPPEF*NtoN2O*kgtoGg,"ERROR")))</f>
        <v>0</v>
      </c>
      <c r="AD998" s="101">
        <f>IF('Net zero activities &amp; levers'!$C$12="Off",'Activity data'!AW79*UDCPPEF*NtoN2O*kgtoGg,IF('Net zero activities &amp; levers'!$C$12="PB",'Activity data'!AW79*UDCPPEF*NtoN2O*kgtoGg,IF('Net zero activities &amp; levers'!$C$12="MS",'Net zero Activity data'!AW79*UDCPPEF*NtoN2O*kgtoGg,"ERROR")))</f>
        <v>0</v>
      </c>
      <c r="AE998" s="101">
        <f>IF('Net zero activities &amp; levers'!$C$12="Off",'Activity data'!AX79*UDCPPEF*NtoN2O*kgtoGg,IF('Net zero activities &amp; levers'!$C$12="PB",'Activity data'!AX79*UDCPPEF*NtoN2O*kgtoGg,IF('Net zero activities &amp; levers'!$C$12="MS",'Net zero Activity data'!AX79*UDCPPEF*NtoN2O*kgtoGg,"ERROR")))</f>
        <v>0</v>
      </c>
      <c r="AF998" s="101">
        <f>IF('Net zero activities &amp; levers'!$C$12="Off",'Activity data'!AY79*UDCPPEF*NtoN2O*kgtoGg,IF('Net zero activities &amp; levers'!$C$12="PB",'Activity data'!AY79*UDCPPEF*NtoN2O*kgtoGg,IF('Net zero activities &amp; levers'!$C$12="MS",'Net zero Activity data'!AY79*UDCPPEF*NtoN2O*kgtoGg,"ERROR")))</f>
        <v>0</v>
      </c>
      <c r="AG998" s="101">
        <f>IF('Net zero activities &amp; levers'!$C$12="Off",'Activity data'!AZ79*UDCPPEF*NtoN2O*kgtoGg,IF('Net zero activities &amp; levers'!$C$12="PB",'Activity data'!AZ79*UDCPPEF*NtoN2O*kgtoGg,IF('Net zero activities &amp; levers'!$C$12="MS",'Net zero Activity data'!AZ79*UDCPPEF*NtoN2O*kgtoGg,"ERROR")))</f>
        <v>0</v>
      </c>
      <c r="AH998" s="101">
        <f>IF('Net zero activities &amp; levers'!$C$12="Off",'Activity data'!BA79*UDCPPEF*NtoN2O*kgtoGg,IF('Net zero activities &amp; levers'!$C$12="PB",'Activity data'!BA79*UDCPPEF*NtoN2O*kgtoGg,IF('Net zero activities &amp; levers'!$C$12="MS",'Net zero Activity data'!BA79*UDCPPEF*NtoN2O*kgtoGg,"ERROR")))</f>
        <v>0</v>
      </c>
      <c r="AI998" s="101">
        <f>IF('Net zero activities &amp; levers'!$C$12="Off",'Activity data'!BB79*UDCPPEF*NtoN2O*kgtoGg,IF('Net zero activities &amp; levers'!$C$12="PB",'Activity data'!BB79*UDCPPEF*NtoN2O*kgtoGg,IF('Net zero activities &amp; levers'!$C$12="MS",'Net zero Activity data'!BB79*UDCPPEF*NtoN2O*kgtoGg,"ERROR")))</f>
        <v>0</v>
      </c>
      <c r="AJ998" s="101">
        <f>IF('Net zero activities &amp; levers'!$C$12="Off",'Activity data'!BC79*UDCPPEF*NtoN2O*kgtoGg,IF('Net zero activities &amp; levers'!$C$12="PB",'Activity data'!BC79*UDCPPEF*NtoN2O*kgtoGg,IF('Net zero activities &amp; levers'!$C$12="MS",'Net zero Activity data'!BC79*UDCPPEF*NtoN2O*kgtoGg,"ERROR")))</f>
        <v>0</v>
      </c>
      <c r="AK998" s="101">
        <f>IF('Net zero activities &amp; levers'!$C$12="Off",'Activity data'!BD79*UDCPPEF*NtoN2O*kgtoGg,IF('Net zero activities &amp; levers'!$C$12="PB",'Activity data'!BD79*UDCPPEF*NtoN2O*kgtoGg,IF('Net zero activities &amp; levers'!$C$12="MS",'Net zero Activity data'!BD79*UDCPPEF*NtoN2O*kgtoGg,"ERROR")))</f>
        <v>0</v>
      </c>
      <c r="AL998" s="101">
        <f>IF('Net zero activities &amp; levers'!$C$12="Off",'Activity data'!BE79*UDCPPEF*NtoN2O*kgtoGg,IF('Net zero activities &amp; levers'!$C$12="PB",'Activity data'!BE79*UDCPPEF*NtoN2O*kgtoGg,IF('Net zero activities &amp; levers'!$C$12="MS",'Net zero Activity data'!BE79*UDCPPEF*NtoN2O*kgtoGg,"ERROR")))</f>
        <v>0</v>
      </c>
      <c r="AM998" s="101">
        <f>IF('Net zero activities &amp; levers'!$C$12="Off",'Activity data'!BF79*UDCPPEF*NtoN2O*kgtoGg,IF('Net zero activities &amp; levers'!$C$12="PB",'Activity data'!BF79*UDCPPEF*NtoN2O*kgtoGg,IF('Net zero activities &amp; levers'!$C$12="MS",'Net zero Activity data'!BF79*UDCPPEF*NtoN2O*kgtoGg,"ERROR")))</f>
        <v>0</v>
      </c>
      <c r="AN998" s="101">
        <f>IF('Net zero activities &amp; levers'!$C$12="Off",'Activity data'!BG79*UDCPPEF*NtoN2O*kgtoGg,IF('Net zero activities &amp; levers'!$C$12="PB",'Activity data'!BG79*UDCPPEF*NtoN2O*kgtoGg,IF('Net zero activities &amp; levers'!$C$12="MS",'Net zero Activity data'!BG79*UDCPPEF*NtoN2O*kgtoGg,"ERROR")))</f>
        <v>0</v>
      </c>
      <c r="AO998" s="101">
        <f>IF('Net zero activities &amp; levers'!$C$12="Off",'Activity data'!BH79*UDCPPEF*NtoN2O*kgtoGg,IF('Net zero activities &amp; levers'!$C$12="PB",'Activity data'!BH79*UDCPPEF*NtoN2O*kgtoGg,IF('Net zero activities &amp; levers'!$C$12="MS",'Net zero Activity data'!BH79*UDCPPEF*NtoN2O*kgtoGg,"ERROR")))</f>
        <v>0</v>
      </c>
      <c r="AP998" s="101">
        <f>IF('Net zero activities &amp; levers'!$C$12="Off",'Activity data'!BI79*UDCPPEF*NtoN2O*kgtoGg,IF('Net zero activities &amp; levers'!$C$12="PB",'Activity data'!BI79*UDCPPEF*NtoN2O*kgtoGg,IF('Net zero activities &amp; levers'!$C$12="MS",'Net zero Activity data'!BI79*UDCPPEF*NtoN2O*kgtoGg,"ERROR")))</f>
        <v>0</v>
      </c>
      <c r="AQ998" s="101">
        <f>IF('Net zero activities &amp; levers'!$C$12="Off",'Activity data'!BJ79*UDCPPEF*NtoN2O*kgtoGg,IF('Net zero activities &amp; levers'!$C$12="PB",'Activity data'!BJ79*UDCPPEF*NtoN2O*kgtoGg,IF('Net zero activities &amp; levers'!$C$12="MS",'Net zero Activity data'!BJ79*UDCPPEF*NtoN2O*kgtoGg,"ERROR")))</f>
        <v>0</v>
      </c>
      <c r="AR998" s="101">
        <f>IF('Net zero activities &amp; levers'!$C$12="Off",'Activity data'!BK79*UDCPPEF*NtoN2O*kgtoGg,IF('Net zero activities &amp; levers'!$C$12="PB",'Activity data'!BK79*UDCPPEF*NtoN2O*kgtoGg,IF('Net zero activities &amp; levers'!$C$12="MS",'Net zero Activity data'!BK79*UDCPPEF*NtoN2O*kgtoGg,"ERROR")))</f>
        <v>0</v>
      </c>
      <c r="AS998" s="101">
        <f>IF('Net zero activities &amp; levers'!$C$12="Off",'Activity data'!BL79*UDCPPEF*NtoN2O*kgtoGg,IF('Net zero activities &amp; levers'!$C$12="PB",'Activity data'!BL79*UDCPPEF*NtoN2O*kgtoGg,IF('Net zero activities &amp; levers'!$C$12="MS",'Net zero Activity data'!BL79*UDCPPEF*NtoN2O*kgtoGg,"ERROR")))</f>
        <v>0</v>
      </c>
      <c r="AT998" s="101">
        <f>IF('Net zero activities &amp; levers'!$C$12="Off",'Activity data'!BM79*UDCPPEF*NtoN2O*kgtoGg,IF('Net zero activities &amp; levers'!$C$12="PB",'Activity data'!BM79*UDCPPEF*NtoN2O*kgtoGg,IF('Net zero activities &amp; levers'!$C$12="MS",'Net zero Activity data'!BM79*UDCPPEF*NtoN2O*kgtoGg,"ERROR")))</f>
        <v>0</v>
      </c>
      <c r="AU998" s="101">
        <f>IF('Net zero activities &amp; levers'!$C$12="Off",'Activity data'!BN79*UDCPPEF*NtoN2O*kgtoGg,IF('Net zero activities &amp; levers'!$C$12="PB",'Activity data'!BN79*UDCPPEF*NtoN2O*kgtoGg,IF('Net zero activities &amp; levers'!$C$12="MS",'Net zero Activity data'!BN79*UDCPPEF*NtoN2O*kgtoGg,"ERROR")))</f>
        <v>0</v>
      </c>
      <c r="AV998" s="101">
        <f>IF('Net zero activities &amp; levers'!$C$12="Off",'Activity data'!BO79*UDCPPEF*NtoN2O*kgtoGg,IF('Net zero activities &amp; levers'!$C$12="PB",'Activity data'!BO79*UDCPPEF*NtoN2O*kgtoGg,IF('Net zero activities &amp; levers'!$C$12="MS",'Net zero Activity data'!BO79*UDCPPEF*NtoN2O*kgtoGg,"ERROR")))</f>
        <v>0</v>
      </c>
      <c r="AW998" s="101">
        <f>IF('Net zero activities &amp; levers'!$C$12="Off",'Activity data'!BP79*UDCPPEF*NtoN2O*kgtoGg,IF('Net zero activities &amp; levers'!$C$12="PB",'Activity data'!BP79*UDCPPEF*NtoN2O*kgtoGg,IF('Net zero activities &amp; levers'!$C$12="MS",'Net zero Activity data'!BP79*UDCPPEF*NtoN2O*kgtoGg,"ERROR")))</f>
        <v>0</v>
      </c>
      <c r="AY998" s="85"/>
      <c r="AZ998" s="85"/>
    </row>
    <row r="999" spans="1:52" x14ac:dyDescent="0.25">
      <c r="A999" s="102" t="str">
        <f t="shared" si="345"/>
        <v>DS U&amp;D</v>
      </c>
      <c r="B999" s="102" t="s">
        <v>975</v>
      </c>
      <c r="C999" s="102" t="s">
        <v>1337</v>
      </c>
      <c r="D999" t="s">
        <v>369</v>
      </c>
      <c r="E999" t="s">
        <v>55</v>
      </c>
      <c r="F999" t="s">
        <v>422</v>
      </c>
      <c r="G999" t="s">
        <v>1181</v>
      </c>
      <c r="H999" t="s">
        <v>1255</v>
      </c>
      <c r="I999" t="s">
        <v>139</v>
      </c>
      <c r="J999" t="s">
        <v>287</v>
      </c>
      <c r="K999" s="101">
        <f>IF('Net zero activities &amp; levers'!$C$12="Off",'Activity data'!AD80*UDCPPEF*NtoN2O*kgtoGg,IF('Net zero activities &amp; levers'!$C$12="PB",'Activity data'!AD80*UDCPPEF*NtoN2O*kgtoGg,IF('Net zero activities &amp; levers'!$C$12="MS",'Net zero Activity data'!AD80*UDCPPEF*NtoN2O*kgtoGg,"ERROR")))</f>
        <v>0</v>
      </c>
      <c r="L999" s="101">
        <f>IF('Net zero activities &amp; levers'!$C$12="Off",'Activity data'!AE80*UDCPPEF*NtoN2O*kgtoGg,IF('Net zero activities &amp; levers'!$C$12="PB",'Activity data'!AE80*UDCPPEF*NtoN2O*kgtoGg,IF('Net zero activities &amp; levers'!$C$12="MS",'Net zero Activity data'!AE80*UDCPPEF*NtoN2O*kgtoGg,"ERROR")))</f>
        <v>0</v>
      </c>
      <c r="M999" s="101">
        <f>IF('Net zero activities &amp; levers'!$C$12="Off",'Activity data'!AF80*UDCPPEF*NtoN2O*kgtoGg,IF('Net zero activities &amp; levers'!$C$12="PB",'Activity data'!AF80*UDCPPEF*NtoN2O*kgtoGg,IF('Net zero activities &amp; levers'!$C$12="MS",'Net zero Activity data'!AF80*UDCPPEF*NtoN2O*kgtoGg,"ERROR")))</f>
        <v>0</v>
      </c>
      <c r="N999" s="101">
        <f>IF('Net zero activities &amp; levers'!$C$12="Off",'Activity data'!AG80*UDCPPEF*NtoN2O*kgtoGg,IF('Net zero activities &amp; levers'!$C$12="PB",'Activity data'!AG80*UDCPPEF*NtoN2O*kgtoGg,IF('Net zero activities &amp; levers'!$C$12="MS",'Net zero Activity data'!AG80*UDCPPEF*NtoN2O*kgtoGg,"ERROR")))</f>
        <v>0</v>
      </c>
      <c r="O999" s="101">
        <f>IF('Net zero activities &amp; levers'!$C$12="Off",'Activity data'!AH80*UDCPPEF*NtoN2O*kgtoGg,IF('Net zero activities &amp; levers'!$C$12="PB",'Activity data'!AH80*UDCPPEF*NtoN2O*kgtoGg,IF('Net zero activities &amp; levers'!$C$12="MS",'Net zero Activity data'!AH80*UDCPPEF*NtoN2O*kgtoGg,"ERROR")))</f>
        <v>0</v>
      </c>
      <c r="P999" s="101">
        <f>IF('Net zero activities &amp; levers'!$C$12="Off",'Activity data'!AI80*UDCPPEF*NtoN2O*kgtoGg,IF('Net zero activities &amp; levers'!$C$12="PB",'Activity data'!AI80*UDCPPEF*NtoN2O*kgtoGg,IF('Net zero activities &amp; levers'!$C$12="MS",'Net zero Activity data'!AI80*UDCPPEF*NtoN2O*kgtoGg,"ERROR")))</f>
        <v>0</v>
      </c>
      <c r="Q999" s="101">
        <f>IF('Net zero activities &amp; levers'!$C$12="Off",'Activity data'!AJ80*UDCPPEF*NtoN2O*kgtoGg,IF('Net zero activities &amp; levers'!$C$12="PB",'Activity data'!AJ80*UDCPPEF*NtoN2O*kgtoGg,IF('Net zero activities &amp; levers'!$C$12="MS",'Net zero Activity data'!AJ80*UDCPPEF*NtoN2O*kgtoGg,"ERROR")))</f>
        <v>0</v>
      </c>
      <c r="R999" s="101">
        <f>IF('Net zero activities &amp; levers'!$C$12="Off",'Activity data'!AK80*UDCPPEF*NtoN2O*kgtoGg,IF('Net zero activities &amp; levers'!$C$12="PB",'Activity data'!AK80*UDCPPEF*NtoN2O*kgtoGg,IF('Net zero activities &amp; levers'!$C$12="MS",'Net zero Activity data'!AK80*UDCPPEF*NtoN2O*kgtoGg,"ERROR")))</f>
        <v>0</v>
      </c>
      <c r="S999" s="101">
        <f>IF('Net zero activities &amp; levers'!$C$12="Off",'Activity data'!AL80*UDCPPEF*NtoN2O*kgtoGg,IF('Net zero activities &amp; levers'!$C$12="PB",'Activity data'!AL80*UDCPPEF*NtoN2O*kgtoGg,IF('Net zero activities &amp; levers'!$C$12="MS",'Net zero Activity data'!AL80*UDCPPEF*NtoN2O*kgtoGg,"ERROR")))</f>
        <v>0</v>
      </c>
      <c r="T999" s="101">
        <f>IF('Net zero activities &amp; levers'!$C$12="Off",'Activity data'!AM80*UDCPPEF*NtoN2O*kgtoGg,IF('Net zero activities &amp; levers'!$C$12="PB",'Activity data'!AM80*UDCPPEF*NtoN2O*kgtoGg,IF('Net zero activities &amp; levers'!$C$12="MS",'Net zero Activity data'!AM80*UDCPPEF*NtoN2O*kgtoGg,"ERROR")))</f>
        <v>0</v>
      </c>
      <c r="U999" s="101">
        <f>IF('Net zero activities &amp; levers'!$C$12="Off",'Activity data'!AN80*UDCPPEF*NtoN2O*kgtoGg,IF('Net zero activities &amp; levers'!$C$12="PB",'Activity data'!AN80*UDCPPEF*NtoN2O*kgtoGg,IF('Net zero activities &amp; levers'!$C$12="MS",'Net zero Activity data'!AN80*UDCPPEF*NtoN2O*kgtoGg,"ERROR")))</f>
        <v>0</v>
      </c>
      <c r="V999" s="101">
        <f>IF('Net zero activities &amp; levers'!$C$12="Off",'Activity data'!AO80*UDCPPEF*NtoN2O*kgtoGg,IF('Net zero activities &amp; levers'!$C$12="PB",'Activity data'!AO80*UDCPPEF*NtoN2O*kgtoGg,IF('Net zero activities &amp; levers'!$C$12="MS",'Net zero Activity data'!AO80*UDCPPEF*NtoN2O*kgtoGg,"ERROR")))</f>
        <v>0</v>
      </c>
      <c r="W999" s="101">
        <f>IF('Net zero activities &amp; levers'!$C$12="Off",'Activity data'!AP80*UDCPPEF*NtoN2O*kgtoGg,IF('Net zero activities &amp; levers'!$C$12="PB",'Activity data'!AP80*UDCPPEF*NtoN2O*kgtoGg,IF('Net zero activities &amp; levers'!$C$12="MS",'Net zero Activity data'!AP80*UDCPPEF*NtoN2O*kgtoGg,"ERROR")))</f>
        <v>0</v>
      </c>
      <c r="X999" s="101">
        <f>IF('Net zero activities &amp; levers'!$C$12="Off",'Activity data'!AQ80*UDCPPEF*NtoN2O*kgtoGg,IF('Net zero activities &amp; levers'!$C$12="PB",'Activity data'!AQ80*UDCPPEF*NtoN2O*kgtoGg,IF('Net zero activities &amp; levers'!$C$12="MS",'Net zero Activity data'!AQ80*UDCPPEF*NtoN2O*kgtoGg,"ERROR")))</f>
        <v>0</v>
      </c>
      <c r="Y999" s="101">
        <f>IF('Net zero activities &amp; levers'!$C$12="Off",'Activity data'!AR80*UDCPPEF*NtoN2O*kgtoGg,IF('Net zero activities &amp; levers'!$C$12="PB",'Activity data'!AR80*UDCPPEF*NtoN2O*kgtoGg,IF('Net zero activities &amp; levers'!$C$12="MS",'Net zero Activity data'!AR80*UDCPPEF*NtoN2O*kgtoGg,"ERROR")))</f>
        <v>0</v>
      </c>
      <c r="Z999" s="101">
        <f>IF('Net zero activities &amp; levers'!$C$12="Off",'Activity data'!AS80*UDCPPEF*NtoN2O*kgtoGg,IF('Net zero activities &amp; levers'!$C$12="PB",'Activity data'!AS80*UDCPPEF*NtoN2O*kgtoGg,IF('Net zero activities &amp; levers'!$C$12="MS",'Net zero Activity data'!AS80*UDCPPEF*NtoN2O*kgtoGg,"ERROR")))</f>
        <v>0</v>
      </c>
      <c r="AA999" s="101">
        <f>IF('Net zero activities &amp; levers'!$C$12="Off",'Activity data'!AT80*UDCPPEF*NtoN2O*kgtoGg,IF('Net zero activities &amp; levers'!$C$12="PB",'Activity data'!AT80*UDCPPEF*NtoN2O*kgtoGg,IF('Net zero activities &amp; levers'!$C$12="MS",'Net zero Activity data'!AT80*UDCPPEF*NtoN2O*kgtoGg,"ERROR")))</f>
        <v>0</v>
      </c>
      <c r="AB999" s="101">
        <f>IF('Net zero activities &amp; levers'!$C$12="Off",'Activity data'!AU80*UDCPPEF*NtoN2O*kgtoGg,IF('Net zero activities &amp; levers'!$C$12="PB",'Activity data'!AU80*UDCPPEF*NtoN2O*kgtoGg,IF('Net zero activities &amp; levers'!$C$12="MS",'Net zero Activity data'!AU80*UDCPPEF*NtoN2O*kgtoGg,"ERROR")))</f>
        <v>0</v>
      </c>
      <c r="AC999" s="101">
        <f>IF('Net zero activities &amp; levers'!$C$12="Off",'Activity data'!AV80*UDCPPEF*NtoN2O*kgtoGg,IF('Net zero activities &amp; levers'!$C$12="PB",'Activity data'!AV80*UDCPPEF*NtoN2O*kgtoGg,IF('Net zero activities &amp; levers'!$C$12="MS",'Net zero Activity data'!AV80*UDCPPEF*NtoN2O*kgtoGg,"ERROR")))</f>
        <v>0</v>
      </c>
      <c r="AD999" s="101">
        <f>IF('Net zero activities &amp; levers'!$C$12="Off",'Activity data'!AW80*UDCPPEF*NtoN2O*kgtoGg,IF('Net zero activities &amp; levers'!$C$12="PB",'Activity data'!AW80*UDCPPEF*NtoN2O*kgtoGg,IF('Net zero activities &amp; levers'!$C$12="MS",'Net zero Activity data'!AW80*UDCPPEF*NtoN2O*kgtoGg,"ERROR")))</f>
        <v>0</v>
      </c>
      <c r="AE999" s="101">
        <f>IF('Net zero activities &amp; levers'!$C$12="Off",'Activity data'!AX80*UDCPPEF*NtoN2O*kgtoGg,IF('Net zero activities &amp; levers'!$C$12="PB",'Activity data'!AX80*UDCPPEF*NtoN2O*kgtoGg,IF('Net zero activities &amp; levers'!$C$12="MS",'Net zero Activity data'!AX80*UDCPPEF*NtoN2O*kgtoGg,"ERROR")))</f>
        <v>0</v>
      </c>
      <c r="AF999" s="101">
        <f>IF('Net zero activities &amp; levers'!$C$12="Off",'Activity data'!AY80*UDCPPEF*NtoN2O*kgtoGg,IF('Net zero activities &amp; levers'!$C$12="PB",'Activity data'!AY80*UDCPPEF*NtoN2O*kgtoGg,IF('Net zero activities &amp; levers'!$C$12="MS",'Net zero Activity data'!AY80*UDCPPEF*NtoN2O*kgtoGg,"ERROR")))</f>
        <v>0</v>
      </c>
      <c r="AG999" s="101">
        <f>IF('Net zero activities &amp; levers'!$C$12="Off",'Activity data'!AZ80*UDCPPEF*NtoN2O*kgtoGg,IF('Net zero activities &amp; levers'!$C$12="PB",'Activity data'!AZ80*UDCPPEF*NtoN2O*kgtoGg,IF('Net zero activities &amp; levers'!$C$12="MS",'Net zero Activity data'!AZ80*UDCPPEF*NtoN2O*kgtoGg,"ERROR")))</f>
        <v>0</v>
      </c>
      <c r="AH999" s="101">
        <f>IF('Net zero activities &amp; levers'!$C$12="Off",'Activity data'!BA80*UDCPPEF*NtoN2O*kgtoGg,IF('Net zero activities &amp; levers'!$C$12="PB",'Activity data'!BA80*UDCPPEF*NtoN2O*kgtoGg,IF('Net zero activities &amp; levers'!$C$12="MS",'Net zero Activity data'!BA80*UDCPPEF*NtoN2O*kgtoGg,"ERROR")))</f>
        <v>0</v>
      </c>
      <c r="AI999" s="101">
        <f>IF('Net zero activities &amp; levers'!$C$12="Off",'Activity data'!BB80*UDCPPEF*NtoN2O*kgtoGg,IF('Net zero activities &amp; levers'!$C$12="PB",'Activity data'!BB80*UDCPPEF*NtoN2O*kgtoGg,IF('Net zero activities &amp; levers'!$C$12="MS",'Net zero Activity data'!BB80*UDCPPEF*NtoN2O*kgtoGg,"ERROR")))</f>
        <v>0</v>
      </c>
      <c r="AJ999" s="101">
        <f>IF('Net zero activities &amp; levers'!$C$12="Off",'Activity data'!BC80*UDCPPEF*NtoN2O*kgtoGg,IF('Net zero activities &amp; levers'!$C$12="PB",'Activity data'!BC80*UDCPPEF*NtoN2O*kgtoGg,IF('Net zero activities &amp; levers'!$C$12="MS",'Net zero Activity data'!BC80*UDCPPEF*NtoN2O*kgtoGg,"ERROR")))</f>
        <v>0</v>
      </c>
      <c r="AK999" s="101">
        <f>IF('Net zero activities &amp; levers'!$C$12="Off",'Activity data'!BD80*UDCPPEF*NtoN2O*kgtoGg,IF('Net zero activities &amp; levers'!$C$12="PB",'Activity data'!BD80*UDCPPEF*NtoN2O*kgtoGg,IF('Net zero activities &amp; levers'!$C$12="MS",'Net zero Activity data'!BD80*UDCPPEF*NtoN2O*kgtoGg,"ERROR")))</f>
        <v>0</v>
      </c>
      <c r="AL999" s="101">
        <f>IF('Net zero activities &amp; levers'!$C$12="Off",'Activity data'!BE80*UDCPPEF*NtoN2O*kgtoGg,IF('Net zero activities &amp; levers'!$C$12="PB",'Activity data'!BE80*UDCPPEF*NtoN2O*kgtoGg,IF('Net zero activities &amp; levers'!$C$12="MS",'Net zero Activity data'!BE80*UDCPPEF*NtoN2O*kgtoGg,"ERROR")))</f>
        <v>0</v>
      </c>
      <c r="AM999" s="101">
        <f>IF('Net zero activities &amp; levers'!$C$12="Off",'Activity data'!BF80*UDCPPEF*NtoN2O*kgtoGg,IF('Net zero activities &amp; levers'!$C$12="PB",'Activity data'!BF80*UDCPPEF*NtoN2O*kgtoGg,IF('Net zero activities &amp; levers'!$C$12="MS",'Net zero Activity data'!BF80*UDCPPEF*NtoN2O*kgtoGg,"ERROR")))</f>
        <v>0</v>
      </c>
      <c r="AN999" s="101">
        <f>IF('Net zero activities &amp; levers'!$C$12="Off",'Activity data'!BG80*UDCPPEF*NtoN2O*kgtoGg,IF('Net zero activities &amp; levers'!$C$12="PB",'Activity data'!BG80*UDCPPEF*NtoN2O*kgtoGg,IF('Net zero activities &amp; levers'!$C$12="MS",'Net zero Activity data'!BG80*UDCPPEF*NtoN2O*kgtoGg,"ERROR")))</f>
        <v>0</v>
      </c>
      <c r="AO999" s="101">
        <f>IF('Net zero activities &amp; levers'!$C$12="Off",'Activity data'!BH80*UDCPPEF*NtoN2O*kgtoGg,IF('Net zero activities &amp; levers'!$C$12="PB",'Activity data'!BH80*UDCPPEF*NtoN2O*kgtoGg,IF('Net zero activities &amp; levers'!$C$12="MS",'Net zero Activity data'!BH80*UDCPPEF*NtoN2O*kgtoGg,"ERROR")))</f>
        <v>0</v>
      </c>
      <c r="AP999" s="101">
        <f>IF('Net zero activities &amp; levers'!$C$12="Off",'Activity data'!BI80*UDCPPEF*NtoN2O*kgtoGg,IF('Net zero activities &amp; levers'!$C$12="PB",'Activity data'!BI80*UDCPPEF*NtoN2O*kgtoGg,IF('Net zero activities &amp; levers'!$C$12="MS",'Net zero Activity data'!BI80*UDCPPEF*NtoN2O*kgtoGg,"ERROR")))</f>
        <v>0</v>
      </c>
      <c r="AQ999" s="101">
        <f>IF('Net zero activities &amp; levers'!$C$12="Off",'Activity data'!BJ80*UDCPPEF*NtoN2O*kgtoGg,IF('Net zero activities &amp; levers'!$C$12="PB",'Activity data'!BJ80*UDCPPEF*NtoN2O*kgtoGg,IF('Net zero activities &amp; levers'!$C$12="MS",'Net zero Activity data'!BJ80*UDCPPEF*NtoN2O*kgtoGg,"ERROR")))</f>
        <v>0</v>
      </c>
      <c r="AR999" s="101">
        <f>IF('Net zero activities &amp; levers'!$C$12="Off",'Activity data'!BK80*UDCPPEF*NtoN2O*kgtoGg,IF('Net zero activities &amp; levers'!$C$12="PB",'Activity data'!BK80*UDCPPEF*NtoN2O*kgtoGg,IF('Net zero activities &amp; levers'!$C$12="MS",'Net zero Activity data'!BK80*UDCPPEF*NtoN2O*kgtoGg,"ERROR")))</f>
        <v>0</v>
      </c>
      <c r="AS999" s="101">
        <f>IF('Net zero activities &amp; levers'!$C$12="Off",'Activity data'!BL80*UDCPPEF*NtoN2O*kgtoGg,IF('Net zero activities &amp; levers'!$C$12="PB",'Activity data'!BL80*UDCPPEF*NtoN2O*kgtoGg,IF('Net zero activities &amp; levers'!$C$12="MS",'Net zero Activity data'!BL80*UDCPPEF*NtoN2O*kgtoGg,"ERROR")))</f>
        <v>0</v>
      </c>
      <c r="AT999" s="101">
        <f>IF('Net zero activities &amp; levers'!$C$12="Off",'Activity data'!BM80*UDCPPEF*NtoN2O*kgtoGg,IF('Net zero activities &amp; levers'!$C$12="PB",'Activity data'!BM80*UDCPPEF*NtoN2O*kgtoGg,IF('Net zero activities &amp; levers'!$C$12="MS",'Net zero Activity data'!BM80*UDCPPEF*NtoN2O*kgtoGg,"ERROR")))</f>
        <v>0</v>
      </c>
      <c r="AU999" s="101">
        <f>IF('Net zero activities &amp; levers'!$C$12="Off",'Activity data'!BN80*UDCPPEF*NtoN2O*kgtoGg,IF('Net zero activities &amp; levers'!$C$12="PB",'Activity data'!BN80*UDCPPEF*NtoN2O*kgtoGg,IF('Net zero activities &amp; levers'!$C$12="MS",'Net zero Activity data'!BN80*UDCPPEF*NtoN2O*kgtoGg,"ERROR")))</f>
        <v>0</v>
      </c>
      <c r="AV999" s="101">
        <f>IF('Net zero activities &amp; levers'!$C$12="Off",'Activity data'!BO80*UDCPPEF*NtoN2O*kgtoGg,IF('Net zero activities &amp; levers'!$C$12="PB",'Activity data'!BO80*UDCPPEF*NtoN2O*kgtoGg,IF('Net zero activities &amp; levers'!$C$12="MS",'Net zero Activity data'!BO80*UDCPPEF*NtoN2O*kgtoGg,"ERROR")))</f>
        <v>0</v>
      </c>
      <c r="AW999" s="101">
        <f>IF('Net zero activities &amp; levers'!$C$12="Off",'Activity data'!BP80*UDCPPEF*NtoN2O*kgtoGg,IF('Net zero activities &amp; levers'!$C$12="PB",'Activity data'!BP80*UDCPPEF*NtoN2O*kgtoGg,IF('Net zero activities &amp; levers'!$C$12="MS",'Net zero Activity data'!BP80*UDCPPEF*NtoN2O*kgtoGg,"ERROR")))</f>
        <v>0</v>
      </c>
      <c r="AY999" s="85"/>
      <c r="AZ999" s="85"/>
    </row>
    <row r="1000" spans="1:52" x14ac:dyDescent="0.25">
      <c r="A1000" s="102" t="str">
        <f t="shared" si="345"/>
        <v>DS U&amp;D</v>
      </c>
      <c r="B1000" s="102" t="s">
        <v>975</v>
      </c>
      <c r="C1000" s="102" t="s">
        <v>1337</v>
      </c>
      <c r="D1000" t="s">
        <v>369</v>
      </c>
      <c r="E1000" t="s">
        <v>55</v>
      </c>
      <c r="F1000" t="s">
        <v>422</v>
      </c>
      <c r="G1000" t="s">
        <v>1183</v>
      </c>
      <c r="H1000" t="s">
        <v>1256</v>
      </c>
      <c r="I1000" t="s">
        <v>139</v>
      </c>
      <c r="J1000" t="s">
        <v>287</v>
      </c>
      <c r="K1000" s="101">
        <f>IF('Net zero activities &amp; levers'!$C$12="Off",'Activity data'!AD81*UDCPPEF*NtoN2O*kgtoGg,IF('Net zero activities &amp; levers'!$C$12="PB",'Activity data'!AD81*UDCPPEF*NtoN2O*kgtoGg,IF('Net zero activities &amp; levers'!$C$12="MS",'Net zero Activity data'!AD81*UDCPPEF*NtoN2O*kgtoGg,"ERROR")))</f>
        <v>0</v>
      </c>
      <c r="L1000" s="101">
        <f>IF('Net zero activities &amp; levers'!$C$12="Off",'Activity data'!AE81*UDCPPEF*NtoN2O*kgtoGg,IF('Net zero activities &amp; levers'!$C$12="PB",'Activity data'!AE81*UDCPPEF*NtoN2O*kgtoGg,IF('Net zero activities &amp; levers'!$C$12="MS",'Net zero Activity data'!AE81*UDCPPEF*NtoN2O*kgtoGg,"ERROR")))</f>
        <v>0</v>
      </c>
      <c r="M1000" s="101">
        <f>IF('Net zero activities &amp; levers'!$C$12="Off",'Activity data'!AF81*UDCPPEF*NtoN2O*kgtoGg,IF('Net zero activities &amp; levers'!$C$12="PB",'Activity data'!AF81*UDCPPEF*NtoN2O*kgtoGg,IF('Net zero activities &amp; levers'!$C$12="MS",'Net zero Activity data'!AF81*UDCPPEF*NtoN2O*kgtoGg,"ERROR")))</f>
        <v>0</v>
      </c>
      <c r="N1000" s="101">
        <f>IF('Net zero activities &amp; levers'!$C$12="Off",'Activity data'!AG81*UDCPPEF*NtoN2O*kgtoGg,IF('Net zero activities &amp; levers'!$C$12="PB",'Activity data'!AG81*UDCPPEF*NtoN2O*kgtoGg,IF('Net zero activities &amp; levers'!$C$12="MS",'Net zero Activity data'!AG81*UDCPPEF*NtoN2O*kgtoGg,"ERROR")))</f>
        <v>0</v>
      </c>
      <c r="O1000" s="101">
        <f>IF('Net zero activities &amp; levers'!$C$12="Off",'Activity data'!AH81*UDCPPEF*NtoN2O*kgtoGg,IF('Net zero activities &amp; levers'!$C$12="PB",'Activity data'!AH81*UDCPPEF*NtoN2O*kgtoGg,IF('Net zero activities &amp; levers'!$C$12="MS",'Net zero Activity data'!AH81*UDCPPEF*NtoN2O*kgtoGg,"ERROR")))</f>
        <v>0</v>
      </c>
      <c r="P1000" s="101">
        <f>IF('Net zero activities &amp; levers'!$C$12="Off",'Activity data'!AI81*UDCPPEF*NtoN2O*kgtoGg,IF('Net zero activities &amp; levers'!$C$12="PB",'Activity data'!AI81*UDCPPEF*NtoN2O*kgtoGg,IF('Net zero activities &amp; levers'!$C$12="MS",'Net zero Activity data'!AI81*UDCPPEF*NtoN2O*kgtoGg,"ERROR")))</f>
        <v>0</v>
      </c>
      <c r="Q1000" s="101">
        <f>IF('Net zero activities &amp; levers'!$C$12="Off",'Activity data'!AJ81*UDCPPEF*NtoN2O*kgtoGg,IF('Net zero activities &amp; levers'!$C$12="PB",'Activity data'!AJ81*UDCPPEF*NtoN2O*kgtoGg,IF('Net zero activities &amp; levers'!$C$12="MS",'Net zero Activity data'!AJ81*UDCPPEF*NtoN2O*kgtoGg,"ERROR")))</f>
        <v>0</v>
      </c>
      <c r="R1000" s="101">
        <f>IF('Net zero activities &amp; levers'!$C$12="Off",'Activity data'!AK81*UDCPPEF*NtoN2O*kgtoGg,IF('Net zero activities &amp; levers'!$C$12="PB",'Activity data'!AK81*UDCPPEF*NtoN2O*kgtoGg,IF('Net zero activities &amp; levers'!$C$12="MS",'Net zero Activity data'!AK81*UDCPPEF*NtoN2O*kgtoGg,"ERROR")))</f>
        <v>0</v>
      </c>
      <c r="S1000" s="101">
        <f>IF('Net zero activities &amp; levers'!$C$12="Off",'Activity data'!AL81*UDCPPEF*NtoN2O*kgtoGg,IF('Net zero activities &amp; levers'!$C$12="PB",'Activity data'!AL81*UDCPPEF*NtoN2O*kgtoGg,IF('Net zero activities &amp; levers'!$C$12="MS",'Net zero Activity data'!AL81*UDCPPEF*NtoN2O*kgtoGg,"ERROR")))</f>
        <v>0</v>
      </c>
      <c r="T1000" s="101">
        <f>IF('Net zero activities &amp; levers'!$C$12="Off",'Activity data'!AM81*UDCPPEF*NtoN2O*kgtoGg,IF('Net zero activities &amp; levers'!$C$12="PB",'Activity data'!AM81*UDCPPEF*NtoN2O*kgtoGg,IF('Net zero activities &amp; levers'!$C$12="MS",'Net zero Activity data'!AM81*UDCPPEF*NtoN2O*kgtoGg,"ERROR")))</f>
        <v>0</v>
      </c>
      <c r="U1000" s="101">
        <f>IF('Net zero activities &amp; levers'!$C$12="Off",'Activity data'!AN81*UDCPPEF*NtoN2O*kgtoGg,IF('Net zero activities &amp; levers'!$C$12="PB",'Activity data'!AN81*UDCPPEF*NtoN2O*kgtoGg,IF('Net zero activities &amp; levers'!$C$12="MS",'Net zero Activity data'!AN81*UDCPPEF*NtoN2O*kgtoGg,"ERROR")))</f>
        <v>0</v>
      </c>
      <c r="V1000" s="101">
        <f>IF('Net zero activities &amp; levers'!$C$12="Off",'Activity data'!AO81*UDCPPEF*NtoN2O*kgtoGg,IF('Net zero activities &amp; levers'!$C$12="PB",'Activity data'!AO81*UDCPPEF*NtoN2O*kgtoGg,IF('Net zero activities &amp; levers'!$C$12="MS",'Net zero Activity data'!AO81*UDCPPEF*NtoN2O*kgtoGg,"ERROR")))</f>
        <v>0</v>
      </c>
      <c r="W1000" s="101">
        <f>IF('Net zero activities &amp; levers'!$C$12="Off",'Activity data'!AP81*UDCPPEF*NtoN2O*kgtoGg,IF('Net zero activities &amp; levers'!$C$12="PB",'Activity data'!AP81*UDCPPEF*NtoN2O*kgtoGg,IF('Net zero activities &amp; levers'!$C$12="MS",'Net zero Activity data'!AP81*UDCPPEF*NtoN2O*kgtoGg,"ERROR")))</f>
        <v>0</v>
      </c>
      <c r="X1000" s="101">
        <f>IF('Net zero activities &amp; levers'!$C$12="Off",'Activity data'!AQ81*UDCPPEF*NtoN2O*kgtoGg,IF('Net zero activities &amp; levers'!$C$12="PB",'Activity data'!AQ81*UDCPPEF*NtoN2O*kgtoGg,IF('Net zero activities &amp; levers'!$C$12="MS",'Net zero Activity data'!AQ81*UDCPPEF*NtoN2O*kgtoGg,"ERROR")))</f>
        <v>0</v>
      </c>
      <c r="Y1000" s="101">
        <f>IF('Net zero activities &amp; levers'!$C$12="Off",'Activity data'!AR81*UDCPPEF*NtoN2O*kgtoGg,IF('Net zero activities &amp; levers'!$C$12="PB",'Activity data'!AR81*UDCPPEF*NtoN2O*kgtoGg,IF('Net zero activities &amp; levers'!$C$12="MS",'Net zero Activity data'!AR81*UDCPPEF*NtoN2O*kgtoGg,"ERROR")))</f>
        <v>0</v>
      </c>
      <c r="Z1000" s="101">
        <f>IF('Net zero activities &amp; levers'!$C$12="Off",'Activity data'!AS81*UDCPPEF*NtoN2O*kgtoGg,IF('Net zero activities &amp; levers'!$C$12="PB",'Activity data'!AS81*UDCPPEF*NtoN2O*kgtoGg,IF('Net zero activities &amp; levers'!$C$12="MS",'Net zero Activity data'!AS81*UDCPPEF*NtoN2O*kgtoGg,"ERROR")))</f>
        <v>0</v>
      </c>
      <c r="AA1000" s="101">
        <f>IF('Net zero activities &amp; levers'!$C$12="Off",'Activity data'!AT81*UDCPPEF*NtoN2O*kgtoGg,IF('Net zero activities &amp; levers'!$C$12="PB",'Activity data'!AT81*UDCPPEF*NtoN2O*kgtoGg,IF('Net zero activities &amp; levers'!$C$12="MS",'Net zero Activity data'!AT81*UDCPPEF*NtoN2O*kgtoGg,"ERROR")))</f>
        <v>0</v>
      </c>
      <c r="AB1000" s="101">
        <f>IF('Net zero activities &amp; levers'!$C$12="Off",'Activity data'!AU81*UDCPPEF*NtoN2O*kgtoGg,IF('Net zero activities &amp; levers'!$C$12="PB",'Activity data'!AU81*UDCPPEF*NtoN2O*kgtoGg,IF('Net zero activities &amp; levers'!$C$12="MS",'Net zero Activity data'!AU81*UDCPPEF*NtoN2O*kgtoGg,"ERROR")))</f>
        <v>0</v>
      </c>
      <c r="AC1000" s="101">
        <f>IF('Net zero activities &amp; levers'!$C$12="Off",'Activity data'!AV81*UDCPPEF*NtoN2O*kgtoGg,IF('Net zero activities &amp; levers'!$C$12="PB",'Activity data'!AV81*UDCPPEF*NtoN2O*kgtoGg,IF('Net zero activities &amp; levers'!$C$12="MS",'Net zero Activity data'!AV81*UDCPPEF*NtoN2O*kgtoGg,"ERROR")))</f>
        <v>0</v>
      </c>
      <c r="AD1000" s="101">
        <f>IF('Net zero activities &amp; levers'!$C$12="Off",'Activity data'!AW81*UDCPPEF*NtoN2O*kgtoGg,IF('Net zero activities &amp; levers'!$C$12="PB",'Activity data'!AW81*UDCPPEF*NtoN2O*kgtoGg,IF('Net zero activities &amp; levers'!$C$12="MS",'Net zero Activity data'!AW81*UDCPPEF*NtoN2O*kgtoGg,"ERROR")))</f>
        <v>0</v>
      </c>
      <c r="AE1000" s="101">
        <f>IF('Net zero activities &amp; levers'!$C$12="Off",'Activity data'!AX81*UDCPPEF*NtoN2O*kgtoGg,IF('Net zero activities &amp; levers'!$C$12="PB",'Activity data'!AX81*UDCPPEF*NtoN2O*kgtoGg,IF('Net zero activities &amp; levers'!$C$12="MS",'Net zero Activity data'!AX81*UDCPPEF*NtoN2O*kgtoGg,"ERROR")))</f>
        <v>0</v>
      </c>
      <c r="AF1000" s="101">
        <f>IF('Net zero activities &amp; levers'!$C$12="Off",'Activity data'!AY81*UDCPPEF*NtoN2O*kgtoGg,IF('Net zero activities &amp; levers'!$C$12="PB",'Activity data'!AY81*UDCPPEF*NtoN2O*kgtoGg,IF('Net zero activities &amp; levers'!$C$12="MS",'Net zero Activity data'!AY81*UDCPPEF*NtoN2O*kgtoGg,"ERROR")))</f>
        <v>0</v>
      </c>
      <c r="AG1000" s="101">
        <f>IF('Net zero activities &amp; levers'!$C$12="Off",'Activity data'!AZ81*UDCPPEF*NtoN2O*kgtoGg,IF('Net zero activities &amp; levers'!$C$12="PB",'Activity data'!AZ81*UDCPPEF*NtoN2O*kgtoGg,IF('Net zero activities &amp; levers'!$C$12="MS",'Net zero Activity data'!AZ81*UDCPPEF*NtoN2O*kgtoGg,"ERROR")))</f>
        <v>0</v>
      </c>
      <c r="AH1000" s="101">
        <f>IF('Net zero activities &amp; levers'!$C$12="Off",'Activity data'!BA81*UDCPPEF*NtoN2O*kgtoGg,IF('Net zero activities &amp; levers'!$C$12="PB",'Activity data'!BA81*UDCPPEF*NtoN2O*kgtoGg,IF('Net zero activities &amp; levers'!$C$12="MS",'Net zero Activity data'!BA81*UDCPPEF*NtoN2O*kgtoGg,"ERROR")))</f>
        <v>0</v>
      </c>
      <c r="AI1000" s="101">
        <f>IF('Net zero activities &amp; levers'!$C$12="Off",'Activity data'!BB81*UDCPPEF*NtoN2O*kgtoGg,IF('Net zero activities &amp; levers'!$C$12="PB",'Activity data'!BB81*UDCPPEF*NtoN2O*kgtoGg,IF('Net zero activities &amp; levers'!$C$12="MS",'Net zero Activity data'!BB81*UDCPPEF*NtoN2O*kgtoGg,"ERROR")))</f>
        <v>0</v>
      </c>
      <c r="AJ1000" s="101">
        <f>IF('Net zero activities &amp; levers'!$C$12="Off",'Activity data'!BC81*UDCPPEF*NtoN2O*kgtoGg,IF('Net zero activities &amp; levers'!$C$12="PB",'Activity data'!BC81*UDCPPEF*NtoN2O*kgtoGg,IF('Net zero activities &amp; levers'!$C$12="MS",'Net zero Activity data'!BC81*UDCPPEF*NtoN2O*kgtoGg,"ERROR")))</f>
        <v>0</v>
      </c>
      <c r="AK1000" s="101">
        <f>IF('Net zero activities &amp; levers'!$C$12="Off",'Activity data'!BD81*UDCPPEF*NtoN2O*kgtoGg,IF('Net zero activities &amp; levers'!$C$12="PB",'Activity data'!BD81*UDCPPEF*NtoN2O*kgtoGg,IF('Net zero activities &amp; levers'!$C$12="MS",'Net zero Activity data'!BD81*UDCPPEF*NtoN2O*kgtoGg,"ERROR")))</f>
        <v>0</v>
      </c>
      <c r="AL1000" s="101">
        <f>IF('Net zero activities &amp; levers'!$C$12="Off",'Activity data'!BE81*UDCPPEF*NtoN2O*kgtoGg,IF('Net zero activities &amp; levers'!$C$12="PB",'Activity data'!BE81*UDCPPEF*NtoN2O*kgtoGg,IF('Net zero activities &amp; levers'!$C$12="MS",'Net zero Activity data'!BE81*UDCPPEF*NtoN2O*kgtoGg,"ERROR")))</f>
        <v>0</v>
      </c>
      <c r="AM1000" s="101">
        <f>IF('Net zero activities &amp; levers'!$C$12="Off",'Activity data'!BF81*UDCPPEF*NtoN2O*kgtoGg,IF('Net zero activities &amp; levers'!$C$12="PB",'Activity data'!BF81*UDCPPEF*NtoN2O*kgtoGg,IF('Net zero activities &amp; levers'!$C$12="MS",'Net zero Activity data'!BF81*UDCPPEF*NtoN2O*kgtoGg,"ERROR")))</f>
        <v>0</v>
      </c>
      <c r="AN1000" s="101">
        <f>IF('Net zero activities &amp; levers'!$C$12="Off",'Activity data'!BG81*UDCPPEF*NtoN2O*kgtoGg,IF('Net zero activities &amp; levers'!$C$12="PB",'Activity data'!BG81*UDCPPEF*NtoN2O*kgtoGg,IF('Net zero activities &amp; levers'!$C$12="MS",'Net zero Activity data'!BG81*UDCPPEF*NtoN2O*kgtoGg,"ERROR")))</f>
        <v>0</v>
      </c>
      <c r="AO1000" s="101">
        <f>IF('Net zero activities &amp; levers'!$C$12="Off",'Activity data'!BH81*UDCPPEF*NtoN2O*kgtoGg,IF('Net zero activities &amp; levers'!$C$12="PB",'Activity data'!BH81*UDCPPEF*NtoN2O*kgtoGg,IF('Net zero activities &amp; levers'!$C$12="MS",'Net zero Activity data'!BH81*UDCPPEF*NtoN2O*kgtoGg,"ERROR")))</f>
        <v>0</v>
      </c>
      <c r="AP1000" s="101">
        <f>IF('Net zero activities &amp; levers'!$C$12="Off",'Activity data'!BI81*UDCPPEF*NtoN2O*kgtoGg,IF('Net zero activities &amp; levers'!$C$12="PB",'Activity data'!BI81*UDCPPEF*NtoN2O*kgtoGg,IF('Net zero activities &amp; levers'!$C$12="MS",'Net zero Activity data'!BI81*UDCPPEF*NtoN2O*kgtoGg,"ERROR")))</f>
        <v>0</v>
      </c>
      <c r="AQ1000" s="101">
        <f>IF('Net zero activities &amp; levers'!$C$12="Off",'Activity data'!BJ81*UDCPPEF*NtoN2O*kgtoGg,IF('Net zero activities &amp; levers'!$C$12="PB",'Activity data'!BJ81*UDCPPEF*NtoN2O*kgtoGg,IF('Net zero activities &amp; levers'!$C$12="MS",'Net zero Activity data'!BJ81*UDCPPEF*NtoN2O*kgtoGg,"ERROR")))</f>
        <v>0</v>
      </c>
      <c r="AR1000" s="101">
        <f>IF('Net zero activities &amp; levers'!$C$12="Off",'Activity data'!BK81*UDCPPEF*NtoN2O*kgtoGg,IF('Net zero activities &amp; levers'!$C$12="PB",'Activity data'!BK81*UDCPPEF*NtoN2O*kgtoGg,IF('Net zero activities &amp; levers'!$C$12="MS",'Net zero Activity data'!BK81*UDCPPEF*NtoN2O*kgtoGg,"ERROR")))</f>
        <v>0</v>
      </c>
      <c r="AS1000" s="101">
        <f>IF('Net zero activities &amp; levers'!$C$12="Off",'Activity data'!BL81*UDCPPEF*NtoN2O*kgtoGg,IF('Net zero activities &amp; levers'!$C$12="PB",'Activity data'!BL81*UDCPPEF*NtoN2O*kgtoGg,IF('Net zero activities &amp; levers'!$C$12="MS",'Net zero Activity data'!BL81*UDCPPEF*NtoN2O*kgtoGg,"ERROR")))</f>
        <v>0</v>
      </c>
      <c r="AT1000" s="101">
        <f>IF('Net zero activities &amp; levers'!$C$12="Off",'Activity data'!BM81*UDCPPEF*NtoN2O*kgtoGg,IF('Net zero activities &amp; levers'!$C$12="PB",'Activity data'!BM81*UDCPPEF*NtoN2O*kgtoGg,IF('Net zero activities &amp; levers'!$C$12="MS",'Net zero Activity data'!BM81*UDCPPEF*NtoN2O*kgtoGg,"ERROR")))</f>
        <v>0</v>
      </c>
      <c r="AU1000" s="101">
        <f>IF('Net zero activities &amp; levers'!$C$12="Off",'Activity data'!BN81*UDCPPEF*NtoN2O*kgtoGg,IF('Net zero activities &amp; levers'!$C$12="PB",'Activity data'!BN81*UDCPPEF*NtoN2O*kgtoGg,IF('Net zero activities &amp; levers'!$C$12="MS",'Net zero Activity data'!BN81*UDCPPEF*NtoN2O*kgtoGg,"ERROR")))</f>
        <v>0</v>
      </c>
      <c r="AV1000" s="101">
        <f>IF('Net zero activities &amp; levers'!$C$12="Off",'Activity data'!BO81*UDCPPEF*NtoN2O*kgtoGg,IF('Net zero activities &amp; levers'!$C$12="PB",'Activity data'!BO81*UDCPPEF*NtoN2O*kgtoGg,IF('Net zero activities &amp; levers'!$C$12="MS",'Net zero Activity data'!BO81*UDCPPEF*NtoN2O*kgtoGg,"ERROR")))</f>
        <v>0</v>
      </c>
      <c r="AW1000" s="101">
        <f>IF('Net zero activities &amp; levers'!$C$12="Off",'Activity data'!BP81*UDCPPEF*NtoN2O*kgtoGg,IF('Net zero activities &amp; levers'!$C$12="PB",'Activity data'!BP81*UDCPPEF*NtoN2O*kgtoGg,IF('Net zero activities &amp; levers'!$C$12="MS",'Net zero Activity data'!BP81*UDCPPEF*NtoN2O*kgtoGg,"ERROR")))</f>
        <v>0</v>
      </c>
      <c r="AY1000" s="85"/>
      <c r="AZ1000" s="85"/>
    </row>
    <row r="1001" spans="1:52" x14ac:dyDescent="0.25">
      <c r="A1001" s="102" t="str">
        <f t="shared" si="345"/>
        <v>DS FSOM</v>
      </c>
      <c r="B1001" s="102" t="s">
        <v>975</v>
      </c>
      <c r="C1001" s="102" t="s">
        <v>60</v>
      </c>
      <c r="D1001" t="s">
        <v>369</v>
      </c>
      <c r="E1001" t="s">
        <v>55</v>
      </c>
      <c r="F1001" t="s">
        <v>60</v>
      </c>
      <c r="G1001" t="s">
        <v>1267</v>
      </c>
      <c r="H1001" t="s">
        <v>1268</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85"/>
      <c r="AZ1001" s="85"/>
    </row>
    <row r="1002" spans="1:52" x14ac:dyDescent="0.25">
      <c r="A1002" s="102" t="str">
        <f t="shared" si="345"/>
        <v>DS FSOM</v>
      </c>
      <c r="B1002" s="102" t="s">
        <v>975</v>
      </c>
      <c r="C1002" s="102" t="s">
        <v>60</v>
      </c>
      <c r="D1002" t="s">
        <v>369</v>
      </c>
      <c r="E1002" t="s">
        <v>55</v>
      </c>
      <c r="F1002" t="s">
        <v>60</v>
      </c>
      <c r="G1002" t="s">
        <v>1269</v>
      </c>
      <c r="H1002" t="s">
        <v>1270</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85"/>
      <c r="AZ1002" s="85"/>
    </row>
    <row r="1003" spans="1:52" x14ac:dyDescent="0.25">
      <c r="A1003" s="102" t="str">
        <f t="shared" si="345"/>
        <v>DS FSOM</v>
      </c>
      <c r="B1003" s="102" t="s">
        <v>975</v>
      </c>
      <c r="C1003" s="102" t="s">
        <v>60</v>
      </c>
      <c r="D1003" t="s">
        <v>369</v>
      </c>
      <c r="E1003" t="s">
        <v>55</v>
      </c>
      <c r="F1003" t="s">
        <v>60</v>
      </c>
      <c r="G1003" t="s">
        <v>1271</v>
      </c>
      <c r="H1003" t="s">
        <v>1272</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85"/>
      <c r="AZ1003" s="85"/>
    </row>
    <row r="1004" spans="1:52" x14ac:dyDescent="0.25">
      <c r="A1004" s="102" t="str">
        <f t="shared" si="345"/>
        <v>DS FSOM</v>
      </c>
      <c r="B1004" s="102" t="s">
        <v>975</v>
      </c>
      <c r="C1004" s="102" t="s">
        <v>60</v>
      </c>
      <c r="D1004" t="s">
        <v>369</v>
      </c>
      <c r="E1004" t="s">
        <v>55</v>
      </c>
      <c r="F1004" t="s">
        <v>60</v>
      </c>
      <c r="G1004" t="s">
        <v>1273</v>
      </c>
      <c r="H1004" t="s">
        <v>1274</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85"/>
      <c r="AZ1004" s="85"/>
    </row>
    <row r="1005" spans="1:52" x14ac:dyDescent="0.25">
      <c r="A1005" s="102" t="str">
        <f t="shared" si="345"/>
        <v>DS FSOM</v>
      </c>
      <c r="B1005" s="102" t="s">
        <v>975</v>
      </c>
      <c r="C1005" s="102" t="s">
        <v>60</v>
      </c>
      <c r="D1005" t="s">
        <v>369</v>
      </c>
      <c r="E1005" t="s">
        <v>55</v>
      </c>
      <c r="F1005" t="s">
        <v>60</v>
      </c>
      <c r="G1005" t="s">
        <v>1275</v>
      </c>
      <c r="H1005" t="s">
        <v>1276</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85"/>
      <c r="AZ1005" s="85"/>
    </row>
    <row r="1006" spans="1:52" x14ac:dyDescent="0.25">
      <c r="A1006" s="102" t="str">
        <f t="shared" si="345"/>
        <v>DS FSOM</v>
      </c>
      <c r="B1006" s="102" t="s">
        <v>975</v>
      </c>
      <c r="C1006" s="102" t="s">
        <v>60</v>
      </c>
      <c r="D1006" t="s">
        <v>369</v>
      </c>
      <c r="E1006" t="s">
        <v>55</v>
      </c>
      <c r="F1006" t="s">
        <v>60</v>
      </c>
      <c r="G1006" t="s">
        <v>1277</v>
      </c>
      <c r="H1006" t="s">
        <v>1278</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85"/>
      <c r="AZ1006" s="85"/>
    </row>
    <row r="1007" spans="1:52" x14ac:dyDescent="0.25">
      <c r="A1007" s="102" t="str">
        <f t="shared" si="345"/>
        <v>DS FSOM</v>
      </c>
      <c r="B1007" s="102" t="s">
        <v>975</v>
      </c>
      <c r="C1007" s="102" t="s">
        <v>60</v>
      </c>
      <c r="D1007" t="s">
        <v>369</v>
      </c>
      <c r="E1007" t="s">
        <v>55</v>
      </c>
      <c r="F1007" t="s">
        <v>60</v>
      </c>
      <c r="G1007" t="s">
        <v>1279</v>
      </c>
      <c r="H1007" t="s">
        <v>1280</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85"/>
      <c r="AZ1007" s="85"/>
    </row>
    <row r="1008" spans="1:52" x14ac:dyDescent="0.25">
      <c r="A1008" s="102" t="str">
        <f t="shared" si="345"/>
        <v>DS FSOM</v>
      </c>
      <c r="B1008" s="102" t="s">
        <v>975</v>
      </c>
      <c r="C1008" s="102" t="s">
        <v>60</v>
      </c>
      <c r="D1008" t="s">
        <v>369</v>
      </c>
      <c r="E1008" t="s">
        <v>55</v>
      </c>
      <c r="F1008" t="s">
        <v>60</v>
      </c>
      <c r="G1008" t="s">
        <v>1281</v>
      </c>
      <c r="H1008" t="s">
        <v>1282</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85"/>
      <c r="AZ1008" s="85"/>
    </row>
    <row r="1009" spans="1:52" x14ac:dyDescent="0.25">
      <c r="A1009" s="102" t="str">
        <f t="shared" si="345"/>
        <v>DS FSOM</v>
      </c>
      <c r="B1009" s="102" t="s">
        <v>975</v>
      </c>
      <c r="C1009" s="102" t="s">
        <v>60</v>
      </c>
      <c r="D1009" t="s">
        <v>369</v>
      </c>
      <c r="E1009" t="s">
        <v>55</v>
      </c>
      <c r="F1009" t="s">
        <v>60</v>
      </c>
      <c r="G1009" t="s">
        <v>1283</v>
      </c>
      <c r="H1009" t="s">
        <v>1284</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85"/>
      <c r="AZ1009" s="85"/>
    </row>
    <row r="1010" spans="1:52" x14ac:dyDescent="0.25">
      <c r="A1010" s="102" t="str">
        <f t="shared" si="345"/>
        <v>DS FSOM</v>
      </c>
      <c r="B1010" s="102" t="s">
        <v>975</v>
      </c>
      <c r="C1010" s="102" t="s">
        <v>60</v>
      </c>
      <c r="D1010" t="s">
        <v>369</v>
      </c>
      <c r="E1010" t="s">
        <v>55</v>
      </c>
      <c r="F1010" t="s">
        <v>60</v>
      </c>
      <c r="G1010" t="s">
        <v>1285</v>
      </c>
      <c r="H1010" t="s">
        <v>1286</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85"/>
      <c r="AZ1010" s="85"/>
    </row>
    <row r="1011" spans="1:52" x14ac:dyDescent="0.25">
      <c r="A1011" s="102" t="str">
        <f t="shared" si="345"/>
        <v>DS FSOM</v>
      </c>
      <c r="B1011" s="102" t="s">
        <v>975</v>
      </c>
      <c r="C1011" s="102" t="s">
        <v>60</v>
      </c>
      <c r="D1011" t="s">
        <v>369</v>
      </c>
      <c r="E1011" t="s">
        <v>55</v>
      </c>
      <c r="F1011" t="s">
        <v>60</v>
      </c>
      <c r="G1011" t="s">
        <v>1287</v>
      </c>
      <c r="H1011" t="s">
        <v>1288</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85"/>
      <c r="AZ1011" s="85"/>
    </row>
    <row r="1012" spans="1:52" x14ac:dyDescent="0.25">
      <c r="A1012" s="102" t="str">
        <f t="shared" si="345"/>
        <v>DS FSOM</v>
      </c>
      <c r="B1012" s="102" t="s">
        <v>975</v>
      </c>
      <c r="C1012" s="102" t="s">
        <v>60</v>
      </c>
      <c r="D1012" t="s">
        <v>369</v>
      </c>
      <c r="E1012" t="s">
        <v>55</v>
      </c>
      <c r="F1012" t="s">
        <v>60</v>
      </c>
      <c r="G1012" t="s">
        <v>1289</v>
      </c>
      <c r="H1012" t="s">
        <v>1290</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85"/>
      <c r="AZ1012" s="85"/>
    </row>
    <row r="1013" spans="1:52" x14ac:dyDescent="0.25">
      <c r="A1013" s="102" t="str">
        <f t="shared" si="345"/>
        <v>DS Volatilisation</v>
      </c>
      <c r="B1013" s="102" t="s">
        <v>975</v>
      </c>
      <c r="C1013" s="102" t="s">
        <v>62</v>
      </c>
      <c r="D1013" t="s">
        <v>369</v>
      </c>
      <c r="E1013" t="s">
        <v>61</v>
      </c>
      <c r="F1013" t="s">
        <v>62</v>
      </c>
      <c r="G1013" t="s">
        <v>435</v>
      </c>
      <c r="H1013" t="s">
        <v>1185</v>
      </c>
      <c r="I1013" t="s">
        <v>139</v>
      </c>
      <c r="J1013" t="s">
        <v>287</v>
      </c>
      <c r="K1013" s="22">
        <f t="shared" si="350"/>
        <v>0.66064812063358536</v>
      </c>
      <c r="L1013" s="22">
        <f t="shared" ref="L1013:AW1013" si="353">L1510</f>
        <v>0.66056660352543128</v>
      </c>
      <c r="M1013" s="22">
        <f t="shared" si="353"/>
        <v>0.66042995522505377</v>
      </c>
      <c r="N1013" s="22">
        <f t="shared" si="353"/>
        <v>0.66031365898338112</v>
      </c>
      <c r="O1013" s="22">
        <f t="shared" si="353"/>
        <v>0.66027560568732091</v>
      </c>
      <c r="P1013" s="22">
        <f t="shared" si="353"/>
        <v>0.66023708971175277</v>
      </c>
      <c r="Q1013" s="22">
        <f t="shared" si="353"/>
        <v>0.66011966991986881</v>
      </c>
      <c r="R1013" s="22">
        <f t="shared" si="353"/>
        <v>0.66002765167075472</v>
      </c>
      <c r="S1013" s="22">
        <f t="shared" si="353"/>
        <v>0.66002145648060517</v>
      </c>
      <c r="T1013" s="22">
        <f t="shared" si="353"/>
        <v>0.66040420720172732</v>
      </c>
      <c r="U1013" s="22">
        <f t="shared" si="353"/>
        <v>0.66019485697997204</v>
      </c>
      <c r="V1013" s="22">
        <f t="shared" si="353"/>
        <v>0.66003652312909888</v>
      </c>
      <c r="W1013" s="22">
        <f t="shared" si="353"/>
        <v>0.65989054673114655</v>
      </c>
      <c r="X1013" s="22">
        <f t="shared" si="353"/>
        <v>0.65972835879321112</v>
      </c>
      <c r="Y1013" s="22">
        <f t="shared" si="353"/>
        <v>0.65950794659321976</v>
      </c>
      <c r="Z1013" s="22">
        <f t="shared" si="353"/>
        <v>0.65927714888243172</v>
      </c>
      <c r="AA1013" s="22">
        <f t="shared" si="353"/>
        <v>0.65903551292141993</v>
      </c>
      <c r="AB1013" s="22">
        <f t="shared" si="353"/>
        <v>0.65882075529961204</v>
      </c>
      <c r="AC1013" s="22">
        <f t="shared" si="353"/>
        <v>0.65858383398788667</v>
      </c>
      <c r="AD1013" s="22">
        <f t="shared" si="353"/>
        <v>0.65832049506454571</v>
      </c>
      <c r="AE1013" s="22">
        <f t="shared" si="353"/>
        <v>0.65806825645343991</v>
      </c>
      <c r="AF1013" s="22">
        <f t="shared" si="353"/>
        <v>0.65781181226611019</v>
      </c>
      <c r="AG1013" s="22">
        <f t="shared" si="353"/>
        <v>0.65755610222279148</v>
      </c>
      <c r="AH1013" s="22">
        <f t="shared" si="353"/>
        <v>0.65728213410220515</v>
      </c>
      <c r="AI1013" s="22">
        <f t="shared" si="353"/>
        <v>0.65704025946446432</v>
      </c>
      <c r="AJ1013" s="22">
        <f t="shared" si="353"/>
        <v>0.65679167627959911</v>
      </c>
      <c r="AK1013" s="22">
        <f t="shared" si="353"/>
        <v>0.65654442966296833</v>
      </c>
      <c r="AL1013" s="22">
        <f t="shared" si="353"/>
        <v>0.6563107846246663</v>
      </c>
      <c r="AM1013" s="22">
        <f t="shared" si="353"/>
        <v>0.65608183818668697</v>
      </c>
      <c r="AN1013" s="22">
        <f t="shared" si="353"/>
        <v>0.6558502326056066</v>
      </c>
      <c r="AO1013" s="22">
        <f t="shared" si="353"/>
        <v>0.65561383844940613</v>
      </c>
      <c r="AP1013" s="22">
        <f t="shared" si="353"/>
        <v>0.65539317250053775</v>
      </c>
      <c r="AQ1013" s="22">
        <f t="shared" si="353"/>
        <v>0.65517393492300557</v>
      </c>
      <c r="AR1013" s="22">
        <f t="shared" si="353"/>
        <v>0.65495579618392019</v>
      </c>
      <c r="AS1013" s="22">
        <f t="shared" si="353"/>
        <v>0.65472963164045961</v>
      </c>
      <c r="AT1013" s="22">
        <f t="shared" si="353"/>
        <v>0.65450342769214809</v>
      </c>
      <c r="AU1013" s="22">
        <f t="shared" si="353"/>
        <v>0.65436308710087154</v>
      </c>
      <c r="AV1013" s="22">
        <f t="shared" si="353"/>
        <v>0.65422967735758231</v>
      </c>
      <c r="AW1013" s="22">
        <f t="shared" si="353"/>
        <v>0.65408646829531714</v>
      </c>
      <c r="AY1013" s="85"/>
      <c r="AZ1013" s="85"/>
    </row>
    <row r="1014" spans="1:52" x14ac:dyDescent="0.25">
      <c r="A1014" s="102" t="str">
        <f t="shared" si="345"/>
        <v>DS Volatilisation</v>
      </c>
      <c r="B1014" s="102" t="s">
        <v>975</v>
      </c>
      <c r="C1014" s="102" t="s">
        <v>62</v>
      </c>
      <c r="D1014" t="s">
        <v>369</v>
      </c>
      <c r="E1014" t="s">
        <v>61</v>
      </c>
      <c r="F1014" t="s">
        <v>62</v>
      </c>
      <c r="G1014" t="s">
        <v>436</v>
      </c>
      <c r="H1014" t="s">
        <v>1186</v>
      </c>
      <c r="I1014" t="s">
        <v>139</v>
      </c>
      <c r="J1014" t="s">
        <v>287</v>
      </c>
      <c r="K1014" s="101">
        <f>IF('Net zero activities &amp; levers'!$C$12="Off",'Activity data'!AD48*ttokg*FracGASM*MSVolatEF*NtoN2O*kgtoGg,'Net zero Activity data'!AD48*ttokg*FracGASM*MSVolatEF*NtoN2O*kgtoGg)</f>
        <v>8.720555192363328E-3</v>
      </c>
      <c r="L1014" s="101">
        <f>IF('Net zero activities &amp; levers'!$C$12="Off",'Activity data'!AE48*ttokg*FracGASM*MSVolatEF*NtoN2O*kgtoGg,'Net zero Activity data'!AE48*ttokg*FracGASM*MSVolatEF*NtoN2O*kgtoGg)</f>
        <v>8.7194791665356954E-3</v>
      </c>
      <c r="M1014" s="101">
        <f>IF('Net zero activities &amp; levers'!$C$12="Off",'Activity data'!AF48*ttokg*FracGASM*MSVolatEF*NtoN2O*kgtoGg,'Net zero Activity data'!AF48*ttokg*FracGASM*MSVolatEF*NtoN2O*kgtoGg)</f>
        <v>8.7176754089707108E-3</v>
      </c>
      <c r="N1014" s="101">
        <f>IF('Net zero activities &amp; levers'!$C$12="Off",'Activity data'!AG48*ttokg*FracGASM*MSVolatEF*NtoN2O*kgtoGg,'Net zero Activity data'!AG48*ttokg*FracGASM*MSVolatEF*NtoN2O*kgtoGg)</f>
        <v>8.7161402985806314E-3</v>
      </c>
      <c r="O1014" s="101">
        <f>IF('Net zero activities &amp; levers'!$C$12="Off",'Activity data'!AH48*ttokg*FracGASM*MSVolatEF*NtoN2O*kgtoGg,'Net zero Activity data'!AH48*ttokg*FracGASM*MSVolatEF*NtoN2O*kgtoGg)</f>
        <v>8.7156379950726372E-3</v>
      </c>
      <c r="P1014" s="101">
        <f>IF('Net zero activities &amp; levers'!$C$12="Off",'Activity data'!AI48*ttokg*FracGASM*MSVolatEF*NtoN2O*kgtoGg,'Net zero Activity data'!AI48*ttokg*FracGASM*MSVolatEF*NtoN2O*kgtoGg)</f>
        <v>8.7151295841951387E-3</v>
      </c>
      <c r="Q1014" s="101">
        <f>IF('Net zero activities &amp; levers'!$C$12="Off",'Activity data'!AJ48*ttokg*FracGASM*MSVolatEF*NtoN2O*kgtoGg,'Net zero Activity data'!AJ48*ttokg*FracGASM*MSVolatEF*NtoN2O*kgtoGg)</f>
        <v>8.7135796429422714E-3</v>
      </c>
      <c r="R1014" s="101">
        <f>IF('Net zero activities &amp; levers'!$C$12="Off",'Activity data'!AK48*ttokg*FracGASM*MSVolatEF*NtoN2O*kgtoGg,'Net zero Activity data'!AK48*ttokg*FracGASM*MSVolatEF*NtoN2O*kgtoGg)</f>
        <v>8.7123650020539626E-3</v>
      </c>
      <c r="S1014" s="101">
        <f>IF('Net zero activities &amp; levers'!$C$12="Off",'Activity data'!AL48*ttokg*FracGASM*MSVolatEF*NtoN2O*kgtoGg,'Net zero Activity data'!AL48*ttokg*FracGASM*MSVolatEF*NtoN2O*kgtoGg)</f>
        <v>8.7122832255439892E-3</v>
      </c>
      <c r="T1014" s="101">
        <f>IF('Net zero activities &amp; levers'!$C$12="Off",'Activity data'!AM48*ttokg*FracGASM*MSVolatEF*NtoN2O*kgtoGg,'Net zero Activity data'!AM48*ttokg*FracGASM*MSVolatEF*NtoN2O*kgtoGg)</f>
        <v>8.7173355350628028E-3</v>
      </c>
      <c r="U1014" s="101">
        <f>IF('Net zero activities &amp; levers'!$C$12="Off",'Activity data'!AN48*ttokg*FracGASM*MSVolatEF*NtoN2O*kgtoGg,'Net zero Activity data'!AN48*ttokg*FracGASM*MSVolatEF*NtoN2O*kgtoGg)</f>
        <v>8.7145721121356327E-3</v>
      </c>
      <c r="V1014" s="101">
        <f>IF('Net zero activities &amp; levers'!$C$12="Off",'Activity data'!AO48*ttokg*FracGASM*MSVolatEF*NtoN2O*kgtoGg,'Net zero Activity data'!AO48*ttokg*FracGASM*MSVolatEF*NtoN2O*kgtoGg)</f>
        <v>8.7124821053041063E-3</v>
      </c>
      <c r="W1014" s="101">
        <f>IF('Net zero activities &amp; levers'!$C$12="Off",'Activity data'!AP48*ttokg*FracGASM*MSVolatEF*NtoN2O*kgtoGg,'Net zero Activity data'!AP48*ttokg*FracGASM*MSVolatEF*NtoN2O*kgtoGg)</f>
        <v>8.7105552168511343E-3</v>
      </c>
      <c r="X1014" s="101">
        <f>IF('Net zero activities &amp; levers'!$C$12="Off",'Activity data'!AQ48*ttokg*FracGASM*MSVolatEF*NtoN2O*kgtoGg,'Net zero Activity data'!AQ48*ttokg*FracGASM*MSVolatEF*NtoN2O*kgtoGg)</f>
        <v>8.7084143360703897E-3</v>
      </c>
      <c r="Y1014" s="101">
        <f>IF('Net zero activities &amp; levers'!$C$12="Off",'Activity data'!AR48*ttokg*FracGASM*MSVolatEF*NtoN2O*kgtoGg,'Net zero Activity data'!AR48*ttokg*FracGASM*MSVolatEF*NtoN2O*kgtoGg)</f>
        <v>8.7055048950305004E-3</v>
      </c>
      <c r="Z1014" s="101">
        <f>IF('Net zero activities &amp; levers'!$C$12="Off",'Activity data'!AS48*ttokg*FracGASM*MSVolatEF*NtoN2O*kgtoGg,'Net zero Activity data'!AS48*ttokg*FracGASM*MSVolatEF*NtoN2O*kgtoGg)</f>
        <v>8.7024583652481006E-3</v>
      </c>
      <c r="AA1014" s="101">
        <f>IF('Net zero activities &amp; levers'!$C$12="Off",'Activity data'!AT48*ttokg*FracGASM*MSVolatEF*NtoN2O*kgtoGg,'Net zero Activity data'!AT48*ttokg*FracGASM*MSVolatEF*NtoN2O*kgtoGg)</f>
        <v>8.6992687705627434E-3</v>
      </c>
      <c r="AB1014" s="101">
        <f>IF('Net zero activities &amp; levers'!$C$12="Off",'Activity data'!AU48*ttokg*FracGASM*MSVolatEF*NtoN2O*kgtoGg,'Net zero Activity data'!AU48*ttokg*FracGASM*MSVolatEF*NtoN2O*kgtoGg)</f>
        <v>8.6964339699548802E-3</v>
      </c>
      <c r="AC1014" s="101">
        <f>IF('Net zero activities &amp; levers'!$C$12="Off",'Activity data'!AV48*ttokg*FracGASM*MSVolatEF*NtoN2O*kgtoGg,'Net zero Activity data'!AV48*ttokg*FracGASM*MSVolatEF*NtoN2O*kgtoGg)</f>
        <v>8.6933066086401032E-3</v>
      </c>
      <c r="AD1014" s="101">
        <f>IF('Net zero activities &amp; levers'!$C$12="Off",'Activity data'!AW48*ttokg*FracGASM*MSVolatEF*NtoN2O*kgtoGg,'Net zero Activity data'!AW48*ttokg*FracGASM*MSVolatEF*NtoN2O*kgtoGg)</f>
        <v>8.6898305348520055E-3</v>
      </c>
      <c r="AE1014" s="101">
        <f>IF('Net zero activities &amp; levers'!$C$12="Off",'Activity data'!AX48*ttokg*FracGASM*MSVolatEF*NtoN2O*kgtoGg,'Net zero Activity data'!AX48*ttokg*FracGASM*MSVolatEF*NtoN2O*kgtoGg)</f>
        <v>8.6865009851854087E-3</v>
      </c>
      <c r="AF1014" s="101">
        <f>IF('Net zero activities &amp; levers'!$C$12="Off",'Activity data'!AY48*ttokg*FracGASM*MSVolatEF*NtoN2O*kgtoGg,'Net zero Activity data'!AY48*ttokg*FracGASM*MSVolatEF*NtoN2O*kgtoGg)</f>
        <v>8.6831159219126538E-3</v>
      </c>
      <c r="AG1014" s="101">
        <f>IF('Net zero activities &amp; levers'!$C$12="Off",'Activity data'!AZ48*ttokg*FracGASM*MSVolatEF*NtoN2O*kgtoGg,'Net zero Activity data'!AZ48*ttokg*FracGASM*MSVolatEF*NtoN2O*kgtoGg)</f>
        <v>8.6797405493408489E-3</v>
      </c>
      <c r="AH1014" s="101">
        <f>IF('Net zero activities &amp; levers'!$C$12="Off",'Activity data'!BA48*ttokg*FracGASM*MSVolatEF*NtoN2O*kgtoGg,'Net zero Activity data'!BA48*ttokg*FracGASM*MSVolatEF*NtoN2O*kgtoGg)</f>
        <v>8.6761241701491087E-3</v>
      </c>
      <c r="AI1014" s="101">
        <f>IF('Net zero activities &amp; levers'!$C$12="Off",'Activity data'!BB48*ttokg*FracGASM*MSVolatEF*NtoN2O*kgtoGg,'Net zero Activity data'!BB48*ttokg*FracGASM*MSVolatEF*NtoN2O*kgtoGg)</f>
        <v>8.672931424930929E-3</v>
      </c>
      <c r="AJ1014" s="101">
        <f>IF('Net zero activities &amp; levers'!$C$12="Off",'Activity data'!BC48*ttokg*FracGASM*MSVolatEF*NtoN2O*kgtoGg,'Net zero Activity data'!BC48*ttokg*FracGASM*MSVolatEF*NtoN2O*kgtoGg)</f>
        <v>8.6696501268907124E-3</v>
      </c>
      <c r="AK1014" s="101">
        <f>IF('Net zero activities &amp; levers'!$C$12="Off",'Activity data'!BD48*ttokg*FracGASM*MSVolatEF*NtoN2O*kgtoGg,'Net zero Activity data'!BD48*ttokg*FracGASM*MSVolatEF*NtoN2O*kgtoGg)</f>
        <v>8.6663864715511834E-3</v>
      </c>
      <c r="AL1014" s="101">
        <f>IF('Net zero activities &amp; levers'!$C$12="Off",'Activity data'!BE48*ttokg*FracGASM*MSVolatEF*NtoN2O*kgtoGg,'Net zero Activity data'!BE48*ttokg*FracGASM*MSVolatEF*NtoN2O*kgtoGg)</f>
        <v>8.6633023570455974E-3</v>
      </c>
      <c r="AM1014" s="101">
        <f>IF('Net zero activities &amp; levers'!$C$12="Off",'Activity data'!BF48*ttokg*FracGASM*MSVolatEF*NtoN2O*kgtoGg,'Net zero Activity data'!BF48*ttokg*FracGASM*MSVolatEF*NtoN2O*kgtoGg)</f>
        <v>8.6602802640642716E-3</v>
      </c>
      <c r="AN1014" s="101">
        <f>IF('Net zero activities &amp; levers'!$C$12="Off",'Activity data'!BG48*ttokg*FracGASM*MSVolatEF*NtoN2O*kgtoGg,'Net zero Activity data'!BG48*ttokg*FracGASM*MSVolatEF*NtoN2O*kgtoGg)</f>
        <v>8.6572230703940104E-3</v>
      </c>
      <c r="AO1014" s="101">
        <f>IF('Net zero activities &amp; levers'!$C$12="Off",'Activity data'!BH48*ttokg*FracGASM*MSVolatEF*NtoN2O*kgtoGg,'Net zero Activity data'!BH48*ttokg*FracGASM*MSVolatEF*NtoN2O*kgtoGg)</f>
        <v>8.6541026675321618E-3</v>
      </c>
      <c r="AP1014" s="101">
        <f>IF('Net zero activities &amp; levers'!$C$12="Off",'Activity data'!BI48*ttokg*FracGASM*MSVolatEF*NtoN2O*kgtoGg,'Net zero Activity data'!BI48*ttokg*FracGASM*MSVolatEF*NtoN2O*kgtoGg)</f>
        <v>8.651189877007099E-3</v>
      </c>
      <c r="AQ1014" s="101">
        <f>IF('Net zero activities &amp; levers'!$C$12="Off",'Activity data'!BJ48*ttokg*FracGASM*MSVolatEF*NtoN2O*kgtoGg,'Net zero Activity data'!BJ48*ttokg*FracGASM*MSVolatEF*NtoN2O*kgtoGg)</f>
        <v>8.6482959409836767E-3</v>
      </c>
      <c r="AR1014" s="101">
        <f>IF('Net zero activities &amp; levers'!$C$12="Off",'Activity data'!BK48*ttokg*FracGASM*MSVolatEF*NtoN2O*kgtoGg,'Net zero Activity data'!BK48*ttokg*FracGASM*MSVolatEF*NtoN2O*kgtoGg)</f>
        <v>8.6454165096277492E-3</v>
      </c>
      <c r="AS1014" s="101">
        <f>IF('Net zero activities &amp; levers'!$C$12="Off",'Activity data'!BL48*ttokg*FracGASM*MSVolatEF*NtoN2O*kgtoGg,'Net zero Activity data'!BL48*ttokg*FracGASM*MSVolatEF*NtoN2O*kgtoGg)</f>
        <v>8.642431137654066E-3</v>
      </c>
      <c r="AT1014" s="101">
        <f>IF('Net zero activities &amp; levers'!$C$12="Off",'Activity data'!BM48*ttokg*FracGASM*MSVolatEF*NtoN2O*kgtoGg,'Net zero Activity data'!BM48*ttokg*FracGASM*MSVolatEF*NtoN2O*kgtoGg)</f>
        <v>8.6394452455363525E-3</v>
      </c>
      <c r="AU1014" s="101">
        <f>IF('Net zero activities &amp; levers'!$C$12="Off",'Activity data'!BN48*ttokg*FracGASM*MSVolatEF*NtoN2O*kgtoGg,'Net zero Activity data'!BN48*ttokg*FracGASM*MSVolatEF*NtoN2O*kgtoGg)</f>
        <v>8.6375927497315073E-3</v>
      </c>
      <c r="AV1014" s="101">
        <f>IF('Net zero activities &amp; levers'!$C$12="Off",'Activity data'!BO48*ttokg*FracGASM*MSVolatEF*NtoN2O*kgtoGg,'Net zero Activity data'!BO48*ttokg*FracGASM*MSVolatEF*NtoN2O*kgtoGg)</f>
        <v>8.635831741120089E-3</v>
      </c>
      <c r="AW1014" s="101">
        <f>IF('Net zero activities &amp; levers'!$C$12="Off",'Activity data'!BP48*ttokg*FracGASM*MSVolatEF*NtoN2O*kgtoGg,'Net zero Activity data'!BP48*ttokg*FracGASM*MSVolatEF*NtoN2O*kgtoGg)</f>
        <v>8.6339413814981846E-3</v>
      </c>
      <c r="AY1014" s="85"/>
      <c r="AZ1014" s="85"/>
    </row>
    <row r="1015" spans="1:52" x14ac:dyDescent="0.25">
      <c r="A1015" s="102" t="str">
        <f t="shared" si="345"/>
        <v>DS Volatilisation</v>
      </c>
      <c r="B1015" s="102" t="s">
        <v>975</v>
      </c>
      <c r="C1015" s="102" t="s">
        <v>62</v>
      </c>
      <c r="D1015" t="s">
        <v>369</v>
      </c>
      <c r="E1015" t="s">
        <v>61</v>
      </c>
      <c r="F1015" t="s">
        <v>62</v>
      </c>
      <c r="G1015" t="s">
        <v>437</v>
      </c>
      <c r="H1015" t="s">
        <v>1187</v>
      </c>
      <c r="I1015" t="s">
        <v>139</v>
      </c>
      <c r="J1015" t="s">
        <v>287</v>
      </c>
      <c r="K1015" s="101">
        <f>IF('Net zero activities &amp; levers'!$C$12="Off",SUM('Activity data'!AD50:AD65)*FracGASM*MSVolatEF*NtoN2O*kgtoGg,SUM('Net zero Activity data'!AD50:AD65)*FracGASM*MSVolatEF*NtoN2O*kgtoGg)</f>
        <v>1.2055794850635659</v>
      </c>
      <c r="L1015" s="101">
        <f>IF('Net zero activities &amp; levers'!$C$12="Off",SUM('Activity data'!AE50:AE65)*FracGASM*MSVolatEF*NtoN2O*kgtoGg,SUM('Net zero Activity data'!AE50:AE65)*FracGASM*MSVolatEF*NtoN2O*kgtoGg)</f>
        <v>1.2104278424184185</v>
      </c>
      <c r="M1015" s="101">
        <f>IF('Net zero activities &amp; levers'!$C$12="Off",SUM('Activity data'!AF50:AF65)*FracGASM*MSVolatEF*NtoN2O*kgtoGg,SUM('Net zero Activity data'!AF50:AF65)*FracGASM*MSVolatEF*NtoN2O*kgtoGg)</f>
        <v>1.2110410080270337</v>
      </c>
      <c r="N1015" s="101">
        <f>IF('Net zero activities &amp; levers'!$C$12="Off",SUM('Activity data'!AG50:AG65)*FracGASM*MSVolatEF*NtoN2O*kgtoGg,SUM('Net zero Activity data'!AG50:AG65)*FracGASM*MSVolatEF*NtoN2O*kgtoGg)</f>
        <v>1.1943250378730979</v>
      </c>
      <c r="O1015" s="101">
        <f>IF('Net zero activities &amp; levers'!$C$12="Off",SUM('Activity data'!AH50:AH65)*FracGASM*MSVolatEF*NtoN2O*kgtoGg,SUM('Net zero Activity data'!AH50:AH65)*FracGASM*MSVolatEF*NtoN2O*kgtoGg)</f>
        <v>1.1785336367211481</v>
      </c>
      <c r="P1015" s="101">
        <f>IF('Net zero activities &amp; levers'!$C$12="Off",SUM('Activity data'!AI50:AI65)*FracGASM*MSVolatEF*NtoN2O*kgtoGg,SUM('Net zero Activity data'!AI50:AI65)*FracGASM*MSVolatEF*NtoN2O*kgtoGg)</f>
        <v>1.1807984846872717</v>
      </c>
      <c r="Q1015" s="101">
        <f>IF('Net zero activities &amp; levers'!$C$12="Off",SUM('Activity data'!AJ50:AJ65)*FracGASM*MSVolatEF*NtoN2O*kgtoGg,SUM('Net zero Activity data'!AJ50:AJ65)*FracGASM*MSVolatEF*NtoN2O*kgtoGg)</f>
        <v>1.1777806975328995</v>
      </c>
      <c r="R1015" s="101">
        <f>IF('Net zero activities &amp; levers'!$C$12="Off",SUM('Activity data'!AK50:AK65)*FracGASM*MSVolatEF*NtoN2O*kgtoGg,SUM('Net zero Activity data'!AK50:AK65)*FracGASM*MSVolatEF*NtoN2O*kgtoGg)</f>
        <v>1.1565987272959932</v>
      </c>
      <c r="S1015" s="101">
        <f>IF('Net zero activities &amp; levers'!$C$12="Off",SUM('Activity data'!AL50:AL65)*FracGASM*MSVolatEF*NtoN2O*kgtoGg,SUM('Net zero Activity data'!AL50:AL65)*FracGASM*MSVolatEF*NtoN2O*kgtoGg)</f>
        <v>1.0565661190304907</v>
      </c>
      <c r="T1015" s="101">
        <f>IF('Net zero activities &amp; levers'!$C$12="Off",SUM('Activity data'!AM50:AM65)*FracGASM*MSVolatEF*NtoN2O*kgtoGg,SUM('Net zero Activity data'!AM50:AM65)*FracGASM*MSVolatEF*NtoN2O*kgtoGg)</f>
        <v>1.0684927645732112</v>
      </c>
      <c r="U1015" s="101">
        <f>IF('Net zero activities &amp; levers'!$C$12="Off",SUM('Activity data'!AN50:AN65)*FracGASM*MSVolatEF*NtoN2O*kgtoGg,SUM('Net zero Activity data'!AN50:AN65)*FracGASM*MSVolatEF*NtoN2O*kgtoGg)</f>
        <v>1.0702527805919764</v>
      </c>
      <c r="V1015" s="101">
        <f>IF('Net zero activities &amp; levers'!$C$12="Off",SUM('Activity data'!AO50:AO65)*FracGASM*MSVolatEF*NtoN2O*kgtoGg,SUM('Net zero Activity data'!AO50:AO65)*FracGASM*MSVolatEF*NtoN2O*kgtoGg)</f>
        <v>1.0696353169860278</v>
      </c>
      <c r="W1015" s="101">
        <f>IF('Net zero activities &amp; levers'!$C$12="Off",SUM('Activity data'!AP50:AP65)*FracGASM*MSVolatEF*NtoN2O*kgtoGg,SUM('Net zero Activity data'!AP50:AP65)*FracGASM*MSVolatEF*NtoN2O*kgtoGg)</f>
        <v>1.0722461311400984</v>
      </c>
      <c r="X1015" s="101">
        <f>IF('Net zero activities &amp; levers'!$C$12="Off",SUM('Activity data'!AQ50:AQ65)*FracGASM*MSVolatEF*NtoN2O*kgtoGg,SUM('Net zero Activity data'!AQ50:AQ65)*FracGASM*MSVolatEF*NtoN2O*kgtoGg)</f>
        <v>1.0861760491741277</v>
      </c>
      <c r="Y1015" s="101">
        <f>IF('Net zero activities &amp; levers'!$C$12="Off",SUM('Activity data'!AR50:AR65)*FracGASM*MSVolatEF*NtoN2O*kgtoGg,SUM('Net zero Activity data'!AR50:AR65)*FracGASM*MSVolatEF*NtoN2O*kgtoGg)</f>
        <v>1.1021417757889802</v>
      </c>
      <c r="Z1015" s="101">
        <f>IF('Net zero activities &amp; levers'!$C$12="Off",SUM('Activity data'!AS50:AS65)*FracGASM*MSVolatEF*NtoN2O*kgtoGg,SUM('Net zero Activity data'!AS50:AS65)*FracGASM*MSVolatEF*NtoN2O*kgtoGg)</f>
        <v>1.1202081286076917</v>
      </c>
      <c r="AA1015" s="101">
        <f>IF('Net zero activities &amp; levers'!$C$12="Off",SUM('Activity data'!AT50:AT65)*FracGASM*MSVolatEF*NtoN2O*kgtoGg,SUM('Net zero Activity data'!AT50:AT65)*FracGASM*MSVolatEF*NtoN2O*kgtoGg)</f>
        <v>1.1329890262354669</v>
      </c>
      <c r="AB1015" s="101">
        <f>IF('Net zero activities &amp; levers'!$C$12="Off",SUM('Activity data'!AU50:AU65)*FracGASM*MSVolatEF*NtoN2O*kgtoGg,SUM('Net zero Activity data'!AU50:AU65)*FracGASM*MSVolatEF*NtoN2O*kgtoGg)</f>
        <v>1.1501146239129354</v>
      </c>
      <c r="AC1015" s="101">
        <f>IF('Net zero activities &amp; levers'!$C$12="Off",SUM('Activity data'!AV50:AV65)*FracGASM*MSVolatEF*NtoN2O*kgtoGg,SUM('Net zero Activity data'!AV50:AV65)*FracGASM*MSVolatEF*NtoN2O*kgtoGg)</f>
        <v>1.172496821068945</v>
      </c>
      <c r="AD1015" s="101">
        <f>IF('Net zero activities &amp; levers'!$C$12="Off",SUM('Activity data'!AW50:AW65)*FracGASM*MSVolatEF*NtoN2O*kgtoGg,SUM('Net zero Activity data'!AW50:AW65)*FracGASM*MSVolatEF*NtoN2O*kgtoGg)</f>
        <v>1.1979085986487263</v>
      </c>
      <c r="AE1015" s="101">
        <f>IF('Net zero activities &amp; levers'!$C$12="Off",SUM('Activity data'!AX50:AX65)*FracGASM*MSVolatEF*NtoN2O*kgtoGg,SUM('Net zero Activity data'!AX50:AX65)*FracGASM*MSVolatEF*NtoN2O*kgtoGg)</f>
        <v>1.2243957490690975</v>
      </c>
      <c r="AF1015" s="101">
        <f>IF('Net zero activities &amp; levers'!$C$12="Off",SUM('Activity data'!AY50:AY65)*FracGASM*MSVolatEF*NtoN2O*kgtoGg,SUM('Net zero Activity data'!AY50:AY65)*FracGASM*MSVolatEF*NtoN2O*kgtoGg)</f>
        <v>1.2509879388576197</v>
      </c>
      <c r="AG1015" s="101">
        <f>IF('Net zero activities &amp; levers'!$C$12="Off",SUM('Activity data'!AZ50:AZ65)*FracGASM*MSVolatEF*NtoN2O*kgtoGg,SUM('Net zero Activity data'!AZ50:AZ65)*FracGASM*MSVolatEF*NtoN2O*kgtoGg)</f>
        <v>1.2816441472986866</v>
      </c>
      <c r="AH1015" s="101">
        <f>IF('Net zero activities &amp; levers'!$C$12="Off",SUM('Activity data'!BA50:BA65)*FracGASM*MSVolatEF*NtoN2O*kgtoGg,SUM('Net zero Activity data'!BA50:BA65)*FracGASM*MSVolatEF*NtoN2O*kgtoGg)</f>
        <v>1.3059245294571702</v>
      </c>
      <c r="AI1015" s="101">
        <f>IF('Net zero activities &amp; levers'!$C$12="Off",SUM('Activity data'!BB50:BB65)*FracGASM*MSVolatEF*NtoN2O*kgtoGg,SUM('Net zero Activity data'!BB50:BB65)*FracGASM*MSVolatEF*NtoN2O*kgtoGg)</f>
        <v>1.3318961794603357</v>
      </c>
      <c r="AJ1015" s="101">
        <f>IF('Net zero activities &amp; levers'!$C$12="Off",SUM('Activity data'!BC50:BC65)*FracGASM*MSVolatEF*NtoN2O*kgtoGg,SUM('Net zero Activity data'!BC50:BC65)*FracGASM*MSVolatEF*NtoN2O*kgtoGg)</f>
        <v>1.3578641162351774</v>
      </c>
      <c r="AK1015" s="101">
        <f>IF('Net zero activities &amp; levers'!$C$12="Off",SUM('Activity data'!BD50:BD65)*FracGASM*MSVolatEF*NtoN2O*kgtoGg,SUM('Net zero Activity data'!BD50:BD65)*FracGASM*MSVolatEF*NtoN2O*kgtoGg)</f>
        <v>1.3811750190390291</v>
      </c>
      <c r="AL1015" s="101">
        <f>IF('Net zero activities &amp; levers'!$C$12="Off",SUM('Activity data'!BE50:BE65)*FracGASM*MSVolatEF*NtoN2O*kgtoGg,SUM('Net zero Activity data'!BE50:BE65)*FracGASM*MSVolatEF*NtoN2O*kgtoGg)</f>
        <v>1.4037067864985424</v>
      </c>
      <c r="AM1015" s="101">
        <f>IF('Net zero activities &amp; levers'!$C$12="Off",SUM('Activity data'!BF50:BF65)*FracGASM*MSVolatEF*NtoN2O*kgtoGg,SUM('Net zero Activity data'!BF50:BF65)*FracGASM*MSVolatEF*NtoN2O*kgtoGg)</f>
        <v>1.4270686690378227</v>
      </c>
      <c r="AN1015" s="101">
        <f>IF('Net zero activities &amp; levers'!$C$12="Off",SUM('Activity data'!BG50:BG65)*FracGASM*MSVolatEF*NtoN2O*kgtoGg,SUM('Net zero Activity data'!BG50:BG65)*FracGASM*MSVolatEF*NtoN2O*kgtoGg)</f>
        <v>1.4585099159297195</v>
      </c>
      <c r="AO1015" s="101">
        <f>IF('Net zero activities &amp; levers'!$C$12="Off",SUM('Activity data'!BH50:BH65)*FracGASM*MSVolatEF*NtoN2O*kgtoGg,SUM('Net zero Activity data'!BH50:BH65)*FracGASM*MSVolatEF*NtoN2O*kgtoGg)</f>
        <v>1.4869035790504848</v>
      </c>
      <c r="AP1015" s="101">
        <f>IF('Net zero activities &amp; levers'!$C$12="Off",SUM('Activity data'!BI50:BI65)*FracGASM*MSVolatEF*NtoN2O*kgtoGg,SUM('Net zero Activity data'!BI50:BI65)*FracGASM*MSVolatEF*NtoN2O*kgtoGg)</f>
        <v>1.5154084196309374</v>
      </c>
      <c r="AQ1015" s="101">
        <f>IF('Net zero activities &amp; levers'!$C$12="Off",SUM('Activity data'!BJ50:BJ65)*FracGASM*MSVolatEF*NtoN2O*kgtoGg,SUM('Net zero Activity data'!BJ50:BJ65)*FracGASM*MSVolatEF*NtoN2O*kgtoGg)</f>
        <v>1.5441010689640955</v>
      </c>
      <c r="AR1015" s="101">
        <f>IF('Net zero activities &amp; levers'!$C$12="Off",SUM('Activity data'!BK50:BK65)*FracGASM*MSVolatEF*NtoN2O*kgtoGg,SUM('Net zero Activity data'!BK50:BK65)*FracGASM*MSVolatEF*NtoN2O*kgtoGg)</f>
        <v>1.5751401788854675</v>
      </c>
      <c r="AS1015" s="101">
        <f>IF('Net zero activities &amp; levers'!$C$12="Off",SUM('Activity data'!BL50:BL65)*FracGASM*MSVolatEF*NtoN2O*kgtoGg,SUM('Net zero Activity data'!BL50:BL65)*FracGASM*MSVolatEF*NtoN2O*kgtoGg)</f>
        <v>1.6067215643245571</v>
      </c>
      <c r="AT1015" s="101">
        <f>IF('Net zero activities &amp; levers'!$C$12="Off",SUM('Activity data'!BM50:BM65)*FracGASM*MSVolatEF*NtoN2O*kgtoGg,SUM('Net zero Activity data'!BM50:BM65)*FracGASM*MSVolatEF*NtoN2O*kgtoGg)</f>
        <v>1.6180512546164498</v>
      </c>
      <c r="AU1015" s="101">
        <f>IF('Net zero activities &amp; levers'!$C$12="Off",SUM('Activity data'!BN50:BN65)*FracGASM*MSVolatEF*NtoN2O*kgtoGg,SUM('Net zero Activity data'!BN50:BN65)*FracGASM*MSVolatEF*NtoN2O*kgtoGg)</f>
        <v>1.627869685701457</v>
      </c>
      <c r="AV1015" s="101">
        <f>IF('Net zero activities &amp; levers'!$C$12="Off",SUM('Activity data'!BO50:BO65)*FracGASM*MSVolatEF*NtoN2O*kgtoGg,SUM('Net zero Activity data'!BO50:BO65)*FracGASM*MSVolatEF*NtoN2O*kgtoGg)</f>
        <v>1.6402145336451255</v>
      </c>
      <c r="AW1015" s="101">
        <f>IF('Net zero activities &amp; levers'!$C$12="Off",SUM('Activity data'!BP50:BP65)*FracGASM*MSVolatEF*NtoN2O*kgtoGg,SUM('Net zero Activity data'!BP50:BP65)*FracGASM*MSVolatEF*NtoN2O*kgtoGg)</f>
        <v>1.6512918057146522</v>
      </c>
      <c r="AY1015" s="85"/>
      <c r="AZ1015" s="85"/>
    </row>
    <row r="1016" spans="1:52" x14ac:dyDescent="0.25">
      <c r="A1016" s="102" t="str">
        <f t="shared" si="345"/>
        <v>DS Volatilisation</v>
      </c>
      <c r="B1016" s="102" t="s">
        <v>975</v>
      </c>
      <c r="C1016" s="102" t="s">
        <v>62</v>
      </c>
      <c r="D1016" t="s">
        <v>369</v>
      </c>
      <c r="E1016" t="s">
        <v>61</v>
      </c>
      <c r="F1016" t="s">
        <v>62</v>
      </c>
      <c r="G1016" t="s">
        <v>438</v>
      </c>
      <c r="H1016" t="s">
        <v>1266</v>
      </c>
      <c r="I1016" t="s">
        <v>139</v>
      </c>
      <c r="J1016" t="s">
        <v>287</v>
      </c>
      <c r="K1016" s="101">
        <f>IF('Net zero activities &amp; levers'!$C$12="Off",SUM('Activity data'!AD66:AD81)*FracGASM*MSVolatEF*NtoN2O*kgtoGg,SUM('Net zero Activity data'!AD66:AD81)*FracGASM*MSVolatEF*NtoN2O*kgtoGg)</f>
        <v>4.4098974147867755</v>
      </c>
      <c r="L1016" s="101">
        <f>IF('Net zero activities &amp; levers'!$C$12="Off",SUM('Activity data'!AE66:AE81)*FracGASM*MSVolatEF*NtoN2O*kgtoGg,SUM('Net zero Activity data'!AE66:AE81)*FracGASM*MSVolatEF*NtoN2O*kgtoGg)</f>
        <v>4.4002705988392581</v>
      </c>
      <c r="M1016" s="101">
        <f>IF('Net zero activities &amp; levers'!$C$12="Off",SUM('Activity data'!AF66:AF81)*FracGASM*MSVolatEF*NtoN2O*kgtoGg,SUM('Net zero Activity data'!AF66:AF81)*FracGASM*MSVolatEF*NtoN2O*kgtoGg)</f>
        <v>4.3810790490560496</v>
      </c>
      <c r="N1016" s="101">
        <f>IF('Net zero activities &amp; levers'!$C$12="Off",SUM('Activity data'!AG66:AG81)*FracGASM*MSVolatEF*NtoN2O*kgtoGg,SUM('Net zero Activity data'!AG66:AG81)*FracGASM*MSVolatEF*NtoN2O*kgtoGg)</f>
        <v>4.3210884872533324</v>
      </c>
      <c r="O1016" s="101">
        <f>IF('Net zero activities &amp; levers'!$C$12="Off",SUM('Activity data'!AH66:AH81)*FracGASM*MSVolatEF*NtoN2O*kgtoGg,SUM('Net zero Activity data'!AH66:AH81)*FracGASM*MSVolatEF*NtoN2O*kgtoGg)</f>
        <v>4.2648964492483783</v>
      </c>
      <c r="P1016" s="101">
        <f>IF('Net zero activities &amp; levers'!$C$12="Off",SUM('Activity data'!AI66:AI81)*FracGASM*MSVolatEF*NtoN2O*kgtoGg,SUM('Net zero Activity data'!AI66:AI81)*FracGASM*MSVolatEF*NtoN2O*kgtoGg)</f>
        <v>4.2527084614653266</v>
      </c>
      <c r="Q1016" s="101">
        <f>IF('Net zero activities &amp; levers'!$C$12="Off",SUM('Activity data'!AJ66:AJ81)*FracGASM*MSVolatEF*NtoN2O*kgtoGg,SUM('Net zero Activity data'!AJ66:AJ81)*FracGASM*MSVolatEF*NtoN2O*kgtoGg)</f>
        <v>4.2283311412429541</v>
      </c>
      <c r="R1016" s="101">
        <f>IF('Net zero activities &amp; levers'!$C$12="Off",SUM('Activity data'!AK66:AK81)*FracGASM*MSVolatEF*NtoN2O*kgtoGg,SUM('Net zero Activity data'!AK66:AK81)*FracGASM*MSVolatEF*NtoN2O*kgtoGg)</f>
        <v>4.1624951000433894</v>
      </c>
      <c r="S1016" s="101">
        <f>IF('Net zero activities &amp; levers'!$C$12="Off",SUM('Activity data'!AL66:AL81)*FracGASM*MSVolatEF*NtoN2O*kgtoGg,SUM('Net zero Activity data'!AL66:AL81)*FracGASM*MSVolatEF*NtoN2O*kgtoGg)</f>
        <v>3.918294133105289</v>
      </c>
      <c r="T1016" s="101">
        <f>IF('Net zero activities &amp; levers'!$C$12="Off",SUM('Activity data'!AM66:AM81)*FracGASM*MSVolatEF*NtoN2O*kgtoGg,SUM('Net zero Activity data'!AM66:AM81)*FracGASM*MSVolatEF*NtoN2O*kgtoGg)</f>
        <v>3.9094554658256615</v>
      </c>
      <c r="U1016" s="101">
        <f>IF('Net zero activities &amp; levers'!$C$12="Off",SUM('Activity data'!AN66:AN81)*FracGASM*MSVolatEF*NtoN2O*kgtoGg,SUM('Net zero Activity data'!AN66:AN81)*FracGASM*MSVolatEF*NtoN2O*kgtoGg)</f>
        <v>3.877702947461644</v>
      </c>
      <c r="V1016" s="101">
        <f>IF('Net zero activities &amp; levers'!$C$12="Off",SUM('Activity data'!AO66:AO81)*FracGASM*MSVolatEF*NtoN2O*kgtoGg,SUM('Net zero Activity data'!AO66:AO81)*FracGASM*MSVolatEF*NtoN2O*kgtoGg)</f>
        <v>3.8410773123735567</v>
      </c>
      <c r="W1016" s="101">
        <f>IF('Net zero activities &amp; levers'!$C$12="Off",SUM('Activity data'!AP66:AP81)*FracGASM*MSVolatEF*NtoN2O*kgtoGg,SUM('Net zero Activity data'!AP66:AP81)*FracGASM*MSVolatEF*NtoN2O*kgtoGg)</f>
        <v>3.8116703390080144</v>
      </c>
      <c r="X1016" s="101">
        <f>IF('Net zero activities &amp; levers'!$C$12="Off",SUM('Activity data'!AQ66:AQ81)*FracGASM*MSVolatEF*NtoN2O*kgtoGg,SUM('Net zero Activity data'!AQ66:AQ81)*FracGASM*MSVolatEF*NtoN2O*kgtoGg)</f>
        <v>3.8057260526451939</v>
      </c>
      <c r="Y1016" s="101">
        <f>IF('Net zero activities &amp; levers'!$C$12="Off",SUM('Activity data'!AR66:AR81)*FracGASM*MSVolatEF*NtoN2O*kgtoGg,SUM('Net zero Activity data'!AR66:AR81)*FracGASM*MSVolatEF*NtoN2O*kgtoGg)</f>
        <v>3.8008837739646015</v>
      </c>
      <c r="Z1016" s="101">
        <f>IF('Net zero activities &amp; levers'!$C$12="Off",SUM('Activity data'!AS66:AS81)*FracGASM*MSVolatEF*NtoN2O*kgtoGg,SUM('Net zero Activity data'!AS66:AS81)*FracGASM*MSVolatEF*NtoN2O*kgtoGg)</f>
        <v>3.799155232313066</v>
      </c>
      <c r="AA1016" s="101">
        <f>IF('Net zero activities &amp; levers'!$C$12="Off",SUM('Activity data'!AT66:AT81)*FracGASM*MSVolatEF*NtoN2O*kgtoGg,SUM('Net zero Activity data'!AT66:AT81)*FracGASM*MSVolatEF*NtoN2O*kgtoGg)</f>
        <v>3.78600744121493</v>
      </c>
      <c r="AB1016" s="101">
        <f>IF('Net zero activities &amp; levers'!$C$12="Off",SUM('Activity data'!AU66:AU81)*FracGASM*MSVolatEF*NtoN2O*kgtoGg,SUM('Net zero Activity data'!AU66:AU81)*FracGASM*MSVolatEF*NtoN2O*kgtoGg)</f>
        <v>3.7803184625182324</v>
      </c>
      <c r="AC1016" s="101">
        <f>IF('Net zero activities &amp; levers'!$C$12="Off",SUM('Activity data'!AV66:AV81)*FracGASM*MSVolatEF*NtoN2O*kgtoGg,SUM('Net zero Activity data'!AV66:AV81)*FracGASM*MSVolatEF*NtoN2O*kgtoGg)</f>
        <v>3.7832285031623267</v>
      </c>
      <c r="AD1016" s="101">
        <f>IF('Net zero activities &amp; levers'!$C$12="Off",SUM('Activity data'!AW66:AW81)*FracGASM*MSVolatEF*NtoN2O*kgtoGg,SUM('Net zero Activity data'!AW66:AW81)*FracGASM*MSVolatEF*NtoN2O*kgtoGg)</f>
        <v>3.7969050542548697</v>
      </c>
      <c r="AE1016" s="101">
        <f>IF('Net zero activities &amp; levers'!$C$12="Off",SUM('Activity data'!AX66:AX81)*FracGASM*MSVolatEF*NtoN2O*kgtoGg,SUM('Net zero Activity data'!AX66:AX81)*FracGASM*MSVolatEF*NtoN2O*kgtoGg)</f>
        <v>3.8109513974169373</v>
      </c>
      <c r="AF1016" s="101">
        <f>IF('Net zero activities &amp; levers'!$C$12="Off",SUM('Activity data'!AY66:AY81)*FracGASM*MSVolatEF*NtoN2O*kgtoGg,SUM('Net zero Activity data'!AY66:AY81)*FracGASM*MSVolatEF*NtoN2O*kgtoGg)</f>
        <v>3.8235596765952109</v>
      </c>
      <c r="AG1016" s="101">
        <f>IF('Net zero activities &amp; levers'!$C$12="Off",SUM('Activity data'!AZ66:AZ81)*FracGASM*MSVolatEF*NtoN2O*kgtoGg,SUM('Net zero Activity data'!AZ66:AZ81)*FracGASM*MSVolatEF*NtoN2O*kgtoGg)</f>
        <v>3.8414979630433996</v>
      </c>
      <c r="AH1016" s="101">
        <f>IF('Net zero activities &amp; levers'!$C$12="Off",SUM('Activity data'!BA66:BA81)*FracGASM*MSVolatEF*NtoN2O*kgtoGg,SUM('Net zero Activity data'!BA66:BA81)*FracGASM*MSVolatEF*NtoN2O*kgtoGg)</f>
        <v>3.8468234512709829</v>
      </c>
      <c r="AI1016" s="101">
        <f>IF('Net zero activities &amp; levers'!$C$12="Off",SUM('Activity data'!BB66:BB81)*FracGASM*MSVolatEF*NtoN2O*kgtoGg,SUM('Net zero Activity data'!BB66:BB81)*FracGASM*MSVolatEF*NtoN2O*kgtoGg)</f>
        <v>3.8518298493752332</v>
      </c>
      <c r="AJ1016" s="101">
        <f>IF('Net zero activities &amp; levers'!$C$12="Off",SUM('Activity data'!BC66:BC81)*FracGASM*MSVolatEF*NtoN2O*kgtoGg,SUM('Net zero Activity data'!BC66:BC81)*FracGASM*MSVolatEF*NtoN2O*kgtoGg)</f>
        <v>3.8552367051402725</v>
      </c>
      <c r="AK1016" s="101">
        <f>IF('Net zero activities &amp; levers'!$C$12="Off",SUM('Activity data'!BD66:BD81)*FracGASM*MSVolatEF*NtoN2O*kgtoGg,SUM('Net zero Activity data'!BD66:BD81)*FracGASM*MSVolatEF*NtoN2O*kgtoGg)</f>
        <v>3.8528613565997087</v>
      </c>
      <c r="AL1016" s="101">
        <f>IF('Net zero activities &amp; levers'!$C$12="Off",SUM('Activity data'!BE66:BE81)*FracGASM*MSVolatEF*NtoN2O*kgtoGg,SUM('Net zero Activity data'!BE66:BE81)*FracGASM*MSVolatEF*NtoN2O*kgtoGg)</f>
        <v>3.8478806790882416</v>
      </c>
      <c r="AM1016" s="101">
        <f>IF('Net zero activities &amp; levers'!$C$12="Off",SUM('Activity data'!BF66:BF81)*FracGASM*MSVolatEF*NtoN2O*kgtoGg,SUM('Net zero Activity data'!BF66:BF81)*FracGASM*MSVolatEF*NtoN2O*kgtoGg)</f>
        <v>3.8428151835648134</v>
      </c>
      <c r="AN1016" s="101">
        <f>IF('Net zero activities &amp; levers'!$C$12="Off",SUM('Activity data'!BG66:BG81)*FracGASM*MSVolatEF*NtoN2O*kgtoGg,SUM('Net zero Activity data'!BG66:BG81)*FracGASM*MSVolatEF*NtoN2O*kgtoGg)</f>
        <v>3.8590032449408467</v>
      </c>
      <c r="AO1016" s="101">
        <f>IF('Net zero activities &amp; levers'!$C$12="Off",SUM('Activity data'!BH66:BH81)*FracGASM*MSVolatEF*NtoN2O*kgtoGg,SUM('Net zero Activity data'!BH66:BH81)*FracGASM*MSVolatEF*NtoN2O*kgtoGg)</f>
        <v>3.8694093322077223</v>
      </c>
      <c r="AP1016" s="101">
        <f>IF('Net zero activities &amp; levers'!$C$12="Off",SUM('Activity data'!BI66:BI81)*FracGASM*MSVolatEF*NtoN2O*kgtoGg,SUM('Net zero Activity data'!BI66:BI81)*FracGASM*MSVolatEF*NtoN2O*kgtoGg)</f>
        <v>3.878804470519384</v>
      </c>
      <c r="AQ1016" s="101">
        <f>IF('Net zero activities &amp; levers'!$C$12="Off",SUM('Activity data'!BJ66:BJ81)*FracGASM*MSVolatEF*NtoN2O*kgtoGg,SUM('Net zero Activity data'!BJ66:BJ81)*FracGASM*MSVolatEF*NtoN2O*kgtoGg)</f>
        <v>3.8872949235049337</v>
      </c>
      <c r="AR1016" s="101">
        <f>IF('Net zero activities &amp; levers'!$C$12="Off",SUM('Activity data'!BK66:BK81)*FracGASM*MSVolatEF*NtoN2O*kgtoGg,SUM('Net zero Activity data'!BK66:BK81)*FracGASM*MSVolatEF*NtoN2O*kgtoGg)</f>
        <v>3.8978721198643798</v>
      </c>
      <c r="AS1016" s="101">
        <f>IF('Net zero activities &amp; levers'!$C$12="Off",SUM('Activity data'!BL66:BL81)*FracGASM*MSVolatEF*NtoN2O*kgtoGg,SUM('Net zero Activity data'!BL66:BL81)*FracGASM*MSVolatEF*NtoN2O*kgtoGg)</f>
        <v>3.9064024807311188</v>
      </c>
      <c r="AT1016" s="101">
        <f>IF('Net zero activities &amp; levers'!$C$12="Off",SUM('Activity data'!BM66:BM81)*FracGASM*MSVolatEF*NtoN2O*kgtoGg,SUM('Net zero Activity data'!BM66:BM81)*FracGASM*MSVolatEF*NtoN2O*kgtoGg)</f>
        <v>3.8864864934815544</v>
      </c>
      <c r="AU1016" s="101">
        <f>IF('Net zero activities &amp; levers'!$C$12="Off",SUM('Activity data'!BN66:BN81)*FracGASM*MSVolatEF*NtoN2O*kgtoGg,SUM('Net zero Activity data'!BN66:BN81)*FracGASM*MSVolatEF*NtoN2O*kgtoGg)</f>
        <v>3.8642672449103275</v>
      </c>
      <c r="AV1016" s="101">
        <f>IF('Net zero activities &amp; levers'!$C$12="Off",SUM('Activity data'!BO66:BO81)*FracGASM*MSVolatEF*NtoN2O*kgtoGg,SUM('Net zero Activity data'!BO66:BO81)*FracGASM*MSVolatEF*NtoN2O*kgtoGg)</f>
        <v>3.84507736383995</v>
      </c>
      <c r="AW1016" s="101">
        <f>IF('Net zero activities &amp; levers'!$C$12="Off",SUM('Activity data'!BP66:BP81)*FracGASM*MSVolatEF*NtoN2O*kgtoGg,SUM('Net zero Activity data'!BP66:BP81)*FracGASM*MSVolatEF*NtoN2O*kgtoGg)</f>
        <v>3.8239280167895591</v>
      </c>
      <c r="AY1016" s="85"/>
      <c r="AZ1016" s="85"/>
    </row>
    <row r="1017" spans="1:52" x14ac:dyDescent="0.25">
      <c r="A1017" s="102" t="str">
        <f t="shared" si="345"/>
        <v>DS Leaching</v>
      </c>
      <c r="B1017" s="102" t="s">
        <v>975</v>
      </c>
      <c r="C1017" s="102" t="s">
        <v>1191</v>
      </c>
      <c r="D1017" t="s">
        <v>369</v>
      </c>
      <c r="E1017" t="s">
        <v>61</v>
      </c>
      <c r="F1017" t="s">
        <v>63</v>
      </c>
      <c r="G1017" t="s">
        <v>435</v>
      </c>
      <c r="H1017" t="s">
        <v>1188</v>
      </c>
      <c r="I1017" t="s">
        <v>139</v>
      </c>
      <c r="J1017" t="s">
        <v>287</v>
      </c>
      <c r="K1017" s="22">
        <f t="shared" ref="K1017" si="354">K1514</f>
        <v>2.2792360161858692E-4</v>
      </c>
      <c r="L1017" s="22">
        <f t="shared" ref="L1017:AW1017" si="355">L1514</f>
        <v>2.278954782162738E-4</v>
      </c>
      <c r="M1017" s="22">
        <f t="shared" si="355"/>
        <v>2.2784833455264354E-4</v>
      </c>
      <c r="N1017" s="22">
        <f t="shared" si="355"/>
        <v>2.2780821234926642E-4</v>
      </c>
      <c r="O1017" s="22">
        <f t="shared" si="355"/>
        <v>2.2779508396212562E-4</v>
      </c>
      <c r="P1017" s="22">
        <f t="shared" si="355"/>
        <v>2.2778179595055463E-4</v>
      </c>
      <c r="Q1017" s="22">
        <f t="shared" si="355"/>
        <v>2.2774128612235473E-4</v>
      </c>
      <c r="R1017" s="22">
        <f t="shared" si="355"/>
        <v>2.2770953982641034E-4</v>
      </c>
      <c r="S1017" s="22">
        <f t="shared" si="355"/>
        <v>2.2770740248580869E-4</v>
      </c>
      <c r="T1017" s="22">
        <f t="shared" si="355"/>
        <v>2.2783945148459591E-4</v>
      </c>
      <c r="U1017" s="22">
        <f t="shared" si="355"/>
        <v>2.2776722565809031E-4</v>
      </c>
      <c r="V1017" s="22">
        <f t="shared" si="355"/>
        <v>2.2771260047953912E-4</v>
      </c>
      <c r="W1017" s="22">
        <f t="shared" si="355"/>
        <v>2.2766223862224547E-4</v>
      </c>
      <c r="X1017" s="22">
        <f t="shared" si="355"/>
        <v>2.276062837836578E-4</v>
      </c>
      <c r="Y1017" s="22">
        <f t="shared" si="355"/>
        <v>2.2753024157466073E-4</v>
      </c>
      <c r="Z1017" s="22">
        <f t="shared" si="355"/>
        <v>2.2745061636443892E-4</v>
      </c>
      <c r="AA1017" s="22">
        <f t="shared" si="355"/>
        <v>2.2736725195788982E-4</v>
      </c>
      <c r="AB1017" s="22">
        <f t="shared" si="355"/>
        <v>2.2729316057836611E-4</v>
      </c>
      <c r="AC1017" s="22">
        <f t="shared" si="355"/>
        <v>2.2721142272582082E-4</v>
      </c>
      <c r="AD1017" s="22">
        <f t="shared" si="355"/>
        <v>2.2712057079726826E-4</v>
      </c>
      <c r="AE1017" s="22">
        <f t="shared" si="355"/>
        <v>2.2703354847643673E-4</v>
      </c>
      <c r="AF1017" s="22">
        <f t="shared" si="355"/>
        <v>2.26945075231808E-4</v>
      </c>
      <c r="AG1017" s="22">
        <f t="shared" si="355"/>
        <v>2.2685685526686305E-4</v>
      </c>
      <c r="AH1017" s="22">
        <f t="shared" si="355"/>
        <v>2.2676233626526071E-4</v>
      </c>
      <c r="AI1017" s="22">
        <f t="shared" si="355"/>
        <v>2.2667888951524015E-4</v>
      </c>
      <c r="AJ1017" s="22">
        <f t="shared" si="355"/>
        <v>2.2659312831646165E-4</v>
      </c>
      <c r="AK1017" s="22">
        <f t="shared" si="355"/>
        <v>2.2650782823372401E-4</v>
      </c>
      <c r="AL1017" s="22">
        <f t="shared" si="355"/>
        <v>2.2642722069550987E-4</v>
      </c>
      <c r="AM1017" s="22">
        <f t="shared" si="355"/>
        <v>2.2634823417440697E-4</v>
      </c>
      <c r="AN1017" s="22">
        <f t="shared" si="355"/>
        <v>2.2626833024893425E-4</v>
      </c>
      <c r="AO1017" s="22">
        <f t="shared" si="355"/>
        <v>2.2618677426504506E-4</v>
      </c>
      <c r="AP1017" s="22">
        <f t="shared" si="355"/>
        <v>2.2611064451268553E-4</v>
      </c>
      <c r="AQ1017" s="22">
        <f t="shared" si="355"/>
        <v>2.2603500754843689E-4</v>
      </c>
      <c r="AR1017" s="22">
        <f t="shared" si="355"/>
        <v>2.2595974968345244E-4</v>
      </c>
      <c r="AS1017" s="22">
        <f t="shared" si="355"/>
        <v>2.2588172291595847E-4</v>
      </c>
      <c r="AT1017" s="22">
        <f t="shared" si="355"/>
        <v>2.25803682553791E-4</v>
      </c>
      <c r="AU1017" s="22">
        <f t="shared" si="355"/>
        <v>2.2575526504980067E-4</v>
      </c>
      <c r="AV1017" s="22">
        <f t="shared" si="355"/>
        <v>2.2570923868836588E-4</v>
      </c>
      <c r="AW1017" s="22">
        <f t="shared" si="355"/>
        <v>2.2565983156188431E-4</v>
      </c>
      <c r="AY1017" s="85"/>
      <c r="AZ1017" s="85"/>
    </row>
    <row r="1018" spans="1:52" x14ac:dyDescent="0.25">
      <c r="A1018" s="102" t="str">
        <f t="shared" si="345"/>
        <v>DS Leaching</v>
      </c>
      <c r="B1018" s="102" t="s">
        <v>975</v>
      </c>
      <c r="C1018" s="102" t="s">
        <v>1191</v>
      </c>
      <c r="D1018" t="s">
        <v>369</v>
      </c>
      <c r="E1018" t="s">
        <v>61</v>
      </c>
      <c r="F1018" t="s">
        <v>63</v>
      </c>
      <c r="G1018" t="s">
        <v>436</v>
      </c>
      <c r="H1018" t="s">
        <v>1189</v>
      </c>
      <c r="I1018" t="s">
        <v>139</v>
      </c>
      <c r="J1018" t="s">
        <v>287</v>
      </c>
      <c r="K1018" s="101">
        <f>IF('Net zero activities &amp; levers'!$C$12="Off",'Activity data'!AD48*FracLEACH*MSLeachEF*NtoN2O*kgtoGg,'Net zero Activity data'!H48*FracLEACH*MSLeachEF*NtoN2O*kgtoGg)</f>
        <v>1.2297683404285713E-6</v>
      </c>
      <c r="L1018" s="101">
        <f>IF('Net zero activities &amp; levers'!$C$12="Off",'Activity data'!AE48*FracLEACH*MSLeachEF*NtoN2O*kgtoGg,'Net zero Activity data'!I48*FracLEACH*MSLeachEF*NtoN2O*kgtoGg)</f>
        <v>1.3061473778571428E-6</v>
      </c>
      <c r="M1018" s="101">
        <f>IF('Net zero activities &amp; levers'!$C$12="Off",'Activity data'!AF48*FracLEACH*MSLeachEF*NtoN2O*kgtoGg,'Net zero Activity data'!J48*FracLEACH*MSLeachEF*NtoN2O*kgtoGg)</f>
        <v>1.2434940964285714E-6</v>
      </c>
      <c r="N1018" s="101">
        <f>IF('Net zero activities &amp; levers'!$C$12="Off",'Activity data'!AG48*FracLEACH*MSLeachEF*NtoN2O*kgtoGg,'Net zero Activity data'!K48*FracLEACH*MSLeachEF*NtoN2O*kgtoGg)</f>
        <v>1.4615246532857147E-6</v>
      </c>
      <c r="O1018" s="101">
        <f>IF('Net zero activities &amp; levers'!$C$12="Off",'Activity data'!AH48*FracLEACH*MSLeachEF*NtoN2O*kgtoGg,'Net zero Activity data'!L48*FracLEACH*MSLeachEF*NtoN2O*kgtoGg)</f>
        <v>1.3420397288571429E-6</v>
      </c>
      <c r="P1018" s="101">
        <f>IF('Net zero activities &amp; levers'!$C$12="Off",'Activity data'!AI48*FracLEACH*MSLeachEF*NtoN2O*kgtoGg,'Net zero Activity data'!M48*FracLEACH*MSLeachEF*NtoN2O*kgtoGg)</f>
        <v>1.3292478681428569E-6</v>
      </c>
      <c r="Q1018" s="101">
        <f>IF('Net zero activities &amp; levers'!$C$12="Off",'Activity data'!AJ48*FracLEACH*MSLeachEF*NtoN2O*kgtoGg,'Net zero Activity data'!N48*FracLEACH*MSLeachEF*NtoN2O*kgtoGg)</f>
        <v>1.4852298497142859E-6</v>
      </c>
      <c r="R1018" s="101">
        <f>IF('Net zero activities &amp; levers'!$C$12="Off",'Activity data'!AK48*FracLEACH*MSLeachEF*NtoN2O*kgtoGg,'Net zero Activity data'!O48*FracLEACH*MSLeachEF*NtoN2O*kgtoGg)</f>
        <v>1.4559964225714286E-6</v>
      </c>
      <c r="S1018" s="101">
        <f>IF('Net zero activities &amp; levers'!$C$12="Off",'Activity data'!AL48*FracLEACH*MSLeachEF*NtoN2O*kgtoGg,'Net zero Activity data'!P48*FracLEACH*MSLeachEF*NtoN2O*kgtoGg)</f>
        <v>1.4867934981428574E-6</v>
      </c>
      <c r="T1018" s="101">
        <f>IF('Net zero activities &amp; levers'!$C$12="Off",'Activity data'!AM48*FracLEACH*MSLeachEF*NtoN2O*kgtoGg,'Net zero Activity data'!Q48*FracLEACH*MSLeachEF*NtoN2O*kgtoGg)</f>
        <v>1.4779340164285714E-6</v>
      </c>
      <c r="U1018" s="101">
        <f>IF('Net zero activities &amp; levers'!$C$12="Off",'Activity data'!AN48*FracLEACH*MSLeachEF*NtoN2O*kgtoGg,'Net zero Activity data'!R48*FracLEACH*MSLeachEF*NtoN2O*kgtoGg)</f>
        <v>1.4882676930000004E-6</v>
      </c>
      <c r="V1018" s="101">
        <f>IF('Net zero activities &amp; levers'!$C$12="Off",'Activity data'!AO48*FracLEACH*MSLeachEF*NtoN2O*kgtoGg,'Net zero Activity data'!S48*FracLEACH*MSLeachEF*NtoN2O*kgtoGg)</f>
        <v>1.4162754587142857E-6</v>
      </c>
      <c r="W1018" s="101">
        <f>IF('Net zero activities &amp; levers'!$C$12="Off",'Activity data'!AP48*FracLEACH*MSLeachEF*NtoN2O*kgtoGg,'Net zero Activity data'!T48*FracLEACH*MSLeachEF*NtoN2O*kgtoGg)</f>
        <v>1.7070317691428573E-6</v>
      </c>
      <c r="X1018" s="101">
        <f>IF('Net zero activities &amp; levers'!$C$12="Off",'Activity data'!AQ48*FracLEACH*MSLeachEF*NtoN2O*kgtoGg,'Net zero Activity data'!U48*FracLEACH*MSLeachEF*NtoN2O*kgtoGg)</f>
        <v>1.5057791241428575E-6</v>
      </c>
      <c r="Y1018" s="101">
        <f>IF('Net zero activities &amp; levers'!$C$12="Off",'Activity data'!AR48*FracLEACH*MSLeachEF*NtoN2O*kgtoGg,'Net zero Activity data'!V48*FracLEACH*MSLeachEF*NtoN2O*kgtoGg)</f>
        <v>1.5299101195714285E-6</v>
      </c>
      <c r="Z1018" s="101">
        <f>IF('Net zero activities &amp; levers'!$C$12="Off",'Activity data'!AS48*FracLEACH*MSLeachEF*NtoN2O*kgtoGg,'Net zero Activity data'!W48*FracLEACH*MSLeachEF*NtoN2O*kgtoGg)</f>
        <v>1.2425458885714285E-6</v>
      </c>
      <c r="AA1018" s="101">
        <f>IF('Net zero activities &amp; levers'!$C$12="Off",'Activity data'!AT48*FracLEACH*MSLeachEF*NtoN2O*kgtoGg,'Net zero Activity data'!X48*FracLEACH*MSLeachEF*NtoN2O*kgtoGg)</f>
        <v>1.5340178275714286E-6</v>
      </c>
      <c r="AB1018" s="101">
        <f>IF('Net zero activities &amp; levers'!$C$12="Off",'Activity data'!AU48*FracLEACH*MSLeachEF*NtoN2O*kgtoGg,'Net zero Activity data'!Y48*FracLEACH*MSLeachEF*NtoN2O*kgtoGg)</f>
        <v>1.5725222228571428E-6</v>
      </c>
      <c r="AC1018" s="101">
        <f>IF('Net zero activities &amp; levers'!$C$12="Off",'Activity data'!AV48*FracLEACH*MSLeachEF*NtoN2O*kgtoGg,'Net zero Activity data'!Z48*FracLEACH*MSLeachEF*NtoN2O*kgtoGg)</f>
        <v>1.5175726830000002E-6</v>
      </c>
      <c r="AD1018" s="101">
        <f>IF('Net zero activities &amp; levers'!$C$12="Off",'Activity data'!AW48*FracLEACH*MSLeachEF*NtoN2O*kgtoGg,'Net zero Activity data'!AA48*FracLEACH*MSLeachEF*NtoN2O*kgtoGg)</f>
        <v>1.6236789312857143E-6</v>
      </c>
      <c r="AE1018" s="101">
        <f>IF('Net zero activities &amp; levers'!$C$12="Off",'Activity data'!AX48*FracLEACH*MSLeachEF*NtoN2O*kgtoGg,'Net zero Activity data'!AB48*FracLEACH*MSLeachEF*NtoN2O*kgtoGg)</f>
        <v>1.4133664285714284E-6</v>
      </c>
      <c r="AF1018" s="101">
        <f>IF('Net zero activities &amp; levers'!$C$12="Off",'Activity data'!AY48*FracLEACH*MSLeachEF*NtoN2O*kgtoGg,'Net zero Activity data'!AC48*FracLEACH*MSLeachEF*NtoN2O*kgtoGg)</f>
        <v>1.4992418571428571E-6</v>
      </c>
      <c r="AG1018" s="101">
        <f>IF('Net zero activities &amp; levers'!$C$12="Off",'Activity data'!AZ48*FracLEACH*MSLeachEF*NtoN2O*kgtoGg,'Net zero Activity data'!AD48*FracLEACH*MSLeachEF*NtoN2O*kgtoGg)</f>
        <v>1.5042957706826741E-6</v>
      </c>
      <c r="AH1018" s="101">
        <f>IF('Net zero activities &amp; levers'!$C$12="Off",'Activity data'!BA48*FracLEACH*MSLeachEF*NtoN2O*kgtoGg,'Net zero Activity data'!AE48*FracLEACH*MSLeachEF*NtoN2O*kgtoGg)</f>
        <v>1.5041101562274073E-6</v>
      </c>
      <c r="AI1018" s="101">
        <f>IF('Net zero activities &amp; levers'!$C$12="Off",'Activity data'!BB48*FracLEACH*MSLeachEF*NtoN2O*kgtoGg,'Net zero Activity data'!AF48*FracLEACH*MSLeachEF*NtoN2O*kgtoGg)</f>
        <v>1.5037990080474479E-6</v>
      </c>
      <c r="AJ1018" s="101">
        <f>IF('Net zero activities &amp; levers'!$C$12="Off",'Activity data'!BC48*FracLEACH*MSLeachEF*NtoN2O*kgtoGg,'Net zero Activity data'!AG48*FracLEACH*MSLeachEF*NtoN2O*kgtoGg)</f>
        <v>1.5035342015051588E-6</v>
      </c>
      <c r="AK1018" s="101">
        <f>IF('Net zero activities &amp; levers'!$C$12="Off",'Activity data'!BD48*FracLEACH*MSLeachEF*NtoN2O*kgtoGg,'Net zero Activity data'!AH48*FracLEACH*MSLeachEF*NtoN2O*kgtoGg)</f>
        <v>1.5034475541500297E-6</v>
      </c>
      <c r="AL1018" s="101">
        <f>IF('Net zero activities &amp; levers'!$C$12="Off",'Activity data'!BE48*FracLEACH*MSLeachEF*NtoN2O*kgtoGg,'Net zero Activity data'!AI48*FracLEACH*MSLeachEF*NtoN2O*kgtoGg)</f>
        <v>1.5033598532736611E-6</v>
      </c>
      <c r="AM1018" s="101">
        <f>IF('Net zero activities &amp; levers'!$C$12="Off",'Activity data'!BF48*FracLEACH*MSLeachEF*NtoN2O*kgtoGg,'Net zero Activity data'!AJ48*FracLEACH*MSLeachEF*NtoN2O*kgtoGg)</f>
        <v>1.5030924884075416E-6</v>
      </c>
      <c r="AN1018" s="101">
        <f>IF('Net zero activities &amp; levers'!$C$12="Off",'Activity data'!BG48*FracLEACH*MSLeachEF*NtoN2O*kgtoGg,'Net zero Activity data'!AK48*FracLEACH*MSLeachEF*NtoN2O*kgtoGg)</f>
        <v>1.5028829628543084E-6</v>
      </c>
      <c r="AO1018" s="101">
        <f>IF('Net zero activities &amp; levers'!$C$12="Off",'Activity data'!BH48*FracLEACH*MSLeachEF*NtoN2O*kgtoGg,'Net zero Activity data'!AL48*FracLEACH*MSLeachEF*NtoN2O*kgtoGg)</f>
        <v>1.5028688564063377E-6</v>
      </c>
      <c r="AP1018" s="101">
        <f>IF('Net zero activities &amp; levers'!$C$12="Off",'Activity data'!BI48*FracLEACH*MSLeachEF*NtoN2O*kgtoGg,'Net zero Activity data'!AM48*FracLEACH*MSLeachEF*NtoN2O*kgtoGg)</f>
        <v>1.5037403797983331E-6</v>
      </c>
      <c r="AQ1018" s="101">
        <f>IF('Net zero activities &amp; levers'!$C$12="Off",'Activity data'!BJ48*FracLEACH*MSLeachEF*NtoN2O*kgtoGg,'Net zero Activity data'!AN48*FracLEACH*MSLeachEF*NtoN2O*kgtoGg)</f>
        <v>1.5032636893433962E-6</v>
      </c>
      <c r="AR1018" s="101">
        <f>IF('Net zero activities &amp; levers'!$C$12="Off",'Activity data'!BK48*FracLEACH*MSLeachEF*NtoN2O*kgtoGg,'Net zero Activity data'!AO48*FracLEACH*MSLeachEF*NtoN2O*kgtoGg)</f>
        <v>1.5029031631649579E-6</v>
      </c>
      <c r="AS1018" s="101">
        <f>IF('Net zero activities &amp; levers'!$C$12="Off",'Activity data'!BL48*FracLEACH*MSLeachEF*NtoN2O*kgtoGg,'Net zero Activity data'!AP48*FracLEACH*MSLeachEF*NtoN2O*kgtoGg)</f>
        <v>1.5025707749068207E-6</v>
      </c>
      <c r="AT1018" s="101">
        <f>IF('Net zero activities &amp; levers'!$C$12="Off",'Activity data'!BM48*FracLEACH*MSLeachEF*NtoN2O*kgtoGg,'Net zero Activity data'!AQ48*FracLEACH*MSLeachEF*NtoN2O*kgtoGg)</f>
        <v>1.5022014729721417E-6</v>
      </c>
      <c r="AU1018" s="101">
        <f>IF('Net zero activities &amp; levers'!$C$12="Off",'Activity data'!BN48*FracLEACH*MSLeachEF*NtoN2O*kgtoGg,'Net zero Activity data'!AR48*FracLEACH*MSLeachEF*NtoN2O*kgtoGg)</f>
        <v>1.5016995943927613E-6</v>
      </c>
      <c r="AV1018" s="101">
        <f>IF('Net zero activities &amp; levers'!$C$12="Off",'Activity data'!BO48*FracLEACH*MSLeachEF*NtoN2O*kgtoGg,'Net zero Activity data'!AS48*FracLEACH*MSLeachEF*NtoN2O*kgtoGg)</f>
        <v>1.5011740680052976E-6</v>
      </c>
      <c r="AW1018" s="101">
        <f>IF('Net zero activities &amp; levers'!$C$12="Off",'Activity data'!BP48*FracLEACH*MSLeachEF*NtoN2O*kgtoGg,'Net zero Activity data'!AT48*FracLEACH*MSLeachEF*NtoN2O*kgtoGg)</f>
        <v>1.5006238629220729E-6</v>
      </c>
      <c r="AY1018" s="85"/>
      <c r="AZ1018" s="85"/>
    </row>
    <row r="1019" spans="1:52" x14ac:dyDescent="0.25">
      <c r="A1019" s="102" t="str">
        <f t="shared" si="345"/>
        <v>DS Leaching</v>
      </c>
      <c r="B1019" s="102" t="s">
        <v>975</v>
      </c>
      <c r="C1019" s="102" t="s">
        <v>1191</v>
      </c>
      <c r="D1019" t="s">
        <v>369</v>
      </c>
      <c r="E1019" t="s">
        <v>61</v>
      </c>
      <c r="F1019" t="s">
        <v>63</v>
      </c>
      <c r="G1019" t="s">
        <v>437</v>
      </c>
      <c r="H1019" t="s">
        <v>1190</v>
      </c>
      <c r="I1019" t="s">
        <v>139</v>
      </c>
      <c r="J1019" t="s">
        <v>287</v>
      </c>
      <c r="K1019" s="101">
        <f>IF('Net zero activities &amp; levers'!$C$12="Off",SUM('Activity data'!AD50:AD65)*FracLEACH*MSLeachEF*NtoN2O*kgtoGg,SUM('Net zero Activity data'!AD50:AD65)*FracLEACH*MSLeachEF*NtoN2O*kgtoGg)</f>
        <v>0.20796246117346509</v>
      </c>
      <c r="L1019" s="101">
        <f>IF('Net zero activities &amp; levers'!$C$12="Off",SUM('Activity data'!AE50:AE65)*FracLEACH*MSLeachEF*NtoN2O*kgtoGg,SUM('Net zero Activity data'!AE50:AE65)*FracLEACH*MSLeachEF*NtoN2O*kgtoGg)</f>
        <v>0.20879880281717714</v>
      </c>
      <c r="M1019" s="101">
        <f>IF('Net zero activities &amp; levers'!$C$12="Off",SUM('Activity data'!AF50:AF65)*FracLEACH*MSLeachEF*NtoN2O*kgtoGg,SUM('Net zero Activity data'!AF50:AF65)*FracLEACH*MSLeachEF*NtoN2O*kgtoGg)</f>
        <v>0.20890457388466332</v>
      </c>
      <c r="N1019" s="101">
        <f>IF('Net zero activities &amp; levers'!$C$12="Off",SUM('Activity data'!AG50:AG65)*FracLEACH*MSLeachEF*NtoN2O*kgtoGg,SUM('Net zero Activity data'!AG50:AG65)*FracLEACH*MSLeachEF*NtoN2O*kgtoGg)</f>
        <v>0.20602106903310935</v>
      </c>
      <c r="O1019" s="101">
        <f>IF('Net zero activities &amp; levers'!$C$12="Off",SUM('Activity data'!AH50:AH65)*FracLEACH*MSLeachEF*NtoN2O*kgtoGg,SUM('Net zero Activity data'!AH50:AH65)*FracLEACH*MSLeachEF*NtoN2O*kgtoGg)</f>
        <v>0.20329705233439804</v>
      </c>
      <c r="P1019" s="101">
        <f>IF('Net zero activities &amp; levers'!$C$12="Off",SUM('Activity data'!AI50:AI65)*FracLEACH*MSLeachEF*NtoN2O*kgtoGg,SUM('Net zero Activity data'!AI50:AI65)*FracLEACH*MSLeachEF*NtoN2O*kgtoGg)</f>
        <v>0.2036877386085543</v>
      </c>
      <c r="Q1019" s="101">
        <f>IF('Net zero activities &amp; levers'!$C$12="Off",SUM('Activity data'!AJ50:AJ65)*FracLEACH*MSLeachEF*NtoN2O*kgtoGg,SUM('Net zero Activity data'!AJ50:AJ65)*FracLEACH*MSLeachEF*NtoN2O*kgtoGg)</f>
        <v>0.20316717032442511</v>
      </c>
      <c r="R1019" s="101">
        <f>IF('Net zero activities &amp; levers'!$C$12="Off",SUM('Activity data'!AK50:AK65)*FracLEACH*MSLeachEF*NtoN2O*kgtoGg,SUM('Net zero Activity data'!AK50:AK65)*FracLEACH*MSLeachEF*NtoN2O*kgtoGg)</f>
        <v>0.19951328045855884</v>
      </c>
      <c r="S1019" s="101">
        <f>IF('Net zero activities &amp; levers'!$C$12="Off",SUM('Activity data'!AL50:AL65)*FracLEACH*MSLeachEF*NtoN2O*kgtoGg,SUM('Net zero Activity data'!AL50:AL65)*FracLEACH*MSLeachEF*NtoN2O*kgtoGg)</f>
        <v>0.18225765553275963</v>
      </c>
      <c r="T1019" s="101">
        <f>IF('Net zero activities &amp; levers'!$C$12="Off",SUM('Activity data'!AM50:AM65)*FracLEACH*MSLeachEF*NtoN2O*kgtoGg,SUM('Net zero Activity data'!AM50:AM65)*FracLEACH*MSLeachEF*NtoN2O*kgtoGg)</f>
        <v>0.18431500188887895</v>
      </c>
      <c r="U1019" s="101">
        <f>IF('Net zero activities &amp; levers'!$C$12="Off",SUM('Activity data'!AN50:AN65)*FracLEACH*MSLeachEF*NtoN2O*kgtoGg,SUM('Net zero Activity data'!AN50:AN65)*FracLEACH*MSLeachEF*NtoN2O*kgtoGg)</f>
        <v>0.18461860465211585</v>
      </c>
      <c r="V1019" s="101">
        <f>IF('Net zero activities &amp; levers'!$C$12="Off",SUM('Activity data'!AO50:AO65)*FracLEACH*MSLeachEF*NtoN2O*kgtoGg,SUM('Net zero Activity data'!AO50:AO65)*FracLEACH*MSLeachEF*NtoN2O*kgtoGg)</f>
        <v>0.18451209218008982</v>
      </c>
      <c r="W1019" s="101">
        <f>IF('Net zero activities &amp; levers'!$C$12="Off",SUM('Activity data'!AP50:AP65)*FracLEACH*MSLeachEF*NtoN2O*kgtoGg,SUM('Net zero Activity data'!AP50:AP65)*FracLEACH*MSLeachEF*NtoN2O*kgtoGg)</f>
        <v>0.18496245762166696</v>
      </c>
      <c r="X1019" s="101">
        <f>IF('Net zero activities &amp; levers'!$C$12="Off",SUM('Activity data'!AQ50:AQ65)*FracLEACH*MSLeachEF*NtoN2O*kgtoGg,SUM('Net zero Activity data'!AQ50:AQ65)*FracLEACH*MSLeachEF*NtoN2O*kgtoGg)</f>
        <v>0.18736536848253699</v>
      </c>
      <c r="Y1019" s="101">
        <f>IF('Net zero activities &amp; levers'!$C$12="Off",SUM('Activity data'!AR50:AR65)*FracLEACH*MSLeachEF*NtoN2O*kgtoGg,SUM('Net zero Activity data'!AR50:AR65)*FracLEACH*MSLeachEF*NtoN2O*kgtoGg)</f>
        <v>0.19011945632359906</v>
      </c>
      <c r="Z1019" s="101">
        <f>IF('Net zero activities &amp; levers'!$C$12="Off",SUM('Activity data'!AS50:AS65)*FracLEACH*MSLeachEF*NtoN2O*kgtoGg,SUM('Net zero Activity data'!AS50:AS65)*FracLEACH*MSLeachEF*NtoN2O*kgtoGg)</f>
        <v>0.19323590218482684</v>
      </c>
      <c r="AA1019" s="101">
        <f>IF('Net zero activities &amp; levers'!$C$12="Off",SUM('Activity data'!AT50:AT65)*FracLEACH*MSLeachEF*NtoN2O*kgtoGg,SUM('Net zero Activity data'!AT50:AT65)*FracLEACH*MSLeachEF*NtoN2O*kgtoGg)</f>
        <v>0.19544060702561802</v>
      </c>
      <c r="AB1019" s="101">
        <f>IF('Net zero activities &amp; levers'!$C$12="Off",SUM('Activity data'!AU50:AU65)*FracLEACH*MSLeachEF*NtoN2O*kgtoGg,SUM('Net zero Activity data'!AU50:AU65)*FracLEACH*MSLeachEF*NtoN2O*kgtoGg)</f>
        <v>0.19839477262498131</v>
      </c>
      <c r="AC1019" s="101">
        <f>IF('Net zero activities &amp; levers'!$C$12="Off",SUM('Activity data'!AV50:AV65)*FracLEACH*MSLeachEF*NtoN2O*kgtoGg,SUM('Net zero Activity data'!AV50:AV65)*FracLEACH*MSLeachEF*NtoN2O*kgtoGg)</f>
        <v>0.20225570163439296</v>
      </c>
      <c r="AD1019" s="101">
        <f>IF('Net zero activities &amp; levers'!$C$12="Off",SUM('Activity data'!AW50:AW65)*FracLEACH*MSLeachEF*NtoN2O*kgtoGg,SUM('Net zero Activity data'!AW50:AW65)*FracLEACH*MSLeachEF*NtoN2O*kgtoGg)</f>
        <v>0.20663923326690528</v>
      </c>
      <c r="AE1019" s="101">
        <f>IF('Net zero activities &amp; levers'!$C$12="Off",SUM('Activity data'!AX50:AX65)*FracLEACH*MSLeachEF*NtoN2O*kgtoGg,SUM('Net zero Activity data'!AX50:AX65)*FracLEACH*MSLeachEF*NtoN2O*kgtoGg)</f>
        <v>0.21120826671441933</v>
      </c>
      <c r="AF1019" s="101">
        <f>IF('Net zero activities &amp; levers'!$C$12="Off",SUM('Activity data'!AY50:AY65)*FracLEACH*MSLeachEF*NtoN2O*kgtoGg,SUM('Net zero Activity data'!AY50:AY65)*FracLEACH*MSLeachEF*NtoN2O*kgtoGg)</f>
        <v>0.2157954194529394</v>
      </c>
      <c r="AG1019" s="101">
        <f>IF('Net zero activities &amp; levers'!$C$12="Off",SUM('Activity data'!AZ50:AZ65)*FracLEACH*MSLeachEF*NtoN2O*kgtoGg,SUM('Net zero Activity data'!AZ50:AZ65)*FracLEACH*MSLeachEF*NtoN2O*kgtoGg)</f>
        <v>0.22108361540902347</v>
      </c>
      <c r="AH1019" s="101">
        <f>IF('Net zero activities &amp; levers'!$C$12="Off",SUM('Activity data'!BA50:BA65)*FracLEACH*MSLeachEF*NtoN2O*kgtoGg,SUM('Net zero Activity data'!BA50:BA65)*FracLEACH*MSLeachEF*NtoN2O*kgtoGg)</f>
        <v>0.22527198133136178</v>
      </c>
      <c r="AI1019" s="101">
        <f>IF('Net zero activities &amp; levers'!$C$12="Off",SUM('Activity data'!BB50:BB65)*FracLEACH*MSLeachEF*NtoN2O*kgtoGg,SUM('Net zero Activity data'!BB50:BB65)*FracLEACH*MSLeachEF*NtoN2O*kgtoGg)</f>
        <v>0.22975209095690785</v>
      </c>
      <c r="AJ1019" s="101">
        <f>IF('Net zero activities &amp; levers'!$C$12="Off",SUM('Activity data'!BC50:BC65)*FracLEACH*MSLeachEF*NtoN2O*kgtoGg,SUM('Net zero Activity data'!BC50:BC65)*FracLEACH*MSLeachEF*NtoN2O*kgtoGg)</f>
        <v>0.23423156005056814</v>
      </c>
      <c r="AK1019" s="101">
        <f>IF('Net zero activities &amp; levers'!$C$12="Off",SUM('Activity data'!BD50:BD65)*FracLEACH*MSLeachEF*NtoN2O*kgtoGg,SUM('Net zero Activity data'!BD50:BD65)*FracLEACH*MSLeachEF*NtoN2O*kgtoGg)</f>
        <v>0.23825269078423245</v>
      </c>
      <c r="AL1019" s="101">
        <f>IF('Net zero activities &amp; levers'!$C$12="Off",SUM('Activity data'!BE50:BE65)*FracLEACH*MSLeachEF*NtoN2O*kgtoGg,SUM('Net zero Activity data'!BE50:BE65)*FracLEACH*MSLeachEF*NtoN2O*kgtoGg)</f>
        <v>0.24213942067099856</v>
      </c>
      <c r="AM1019" s="101">
        <f>IF('Net zero activities &amp; levers'!$C$12="Off",SUM('Activity data'!BF50:BF65)*FracLEACH*MSLeachEF*NtoN2O*kgtoGg,SUM('Net zero Activity data'!BF50:BF65)*FracLEACH*MSLeachEF*NtoN2O*kgtoGg)</f>
        <v>0.24616934540902438</v>
      </c>
      <c r="AN1019" s="101">
        <f>IF('Net zero activities &amp; levers'!$C$12="Off",SUM('Activity data'!BG50:BG65)*FracLEACH*MSLeachEF*NtoN2O*kgtoGg,SUM('Net zero Activity data'!BG50:BG65)*FracLEACH*MSLeachEF*NtoN2O*kgtoGg)</f>
        <v>0.25159296049787661</v>
      </c>
      <c r="AO1019" s="101">
        <f>IF('Net zero activities &amp; levers'!$C$12="Off",SUM('Activity data'!BH50:BH65)*FracLEACH*MSLeachEF*NtoN2O*kgtoGg,SUM('Net zero Activity data'!BH50:BH65)*FracLEACH*MSLeachEF*NtoN2O*kgtoGg)</f>
        <v>0.25649086738620858</v>
      </c>
      <c r="AP1019" s="101">
        <f>IF('Net zero activities &amp; levers'!$C$12="Off",SUM('Activity data'!BI50:BI65)*FracLEACH*MSLeachEF*NtoN2O*kgtoGg,SUM('Net zero Activity data'!BI50:BI65)*FracLEACH*MSLeachEF*NtoN2O*kgtoGg)</f>
        <v>0.26140795238633663</v>
      </c>
      <c r="AQ1019" s="101">
        <f>IF('Net zero activities &amp; levers'!$C$12="Off",SUM('Activity data'!BJ50:BJ65)*FracLEACH*MSLeachEF*NtoN2O*kgtoGg,SUM('Net zero Activity data'!BJ50:BJ65)*FracLEACH*MSLeachEF*NtoN2O*kgtoGg)</f>
        <v>0.26635743439630638</v>
      </c>
      <c r="AR1019" s="101">
        <f>IF('Net zero activities &amp; levers'!$C$12="Off",SUM('Activity data'!BK50:BK65)*FracLEACH*MSLeachEF*NtoN2O*kgtoGg,SUM('Net zero Activity data'!BK50:BK65)*FracLEACH*MSLeachEF*NtoN2O*kgtoGg)</f>
        <v>0.27171168085774305</v>
      </c>
      <c r="AS1019" s="101">
        <f>IF('Net zero activities &amp; levers'!$C$12="Off",SUM('Activity data'!BL50:BL65)*FracLEACH*MSLeachEF*NtoN2O*kgtoGg,SUM('Net zero Activity data'!BL50:BL65)*FracLEACH*MSLeachEF*NtoN2O*kgtoGg)</f>
        <v>0.27715946984598605</v>
      </c>
      <c r="AT1019" s="101">
        <f>IF('Net zero activities &amp; levers'!$C$12="Off",SUM('Activity data'!BM50:BM65)*FracLEACH*MSLeachEF*NtoN2O*kgtoGg,SUM('Net zero Activity data'!BM50:BM65)*FracLEACH*MSLeachEF*NtoN2O*kgtoGg)</f>
        <v>0.27911384142133749</v>
      </c>
      <c r="AU1019" s="101">
        <f>IF('Net zero activities &amp; levers'!$C$12="Off",SUM('Activity data'!BN50:BN65)*FracLEACH*MSLeachEF*NtoN2O*kgtoGg,SUM('Net zero Activity data'!BN50:BN65)*FracLEACH*MSLeachEF*NtoN2O*kgtoGg)</f>
        <v>0.2808075207835013</v>
      </c>
      <c r="AV1019" s="101">
        <f>IF('Net zero activities &amp; levers'!$C$12="Off",SUM('Activity data'!BO50:BO65)*FracLEACH*MSLeachEF*NtoN2O*kgtoGg,SUM('Net zero Activity data'!BO50:BO65)*FracLEACH*MSLeachEF*NtoN2O*kgtoGg)</f>
        <v>0.28293700705378411</v>
      </c>
      <c r="AW1019" s="101">
        <f>IF('Net zero activities &amp; levers'!$C$12="Off",SUM('Activity data'!BP50:BP65)*FracLEACH*MSLeachEF*NtoN2O*kgtoGg,SUM('Net zero Activity data'!BP50:BP65)*FracLEACH*MSLeachEF*NtoN2O*kgtoGg)</f>
        <v>0.28484783648577744</v>
      </c>
      <c r="AY1019" s="85"/>
      <c r="AZ1019" s="85"/>
    </row>
    <row r="1020" spans="1:52" x14ac:dyDescent="0.25">
      <c r="A1020" s="102" t="str">
        <f t="shared" si="345"/>
        <v>DS Leaching</v>
      </c>
      <c r="B1020" s="102" t="s">
        <v>975</v>
      </c>
      <c r="C1020" s="102" t="s">
        <v>1191</v>
      </c>
      <c r="D1020" t="s">
        <v>369</v>
      </c>
      <c r="E1020" t="s">
        <v>61</v>
      </c>
      <c r="F1020" t="s">
        <v>63</v>
      </c>
      <c r="G1020" t="s">
        <v>438</v>
      </c>
      <c r="H1020" t="s">
        <v>1192</v>
      </c>
      <c r="I1020" t="s">
        <v>139</v>
      </c>
      <c r="J1020" t="s">
        <v>287</v>
      </c>
      <c r="K1020" s="101">
        <f>IF('Net zero activities &amp; levers'!$C$12="Off",SUM('Activity data'!AD66:AD81)*FracLEACHUD*MSLeachEF*NtoN2O*kgtoGg,SUM('Net zero Activity data'!AD66:AD81)*FracLEACHUD*MSLeachEF*NtoN2O*kgtoGg)</f>
        <v>0</v>
      </c>
      <c r="L1020" s="101">
        <f>IF('Net zero activities &amp; levers'!$C$12="Off",SUM('Activity data'!AE66:AE81)*FracLEACHUD*MSLeachEF*NtoN2O*kgtoGg,SUM('Net zero Activity data'!AE66:AE81)*FracLEACHUD*MSLeachEF*NtoN2O*kgtoGg)</f>
        <v>0</v>
      </c>
      <c r="M1020" s="101">
        <f>IF('Net zero activities &amp; levers'!$C$12="Off",SUM('Activity data'!AF66:AF81)*FracLEACHUD*MSLeachEF*NtoN2O*kgtoGg,SUM('Net zero Activity data'!AF66:AF81)*FracLEACHUD*MSLeachEF*NtoN2O*kgtoGg)</f>
        <v>0</v>
      </c>
      <c r="N1020" s="101">
        <f>IF('Net zero activities &amp; levers'!$C$12="Off",SUM('Activity data'!AG66:AG81)*FracLEACHUD*MSLeachEF*NtoN2O*kgtoGg,SUM('Net zero Activity data'!AG66:AG81)*FracLEACHUD*MSLeachEF*NtoN2O*kgtoGg)</f>
        <v>0</v>
      </c>
      <c r="O1020" s="101">
        <f>IF('Net zero activities &amp; levers'!$C$12="Off",SUM('Activity data'!AH66:AH81)*FracLEACHUD*MSLeachEF*NtoN2O*kgtoGg,SUM('Net zero Activity data'!AH66:AH81)*FracLEACHUD*MSLeachEF*NtoN2O*kgtoGg)</f>
        <v>0</v>
      </c>
      <c r="P1020" s="101">
        <f>IF('Net zero activities &amp; levers'!$C$12="Off",SUM('Activity data'!AI66:AI81)*FracLEACHUD*MSLeachEF*NtoN2O*kgtoGg,SUM('Net zero Activity data'!AI66:AI81)*FracLEACHUD*MSLeachEF*NtoN2O*kgtoGg)</f>
        <v>0</v>
      </c>
      <c r="Q1020" s="101">
        <f>IF('Net zero activities &amp; levers'!$C$12="Off",SUM('Activity data'!AJ66:AJ81)*FracLEACHUD*MSLeachEF*NtoN2O*kgtoGg,SUM('Net zero Activity data'!AJ66:AJ81)*FracLEACHUD*MSLeachEF*NtoN2O*kgtoGg)</f>
        <v>0</v>
      </c>
      <c r="R1020" s="101">
        <f>IF('Net zero activities &amp; levers'!$C$12="Off",SUM('Activity data'!AK66:AK81)*FracLEACHUD*MSLeachEF*NtoN2O*kgtoGg,SUM('Net zero Activity data'!AK66:AK81)*FracLEACHUD*MSLeachEF*NtoN2O*kgtoGg)</f>
        <v>0</v>
      </c>
      <c r="S1020" s="101">
        <f>IF('Net zero activities &amp; levers'!$C$12="Off",SUM('Activity data'!AL66:AL81)*FracLEACHUD*MSLeachEF*NtoN2O*kgtoGg,SUM('Net zero Activity data'!AL66:AL81)*FracLEACHUD*MSLeachEF*NtoN2O*kgtoGg)</f>
        <v>0</v>
      </c>
      <c r="T1020" s="101">
        <f>IF('Net zero activities &amp; levers'!$C$12="Off",SUM('Activity data'!AM66:AM81)*FracLEACHUD*MSLeachEF*NtoN2O*kgtoGg,SUM('Net zero Activity data'!AM66:AM81)*FracLEACHUD*MSLeachEF*NtoN2O*kgtoGg)</f>
        <v>0</v>
      </c>
      <c r="U1020" s="101">
        <f>IF('Net zero activities &amp; levers'!$C$12="Off",SUM('Activity data'!AN66:AN81)*FracLEACHUD*MSLeachEF*NtoN2O*kgtoGg,SUM('Net zero Activity data'!AN66:AN81)*FracLEACHUD*MSLeachEF*NtoN2O*kgtoGg)</f>
        <v>0</v>
      </c>
      <c r="V1020" s="101">
        <f>IF('Net zero activities &amp; levers'!$C$12="Off",SUM('Activity data'!AO66:AO81)*FracLEACHUD*MSLeachEF*NtoN2O*kgtoGg,SUM('Net zero Activity data'!AO66:AO81)*FracLEACHUD*MSLeachEF*NtoN2O*kgtoGg)</f>
        <v>0</v>
      </c>
      <c r="W1020" s="101">
        <f>IF('Net zero activities &amp; levers'!$C$12="Off",SUM('Activity data'!AP66:AP81)*FracLEACHUD*MSLeachEF*NtoN2O*kgtoGg,SUM('Net zero Activity data'!AP66:AP81)*FracLEACHUD*MSLeachEF*NtoN2O*kgtoGg)</f>
        <v>0</v>
      </c>
      <c r="X1020" s="101">
        <f>IF('Net zero activities &amp; levers'!$C$12="Off",SUM('Activity data'!AQ66:AQ81)*FracLEACHUD*MSLeachEF*NtoN2O*kgtoGg,SUM('Net zero Activity data'!AQ66:AQ81)*FracLEACHUD*MSLeachEF*NtoN2O*kgtoGg)</f>
        <v>0</v>
      </c>
      <c r="Y1020" s="101">
        <f>IF('Net zero activities &amp; levers'!$C$12="Off",SUM('Activity data'!AR66:AR81)*FracLEACHUD*MSLeachEF*NtoN2O*kgtoGg,SUM('Net zero Activity data'!AR66:AR81)*FracLEACHUD*MSLeachEF*NtoN2O*kgtoGg)</f>
        <v>0</v>
      </c>
      <c r="Z1020" s="101">
        <f>IF('Net zero activities &amp; levers'!$C$12="Off",SUM('Activity data'!AS66:AS81)*FracLEACHUD*MSLeachEF*NtoN2O*kgtoGg,SUM('Net zero Activity data'!AS66:AS81)*FracLEACHUD*MSLeachEF*NtoN2O*kgtoGg)</f>
        <v>0</v>
      </c>
      <c r="AA1020" s="101">
        <f>IF('Net zero activities &amp; levers'!$C$12="Off",SUM('Activity data'!AT66:AT81)*FracLEACHUD*MSLeachEF*NtoN2O*kgtoGg,SUM('Net zero Activity data'!AT66:AT81)*FracLEACHUD*MSLeachEF*NtoN2O*kgtoGg)</f>
        <v>0</v>
      </c>
      <c r="AB1020" s="101">
        <f>IF('Net zero activities &amp; levers'!$C$12="Off",SUM('Activity data'!AU66:AU81)*FracLEACHUD*MSLeachEF*NtoN2O*kgtoGg,SUM('Net zero Activity data'!AU66:AU81)*FracLEACHUD*MSLeachEF*NtoN2O*kgtoGg)</f>
        <v>0</v>
      </c>
      <c r="AC1020" s="101">
        <f>IF('Net zero activities &amp; levers'!$C$12="Off",SUM('Activity data'!AV66:AV81)*FracLEACHUD*MSLeachEF*NtoN2O*kgtoGg,SUM('Net zero Activity data'!AV66:AV81)*FracLEACHUD*MSLeachEF*NtoN2O*kgtoGg)</f>
        <v>0</v>
      </c>
      <c r="AD1020" s="101">
        <f>IF('Net zero activities &amp; levers'!$C$12="Off",SUM('Activity data'!AW66:AW81)*FracLEACHUD*MSLeachEF*NtoN2O*kgtoGg,SUM('Net zero Activity data'!AW66:AW81)*FracLEACHUD*MSLeachEF*NtoN2O*kgtoGg)</f>
        <v>0</v>
      </c>
      <c r="AE1020" s="101">
        <f>IF('Net zero activities &amp; levers'!$C$12="Off",SUM('Activity data'!AX66:AX81)*FracLEACHUD*MSLeachEF*NtoN2O*kgtoGg,SUM('Net zero Activity data'!AX66:AX81)*FracLEACHUD*MSLeachEF*NtoN2O*kgtoGg)</f>
        <v>0</v>
      </c>
      <c r="AF1020" s="101">
        <f>IF('Net zero activities &amp; levers'!$C$12="Off",SUM('Activity data'!AY66:AY81)*FracLEACHUD*MSLeachEF*NtoN2O*kgtoGg,SUM('Net zero Activity data'!AY66:AY81)*FracLEACHUD*MSLeachEF*NtoN2O*kgtoGg)</f>
        <v>0</v>
      </c>
      <c r="AG1020" s="101">
        <f>IF('Net zero activities &amp; levers'!$C$12="Off",SUM('Activity data'!AZ66:AZ81)*FracLEACHUD*MSLeachEF*NtoN2O*kgtoGg,SUM('Net zero Activity data'!AZ66:AZ81)*FracLEACHUD*MSLeachEF*NtoN2O*kgtoGg)</f>
        <v>0</v>
      </c>
      <c r="AH1020" s="101">
        <f>IF('Net zero activities &amp; levers'!$C$12="Off",SUM('Activity data'!BA66:BA81)*FracLEACHUD*MSLeachEF*NtoN2O*kgtoGg,SUM('Net zero Activity data'!BA66:BA81)*FracLEACHUD*MSLeachEF*NtoN2O*kgtoGg)</f>
        <v>0</v>
      </c>
      <c r="AI1020" s="101">
        <f>IF('Net zero activities &amp; levers'!$C$12="Off",SUM('Activity data'!BB66:BB81)*FracLEACHUD*MSLeachEF*NtoN2O*kgtoGg,SUM('Net zero Activity data'!BB66:BB81)*FracLEACHUD*MSLeachEF*NtoN2O*kgtoGg)</f>
        <v>0</v>
      </c>
      <c r="AJ1020" s="101">
        <f>IF('Net zero activities &amp; levers'!$C$12="Off",SUM('Activity data'!BC66:BC81)*FracLEACHUD*MSLeachEF*NtoN2O*kgtoGg,SUM('Net zero Activity data'!BC66:BC81)*FracLEACHUD*MSLeachEF*NtoN2O*kgtoGg)</f>
        <v>0</v>
      </c>
      <c r="AK1020" s="101">
        <f>IF('Net zero activities &amp; levers'!$C$12="Off",SUM('Activity data'!BD66:BD81)*FracLEACHUD*MSLeachEF*NtoN2O*kgtoGg,SUM('Net zero Activity data'!BD66:BD81)*FracLEACHUD*MSLeachEF*NtoN2O*kgtoGg)</f>
        <v>0</v>
      </c>
      <c r="AL1020" s="101">
        <f>IF('Net zero activities &amp; levers'!$C$12="Off",SUM('Activity data'!BE66:BE81)*FracLEACHUD*MSLeachEF*NtoN2O*kgtoGg,SUM('Net zero Activity data'!BE66:BE81)*FracLEACHUD*MSLeachEF*NtoN2O*kgtoGg)</f>
        <v>0</v>
      </c>
      <c r="AM1020" s="101">
        <f>IF('Net zero activities &amp; levers'!$C$12="Off",SUM('Activity data'!BF66:BF81)*FracLEACHUD*MSLeachEF*NtoN2O*kgtoGg,SUM('Net zero Activity data'!BF66:BF81)*FracLEACHUD*MSLeachEF*NtoN2O*kgtoGg)</f>
        <v>0</v>
      </c>
      <c r="AN1020" s="101">
        <f>IF('Net zero activities &amp; levers'!$C$12="Off",SUM('Activity data'!BG66:BG81)*FracLEACHUD*MSLeachEF*NtoN2O*kgtoGg,SUM('Net zero Activity data'!BG66:BG81)*FracLEACHUD*MSLeachEF*NtoN2O*kgtoGg)</f>
        <v>0</v>
      </c>
      <c r="AO1020" s="101">
        <f>IF('Net zero activities &amp; levers'!$C$12="Off",SUM('Activity data'!BH66:BH81)*FracLEACHUD*MSLeachEF*NtoN2O*kgtoGg,SUM('Net zero Activity data'!BH66:BH81)*FracLEACHUD*MSLeachEF*NtoN2O*kgtoGg)</f>
        <v>0</v>
      </c>
      <c r="AP1020" s="101">
        <f>IF('Net zero activities &amp; levers'!$C$12="Off",SUM('Activity data'!BI66:BI81)*FracLEACHUD*MSLeachEF*NtoN2O*kgtoGg,SUM('Net zero Activity data'!BI66:BI81)*FracLEACHUD*MSLeachEF*NtoN2O*kgtoGg)</f>
        <v>0</v>
      </c>
      <c r="AQ1020" s="101">
        <f>IF('Net zero activities &amp; levers'!$C$12="Off",SUM('Activity data'!BJ66:BJ81)*FracLEACHUD*MSLeachEF*NtoN2O*kgtoGg,SUM('Net zero Activity data'!BJ66:BJ81)*FracLEACHUD*MSLeachEF*NtoN2O*kgtoGg)</f>
        <v>0</v>
      </c>
      <c r="AR1020" s="101">
        <f>IF('Net zero activities &amp; levers'!$C$12="Off",SUM('Activity data'!BK66:BK81)*FracLEACHUD*MSLeachEF*NtoN2O*kgtoGg,SUM('Net zero Activity data'!BK66:BK81)*FracLEACHUD*MSLeachEF*NtoN2O*kgtoGg)</f>
        <v>0</v>
      </c>
      <c r="AS1020" s="101">
        <f>IF('Net zero activities &amp; levers'!$C$12="Off",SUM('Activity data'!BL66:BL81)*FracLEACHUD*MSLeachEF*NtoN2O*kgtoGg,SUM('Net zero Activity data'!BL66:BL81)*FracLEACHUD*MSLeachEF*NtoN2O*kgtoGg)</f>
        <v>0</v>
      </c>
      <c r="AT1020" s="101">
        <f>IF('Net zero activities &amp; levers'!$C$12="Off",SUM('Activity data'!BM66:BM81)*FracLEACHUD*MSLeachEF*NtoN2O*kgtoGg,SUM('Net zero Activity data'!BM66:BM81)*FracLEACHUD*MSLeachEF*NtoN2O*kgtoGg)</f>
        <v>0</v>
      </c>
      <c r="AU1020" s="101">
        <f>IF('Net zero activities &amp; levers'!$C$12="Off",SUM('Activity data'!BN66:BN81)*FracLEACHUD*MSLeachEF*NtoN2O*kgtoGg,SUM('Net zero Activity data'!BN66:BN81)*FracLEACHUD*MSLeachEF*NtoN2O*kgtoGg)</f>
        <v>0</v>
      </c>
      <c r="AV1020" s="101">
        <f>IF('Net zero activities &amp; levers'!$C$12="Off",SUM('Activity data'!BO66:BO81)*FracLEACHUD*MSLeachEF*NtoN2O*kgtoGg,SUM('Net zero Activity data'!BO66:BO81)*FracLEACHUD*MSLeachEF*NtoN2O*kgtoGg)</f>
        <v>0</v>
      </c>
      <c r="AW1020" s="101">
        <f>IF('Net zero activities &amp; levers'!$C$12="Off",SUM('Activity data'!BP66:BP81)*FracLEACHUD*MSLeachEF*NtoN2O*kgtoGg,SUM('Net zero Activity data'!BP66:BP81)*FracLEACHUD*MSLeachEF*NtoN2O*kgtoGg)</f>
        <v>0</v>
      </c>
      <c r="AY1020" s="85"/>
      <c r="AZ1020" s="85"/>
    </row>
    <row r="1021" spans="1:52" x14ac:dyDescent="0.25">
      <c r="A1021" s="102" t="str">
        <f t="shared" si="345"/>
        <v>DS Leaching</v>
      </c>
      <c r="B1021" s="102" t="s">
        <v>975</v>
      </c>
      <c r="C1021" s="102" t="s">
        <v>1191</v>
      </c>
      <c r="D1021" t="s">
        <v>369</v>
      </c>
      <c r="E1021" t="s">
        <v>61</v>
      </c>
      <c r="F1021" t="s">
        <v>63</v>
      </c>
      <c r="G1021" t="s">
        <v>439</v>
      </c>
      <c r="H1021" t="s">
        <v>1193</v>
      </c>
      <c r="I1021" t="s">
        <v>139</v>
      </c>
      <c r="J1021" t="s">
        <v>287</v>
      </c>
      <c r="K1021" s="22">
        <f t="shared" ref="K1021:AW1021" si="356">K1518</f>
        <v>0.10175116378121943</v>
      </c>
      <c r="L1021" s="22">
        <f t="shared" si="356"/>
        <v>0.10196112149474701</v>
      </c>
      <c r="M1021" s="22">
        <f t="shared" si="356"/>
        <v>0.10231307662851437</v>
      </c>
      <c r="N1021" s="22">
        <f t="shared" si="356"/>
        <v>0.10261261243819185</v>
      </c>
      <c r="O1021" s="22">
        <f t="shared" si="356"/>
        <v>0.10271062355774604</v>
      </c>
      <c r="P1021" s="22">
        <f t="shared" si="356"/>
        <v>0.10280982636740998</v>
      </c>
      <c r="Q1021" s="22">
        <f t="shared" si="356"/>
        <v>0.10311225602401949</v>
      </c>
      <c r="R1021" s="22">
        <f t="shared" si="356"/>
        <v>0.10334926076602191</v>
      </c>
      <c r="S1021" s="22">
        <f t="shared" si="356"/>
        <v>0.1033652172687505</v>
      </c>
      <c r="T1021" s="22">
        <f t="shared" si="356"/>
        <v>0.10237939394800614</v>
      </c>
      <c r="U1021" s="22">
        <f t="shared" si="356"/>
        <v>0.10291860215695282</v>
      </c>
      <c r="V1021" s="22">
        <f t="shared" si="356"/>
        <v>0.10332641119306983</v>
      </c>
      <c r="W1021" s="22">
        <f t="shared" si="356"/>
        <v>0.10370239203239459</v>
      </c>
      <c r="X1021" s="22">
        <f t="shared" si="356"/>
        <v>0.1041201277615169</v>
      </c>
      <c r="Y1021" s="22">
        <f t="shared" si="356"/>
        <v>0.1046878275069046</v>
      </c>
      <c r="Z1021" s="22">
        <f t="shared" si="356"/>
        <v>0.10528227646052629</v>
      </c>
      <c r="AA1021" s="22">
        <f t="shared" si="356"/>
        <v>0.1059046407105468</v>
      </c>
      <c r="AB1021" s="22">
        <f t="shared" si="356"/>
        <v>0.10645777636830578</v>
      </c>
      <c r="AC1021" s="22">
        <f t="shared" si="356"/>
        <v>0.10706799743750575</v>
      </c>
      <c r="AD1021" s="22">
        <f t="shared" si="356"/>
        <v>0.10774626043627387</v>
      </c>
      <c r="AE1021" s="22">
        <f t="shared" si="356"/>
        <v>0.10839593316449521</v>
      </c>
      <c r="AF1021" s="22">
        <f t="shared" si="356"/>
        <v>0.10905643789090745</v>
      </c>
      <c r="AG1021" s="22">
        <f t="shared" si="356"/>
        <v>0.10971505173574356</v>
      </c>
      <c r="AH1021" s="22">
        <f t="shared" si="356"/>
        <v>0.11042069158828928</v>
      </c>
      <c r="AI1021" s="22">
        <f t="shared" si="356"/>
        <v>0.11104367058067952</v>
      </c>
      <c r="AJ1021" s="22">
        <f t="shared" si="356"/>
        <v>0.11168392829219058</v>
      </c>
      <c r="AK1021" s="22">
        <f t="shared" si="356"/>
        <v>0.11232074350166987</v>
      </c>
      <c r="AL1021" s="22">
        <f t="shared" si="356"/>
        <v>0.11292252611061948</v>
      </c>
      <c r="AM1021" s="22">
        <f t="shared" si="356"/>
        <v>0.11351220687490285</v>
      </c>
      <c r="AN1021" s="22">
        <f t="shared" si="356"/>
        <v>0.11410873660154547</v>
      </c>
      <c r="AO1021" s="22">
        <f t="shared" si="356"/>
        <v>0.11471759991442693</v>
      </c>
      <c r="AP1021" s="22">
        <f t="shared" si="356"/>
        <v>0.11528595322242488</v>
      </c>
      <c r="AQ1021" s="22">
        <f t="shared" si="356"/>
        <v>0.1158506275777887</v>
      </c>
      <c r="AR1021" s="22">
        <f t="shared" si="356"/>
        <v>0.1164124717345221</v>
      </c>
      <c r="AS1021" s="22">
        <f t="shared" si="356"/>
        <v>0.11699498737450693</v>
      </c>
      <c r="AT1021" s="22">
        <f t="shared" si="356"/>
        <v>0.11757760450671237</v>
      </c>
      <c r="AU1021" s="22">
        <f t="shared" si="356"/>
        <v>0.11793906960682159</v>
      </c>
      <c r="AV1021" s="22">
        <f t="shared" si="356"/>
        <v>0.11828268342357233</v>
      </c>
      <c r="AW1021" s="22">
        <f t="shared" si="356"/>
        <v>0.11865153663672662</v>
      </c>
      <c r="AY1021" s="85"/>
      <c r="AZ1021" s="85"/>
    </row>
    <row r="1022" spans="1:52" x14ac:dyDescent="0.25">
      <c r="A1022" s="102" t="str">
        <f t="shared" si="345"/>
        <v>DS Leaching</v>
      </c>
      <c r="B1022" s="102" t="s">
        <v>975</v>
      </c>
      <c r="C1022" s="102" t="s">
        <v>1191</v>
      </c>
      <c r="D1022" t="s">
        <v>369</v>
      </c>
      <c r="E1022" t="s">
        <v>61</v>
      </c>
      <c r="F1022" t="s">
        <v>63</v>
      </c>
      <c r="G1022" t="s">
        <v>1194</v>
      </c>
      <c r="H1022" t="s">
        <v>1195</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85"/>
      <c r="AZ1022" s="85"/>
    </row>
    <row r="1023" spans="1:52" x14ac:dyDescent="0.25">
      <c r="A1023" s="102" t="str">
        <f t="shared" si="345"/>
        <v>DS Leaching</v>
      </c>
      <c r="B1023" s="102" t="s">
        <v>975</v>
      </c>
      <c r="C1023" s="102" t="s">
        <v>1191</v>
      </c>
      <c r="D1023" t="s">
        <v>369</v>
      </c>
      <c r="E1023" t="s">
        <v>61</v>
      </c>
      <c r="F1023" t="s">
        <v>63</v>
      </c>
      <c r="G1023" t="s">
        <v>1196</v>
      </c>
      <c r="H1023" t="s">
        <v>1197</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85"/>
      <c r="AZ1023" s="85"/>
    </row>
    <row r="1024" spans="1:52" x14ac:dyDescent="0.25">
      <c r="A1024" s="102" t="str">
        <f t="shared" si="345"/>
        <v>DS Leaching</v>
      </c>
      <c r="B1024" s="102" t="s">
        <v>975</v>
      </c>
      <c r="C1024" s="102" t="s">
        <v>1191</v>
      </c>
      <c r="D1024" t="s">
        <v>369</v>
      </c>
      <c r="E1024" t="s">
        <v>61</v>
      </c>
      <c r="F1024" t="s">
        <v>63</v>
      </c>
      <c r="G1024" t="s">
        <v>1198</v>
      </c>
      <c r="H1024" t="s">
        <v>1199</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85"/>
      <c r="AZ1024" s="85"/>
    </row>
    <row r="1025" spans="1:52" x14ac:dyDescent="0.25">
      <c r="A1025" s="102" t="str">
        <f t="shared" si="345"/>
        <v>DS Leaching</v>
      </c>
      <c r="B1025" s="102" t="s">
        <v>975</v>
      </c>
      <c r="C1025" s="102" t="s">
        <v>1191</v>
      </c>
      <c r="D1025" t="s">
        <v>369</v>
      </c>
      <c r="E1025" t="s">
        <v>61</v>
      </c>
      <c r="F1025" t="s">
        <v>63</v>
      </c>
      <c r="G1025" t="s">
        <v>1200</v>
      </c>
      <c r="H1025" t="s">
        <v>1201</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85"/>
      <c r="AZ1025" s="85"/>
    </row>
    <row r="1026" spans="1:52" x14ac:dyDescent="0.25">
      <c r="A1026" s="102" t="str">
        <f t="shared" si="345"/>
        <v>DS Leaching</v>
      </c>
      <c r="B1026" s="102" t="s">
        <v>975</v>
      </c>
      <c r="C1026" s="102" t="s">
        <v>1191</v>
      </c>
      <c r="D1026" t="s">
        <v>369</v>
      </c>
      <c r="E1026" t="s">
        <v>61</v>
      </c>
      <c r="F1026" t="s">
        <v>63</v>
      </c>
      <c r="G1026" t="s">
        <v>1202</v>
      </c>
      <c r="H1026" t="s">
        <v>1203</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85"/>
      <c r="AZ1026" s="85"/>
    </row>
    <row r="1027" spans="1:52" x14ac:dyDescent="0.25">
      <c r="A1027" s="102" t="str">
        <f t="shared" si="345"/>
        <v>DS Leaching</v>
      </c>
      <c r="B1027" s="102" t="s">
        <v>975</v>
      </c>
      <c r="C1027" s="102" t="s">
        <v>1191</v>
      </c>
      <c r="D1027" t="s">
        <v>369</v>
      </c>
      <c r="E1027" t="s">
        <v>61</v>
      </c>
      <c r="F1027" t="s">
        <v>63</v>
      </c>
      <c r="G1027" t="s">
        <v>1204</v>
      </c>
      <c r="H1027" t="s">
        <v>1205</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85"/>
      <c r="AZ1027" s="85"/>
    </row>
    <row r="1028" spans="1:52" x14ac:dyDescent="0.25">
      <c r="A1028" s="102" t="str">
        <f t="shared" si="345"/>
        <v>DS Leaching</v>
      </c>
      <c r="B1028" s="102" t="s">
        <v>975</v>
      </c>
      <c r="C1028" s="102" t="s">
        <v>1191</v>
      </c>
      <c r="D1028" t="s">
        <v>369</v>
      </c>
      <c r="E1028" t="s">
        <v>61</v>
      </c>
      <c r="F1028" t="s">
        <v>63</v>
      </c>
      <c r="G1028" t="s">
        <v>1206</v>
      </c>
      <c r="H1028" t="s">
        <v>1207</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85"/>
      <c r="AZ1028" s="85"/>
    </row>
    <row r="1029" spans="1:52" x14ac:dyDescent="0.25">
      <c r="A1029" s="102" t="str">
        <f t="shared" si="345"/>
        <v>DS Leaching</v>
      </c>
      <c r="B1029" s="102" t="s">
        <v>975</v>
      </c>
      <c r="C1029" s="102" t="s">
        <v>1191</v>
      </c>
      <c r="D1029" t="s">
        <v>369</v>
      </c>
      <c r="E1029" t="s">
        <v>61</v>
      </c>
      <c r="F1029" t="s">
        <v>63</v>
      </c>
      <c r="G1029" t="s">
        <v>1208</v>
      </c>
      <c r="H1029" t="s">
        <v>1209</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85"/>
      <c r="AZ1029" s="85"/>
    </row>
    <row r="1030" spans="1:52" x14ac:dyDescent="0.25">
      <c r="A1030" s="102" t="str">
        <f t="shared" si="345"/>
        <v>DS Leaching</v>
      </c>
      <c r="B1030" s="102" t="s">
        <v>975</v>
      </c>
      <c r="C1030" s="102" t="s">
        <v>1191</v>
      </c>
      <c r="D1030" t="s">
        <v>369</v>
      </c>
      <c r="E1030" t="s">
        <v>61</v>
      </c>
      <c r="F1030" t="s">
        <v>63</v>
      </c>
      <c r="G1030" t="s">
        <v>1210</v>
      </c>
      <c r="H1030" t="s">
        <v>1211</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85"/>
      <c r="AZ1030" s="85"/>
    </row>
    <row r="1031" spans="1:52" x14ac:dyDescent="0.25">
      <c r="A1031" s="102" t="str">
        <f t="shared" si="345"/>
        <v>DS Leaching</v>
      </c>
      <c r="B1031" s="102" t="s">
        <v>975</v>
      </c>
      <c r="C1031" s="102" t="s">
        <v>1191</v>
      </c>
      <c r="D1031" t="s">
        <v>369</v>
      </c>
      <c r="E1031" t="s">
        <v>61</v>
      </c>
      <c r="F1031" t="s">
        <v>63</v>
      </c>
      <c r="G1031" t="s">
        <v>1212</v>
      </c>
      <c r="H1031" t="s">
        <v>1213</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85"/>
      <c r="AZ1031" s="85"/>
    </row>
    <row r="1032" spans="1:52" x14ac:dyDescent="0.25">
      <c r="A1032" s="102" t="str">
        <f t="shared" si="345"/>
        <v>DS Leaching</v>
      </c>
      <c r="B1032" s="102" t="s">
        <v>975</v>
      </c>
      <c r="C1032" s="102" t="s">
        <v>1191</v>
      </c>
      <c r="D1032" t="s">
        <v>369</v>
      </c>
      <c r="E1032" t="s">
        <v>61</v>
      </c>
      <c r="F1032" t="s">
        <v>63</v>
      </c>
      <c r="G1032" t="s">
        <v>1214</v>
      </c>
      <c r="H1032" t="s">
        <v>1215</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85"/>
      <c r="AZ1032" s="85"/>
    </row>
    <row r="1033" spans="1:52" x14ac:dyDescent="0.25">
      <c r="A1033" s="102" t="str">
        <f t="shared" si="345"/>
        <v xml:space="preserve">DS </v>
      </c>
      <c r="B1033" s="102" t="s">
        <v>975</v>
      </c>
      <c r="C1033" s="102"/>
      <c r="D1033" t="s">
        <v>369</v>
      </c>
      <c r="E1033" t="s">
        <v>61</v>
      </c>
      <c r="F1033" t="s">
        <v>63</v>
      </c>
      <c r="G1033" t="s">
        <v>1216</v>
      </c>
      <c r="H1033" t="s">
        <v>1217</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85"/>
      <c r="AZ1033" s="85"/>
    </row>
    <row r="1034" spans="1:52" x14ac:dyDescent="0.25">
      <c r="A1034" s="102" t="str">
        <f t="shared" si="345"/>
        <v>DS MM Volatilisation</v>
      </c>
      <c r="B1034" s="102" t="s">
        <v>975</v>
      </c>
      <c r="C1034" s="102" t="s">
        <v>1333</v>
      </c>
      <c r="D1034" t="s">
        <v>369</v>
      </c>
      <c r="E1034" t="s">
        <v>64</v>
      </c>
      <c r="F1034" t="s">
        <v>62</v>
      </c>
      <c r="G1034" t="s">
        <v>1153</v>
      </c>
      <c r="H1034" t="s">
        <v>1291</v>
      </c>
      <c r="I1034" t="s">
        <v>139</v>
      </c>
      <c r="J1034" t="s">
        <v>287</v>
      </c>
      <c r="K1034" s="22">
        <f t="shared" ref="K1034:AW1034" si="360">K1531</f>
        <v>0.39650006889927725</v>
      </c>
      <c r="L1034" s="22">
        <f t="shared" si="360"/>
        <v>0.39917725962597483</v>
      </c>
      <c r="M1034" s="22">
        <f t="shared" si="360"/>
        <v>0.40151912336157097</v>
      </c>
      <c r="N1034" s="22">
        <f t="shared" si="360"/>
        <v>0.40182204834461305</v>
      </c>
      <c r="O1034" s="22">
        <f t="shared" si="360"/>
        <v>0.40234380692675509</v>
      </c>
      <c r="P1034" s="22">
        <f t="shared" si="360"/>
        <v>0.40533756143141658</v>
      </c>
      <c r="Q1034" s="22">
        <f t="shared" si="360"/>
        <v>0.40773146882804268</v>
      </c>
      <c r="R1034" s="22">
        <f t="shared" si="360"/>
        <v>0.4077524587520438</v>
      </c>
      <c r="S1034" s="22">
        <f t="shared" si="360"/>
        <v>0.39694956601748077</v>
      </c>
      <c r="T1034" s="22">
        <f t="shared" si="360"/>
        <v>0.40216838368989699</v>
      </c>
      <c r="U1034" s="22">
        <f t="shared" si="360"/>
        <v>0.40611893900122115</v>
      </c>
      <c r="V1034" s="22">
        <f t="shared" si="360"/>
        <v>0.40984619445157972</v>
      </c>
      <c r="W1034" s="22">
        <f t="shared" si="360"/>
        <v>0.41416805701435672</v>
      </c>
      <c r="X1034" s="22">
        <f t="shared" si="360"/>
        <v>0.42036063160455023</v>
      </c>
      <c r="Y1034" s="22">
        <f t="shared" si="360"/>
        <v>0.42680782230429931</v>
      </c>
      <c r="Z1034" s="22">
        <f t="shared" si="360"/>
        <v>0.43381092675754646</v>
      </c>
      <c r="AA1034" s="22">
        <f t="shared" si="360"/>
        <v>0.4401795345291673</v>
      </c>
      <c r="AB1034" s="22">
        <f t="shared" si="360"/>
        <v>0.44747640522914289</v>
      </c>
      <c r="AC1034" s="22">
        <f t="shared" si="360"/>
        <v>0.45590733118781618</v>
      </c>
      <c r="AD1034" s="22">
        <f t="shared" si="360"/>
        <v>0.46402422732384918</v>
      </c>
      <c r="AE1034" s="22">
        <f t="shared" si="360"/>
        <v>0.47256428946703954</v>
      </c>
      <c r="AF1034" s="22">
        <f t="shared" si="360"/>
        <v>0.48136337732272266</v>
      </c>
      <c r="AG1034" s="22">
        <f t="shared" si="360"/>
        <v>0.49115427006051043</v>
      </c>
      <c r="AH1034" s="22">
        <f t="shared" si="360"/>
        <v>0.50001868003063199</v>
      </c>
      <c r="AI1034" s="22">
        <f t="shared" si="360"/>
        <v>0.50922978725811852</v>
      </c>
      <c r="AJ1034" s="22">
        <f t="shared" si="360"/>
        <v>0.51868165497998486</v>
      </c>
      <c r="AK1034" s="22">
        <f t="shared" si="360"/>
        <v>0.52785098151313881</v>
      </c>
      <c r="AL1034" s="22">
        <f t="shared" si="360"/>
        <v>0.53708980329541955</v>
      </c>
      <c r="AM1034" s="22">
        <f t="shared" si="360"/>
        <v>0.54672053409535659</v>
      </c>
      <c r="AN1034" s="22">
        <f t="shared" si="360"/>
        <v>0.55667014923331293</v>
      </c>
      <c r="AO1034" s="22">
        <f t="shared" si="360"/>
        <v>0.5661730507090722</v>
      </c>
      <c r="AP1034" s="22">
        <f t="shared" si="360"/>
        <v>0.57587669150956888</v>
      </c>
      <c r="AQ1034" s="22">
        <f t="shared" si="360"/>
        <v>0.5857985598453167</v>
      </c>
      <c r="AR1034" s="22">
        <f t="shared" si="360"/>
        <v>0.59640903003350576</v>
      </c>
      <c r="AS1034" s="22">
        <f t="shared" si="360"/>
        <v>0.60713627699395989</v>
      </c>
      <c r="AT1034" s="22">
        <f t="shared" si="360"/>
        <v>0.61355666329177083</v>
      </c>
      <c r="AU1034" s="22">
        <f t="shared" si="360"/>
        <v>0.6197276036819036</v>
      </c>
      <c r="AV1034" s="22">
        <f t="shared" si="360"/>
        <v>0.62655501037549211</v>
      </c>
      <c r="AW1034" s="22">
        <f t="shared" si="360"/>
        <v>0.63318564946997902</v>
      </c>
      <c r="AY1034" s="85"/>
      <c r="AZ1034" s="85"/>
    </row>
    <row r="1035" spans="1:52" x14ac:dyDescent="0.25">
      <c r="A1035" s="102" t="str">
        <f t="shared" si="345"/>
        <v>DS MM Volatilisation</v>
      </c>
      <c r="B1035" s="102" t="s">
        <v>975</v>
      </c>
      <c r="C1035" s="102" t="s">
        <v>1333</v>
      </c>
      <c r="D1035" t="s">
        <v>369</v>
      </c>
      <c r="E1035" t="s">
        <v>64</v>
      </c>
      <c r="F1035" t="s">
        <v>62</v>
      </c>
      <c r="G1035" t="s">
        <v>1155</v>
      </c>
      <c r="H1035" t="s">
        <v>1292</v>
      </c>
      <c r="I1035" t="s">
        <v>139</v>
      </c>
      <c r="J1035" t="s">
        <v>287</v>
      </c>
      <c r="K1035" s="22">
        <f t="shared" ref="K1035:AW1035" si="361">K1532</f>
        <v>3.1281584559645491E-2</v>
      </c>
      <c r="L1035" s="22">
        <f t="shared" si="361"/>
        <v>3.1492799574896264E-2</v>
      </c>
      <c r="M1035" s="22">
        <f t="shared" si="361"/>
        <v>3.1677559211068809E-2</v>
      </c>
      <c r="N1035" s="22">
        <f t="shared" si="361"/>
        <v>3.1701458257287304E-2</v>
      </c>
      <c r="O1035" s="22">
        <f t="shared" si="361"/>
        <v>3.1742622021148185E-2</v>
      </c>
      <c r="P1035" s="22">
        <f t="shared" si="361"/>
        <v>3.1978812105423256E-2</v>
      </c>
      <c r="Q1035" s="22">
        <f t="shared" si="361"/>
        <v>3.2167677688381177E-2</v>
      </c>
      <c r="R1035" s="22">
        <f t="shared" si="361"/>
        <v>3.2169333673169188E-2</v>
      </c>
      <c r="S1035" s="22">
        <f t="shared" si="361"/>
        <v>3.1317047307865033E-2</v>
      </c>
      <c r="T1035" s="22">
        <f t="shared" si="361"/>
        <v>3.1728782132462323E-2</v>
      </c>
      <c r="U1035" s="22">
        <f t="shared" si="361"/>
        <v>3.2040458320493799E-2</v>
      </c>
      <c r="V1035" s="22">
        <f t="shared" si="361"/>
        <v>3.2334517428401308E-2</v>
      </c>
      <c r="W1035" s="22">
        <f t="shared" si="361"/>
        <v>3.2675487631982837E-2</v>
      </c>
      <c r="X1035" s="22">
        <f t="shared" si="361"/>
        <v>3.316404630039068E-2</v>
      </c>
      <c r="Y1035" s="22">
        <f t="shared" si="361"/>
        <v>3.3672692721578558E-2</v>
      </c>
      <c r="Z1035" s="22">
        <f t="shared" si="361"/>
        <v>3.4225197554030251E-2</v>
      </c>
      <c r="AA1035" s="22">
        <f t="shared" si="361"/>
        <v>3.4727644232257139E-2</v>
      </c>
      <c r="AB1035" s="22">
        <f t="shared" si="361"/>
        <v>3.5303325539087042E-2</v>
      </c>
      <c r="AC1035" s="22">
        <f t="shared" si="361"/>
        <v>3.5968477310748759E-2</v>
      </c>
      <c r="AD1035" s="22">
        <f t="shared" si="361"/>
        <v>3.6608853927948493E-2</v>
      </c>
      <c r="AE1035" s="22">
        <f t="shared" si="361"/>
        <v>3.7282615919512485E-2</v>
      </c>
      <c r="AF1035" s="22">
        <f t="shared" si="361"/>
        <v>3.7976813556273109E-2</v>
      </c>
      <c r="AG1035" s="22">
        <f t="shared" si="361"/>
        <v>3.8749258917863509E-2</v>
      </c>
      <c r="AH1035" s="22">
        <f t="shared" si="361"/>
        <v>3.9448610095333729E-2</v>
      </c>
      <c r="AI1035" s="22">
        <f t="shared" si="361"/>
        <v>4.0175313700769343E-2</v>
      </c>
      <c r="AJ1035" s="22">
        <f t="shared" si="361"/>
        <v>4.0921011930302946E-2</v>
      </c>
      <c r="AK1035" s="22">
        <f t="shared" si="361"/>
        <v>4.164441927824649E-2</v>
      </c>
      <c r="AL1035" s="22">
        <f t="shared" si="361"/>
        <v>4.2373309403325697E-2</v>
      </c>
      <c r="AM1035" s="22">
        <f t="shared" si="361"/>
        <v>4.313311890531582E-2</v>
      </c>
      <c r="AN1035" s="22">
        <f t="shared" si="361"/>
        <v>4.3918086555228081E-2</v>
      </c>
      <c r="AO1035" s="22">
        <f t="shared" si="361"/>
        <v>4.4667811055658022E-2</v>
      </c>
      <c r="AP1035" s="22">
        <f t="shared" si="361"/>
        <v>4.5433372739114561E-2</v>
      </c>
      <c r="AQ1035" s="22">
        <f t="shared" si="361"/>
        <v>4.6216151325246931E-2</v>
      </c>
      <c r="AR1035" s="22">
        <f t="shared" si="361"/>
        <v>4.705325665370462E-2</v>
      </c>
      <c r="AS1035" s="22">
        <f t="shared" si="361"/>
        <v>4.7899575000677964E-2</v>
      </c>
      <c r="AT1035" s="22">
        <f t="shared" si="361"/>
        <v>4.8406106708069871E-2</v>
      </c>
      <c r="AU1035" s="22">
        <f t="shared" si="361"/>
        <v>4.8892958561998573E-2</v>
      </c>
      <c r="AV1035" s="22">
        <f t="shared" si="361"/>
        <v>4.9431601847487718E-2</v>
      </c>
      <c r="AW1035" s="22">
        <f t="shared" si="361"/>
        <v>4.9954721296355649E-2</v>
      </c>
      <c r="AY1035" s="85"/>
      <c r="AZ1035" s="85"/>
    </row>
    <row r="1036" spans="1:52" x14ac:dyDescent="0.25">
      <c r="A1036" s="102" t="str">
        <f t="shared" si="345"/>
        <v>DS MM Volatilisation</v>
      </c>
      <c r="B1036" s="102" t="s">
        <v>975</v>
      </c>
      <c r="C1036" s="102" t="s">
        <v>1333</v>
      </c>
      <c r="D1036" t="s">
        <v>369</v>
      </c>
      <c r="E1036" t="s">
        <v>64</v>
      </c>
      <c r="F1036" t="s">
        <v>62</v>
      </c>
      <c r="G1036" t="s">
        <v>1157</v>
      </c>
      <c r="H1036" t="s">
        <v>1293</v>
      </c>
      <c r="I1036" t="s">
        <v>139</v>
      </c>
      <c r="J1036" t="s">
        <v>287</v>
      </c>
      <c r="K1036" s="22">
        <f t="shared" ref="K1036:AW1036" si="362">K1533</f>
        <v>2.8996787363609876E-4</v>
      </c>
      <c r="L1036" s="22">
        <f t="shared" si="362"/>
        <v>2.9192575299913116E-4</v>
      </c>
      <c r="M1036" s="22">
        <f t="shared" si="362"/>
        <v>2.9363840149788538E-4</v>
      </c>
      <c r="N1036" s="22">
        <f t="shared" si="362"/>
        <v>2.9385993617112721E-4</v>
      </c>
      <c r="O1036" s="22">
        <f t="shared" si="362"/>
        <v>2.9424150792478436E-4</v>
      </c>
      <c r="P1036" s="22">
        <f t="shared" si="362"/>
        <v>2.964308962654098E-4</v>
      </c>
      <c r="Q1036" s="22">
        <f t="shared" si="362"/>
        <v>2.9818160526127053E-4</v>
      </c>
      <c r="R1036" s="22">
        <f t="shared" si="362"/>
        <v>2.9819695558301769E-4</v>
      </c>
      <c r="S1036" s="22">
        <f t="shared" si="362"/>
        <v>2.9029659923741555E-4</v>
      </c>
      <c r="T1036" s="22">
        <f t="shared" si="362"/>
        <v>2.9411321764952843E-4</v>
      </c>
      <c r="U1036" s="22">
        <f t="shared" si="362"/>
        <v>2.970023322125765E-4</v>
      </c>
      <c r="V1036" s="22">
        <f t="shared" si="362"/>
        <v>2.99728143434853E-4</v>
      </c>
      <c r="W1036" s="22">
        <f t="shared" si="362"/>
        <v>3.0288880189565705E-4</v>
      </c>
      <c r="X1036" s="22">
        <f t="shared" si="362"/>
        <v>3.0741754684956394E-4</v>
      </c>
      <c r="Y1036" s="22">
        <f t="shared" si="362"/>
        <v>3.1213249729918828E-4</v>
      </c>
      <c r="Z1036" s="22">
        <f t="shared" si="362"/>
        <v>3.1725399781442622E-4</v>
      </c>
      <c r="AA1036" s="22">
        <f t="shared" si="362"/>
        <v>3.2191147910739512E-4</v>
      </c>
      <c r="AB1036" s="22">
        <f t="shared" si="362"/>
        <v>3.2724781634169446E-4</v>
      </c>
      <c r="AC1036" s="22">
        <f t="shared" si="362"/>
        <v>3.3341350927538441E-4</v>
      </c>
      <c r="AD1036" s="22">
        <f t="shared" si="362"/>
        <v>3.3934954636013071E-4</v>
      </c>
      <c r="AE1036" s="22">
        <f t="shared" si="362"/>
        <v>3.4559505261503654E-4</v>
      </c>
      <c r="AF1036" s="22">
        <f t="shared" si="362"/>
        <v>3.5202998919028807E-4</v>
      </c>
      <c r="AG1036" s="22">
        <f t="shared" si="362"/>
        <v>3.5919025111926287E-4</v>
      </c>
      <c r="AH1036" s="22">
        <f t="shared" si="362"/>
        <v>3.6567295897152252E-4</v>
      </c>
      <c r="AI1036" s="22">
        <f t="shared" si="362"/>
        <v>3.7240921297521811E-4</v>
      </c>
      <c r="AJ1036" s="22">
        <f t="shared" si="362"/>
        <v>3.7932153960559638E-4</v>
      </c>
      <c r="AK1036" s="22">
        <f t="shared" si="362"/>
        <v>3.8602723861057959E-4</v>
      </c>
      <c r="AL1036" s="22">
        <f t="shared" si="362"/>
        <v>3.9278376078357157E-4</v>
      </c>
      <c r="AM1036" s="22">
        <f t="shared" si="362"/>
        <v>3.9982689330905129E-4</v>
      </c>
      <c r="AN1036" s="22">
        <f t="shared" si="362"/>
        <v>4.0710323188084528E-4</v>
      </c>
      <c r="AO1036" s="22">
        <f t="shared" si="362"/>
        <v>4.1405288044446054E-4</v>
      </c>
      <c r="AP1036" s="22">
        <f t="shared" si="362"/>
        <v>4.2114933340917202E-4</v>
      </c>
      <c r="AQ1036" s="22">
        <f t="shared" si="362"/>
        <v>4.284053802285357E-4</v>
      </c>
      <c r="AR1036" s="22">
        <f t="shared" si="362"/>
        <v>4.3616501438771657E-4</v>
      </c>
      <c r="AS1036" s="22">
        <f t="shared" si="362"/>
        <v>4.4401004957201647E-4</v>
      </c>
      <c r="AT1036" s="22">
        <f t="shared" si="362"/>
        <v>4.4870539746405302E-4</v>
      </c>
      <c r="AU1036" s="22">
        <f t="shared" si="362"/>
        <v>4.5321832092514971E-4</v>
      </c>
      <c r="AV1036" s="22">
        <f t="shared" si="362"/>
        <v>4.5821133040150263E-4</v>
      </c>
      <c r="AW1036" s="22">
        <f t="shared" si="362"/>
        <v>4.630604400735748E-4</v>
      </c>
      <c r="AY1036" s="85"/>
      <c r="AZ1036" s="85"/>
    </row>
    <row r="1037" spans="1:52" x14ac:dyDescent="0.25">
      <c r="A1037" s="102" t="str">
        <f t="shared" si="345"/>
        <v>DS MM Volatilisation</v>
      </c>
      <c r="B1037" s="102" t="s">
        <v>975</v>
      </c>
      <c r="C1037" s="102" t="s">
        <v>1333</v>
      </c>
      <c r="D1037" t="s">
        <v>369</v>
      </c>
      <c r="E1037" t="s">
        <v>64</v>
      </c>
      <c r="F1037" t="s">
        <v>62</v>
      </c>
      <c r="G1037" t="s">
        <v>1159</v>
      </c>
      <c r="H1037" t="s">
        <v>1294</v>
      </c>
      <c r="I1037" t="s">
        <v>139</v>
      </c>
      <c r="J1037" t="s">
        <v>287</v>
      </c>
      <c r="K1037" s="101">
        <f>IF('Net zero activities &amp; levers'!$C$12="Off",Constants!$H66*'Activity data'!AD8*Constants!$H84*EF!$H209*MMVolatEF*NtoN2O*kgtoGg,Constants!$H66*'Net zero Activity data'!AD8*Constants!$H84*EF!$H209*MMVolatEF*NtoN2O*kgtoGg)</f>
        <v>3.2482696422712933E-3</v>
      </c>
      <c r="L1037" s="101">
        <f>IF('Net zero activities &amp; levers'!$C$12="Off",Constants!$H66*'Activity data'!AE8*Constants!$H84*EF!$H209*MMVolatEF*NtoN2O*kgtoGg,Constants!$H66*'Net zero Activity data'!AE8*Constants!$H84*EF!$H209*MMVolatEF*NtoN2O*kgtoGg)</f>
        <v>3.2317319962183351E-3</v>
      </c>
      <c r="M1037" s="101">
        <f>IF('Net zero activities &amp; levers'!$C$12="Off",Constants!$H66*'Activity data'!AF8*Constants!$H84*EF!$H209*MMVolatEF*NtoN2O*kgtoGg,Constants!$H66*'Net zero Activity data'!AF8*Constants!$H84*EF!$H209*MMVolatEF*NtoN2O*kgtoGg)</f>
        <v>3.2015477632972725E-3</v>
      </c>
      <c r="N1037" s="101">
        <f>IF('Net zero activities &amp; levers'!$C$12="Off",Constants!$H66*'Activity data'!AG8*Constants!$H84*EF!$H209*MMVolatEF*NtoN2O*kgtoGg,Constants!$H66*'Net zero Activity data'!AG8*Constants!$H84*EF!$H209*MMVolatEF*NtoN2O*kgtoGg)</f>
        <v>3.1189249893783613E-3</v>
      </c>
      <c r="O1037" s="101">
        <f>IF('Net zero activities &amp; levers'!$C$12="Off",Constants!$H66*'Activity data'!AH8*Constants!$H84*EF!$H209*MMVolatEF*NtoN2O*kgtoGg,Constants!$H66*'Net zero Activity data'!AH8*Constants!$H84*EF!$H209*MMVolatEF*NtoN2O*kgtoGg)</f>
        <v>3.0395993626659438E-3</v>
      </c>
      <c r="P1037" s="101">
        <f>IF('Net zero activities &amp; levers'!$C$12="Off",Constants!$H66*'Activity data'!AI8*Constants!$H84*EF!$H209*MMVolatEF*NtoN2O*kgtoGg,Constants!$H66*'Net zero Activity data'!AI8*Constants!$H84*EF!$H209*MMVolatEF*NtoN2O*kgtoGg)</f>
        <v>3.013633441305081E-3</v>
      </c>
      <c r="Q1037" s="101">
        <f>IF('Net zero activities &amp; levers'!$C$12="Off",Constants!$H66*'Activity data'!AJ8*Constants!$H84*EF!$H209*MMVolatEF*NtoN2O*kgtoGg,Constants!$H66*'Net zero Activity data'!AJ8*Constants!$H84*EF!$H209*MMVolatEF*NtoN2O*kgtoGg)</f>
        <v>2.9716957157217678E-3</v>
      </c>
      <c r="R1037" s="101">
        <f>IF('Net zero activities &amp; levers'!$C$12="Off",Constants!$H66*'Activity data'!AK8*Constants!$H84*EF!$H209*MMVolatEF*NtoN2O*kgtoGg,Constants!$H66*'Net zero Activity data'!AK8*Constants!$H84*EF!$H209*MMVolatEF*NtoN2O*kgtoGg)</f>
        <v>2.8774698147158886E-3</v>
      </c>
      <c r="S1037" s="101">
        <f>IF('Net zero activities &amp; levers'!$C$12="Off",Constants!$H66*'Activity data'!AL8*Constants!$H84*EF!$H209*MMVolatEF*NtoN2O*kgtoGg,Constants!$H66*'Net zero Activity data'!AL8*Constants!$H84*EF!$H209*MMVolatEF*NtoN2O*kgtoGg)</f>
        <v>2.5613322402579155E-3</v>
      </c>
      <c r="T1037" s="101">
        <f>IF('Net zero activities &amp; levers'!$C$12="Off",Constants!$H66*'Activity data'!AM8*Constants!$H84*EF!$H209*MMVolatEF*NtoN2O*kgtoGg,Constants!$H66*'Net zero Activity data'!AM8*Constants!$H84*EF!$H209*MMVolatEF*NtoN2O*kgtoGg)</f>
        <v>2.5574306718627766E-3</v>
      </c>
      <c r="U1037" s="101">
        <f>IF('Net zero activities &amp; levers'!$C$12="Off",Constants!$H66*'Activity data'!AN8*Constants!$H84*EF!$H209*MMVolatEF*NtoN2O*kgtoGg,Constants!$H66*'Net zero Activity data'!AN8*Constants!$H84*EF!$H209*MMVolatEF*NtoN2O*kgtoGg)</f>
        <v>2.5241639746672218E-3</v>
      </c>
      <c r="V1037" s="101">
        <f>IF('Net zero activities &amp; levers'!$C$12="Off",Constants!$H66*'Activity data'!AO8*Constants!$H84*EF!$H209*MMVolatEF*NtoN2O*kgtoGg,Constants!$H66*'Net zero Activity data'!AO8*Constants!$H84*EF!$H209*MMVolatEF*NtoN2O*kgtoGg)</f>
        <v>2.4838682919484964E-3</v>
      </c>
      <c r="W1037" s="101">
        <f>IF('Net zero activities &amp; levers'!$C$12="Off",Constants!$H66*'Activity data'!AP8*Constants!$H84*EF!$H209*MMVolatEF*NtoN2O*kgtoGg,Constants!$H66*'Net zero Activity data'!AP8*Constants!$H84*EF!$H209*MMVolatEF*NtoN2O*kgtoGg)</f>
        <v>2.4517144403763819E-3</v>
      </c>
      <c r="X1037" s="101">
        <f>IF('Net zero activities &amp; levers'!$C$12="Off",Constants!$H66*'Activity data'!AQ8*Constants!$H84*EF!$H209*MMVolatEF*NtoN2O*kgtoGg,Constants!$H66*'Net zero Activity data'!AQ8*Constants!$H84*EF!$H209*MMVolatEF*NtoN2O*kgtoGg)</f>
        <v>2.4483265740297545E-3</v>
      </c>
      <c r="Y1037" s="101">
        <f>IF('Net zero activities &amp; levers'!$C$12="Off",Constants!$H66*'Activity data'!AR8*Constants!$H84*EF!$H209*MMVolatEF*NtoN2O*kgtoGg,Constants!$H66*'Net zero Activity data'!AR8*Constants!$H84*EF!$H209*MMVolatEF*NtoN2O*kgtoGg)</f>
        <v>2.4484892253944734E-3</v>
      </c>
      <c r="Z1037" s="101">
        <f>IF('Net zero activities &amp; levers'!$C$12="Off",Constants!$H66*'Activity data'!AS8*Constants!$H84*EF!$H209*MMVolatEF*NtoN2O*kgtoGg,Constants!$H66*'Net zero Activity data'!AS8*Constants!$H84*EF!$H209*MMVolatEF*NtoN2O*kgtoGg)</f>
        <v>2.4520254862035683E-3</v>
      </c>
      <c r="AA1037" s="101">
        <f>IF('Net zero activities &amp; levers'!$C$12="Off",Constants!$H66*'Activity data'!AT8*Constants!$H84*EF!$H209*MMVolatEF*NtoN2O*kgtoGg,Constants!$H66*'Net zero Activity data'!AT8*Constants!$H84*EF!$H209*MMVolatEF*NtoN2O*kgtoGg)</f>
        <v>2.4404441186600327E-3</v>
      </c>
      <c r="AB1037" s="101">
        <f>IF('Net zero activities &amp; levers'!$C$12="Off",Constants!$H66*'Activity data'!AU8*Constants!$H84*EF!$H209*MMVolatEF*NtoN2O*kgtoGg,Constants!$H66*'Net zero Activity data'!AU8*Constants!$H84*EF!$H209*MMVolatEF*NtoN2O*kgtoGg)</f>
        <v>2.4377634331739658E-3</v>
      </c>
      <c r="AC1037" s="101">
        <f>IF('Net zero activities &amp; levers'!$C$12="Off",Constants!$H66*'Activity data'!AV8*Constants!$H84*EF!$H209*MMVolatEF*NtoN2O*kgtoGg,Constants!$H66*'Net zero Activity data'!AV8*Constants!$H84*EF!$H209*MMVolatEF*NtoN2O*kgtoGg)</f>
        <v>2.4455411235818404E-3</v>
      </c>
      <c r="AD1037" s="101">
        <f>IF('Net zero activities &amp; levers'!$C$12="Off",Constants!$H66*'Activity data'!AW8*Constants!$H84*EF!$H209*MMVolatEF*NtoN2O*kgtoGg,Constants!$H66*'Net zero Activity data'!AW8*Constants!$H84*EF!$H209*MMVolatEF*NtoN2O*kgtoGg)</f>
        <v>2.459391845824633E-3</v>
      </c>
      <c r="AE1037" s="101">
        <f>IF('Net zero activities &amp; levers'!$C$12="Off",Constants!$H66*'Activity data'!AX8*Constants!$H84*EF!$H209*MMVolatEF*NtoN2O*kgtoGg,Constants!$H66*'Net zero Activity data'!AX8*Constants!$H84*EF!$H209*MMVolatEF*NtoN2O*kgtoGg)</f>
        <v>2.4731592568084907E-3</v>
      </c>
      <c r="AF1037" s="101">
        <f>IF('Net zero activities &amp; levers'!$C$12="Off",Constants!$H66*'Activity data'!AY8*Constants!$H84*EF!$H209*MMVolatEF*NtoN2O*kgtoGg,Constants!$H66*'Net zero Activity data'!AY8*Constants!$H84*EF!$H209*MMVolatEF*NtoN2O*kgtoGg)</f>
        <v>2.4845211622969445E-3</v>
      </c>
      <c r="AG1037" s="101">
        <f>IF('Net zero activities &amp; levers'!$C$12="Off",Constants!$H66*'Activity data'!AZ8*Constants!$H84*EF!$H209*MMVolatEF*NtoN2O*kgtoGg,Constants!$H66*'Net zero Activity data'!AZ8*Constants!$H84*EF!$H209*MMVolatEF*NtoN2O*kgtoGg)</f>
        <v>2.5021464887912213E-3</v>
      </c>
      <c r="AH1037" s="101">
        <f>IF('Net zero activities &amp; levers'!$C$12="Off",Constants!$H66*'Activity data'!BA8*Constants!$H84*EF!$H209*MMVolatEF*NtoN2O*kgtoGg,Constants!$H66*'Net zero Activity data'!BA8*Constants!$H84*EF!$H209*MMVolatEF*NtoN2O*kgtoGg)</f>
        <v>2.5030398986022151E-3</v>
      </c>
      <c r="AI1037" s="101">
        <f>IF('Net zero activities &amp; levers'!$C$12="Off",Constants!$H66*'Activity data'!BB8*Constants!$H84*EF!$H209*MMVolatEF*NtoN2O*kgtoGg,Constants!$H66*'Net zero Activity data'!BB8*Constants!$H84*EF!$H209*MMVolatEF*NtoN2O*kgtoGg)</f>
        <v>2.5050741761410071E-3</v>
      </c>
      <c r="AJ1037" s="101">
        <f>IF('Net zero activities &amp; levers'!$C$12="Off",Constants!$H66*'Activity data'!BC8*Constants!$H84*EF!$H209*MMVolatEF*NtoN2O*kgtoGg,Constants!$H66*'Net zero Activity data'!BC8*Constants!$H84*EF!$H209*MMVolatEF*NtoN2O*kgtoGg)</f>
        <v>2.5044940496035551E-3</v>
      </c>
      <c r="AK1037" s="101">
        <f>IF('Net zero activities &amp; levers'!$C$12="Off",Constants!$H66*'Activity data'!BD8*Constants!$H84*EF!$H209*MMVolatEF*NtoN2O*kgtoGg,Constants!$H66*'Net zero Activity data'!BD8*Constants!$H84*EF!$H209*MMVolatEF*NtoN2O*kgtoGg)</f>
        <v>2.495956164453781E-3</v>
      </c>
      <c r="AL1037" s="101">
        <f>IF('Net zero activities &amp; levers'!$C$12="Off",Constants!$H66*'Activity data'!BE8*Constants!$H84*EF!$H209*MMVolatEF*NtoN2O*kgtoGg,Constants!$H66*'Net zero Activity data'!BE8*Constants!$H84*EF!$H209*MMVolatEF*NtoN2O*kgtoGg)</f>
        <v>2.4835263194881146E-3</v>
      </c>
      <c r="AM1037" s="101">
        <f>IF('Net zero activities &amp; levers'!$C$12="Off",Constants!$H66*'Activity data'!BF8*Constants!$H84*EF!$H209*MMVolatEF*NtoN2O*kgtoGg,Constants!$H66*'Net zero Activity data'!BF8*Constants!$H84*EF!$H209*MMVolatEF*NtoN2O*kgtoGg)</f>
        <v>2.470416217355526E-3</v>
      </c>
      <c r="AN1037" s="101">
        <f>IF('Net zero activities &amp; levers'!$C$12="Off",Constants!$H66*'Activity data'!BG8*Constants!$H84*EF!$H209*MMVolatEF*NtoN2O*kgtoGg,Constants!$H66*'Net zero Activity data'!BG8*Constants!$H84*EF!$H209*MMVolatEF*NtoN2O*kgtoGg)</f>
        <v>2.4883232970820024E-3</v>
      </c>
      <c r="AO1037" s="101">
        <f>IF('Net zero activities &amp; levers'!$C$12="Off",Constants!$H66*'Activity data'!BH8*Constants!$H84*EF!$H209*MMVolatEF*NtoN2O*kgtoGg,Constants!$H66*'Net zero Activity data'!BH8*Constants!$H84*EF!$H209*MMVolatEF*NtoN2O*kgtoGg)</f>
        <v>2.4984599950248084E-3</v>
      </c>
      <c r="AP1037" s="101">
        <f>IF('Net zero activities &amp; levers'!$C$12="Off",Constants!$H66*'Activity data'!BI8*Constants!$H84*EF!$H209*MMVolatEF*NtoN2O*kgtoGg,Constants!$H66*'Net zero Activity data'!BI8*Constants!$H84*EF!$H209*MMVolatEF*NtoN2O*kgtoGg)</f>
        <v>2.5068973758739744E-3</v>
      </c>
      <c r="AQ1037" s="101">
        <f>IF('Net zero activities &amp; levers'!$C$12="Off",Constants!$H66*'Activity data'!BJ8*Constants!$H84*EF!$H209*MMVolatEF*NtoN2O*kgtoGg,Constants!$H66*'Net zero Activity data'!BJ8*Constants!$H84*EF!$H209*MMVolatEF*NtoN2O*kgtoGg)</f>
        <v>2.5137672553787126E-3</v>
      </c>
      <c r="AR1037" s="101">
        <f>IF('Net zero activities &amp; levers'!$C$12="Off",Constants!$H66*'Activity data'!BK8*Constants!$H84*EF!$H209*MMVolatEF*NtoN2O*kgtoGg,Constants!$H66*'Net zero Activity data'!BK8*Constants!$H84*EF!$H209*MMVolatEF*NtoN2O*kgtoGg)</f>
        <v>2.5228595039385408E-3</v>
      </c>
      <c r="AS1037" s="101">
        <f>IF('Net zero activities &amp; levers'!$C$12="Off",Constants!$H66*'Activity data'!BL8*Constants!$H84*EF!$H209*MMVolatEF*NtoN2O*kgtoGg,Constants!$H66*'Net zero Activity data'!BL8*Constants!$H84*EF!$H209*MMVolatEF*NtoN2O*kgtoGg)</f>
        <v>2.5308656399861797E-3</v>
      </c>
      <c r="AT1037" s="101">
        <f>IF('Net zero activities &amp; levers'!$C$12="Off",Constants!$H66*'Activity data'!BM8*Constants!$H84*EF!$H209*MMVolatEF*NtoN2O*kgtoGg,Constants!$H66*'Net zero Activity data'!BM8*Constants!$H84*EF!$H209*MMVolatEF*NtoN2O*kgtoGg)</f>
        <v>2.502434381591112E-3</v>
      </c>
      <c r="AU1037" s="101">
        <f>IF('Net zero activities &amp; levers'!$C$12="Off",Constants!$H66*'Activity data'!BN8*Constants!$H84*EF!$H209*MMVolatEF*NtoN2O*kgtoGg,Constants!$H66*'Net zero Activity data'!BN8*Constants!$H84*EF!$H209*MMVolatEF*NtoN2O*kgtoGg)</f>
        <v>2.4707315422954211E-3</v>
      </c>
      <c r="AV1037" s="101">
        <f>IF('Net zero activities &amp; levers'!$C$12="Off",Constants!$H66*'Activity data'!BO8*Constants!$H84*EF!$H209*MMVolatEF*NtoN2O*kgtoGg,Constants!$H66*'Net zero Activity data'!BO8*Constants!$H84*EF!$H209*MMVolatEF*NtoN2O*kgtoGg)</f>
        <v>2.4424996838535761E-3</v>
      </c>
      <c r="AW1037" s="101">
        <f>IF('Net zero activities &amp; levers'!$C$12="Off",Constants!$H66*'Activity data'!BP8*Constants!$H84*EF!$H209*MMVolatEF*NtoN2O*kgtoGg,Constants!$H66*'Net zero Activity data'!BP8*Constants!$H84*EF!$H209*MMVolatEF*NtoN2O*kgtoGg)</f>
        <v>2.4114364447817595E-3</v>
      </c>
      <c r="AY1037" s="85"/>
      <c r="AZ1037" s="85"/>
    </row>
    <row r="1038" spans="1:52" x14ac:dyDescent="0.25">
      <c r="A1038" s="102" t="str">
        <f t="shared" si="345"/>
        <v>DS MM Volatilisation</v>
      </c>
      <c r="B1038" s="102" t="s">
        <v>975</v>
      </c>
      <c r="C1038" s="102" t="s">
        <v>1333</v>
      </c>
      <c r="D1038" t="s">
        <v>369</v>
      </c>
      <c r="E1038" t="s">
        <v>64</v>
      </c>
      <c r="F1038" t="s">
        <v>62</v>
      </c>
      <c r="G1038" t="s">
        <v>1161</v>
      </c>
      <c r="H1038" t="s">
        <v>1295</v>
      </c>
      <c r="I1038" t="s">
        <v>139</v>
      </c>
      <c r="J1038" t="s">
        <v>287</v>
      </c>
      <c r="K1038" s="101">
        <f>IF('Net zero activities &amp; levers'!$C$12="Off",Constants!$H67*'Activity data'!AD9*Constants!$H85*EF!$H210*MMVolatEF*NtoN2O*kgtoGg,Constants!$H67*'Net zero Activity data'!AD9*Constants!$H85*EF!$H210*MMVolatEF*NtoN2O*kgtoGg)</f>
        <v>1.6169907052996448E-2</v>
      </c>
      <c r="L1038" s="101">
        <f>IF('Net zero activities &amp; levers'!$C$12="Off",Constants!$H67*'Activity data'!AE9*Constants!$H85*EF!$H210*MMVolatEF*NtoN2O*kgtoGg,Constants!$H67*'Net zero Activity data'!AE9*Constants!$H85*EF!$H210*MMVolatEF*NtoN2O*kgtoGg)</f>
        <v>1.6087582545181053E-2</v>
      </c>
      <c r="M1038" s="101">
        <f>IF('Net zero activities &amp; levers'!$C$12="Off",Constants!$H67*'Activity data'!AF9*Constants!$H85*EF!$H210*MMVolatEF*NtoN2O*kgtoGg,Constants!$H67*'Net zero Activity data'!AF9*Constants!$H85*EF!$H210*MMVolatEF*NtoN2O*kgtoGg)</f>
        <v>1.5937325240661746E-2</v>
      </c>
      <c r="N1038" s="101">
        <f>IF('Net zero activities &amp; levers'!$C$12="Off",Constants!$H67*'Activity data'!AG9*Constants!$H85*EF!$H210*MMVolatEF*NtoN2O*kgtoGg,Constants!$H67*'Net zero Activity data'!AG9*Constants!$H85*EF!$H210*MMVolatEF*NtoN2O*kgtoGg)</f>
        <v>1.5526028543693155E-2</v>
      </c>
      <c r="O1038" s="101">
        <f>IF('Net zero activities &amp; levers'!$C$12="Off",Constants!$H67*'Activity data'!AH9*Constants!$H85*EF!$H210*MMVolatEF*NtoN2O*kgtoGg,Constants!$H67*'Net zero Activity data'!AH9*Constants!$H85*EF!$H210*MMVolatEF*NtoN2O*kgtoGg)</f>
        <v>1.5131145066604845E-2</v>
      </c>
      <c r="P1038" s="101">
        <f>IF('Net zero activities &amp; levers'!$C$12="Off",Constants!$H67*'Activity data'!AI9*Constants!$H85*EF!$H210*MMVolatEF*NtoN2O*kgtoGg,Constants!$H67*'Net zero Activity data'!AI9*Constants!$H85*EF!$H210*MMVolatEF*NtoN2O*kgtoGg)</f>
        <v>1.5001886544009729E-2</v>
      </c>
      <c r="Q1038" s="101">
        <f>IF('Net zero activities &amp; levers'!$C$12="Off",Constants!$H67*'Activity data'!AJ9*Constants!$H85*EF!$H210*MMVolatEF*NtoN2O*kgtoGg,Constants!$H67*'Net zero Activity data'!AJ9*Constants!$H85*EF!$H210*MMVolatEF*NtoN2O*kgtoGg)</f>
        <v>1.4793120277850224E-2</v>
      </c>
      <c r="R1038" s="101">
        <f>IF('Net zero activities &amp; levers'!$C$12="Off",Constants!$H67*'Activity data'!AK9*Constants!$H85*EF!$H210*MMVolatEF*NtoN2O*kgtoGg,Constants!$H67*'Net zero Activity data'!AK9*Constants!$H85*EF!$H210*MMVolatEF*NtoN2O*kgtoGg)</f>
        <v>1.4324063140036831E-2</v>
      </c>
      <c r="S1038" s="101">
        <f>IF('Net zero activities &amp; levers'!$C$12="Off",Constants!$H67*'Activity data'!AL9*Constants!$H85*EF!$H210*MMVolatEF*NtoN2O*kgtoGg,Constants!$H67*'Net zero Activity data'!AL9*Constants!$H85*EF!$H210*MMVolatEF*NtoN2O*kgtoGg)</f>
        <v>1.2750328272579596E-2</v>
      </c>
      <c r="T1038" s="101">
        <f>IF('Net zero activities &amp; levers'!$C$12="Off",Constants!$H67*'Activity data'!AM9*Constants!$H85*EF!$H210*MMVolatEF*NtoN2O*kgtoGg,Constants!$H67*'Net zero Activity data'!AM9*Constants!$H85*EF!$H210*MMVolatEF*NtoN2O*kgtoGg)</f>
        <v>1.2730906240156759E-2</v>
      </c>
      <c r="U1038" s="101">
        <f>IF('Net zero activities &amp; levers'!$C$12="Off",Constants!$H67*'Activity data'!AN9*Constants!$H85*EF!$H210*MMVolatEF*NtoN2O*kgtoGg,Constants!$H67*'Net zero Activity data'!AN9*Constants!$H85*EF!$H210*MMVolatEF*NtoN2O*kgtoGg)</f>
        <v>1.256530440876564E-2</v>
      </c>
      <c r="V1038" s="101">
        <f>IF('Net zero activities &amp; levers'!$C$12="Off",Constants!$H67*'Activity data'!AO9*Constants!$H85*EF!$H210*MMVolatEF*NtoN2O*kgtoGg,Constants!$H67*'Net zero Activity data'!AO9*Constants!$H85*EF!$H210*MMVolatEF*NtoN2O*kgtoGg)</f>
        <v>1.2364712242487468E-2</v>
      </c>
      <c r="W1038" s="101">
        <f>IF('Net zero activities &amp; levers'!$C$12="Off",Constants!$H67*'Activity data'!AP9*Constants!$H85*EF!$H210*MMVolatEF*NtoN2O*kgtoGg,Constants!$H67*'Net zero Activity data'!AP9*Constants!$H85*EF!$H210*MMVolatEF*NtoN2O*kgtoGg)</f>
        <v>1.2204650163726856E-2</v>
      </c>
      <c r="X1038" s="101">
        <f>IF('Net zero activities &amp; levers'!$C$12="Off",Constants!$H67*'Activity data'!AQ9*Constants!$H85*EF!$H210*MMVolatEF*NtoN2O*kgtoGg,Constants!$H67*'Net zero Activity data'!AQ9*Constants!$H85*EF!$H210*MMVolatEF*NtoN2O*kgtoGg)</f>
        <v>1.2187785343386806E-2</v>
      </c>
      <c r="Y1038" s="101">
        <f>IF('Net zero activities &amp; levers'!$C$12="Off",Constants!$H67*'Activity data'!AR9*Constants!$H85*EF!$H210*MMVolatEF*NtoN2O*kgtoGg,Constants!$H67*'Net zero Activity data'!AR9*Constants!$H85*EF!$H210*MMVolatEF*NtoN2O*kgtoGg)</f>
        <v>1.2188595022920587E-2</v>
      </c>
      <c r="Z1038" s="101">
        <f>IF('Net zero activities &amp; levers'!$C$12="Off",Constants!$H67*'Activity data'!AS9*Constants!$H85*EF!$H210*MMVolatEF*NtoN2O*kgtoGg,Constants!$H67*'Net zero Activity data'!AS9*Constants!$H85*EF!$H210*MMVolatEF*NtoN2O*kgtoGg)</f>
        <v>1.2206198551843832E-2</v>
      </c>
      <c r="AA1038" s="101">
        <f>IF('Net zero activities &amp; levers'!$C$12="Off",Constants!$H67*'Activity data'!AT9*Constants!$H85*EF!$H210*MMVolatEF*NtoN2O*kgtoGg,Constants!$H67*'Net zero Activity data'!AT9*Constants!$H85*EF!$H210*MMVolatEF*NtoN2O*kgtoGg)</f>
        <v>1.2148546430145398E-2</v>
      </c>
      <c r="AB1038" s="101">
        <f>IF('Net zero activities &amp; levers'!$C$12="Off",Constants!$H67*'Activity data'!AU9*Constants!$H85*EF!$H210*MMVolatEF*NtoN2O*kgtoGg,Constants!$H67*'Net zero Activity data'!AU9*Constants!$H85*EF!$H210*MMVolatEF*NtoN2O*kgtoGg)</f>
        <v>1.2135201960651876E-2</v>
      </c>
      <c r="AC1038" s="101">
        <f>IF('Net zero activities &amp; levers'!$C$12="Off",Constants!$H67*'Activity data'!AV9*Constants!$H85*EF!$H210*MMVolatEF*NtoN2O*kgtoGg,Constants!$H67*'Net zero Activity data'!AV9*Constants!$H85*EF!$H210*MMVolatEF*NtoN2O*kgtoGg)</f>
        <v>1.2173919353243207E-2</v>
      </c>
      <c r="AD1038" s="101">
        <f>IF('Net zero activities &amp; levers'!$C$12="Off",Constants!$H67*'Activity data'!AW9*Constants!$H85*EF!$H210*MMVolatEF*NtoN2O*kgtoGg,Constants!$H67*'Net zero Activity data'!AW9*Constants!$H85*EF!$H210*MMVolatEF*NtoN2O*kgtoGg)</f>
        <v>1.2242868337147826E-2</v>
      </c>
      <c r="AE1038" s="101">
        <f>IF('Net zero activities &amp; levers'!$C$12="Off",Constants!$H67*'Activity data'!AX9*Constants!$H85*EF!$H210*MMVolatEF*NtoN2O*kgtoGg,Constants!$H67*'Net zero Activity data'!AX9*Constants!$H85*EF!$H210*MMVolatEF*NtoN2O*kgtoGg)</f>
        <v>1.2311402597072658E-2</v>
      </c>
      <c r="AF1038" s="101">
        <f>IF('Net zero activities &amp; levers'!$C$12="Off",Constants!$H67*'Activity data'!AY9*Constants!$H85*EF!$H210*MMVolatEF*NtoN2O*kgtoGg,Constants!$H67*'Net zero Activity data'!AY9*Constants!$H85*EF!$H210*MMVolatEF*NtoN2O*kgtoGg)</f>
        <v>1.2367962235257365E-2</v>
      </c>
      <c r="AG1038" s="101">
        <f>IF('Net zero activities &amp; levers'!$C$12="Off",Constants!$H67*'Activity data'!AZ9*Constants!$H85*EF!$H210*MMVolatEF*NtoN2O*kgtoGg,Constants!$H67*'Net zero Activity data'!AZ9*Constants!$H85*EF!$H210*MMVolatEF*NtoN2O*kgtoGg)</f>
        <v>1.245570122326573E-2</v>
      </c>
      <c r="AH1038" s="101">
        <f>IF('Net zero activities &amp; levers'!$C$12="Off",Constants!$H67*'Activity data'!BA9*Constants!$H85*EF!$H210*MMVolatEF*NtoN2O*kgtoGg,Constants!$H67*'Net zero Activity data'!BA9*Constants!$H85*EF!$H210*MMVolatEF*NtoN2O*kgtoGg)</f>
        <v>1.2460148623018509E-2</v>
      </c>
      <c r="AI1038" s="101">
        <f>IF('Net zero activities &amp; levers'!$C$12="Off",Constants!$H67*'Activity data'!BB9*Constants!$H85*EF!$H210*MMVolatEF*NtoN2O*kgtoGg,Constants!$H67*'Net zero Activity data'!BB9*Constants!$H85*EF!$H210*MMVolatEF*NtoN2O*kgtoGg)</f>
        <v>1.2470275269616506E-2</v>
      </c>
      <c r="AJ1038" s="101">
        <f>IF('Net zero activities &amp; levers'!$C$12="Off",Constants!$H67*'Activity data'!BC9*Constants!$H85*EF!$H210*MMVolatEF*NtoN2O*kgtoGg,Constants!$H67*'Net zero Activity data'!BC9*Constants!$H85*EF!$H210*MMVolatEF*NtoN2O*kgtoGg)</f>
        <v>1.2467387396002966E-2</v>
      </c>
      <c r="AK1038" s="101">
        <f>IF('Net zero activities &amp; levers'!$C$12="Off",Constants!$H67*'Activity data'!BD9*Constants!$H85*EF!$H210*MMVolatEF*NtoN2O*kgtoGg,Constants!$H67*'Net zero Activity data'!BD9*Constants!$H85*EF!$H210*MMVolatEF*NtoN2O*kgtoGg)</f>
        <v>1.2424885749124759E-2</v>
      </c>
      <c r="AL1038" s="101">
        <f>IF('Net zero activities &amp; levers'!$C$12="Off",Constants!$H67*'Activity data'!BE9*Constants!$H85*EF!$H210*MMVolatEF*NtoN2O*kgtoGg,Constants!$H67*'Net zero Activity data'!BE9*Constants!$H85*EF!$H210*MMVolatEF*NtoN2O*kgtoGg)</f>
        <v>1.2363009901392658E-2</v>
      </c>
      <c r="AM1038" s="101">
        <f>IF('Net zero activities &amp; levers'!$C$12="Off",Constants!$H67*'Activity data'!BF9*Constants!$H85*EF!$H210*MMVolatEF*NtoN2O*kgtoGg,Constants!$H67*'Net zero Activity data'!BF9*Constants!$H85*EF!$H210*MMVolatEF*NtoN2O*kgtoGg)</f>
        <v>1.2297747729133151E-2</v>
      </c>
      <c r="AN1038" s="101">
        <f>IF('Net zero activities &amp; levers'!$C$12="Off",Constants!$H67*'Activity data'!BG9*Constants!$H85*EF!$H210*MMVolatEF*NtoN2O*kgtoGg,Constants!$H67*'Net zero Activity data'!BG9*Constants!$H85*EF!$H210*MMVolatEF*NtoN2O*kgtoGg)</f>
        <v>1.2386889286533313E-2</v>
      </c>
      <c r="AO1038" s="101">
        <f>IF('Net zero activities &amp; levers'!$C$12="Off",Constants!$H67*'Activity data'!BH9*Constants!$H85*EF!$H210*MMVolatEF*NtoN2O*kgtoGg,Constants!$H67*'Net zero Activity data'!BH9*Constants!$H85*EF!$H210*MMVolatEF*NtoN2O*kgtoGg)</f>
        <v>1.2437349833720164E-2</v>
      </c>
      <c r="AP1038" s="101">
        <f>IF('Net zero activities &amp; levers'!$C$12="Off",Constants!$H67*'Activity data'!BI9*Constants!$H85*EF!$H210*MMVolatEF*NtoN2O*kgtoGg,Constants!$H67*'Net zero Activity data'!BI9*Constants!$H85*EF!$H210*MMVolatEF*NtoN2O*kgtoGg)</f>
        <v>1.2479351169547185E-2</v>
      </c>
      <c r="AQ1038" s="101">
        <f>IF('Net zero activities &amp; levers'!$C$12="Off",Constants!$H67*'Activity data'!BJ9*Constants!$H85*EF!$H210*MMVolatEF*NtoN2O*kgtoGg,Constants!$H67*'Net zero Activity data'!BJ9*Constants!$H85*EF!$H210*MMVolatEF*NtoN2O*kgtoGg)</f>
        <v>1.2513549473656948E-2</v>
      </c>
      <c r="AR1038" s="101">
        <f>IF('Net zero activities &amp; levers'!$C$12="Off",Constants!$H67*'Activity data'!BK9*Constants!$H85*EF!$H210*MMVolatEF*NtoN2O*kgtoGg,Constants!$H67*'Net zero Activity data'!BK9*Constants!$H85*EF!$H210*MMVolatEF*NtoN2O*kgtoGg)</f>
        <v>1.255881074513574E-2</v>
      </c>
      <c r="AS1038" s="101">
        <f>IF('Net zero activities &amp; levers'!$C$12="Off",Constants!$H67*'Activity data'!BL9*Constants!$H85*EF!$H210*MMVolatEF*NtoN2O*kgtoGg,Constants!$H67*'Net zero Activity data'!BL9*Constants!$H85*EF!$H210*MMVolatEF*NtoN2O*kgtoGg)</f>
        <v>1.25986653415828E-2</v>
      </c>
      <c r="AT1038" s="101">
        <f>IF('Net zero activities &amp; levers'!$C$12="Off",Constants!$H67*'Activity data'!BM9*Constants!$H85*EF!$H210*MMVolatEF*NtoN2O*kgtoGg,Constants!$H67*'Net zero Activity data'!BM9*Constants!$H85*EF!$H210*MMVolatEF*NtoN2O*kgtoGg)</f>
        <v>1.2457134355464755E-2</v>
      </c>
      <c r="AU1038" s="101">
        <f>IF('Net zero activities &amp; levers'!$C$12="Off",Constants!$H67*'Activity data'!BN9*Constants!$H85*EF!$H210*MMVolatEF*NtoN2O*kgtoGg,Constants!$H67*'Net zero Activity data'!BN9*Constants!$H85*EF!$H210*MMVolatEF*NtoN2O*kgtoGg)</f>
        <v>1.2299317418700554E-2</v>
      </c>
      <c r="AV1038" s="101">
        <f>IF('Net zero activities &amp; levers'!$C$12="Off",Constants!$H67*'Activity data'!BO9*Constants!$H85*EF!$H210*MMVolatEF*NtoN2O*kgtoGg,Constants!$H67*'Net zero Activity data'!BO9*Constants!$H85*EF!$H210*MMVolatEF*NtoN2O*kgtoGg)</f>
        <v>1.2158779046824881E-2</v>
      </c>
      <c r="AW1038" s="101">
        <f>IF('Net zero activities &amp; levers'!$C$12="Off",Constants!$H67*'Activity data'!BP9*Constants!$H85*EF!$H210*MMVolatEF*NtoN2O*kgtoGg,Constants!$H67*'Net zero Activity data'!BP9*Constants!$H85*EF!$H210*MMVolatEF*NtoN2O*kgtoGg)</f>
        <v>1.2004146044065581E-2</v>
      </c>
      <c r="AY1038" s="85"/>
      <c r="AZ1038" s="85"/>
    </row>
    <row r="1039" spans="1:52" x14ac:dyDescent="0.25">
      <c r="A1039" s="102" t="str">
        <f t="shared" si="345"/>
        <v>DS MM Volatilisation</v>
      </c>
      <c r="B1039" s="102" t="s">
        <v>975</v>
      </c>
      <c r="C1039" s="102" t="s">
        <v>1333</v>
      </c>
      <c r="D1039" t="s">
        <v>369</v>
      </c>
      <c r="E1039" t="s">
        <v>64</v>
      </c>
      <c r="F1039" t="s">
        <v>62</v>
      </c>
      <c r="G1039" t="s">
        <v>1163</v>
      </c>
      <c r="H1039" t="s">
        <v>1296</v>
      </c>
      <c r="I1039" t="s">
        <v>139</v>
      </c>
      <c r="J1039" t="s">
        <v>287</v>
      </c>
      <c r="K1039" s="101">
        <f>IF('Net zero activities &amp; levers'!$C$12="Off",Constants!$H68*'Activity data'!AD10*Constants!$H86*EF!$H211*MMVolatEF*NtoN2O*kgtoGg,Constants!$H68*'Net zero Activity data'!AD10*Constants!$H86*EF!$H211*MMVolatEF*NtoN2O*kgtoGg)</f>
        <v>0.15881310952891459</v>
      </c>
      <c r="L1039" s="101">
        <f>IF('Net zero activities &amp; levers'!$C$12="Off",Constants!$H68*'Activity data'!AE10*Constants!$H86*EF!$H211*MMVolatEF*NtoN2O*kgtoGg,Constants!$H68*'Net zero Activity data'!AE10*Constants!$H86*EF!$H211*MMVolatEF*NtoN2O*kgtoGg)</f>
        <v>0.16473779708525871</v>
      </c>
      <c r="M1039" s="101">
        <f>IF('Net zero activities &amp; levers'!$C$12="Off",Constants!$H68*'Activity data'!AF10*Constants!$H86*EF!$H211*MMVolatEF*NtoN2O*kgtoGg,Constants!$H68*'Net zero Activity data'!AF10*Constants!$H86*EF!$H211*MMVolatEF*NtoN2O*kgtoGg)</f>
        <v>0.17006036536738212</v>
      </c>
      <c r="N1039" s="101">
        <f>IF('Net zero activities &amp; levers'!$C$12="Off",Constants!$H68*'Activity data'!AG10*Constants!$H86*EF!$H211*MMVolatEF*NtoN2O*kgtoGg,Constants!$H68*'Net zero Activity data'!AG10*Constants!$H86*EF!$H211*MMVolatEF*NtoN2O*kgtoGg)</f>
        <v>0.1725581026820969</v>
      </c>
      <c r="O1039" s="101">
        <f>IF('Net zero activities &amp; levers'!$C$12="Off",Constants!$H68*'Activity data'!AH10*Constants!$H86*EF!$H211*MMVolatEF*NtoN2O*kgtoGg,Constants!$H68*'Net zero Activity data'!AH10*Constants!$H86*EF!$H211*MMVolatEF*NtoN2O*kgtoGg)</f>
        <v>0.17509405758016705</v>
      </c>
      <c r="P1039" s="101">
        <f>IF('Net zero activities &amp; levers'!$C$12="Off",Constants!$H68*'Activity data'!AI10*Constants!$H86*EF!$H211*MMVolatEF*NtoN2O*kgtoGg,Constants!$H68*'Net zero Activity data'!AI10*Constants!$H86*EF!$H211*MMVolatEF*NtoN2O*kgtoGg)</f>
        <v>0.18069182253517682</v>
      </c>
      <c r="Q1039" s="101">
        <f>IF('Net zero activities &amp; levers'!$C$12="Off",Constants!$H68*'Activity data'!AJ10*Constants!$H86*EF!$H211*MMVolatEF*NtoN2O*kgtoGg,Constants!$H68*'Net zero Activity data'!AJ10*Constants!$H86*EF!$H211*MMVolatEF*NtoN2O*kgtoGg)</f>
        <v>0.18541356320951116</v>
      </c>
      <c r="R1039" s="101">
        <f>IF('Net zero activities &amp; levers'!$C$12="Off",Constants!$H68*'Activity data'!AK10*Constants!$H86*EF!$H211*MMVolatEF*NtoN2O*kgtoGg,Constants!$H68*'Net zero Activity data'!AK10*Constants!$H86*EF!$H211*MMVolatEF*NtoN2O*kgtoGg)</f>
        <v>0.18679194415388084</v>
      </c>
      <c r="S1039" s="101">
        <f>IF('Net zero activities &amp; levers'!$C$12="Off",Constants!$H68*'Activity data'!AL10*Constants!$H86*EF!$H211*MMVolatEF*NtoN2O*kgtoGg,Constants!$H68*'Net zero Activity data'!AL10*Constants!$H86*EF!$H211*MMVolatEF*NtoN2O*kgtoGg)</f>
        <v>0.17296868678120739</v>
      </c>
      <c r="T1039" s="101">
        <f>IF('Net zero activities &amp; levers'!$C$12="Off",Constants!$H68*'Activity data'!AM10*Constants!$H86*EF!$H211*MMVolatEF*NtoN2O*kgtoGg,Constants!$H68*'Net zero Activity data'!AM10*Constants!$H86*EF!$H211*MMVolatEF*NtoN2O*kgtoGg)</f>
        <v>0.17875913404289284</v>
      </c>
      <c r="U1039" s="101">
        <f>IF('Net zero activities &amp; levers'!$C$12="Off",Constants!$H68*'Activity data'!AN10*Constants!$H86*EF!$H211*MMVolatEF*NtoN2O*kgtoGg,Constants!$H68*'Net zero Activity data'!AN10*Constants!$H86*EF!$H211*MMVolatEF*NtoN2O*kgtoGg)</f>
        <v>0.18257306402100468</v>
      </c>
      <c r="V1039" s="101">
        <f>IF('Net zero activities &amp; levers'!$C$12="Off",Constants!$H68*'Activity data'!AO10*Constants!$H86*EF!$H211*MMVolatEF*NtoN2O*kgtoGg,Constants!$H68*'Net zero Activity data'!AO10*Constants!$H86*EF!$H211*MMVolatEF*NtoN2O*kgtoGg)</f>
        <v>0.18586903617818432</v>
      </c>
      <c r="W1039" s="101">
        <f>IF('Net zero activities &amp; levers'!$C$12="Off",Constants!$H68*'Activity data'!AP10*Constants!$H86*EF!$H211*MMVolatEF*NtoN2O*kgtoGg,Constants!$H68*'Net zero Activity data'!AP10*Constants!$H86*EF!$H211*MMVolatEF*NtoN2O*kgtoGg)</f>
        <v>0.18976830000850667</v>
      </c>
      <c r="X1039" s="101">
        <f>IF('Net zero activities &amp; levers'!$C$12="Off",Constants!$H68*'Activity data'!AQ10*Constants!$H86*EF!$H211*MMVolatEF*NtoN2O*kgtoGg,Constants!$H68*'Net zero Activity data'!AQ10*Constants!$H86*EF!$H211*MMVolatEF*NtoN2O*kgtoGg)</f>
        <v>0.19598584557411888</v>
      </c>
      <c r="Y1039" s="101">
        <f>IF('Net zero activities &amp; levers'!$C$12="Off",Constants!$H68*'Activity data'!AR10*Constants!$H86*EF!$H211*MMVolatEF*NtoN2O*kgtoGg,Constants!$H68*'Net zero Activity data'!AR10*Constants!$H86*EF!$H211*MMVolatEF*NtoN2O*kgtoGg)</f>
        <v>0.20267063686247372</v>
      </c>
      <c r="Z1039" s="101">
        <f>IF('Net zero activities &amp; levers'!$C$12="Off",Constants!$H68*'Activity data'!AS10*Constants!$H86*EF!$H211*MMVolatEF*NtoN2O*kgtoGg,Constants!$H68*'Net zero Activity data'!AS10*Constants!$H86*EF!$H211*MMVolatEF*NtoN2O*kgtoGg)</f>
        <v>0.2098452844574758</v>
      </c>
      <c r="AA1039" s="101">
        <f>IF('Net zero activities &amp; levers'!$C$12="Off",Constants!$H68*'Activity data'!AT10*Constants!$H86*EF!$H211*MMVolatEF*NtoN2O*kgtoGg,Constants!$H68*'Net zero Activity data'!AT10*Constants!$H86*EF!$H211*MMVolatEF*NtoN2O*kgtoGg)</f>
        <v>0.21591209545517515</v>
      </c>
      <c r="AB1039" s="101">
        <f>IF('Net zero activities &amp; levers'!$C$12="Off",Constants!$H68*'Activity data'!AU10*Constants!$H86*EF!$H211*MMVolatEF*NtoN2O*kgtoGg,Constants!$H68*'Net zero Activity data'!AU10*Constants!$H86*EF!$H211*MMVolatEF*NtoN2O*kgtoGg)</f>
        <v>0.22294264666306829</v>
      </c>
      <c r="AC1039" s="101">
        <f>IF('Net zero activities &amp; levers'!$C$12="Off",Constants!$H68*'Activity data'!AV10*Constants!$H86*EF!$H211*MMVolatEF*NtoN2O*kgtoGg,Constants!$H68*'Net zero Activity data'!AV10*Constants!$H86*EF!$H211*MMVolatEF*NtoN2O*kgtoGg)</f>
        <v>0.23117267568071972</v>
      </c>
      <c r="AD1039" s="101">
        <f>IF('Net zero activities &amp; levers'!$C$12="Off",Constants!$H68*'Activity data'!AW10*Constants!$H86*EF!$H211*MMVolatEF*NtoN2O*kgtoGg,Constants!$H68*'Net zero Activity data'!AW10*Constants!$H86*EF!$H211*MMVolatEF*NtoN2O*kgtoGg)</f>
        <v>0.24030562509223607</v>
      </c>
      <c r="AE1039" s="101">
        <f>IF('Net zero activities &amp; levers'!$C$12="Off",Constants!$H68*'Activity data'!AX10*Constants!$H86*EF!$H211*MMVolatEF*NtoN2O*kgtoGg,Constants!$H68*'Net zero Activity data'!AX10*Constants!$H86*EF!$H211*MMVolatEF*NtoN2O*kgtoGg)</f>
        <v>0.24979959168817922</v>
      </c>
      <c r="AF1039" s="101">
        <f>IF('Net zero activities &amp; levers'!$C$12="Off",Constants!$H68*'Activity data'!AY10*Constants!$H86*EF!$H211*MMVolatEF*NtoN2O*kgtoGg,Constants!$H68*'Net zero Activity data'!AY10*Constants!$H86*EF!$H211*MMVolatEF*NtoN2O*kgtoGg)</f>
        <v>0.25943194467713232</v>
      </c>
      <c r="AG1039" s="101">
        <f>IF('Net zero activities &amp; levers'!$C$12="Off",Constants!$H68*'Activity data'!AZ10*Constants!$H86*EF!$H211*MMVolatEF*NtoN2O*kgtoGg,Constants!$H68*'Net zero Activity data'!AZ10*Constants!$H86*EF!$H211*MMVolatEF*NtoN2O*kgtoGg)</f>
        <v>0.27013513683324164</v>
      </c>
      <c r="AH1039" s="101">
        <f>IF('Net zero activities &amp; levers'!$C$12="Off",Constants!$H68*'Activity data'!BA10*Constants!$H86*EF!$H211*MMVolatEF*NtoN2O*kgtoGg,Constants!$H68*'Net zero Activity data'!BA10*Constants!$H86*EF!$H211*MMVolatEF*NtoN2O*kgtoGg)</f>
        <v>0.27943380179440369</v>
      </c>
      <c r="AI1039" s="101">
        <f>IF('Net zero activities &amp; levers'!$C$12="Off",Constants!$H68*'Activity data'!BB10*Constants!$H86*EF!$H211*MMVolatEF*NtoN2O*kgtoGg,Constants!$H68*'Net zero Activity data'!BB10*Constants!$H86*EF!$H211*MMVolatEF*NtoN2O*kgtoGg)</f>
        <v>0.28922680185431371</v>
      </c>
      <c r="AJ1039" s="101">
        <f>IF('Net zero activities &amp; levers'!$C$12="Off",Constants!$H68*'Activity data'!BC10*Constants!$H86*EF!$H211*MMVolatEF*NtoN2O*kgtoGg,Constants!$H68*'Net zero Activity data'!BC10*Constants!$H86*EF!$H211*MMVolatEF*NtoN2O*kgtoGg)</f>
        <v>0.29910071018794182</v>
      </c>
      <c r="AK1039" s="101">
        <f>IF('Net zero activities &amp; levers'!$C$12="Off",Constants!$H68*'Activity data'!BD10*Constants!$H86*EF!$H211*MMVolatEF*NtoN2O*kgtoGg,Constants!$H68*'Net zero Activity data'!BD10*Constants!$H86*EF!$H211*MMVolatEF*NtoN2O*kgtoGg)</f>
        <v>0.30838656018508903</v>
      </c>
      <c r="AL1039" s="101">
        <f>IF('Net zero activities &amp; levers'!$C$12="Off",Constants!$H68*'Activity data'!BE10*Constants!$H86*EF!$H211*MMVolatEF*NtoN2O*kgtoGg,Constants!$H68*'Net zero Activity data'!BE10*Constants!$H86*EF!$H211*MMVolatEF*NtoN2O*kgtoGg)</f>
        <v>0.3175256541837323</v>
      </c>
      <c r="AM1039" s="101">
        <f>IF('Net zero activities &amp; levers'!$C$12="Off",Constants!$H68*'Activity data'!BF10*Constants!$H86*EF!$H211*MMVolatEF*NtoN2O*kgtoGg,Constants!$H68*'Net zero Activity data'!BF10*Constants!$H86*EF!$H211*MMVolatEF*NtoN2O*kgtoGg)</f>
        <v>0.32691239533754268</v>
      </c>
      <c r="AN1039" s="101">
        <f>IF('Net zero activities &amp; levers'!$C$12="Off",Constants!$H68*'Activity data'!BG10*Constants!$H86*EF!$H211*MMVolatEF*NtoN2O*kgtoGg,Constants!$H68*'Net zero Activity data'!BG10*Constants!$H86*EF!$H211*MMVolatEF*NtoN2O*kgtoGg)</f>
        <v>0.33874866555584549</v>
      </c>
      <c r="AO1039" s="101">
        <f>IF('Net zero activities &amp; levers'!$C$12="Off",Constants!$H68*'Activity data'!BH10*Constants!$H86*EF!$H211*MMVolatEF*NtoN2O*kgtoGg,Constants!$H68*'Net zero Activity data'!BH10*Constants!$H86*EF!$H211*MMVolatEF*NtoN2O*kgtoGg)</f>
        <v>0.34994177810021121</v>
      </c>
      <c r="AP1039" s="101">
        <f>IF('Net zero activities &amp; levers'!$C$12="Off",Constants!$H68*'Activity data'!BI10*Constants!$H86*EF!$H211*MMVolatEF*NtoN2O*kgtoGg,Constants!$H68*'Net zero Activity data'!BI10*Constants!$H86*EF!$H211*MMVolatEF*NtoN2O*kgtoGg)</f>
        <v>0.36129420975271881</v>
      </c>
      <c r="AQ1039" s="101">
        <f>IF('Net zero activities &amp; levers'!$C$12="Off",Constants!$H68*'Activity data'!BJ10*Constants!$H86*EF!$H211*MMVolatEF*NtoN2O*kgtoGg,Constants!$H68*'Net zero Activity data'!BJ10*Constants!$H86*EF!$H211*MMVolatEF*NtoN2O*kgtoGg)</f>
        <v>0.37282445406977427</v>
      </c>
      <c r="AR1039" s="101">
        <f>IF('Net zero activities &amp; levers'!$C$12="Off",Constants!$H68*'Activity data'!BK10*Constants!$H86*EF!$H211*MMVolatEF*NtoN2O*kgtoGg,Constants!$H68*'Net zero Activity data'!BK10*Constants!$H86*EF!$H211*MMVolatEF*NtoN2O*kgtoGg)</f>
        <v>0.38511153011383636</v>
      </c>
      <c r="AS1039" s="101">
        <f>IF('Net zero activities &amp; levers'!$C$12="Off",Constants!$H68*'Activity data'!BL10*Constants!$H86*EF!$H211*MMVolatEF*NtoN2O*kgtoGg,Constants!$H68*'Net zero Activity data'!BL10*Constants!$H86*EF!$H211*MMVolatEF*NtoN2O*kgtoGg)</f>
        <v>0.39768700830399312</v>
      </c>
      <c r="AT1039" s="101">
        <f>IF('Net zero activities &amp; levers'!$C$12="Off",Constants!$H68*'Activity data'!BM10*Constants!$H86*EF!$H211*MMVolatEF*NtoN2O*kgtoGg,Constants!$H68*'Net zero Activity data'!BM10*Constants!$H86*EF!$H211*MMVolatEF*NtoN2O*kgtoGg)</f>
        <v>0.40484068769961307</v>
      </c>
      <c r="AU1039" s="101">
        <f>IF('Net zero activities &amp; levers'!$C$12="Off",Constants!$H68*'Activity data'!BN10*Constants!$H86*EF!$H211*MMVolatEF*NtoN2O*kgtoGg,Constants!$H68*'Net zero Activity data'!BN10*Constants!$H86*EF!$H211*MMVolatEF*NtoN2O*kgtoGg)</f>
        <v>0.41159689782839859</v>
      </c>
      <c r="AV1039" s="101">
        <f>IF('Net zero activities &amp; levers'!$C$12="Off",Constants!$H68*'Activity data'!BO10*Constants!$H86*EF!$H211*MMVolatEF*NtoN2O*kgtoGg,Constants!$H68*'Net zero Activity data'!BO10*Constants!$H86*EF!$H211*MMVolatEF*NtoN2O*kgtoGg)</f>
        <v>0.41907121637062017</v>
      </c>
      <c r="AW1039" s="101">
        <f>IF('Net zero activities &amp; levers'!$C$12="Off",Constants!$H68*'Activity data'!BP10*Constants!$H86*EF!$H211*MMVolatEF*NtoN2O*kgtoGg,Constants!$H68*'Net zero Activity data'!BP10*Constants!$H86*EF!$H211*MMVolatEF*NtoN2O*kgtoGg)</f>
        <v>0.42620990008273502</v>
      </c>
      <c r="AY1039" s="85"/>
      <c r="AZ1039" s="85"/>
    </row>
    <row r="1040" spans="1:52" x14ac:dyDescent="0.25">
      <c r="A1040" s="102" t="str">
        <f t="shared" si="345"/>
        <v>DS MM Volatilisation</v>
      </c>
      <c r="B1040" s="102" t="s">
        <v>975</v>
      </c>
      <c r="C1040" s="102" t="s">
        <v>1333</v>
      </c>
      <c r="D1040" t="s">
        <v>369</v>
      </c>
      <c r="E1040" t="s">
        <v>64</v>
      </c>
      <c r="F1040" t="s">
        <v>62</v>
      </c>
      <c r="G1040" t="s">
        <v>1165</v>
      </c>
      <c r="H1040" t="s">
        <v>1297</v>
      </c>
      <c r="I1040" t="s">
        <v>139</v>
      </c>
      <c r="J1040" t="s">
        <v>287</v>
      </c>
      <c r="K1040" s="101">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1.1717139101759614E-4</v>
      </c>
      <c r="L1040" s="101">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1.1723462618367247E-4</v>
      </c>
      <c r="M1040" s="101">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1.1737999843906114E-4</v>
      </c>
      <c r="N1040" s="101">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1.1759581709566441E-4</v>
      </c>
      <c r="O1040" s="101">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1.178871134646596E-4</v>
      </c>
      <c r="P1040" s="101">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1.182597418054167E-4</v>
      </c>
      <c r="Q1040" s="101">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1.1867033947255795E-4</v>
      </c>
      <c r="R1040" s="101">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1.1911252923744314E-4</v>
      </c>
      <c r="S1040" s="101">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1.1955062486439893E-4</v>
      </c>
      <c r="T1040" s="101">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1.1972991314052751E-4</v>
      </c>
      <c r="U1040" s="101">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1.1993350054454542E-4</v>
      </c>
      <c r="V1040" s="101">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1.2016374349275828E-4</v>
      </c>
      <c r="W1040" s="101">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1.2042231214139446E-4</v>
      </c>
      <c r="X1040" s="101">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1.207128620599027E-4</v>
      </c>
      <c r="Y1040" s="101">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1.2089554719264044E-4</v>
      </c>
      <c r="Z1040" s="101">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1.2110125995232866E-4</v>
      </c>
      <c r="AA1040" s="101">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1.2132427506998271E-4</v>
      </c>
      <c r="AB1040" s="101">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1.2156982110770359E-4</v>
      </c>
      <c r="AC1040" s="101">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1.2183786994920164E-4</v>
      </c>
      <c r="AD1040" s="101">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1.2201528623614288E-4</v>
      </c>
      <c r="AE1040" s="101">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1.2220996410772502E-4</v>
      </c>
      <c r="AF1040" s="101">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1.2242059577670001E-4</v>
      </c>
      <c r="AG1040" s="101">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1.2264946134615736E-4</v>
      </c>
      <c r="AH1040" s="101">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1.2288846185835745E-4</v>
      </c>
      <c r="AI1040" s="101">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1.2304136792276417E-4</v>
      </c>
      <c r="AJ1040" s="101">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1.2320724493915228E-4</v>
      </c>
      <c r="AK1040" s="101">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1.2338358070705196E-4</v>
      </c>
      <c r="AL1040" s="101">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1.2357134049580156E-4</v>
      </c>
      <c r="AM1040" s="101">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1.2377140391233165E-4</v>
      </c>
      <c r="AN1040" s="101">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1.2388931849227042E-4</v>
      </c>
      <c r="AO1040" s="101">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1.2401495917055069E-4</v>
      </c>
      <c r="AP1040" s="101">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1.2415054004629534E-4</v>
      </c>
      <c r="AQ1040" s="101">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1.2429582194532134E-4</v>
      </c>
      <c r="AR1040" s="101">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1.2445236467960286E-4</v>
      </c>
      <c r="AS1040" s="101">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1.2452291839205781E-4</v>
      </c>
      <c r="AT1040" s="101">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1.2458415812408247E-4</v>
      </c>
      <c r="AU1040" s="101">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1.2465176490232825E-4</v>
      </c>
      <c r="AV1040" s="101">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1.2472905780449089E-4</v>
      </c>
      <c r="AW1040" s="101">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1.248124658088483E-4</v>
      </c>
      <c r="AY1040" s="85"/>
      <c r="AZ1040" s="85"/>
    </row>
    <row r="1041" spans="1:52" x14ac:dyDescent="0.25">
      <c r="A1041" s="102" t="str">
        <f t="shared" si="345"/>
        <v>DS MM Volatilisation</v>
      </c>
      <c r="B1041" s="102" t="s">
        <v>975</v>
      </c>
      <c r="C1041" s="102" t="s">
        <v>1333</v>
      </c>
      <c r="D1041" t="s">
        <v>369</v>
      </c>
      <c r="E1041" t="s">
        <v>64</v>
      </c>
      <c r="F1041" t="s">
        <v>62</v>
      </c>
      <c r="G1041" t="s">
        <v>1167</v>
      </c>
      <c r="H1041" t="s">
        <v>1298</v>
      </c>
      <c r="I1041" t="s">
        <v>139</v>
      </c>
      <c r="J1041" t="s">
        <v>287</v>
      </c>
      <c r="K1041" s="101">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8.0409045079441203E-4</v>
      </c>
      <c r="L1041" s="101">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8.0452440308220838E-4</v>
      </c>
      <c r="M1041" s="101">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8.055220223931452E-4</v>
      </c>
      <c r="N1041" s="101">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8.0700308120255969E-4</v>
      </c>
      <c r="O1041" s="101">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8.0900210695983646E-4</v>
      </c>
      <c r="P1041" s="101">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8.1155927460883318E-4</v>
      </c>
      <c r="Q1041" s="101">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8.1437700733692851E-4</v>
      </c>
      <c r="R1041" s="101">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8.1741154131570351E-4</v>
      </c>
      <c r="S1041" s="101">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8.2041797921074454E-4</v>
      </c>
      <c r="T1041" s="101">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8.2164834772922271E-4</v>
      </c>
      <c r="U1041" s="101">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8.2304546938196678E-4</v>
      </c>
      <c r="V1041" s="101">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8.2462551511166995E-4</v>
      </c>
      <c r="W1041" s="101">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8.2639994639082011E-4</v>
      </c>
      <c r="X1041" s="101">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8.2839384962029086E-4</v>
      </c>
      <c r="Y1041" s="101">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8.2964752911885125E-4</v>
      </c>
      <c r="Z1041" s="101">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8.3105923605716848E-4</v>
      </c>
      <c r="AA1041" s="101">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8.3258968068986462E-4</v>
      </c>
      <c r="AB1041" s="101">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8.3427474410378356E-4</v>
      </c>
      <c r="AC1041" s="101">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8.3611423335046113E-4</v>
      </c>
      <c r="AD1041" s="101">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8.373317553147042E-4</v>
      </c>
      <c r="AE1041" s="101">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8.3866773516576396E-4</v>
      </c>
      <c r="AF1041" s="101">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8.4011319819378471E-4</v>
      </c>
      <c r="AG1041" s="101">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8.416837916408544E-4</v>
      </c>
      <c r="AH1041" s="101">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8.4332393628645482E-4</v>
      </c>
      <c r="AI1041" s="101">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8.4437325647622322E-4</v>
      </c>
      <c r="AJ1041" s="101">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8.4551159002100391E-4</v>
      </c>
      <c r="AK1041" s="101">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8.4672169690691037E-4</v>
      </c>
      <c r="AL1041" s="101">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8.4801020130944032E-4</v>
      </c>
      <c r="AM1041" s="101">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8.4938313954451667E-4</v>
      </c>
      <c r="AN1041" s="101">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8.5019233014057226E-4</v>
      </c>
      <c r="AO1041" s="101">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8.5105454120386272E-4</v>
      </c>
      <c r="AP1041" s="101">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8.5198496702325278E-4</v>
      </c>
      <c r="AQ1041" s="101">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8.5298196626227814E-4</v>
      </c>
      <c r="AR1041" s="101">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8.5405624315430654E-4</v>
      </c>
      <c r="AS1041" s="101">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8.545404190778012E-4</v>
      </c>
      <c r="AT1041" s="101">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8.5496067766910582E-4</v>
      </c>
      <c r="AU1041" s="101">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8.5542463021182405E-4</v>
      </c>
      <c r="AV1041" s="101">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8.5595505392706218E-4</v>
      </c>
      <c r="AW1041" s="101">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8.5652744262400531E-4</v>
      </c>
      <c r="AY1041" s="85"/>
      <c r="AZ1041" s="85"/>
    </row>
    <row r="1042" spans="1:52" x14ac:dyDescent="0.25">
      <c r="A1042" s="102" t="str">
        <f t="shared" si="345"/>
        <v>DS MM Volatilisation</v>
      </c>
      <c r="B1042" s="102" t="s">
        <v>975</v>
      </c>
      <c r="C1042" s="102" t="s">
        <v>1333</v>
      </c>
      <c r="D1042" t="s">
        <v>369</v>
      </c>
      <c r="E1042" t="s">
        <v>64</v>
      </c>
      <c r="F1042" t="s">
        <v>62</v>
      </c>
      <c r="G1042" t="s">
        <v>1169</v>
      </c>
      <c r="H1042" t="s">
        <v>1299</v>
      </c>
      <c r="I1042" t="s">
        <v>139</v>
      </c>
      <c r="J1042" t="s">
        <v>287</v>
      </c>
      <c r="K1042" s="22">
        <f t="shared" ref="K1042:Z1045" si="363">K1539</f>
        <v>1.4482807028187922E-5</v>
      </c>
      <c r="L1042" s="22">
        <f t="shared" si="363"/>
        <v>1.4520450251739282E-5</v>
      </c>
      <c r="M1042" s="22">
        <f t="shared" si="363"/>
        <v>1.4571212872745464E-5</v>
      </c>
      <c r="N1042" s="22">
        <f t="shared" si="363"/>
        <v>1.4633040456364911E-5</v>
      </c>
      <c r="O1042" s="22">
        <f t="shared" si="363"/>
        <v>1.4707094987006923E-5</v>
      </c>
      <c r="P1042" s="22">
        <f t="shared" si="363"/>
        <v>1.4794644538423194E-5</v>
      </c>
      <c r="Q1042" s="22">
        <f t="shared" si="363"/>
        <v>1.4887429784482061E-5</v>
      </c>
      <c r="R1042" s="22">
        <f t="shared" si="363"/>
        <v>1.4984365063470914E-5</v>
      </c>
      <c r="S1042" s="22">
        <f t="shared" si="363"/>
        <v>1.5078737379247896E-5</v>
      </c>
      <c r="T1042" s="22">
        <f t="shared" si="363"/>
        <v>1.5122022085784052E-5</v>
      </c>
      <c r="U1042" s="22">
        <f t="shared" si="363"/>
        <v>1.5168700186651053E-5</v>
      </c>
      <c r="V1042" s="22">
        <f t="shared" si="363"/>
        <v>1.5219291662698976E-5</v>
      </c>
      <c r="W1042" s="22">
        <f t="shared" si="363"/>
        <v>1.5274171031448217E-5</v>
      </c>
      <c r="X1042" s="22">
        <f t="shared" si="363"/>
        <v>1.5334076575093776E-5</v>
      </c>
      <c r="Y1042" s="22">
        <f t="shared" si="363"/>
        <v>1.5372633836154438E-5</v>
      </c>
      <c r="Z1042" s="22">
        <f t="shared" si="363"/>
        <v>1.5414710813994563E-5</v>
      </c>
      <c r="AA1042" s="22">
        <f t="shared" ref="L1042:AW1045" si="364">AA1539</f>
        <v>1.5459260848218299E-5</v>
      </c>
      <c r="AB1042" s="22">
        <f t="shared" si="364"/>
        <v>1.550729679110253E-5</v>
      </c>
      <c r="AC1042" s="22">
        <f t="shared" si="364"/>
        <v>1.5558834836357002E-5</v>
      </c>
      <c r="AD1042" s="22">
        <f t="shared" si="364"/>
        <v>1.5592757830860554E-5</v>
      </c>
      <c r="AE1042" s="22">
        <f t="shared" si="364"/>
        <v>1.5629324786279091E-5</v>
      </c>
      <c r="AF1042" s="22">
        <f t="shared" si="364"/>
        <v>1.5668308058264363E-5</v>
      </c>
      <c r="AG1042" s="22">
        <f t="shared" si="364"/>
        <v>1.5710145809478675E-5</v>
      </c>
      <c r="AH1042" s="22">
        <f t="shared" si="364"/>
        <v>1.5753347197297649E-5</v>
      </c>
      <c r="AI1042" s="22">
        <f t="shared" si="364"/>
        <v>1.5780128357590142E-5</v>
      </c>
      <c r="AJ1042" s="22">
        <f t="shared" si="364"/>
        <v>1.5808895494916665E-5</v>
      </c>
      <c r="AK1042" s="22">
        <f t="shared" si="364"/>
        <v>1.5839194459493418E-5</v>
      </c>
      <c r="AL1042" s="22">
        <f t="shared" si="364"/>
        <v>1.5871212894447166E-5</v>
      </c>
      <c r="AM1042" s="22">
        <f t="shared" si="364"/>
        <v>1.5905120208325659E-5</v>
      </c>
      <c r="AN1042" s="22">
        <f t="shared" si="364"/>
        <v>1.5923608440521578E-5</v>
      </c>
      <c r="AO1042" s="22">
        <f t="shared" si="364"/>
        <v>1.5943219194385969E-5</v>
      </c>
      <c r="AP1042" s="22">
        <f t="shared" si="364"/>
        <v>1.5964364076511548E-5</v>
      </c>
      <c r="AQ1042" s="22">
        <f t="shared" si="364"/>
        <v>1.5987003748719161E-5</v>
      </c>
      <c r="AR1042" s="22">
        <f t="shared" si="364"/>
        <v>1.6011426014492075E-5</v>
      </c>
      <c r="AS1042" s="22">
        <f t="shared" si="364"/>
        <v>1.6019956720470997E-5</v>
      </c>
      <c r="AT1042" s="22">
        <f t="shared" si="364"/>
        <v>1.6026597354274649E-5</v>
      </c>
      <c r="AU1042" s="22">
        <f t="shared" si="364"/>
        <v>1.6034206571030276E-5</v>
      </c>
      <c r="AV1042" s="22">
        <f t="shared" si="364"/>
        <v>1.6043388029308272E-5</v>
      </c>
      <c r="AW1042" s="22">
        <f t="shared" si="364"/>
        <v>1.6053496862987396E-5</v>
      </c>
      <c r="AY1042" s="85"/>
      <c r="AZ1042" s="85"/>
    </row>
    <row r="1043" spans="1:52" x14ac:dyDescent="0.25">
      <c r="A1043" s="102" t="str">
        <f t="shared" si="345"/>
        <v>DS MM Volatilisation</v>
      </c>
      <c r="B1043" s="102" t="s">
        <v>975</v>
      </c>
      <c r="C1043" s="102" t="s">
        <v>1333</v>
      </c>
      <c r="D1043" t="s">
        <v>369</v>
      </c>
      <c r="E1043" t="s">
        <v>64</v>
      </c>
      <c r="F1043" t="s">
        <v>62</v>
      </c>
      <c r="G1043" t="s">
        <v>1171</v>
      </c>
      <c r="H1043" t="s">
        <v>1300</v>
      </c>
      <c r="I1043" t="s">
        <v>139</v>
      </c>
      <c r="J1043" t="s">
        <v>287</v>
      </c>
      <c r="K1043" s="22">
        <f t="shared" si="363"/>
        <v>1.4734983248944019E-3</v>
      </c>
      <c r="L1043" s="22">
        <f t="shared" si="364"/>
        <v>1.4773281920422968E-3</v>
      </c>
      <c r="M1043" s="22">
        <f t="shared" si="364"/>
        <v>1.4824928425740808E-3</v>
      </c>
      <c r="N1043" s="22">
        <f t="shared" si="364"/>
        <v>1.4887832558011719E-3</v>
      </c>
      <c r="O1043" s="22">
        <f t="shared" si="364"/>
        <v>1.4963176534244689E-3</v>
      </c>
      <c r="P1043" s="22">
        <f t="shared" si="364"/>
        <v>1.5052250508030326E-3</v>
      </c>
      <c r="Q1043" s="22">
        <f t="shared" si="364"/>
        <v>1.5146651340946602E-3</v>
      </c>
      <c r="R1043" s="22">
        <f t="shared" si="364"/>
        <v>1.5245274467620346E-3</v>
      </c>
      <c r="S1043" s="22">
        <f t="shared" si="364"/>
        <v>1.5341290004486333E-3</v>
      </c>
      <c r="T1043" s="22">
        <f t="shared" si="364"/>
        <v>1.5385328389069129E-3</v>
      </c>
      <c r="U1043" s="22">
        <f t="shared" si="364"/>
        <v>1.5432819254136169E-3</v>
      </c>
      <c r="V1043" s="22">
        <f t="shared" si="364"/>
        <v>1.5484291634501014E-3</v>
      </c>
      <c r="W1043" s="22">
        <f t="shared" si="364"/>
        <v>1.5540126568824096E-3</v>
      </c>
      <c r="X1043" s="22">
        <f t="shared" si="364"/>
        <v>1.5601075194350781E-3</v>
      </c>
      <c r="Y1043" s="22">
        <f t="shared" si="364"/>
        <v>1.5640303818660153E-3</v>
      </c>
      <c r="Z1043" s="22">
        <f t="shared" si="364"/>
        <v>1.5683113445442707E-3</v>
      </c>
      <c r="AA1043" s="22">
        <f t="shared" si="364"/>
        <v>1.5728439189737231E-3</v>
      </c>
      <c r="AB1043" s="22">
        <f t="shared" si="364"/>
        <v>1.5777311539715299E-3</v>
      </c>
      <c r="AC1043" s="22">
        <f t="shared" si="364"/>
        <v>1.5829746971053286E-3</v>
      </c>
      <c r="AD1043" s="22">
        <f t="shared" si="364"/>
        <v>1.5864260636449165E-3</v>
      </c>
      <c r="AE1043" s="22">
        <f t="shared" si="364"/>
        <v>1.5901464299696787E-3</v>
      </c>
      <c r="AF1043" s="22">
        <f t="shared" si="364"/>
        <v>1.5941126352679608E-3</v>
      </c>
      <c r="AG1043" s="22">
        <f t="shared" si="364"/>
        <v>1.5983692587396162E-3</v>
      </c>
      <c r="AH1043" s="22">
        <f t="shared" si="364"/>
        <v>1.6027646202507156E-3</v>
      </c>
      <c r="AI1043" s="22">
        <f t="shared" si="364"/>
        <v>1.6054893679293186E-3</v>
      </c>
      <c r="AJ1043" s="22">
        <f t="shared" si="364"/>
        <v>1.6084161713162683E-3</v>
      </c>
      <c r="AK1043" s="22">
        <f t="shared" si="364"/>
        <v>1.6114988246626113E-3</v>
      </c>
      <c r="AL1043" s="22">
        <f t="shared" si="364"/>
        <v>1.6147564190072887E-3</v>
      </c>
      <c r="AM1043" s="22">
        <f t="shared" si="364"/>
        <v>1.6182061901810947E-3</v>
      </c>
      <c r="AN1043" s="22">
        <f t="shared" si="364"/>
        <v>1.6200872053128935E-3</v>
      </c>
      <c r="AO1043" s="22">
        <f t="shared" si="364"/>
        <v>1.6220824271585524E-3</v>
      </c>
      <c r="AP1043" s="22">
        <f t="shared" si="364"/>
        <v>1.6242337330712453E-3</v>
      </c>
      <c r="AQ1043" s="22">
        <f t="shared" si="364"/>
        <v>1.6265371207369889E-3</v>
      </c>
      <c r="AR1043" s="22">
        <f t="shared" si="364"/>
        <v>1.6290218716306845E-3</v>
      </c>
      <c r="AS1043" s="22">
        <f t="shared" si="364"/>
        <v>1.6298897959871744E-3</v>
      </c>
      <c r="AT1043" s="22">
        <f t="shared" si="364"/>
        <v>1.6305654221117833E-3</v>
      </c>
      <c r="AU1043" s="22">
        <f t="shared" si="364"/>
        <v>1.6313395930388258E-3</v>
      </c>
      <c r="AV1043" s="22">
        <f t="shared" si="364"/>
        <v>1.6322737257222465E-3</v>
      </c>
      <c r="AW1043" s="22">
        <f t="shared" si="364"/>
        <v>1.6333022107019772E-3</v>
      </c>
      <c r="AY1043" s="85"/>
      <c r="AZ1043" s="85"/>
    </row>
    <row r="1044" spans="1:52" x14ac:dyDescent="0.25">
      <c r="A1044" s="102" t="str">
        <f t="shared" si="345"/>
        <v>DS MM Volatilisation</v>
      </c>
      <c r="B1044" s="102" t="s">
        <v>975</v>
      </c>
      <c r="C1044" s="102" t="s">
        <v>1333</v>
      </c>
      <c r="D1044" t="s">
        <v>369</v>
      </c>
      <c r="E1044" t="s">
        <v>64</v>
      </c>
      <c r="F1044" t="s">
        <v>62</v>
      </c>
      <c r="G1044" t="s">
        <v>1173</v>
      </c>
      <c r="H1044" t="s">
        <v>1301</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85"/>
      <c r="AZ1044" s="85"/>
    </row>
    <row r="1045" spans="1:52" x14ac:dyDescent="0.25">
      <c r="A1045" s="102" t="str">
        <f t="shared" si="345"/>
        <v>DS MM Volatilisation</v>
      </c>
      <c r="B1045" s="102" t="s">
        <v>975</v>
      </c>
      <c r="C1045" s="102" t="s">
        <v>1333</v>
      </c>
      <c r="D1045" t="s">
        <v>369</v>
      </c>
      <c r="E1045" t="s">
        <v>64</v>
      </c>
      <c r="F1045" t="s">
        <v>62</v>
      </c>
      <c r="G1045" t="s">
        <v>1175</v>
      </c>
      <c r="H1045" t="s">
        <v>1302</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85"/>
      <c r="AZ1045" s="85"/>
    </row>
    <row r="1046" spans="1:52" x14ac:dyDescent="0.25">
      <c r="A1046" s="102" t="str">
        <f t="shared" si="345"/>
        <v>DS MM Volatilisation</v>
      </c>
      <c r="B1046" s="102" t="s">
        <v>975</v>
      </c>
      <c r="C1046" s="102" t="s">
        <v>1333</v>
      </c>
      <c r="D1046" t="s">
        <v>369</v>
      </c>
      <c r="E1046" t="s">
        <v>64</v>
      </c>
      <c r="F1046" t="s">
        <v>62</v>
      </c>
      <c r="G1046" t="s">
        <v>1177</v>
      </c>
      <c r="H1046" t="s">
        <v>1303</v>
      </c>
      <c r="I1046" t="s">
        <v>139</v>
      </c>
      <c r="J1046" t="s">
        <v>287</v>
      </c>
      <c r="K1046" s="101">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0.13127680408912967</v>
      </c>
      <c r="L1046" s="101">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0.13104478756679175</v>
      </c>
      <c r="M1046" s="101">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0.13030955774266942</v>
      </c>
      <c r="N1046" s="101">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0.12743411073001928</v>
      </c>
      <c r="O1046" s="101">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0.1247149107669546</v>
      </c>
      <c r="P1046" s="101">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0.1242760261027246</v>
      </c>
      <c r="Q1046" s="101">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0.1232106270346093</v>
      </c>
      <c r="R1046" s="101">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0.11992927074804736</v>
      </c>
      <c r="S1046" s="101">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0.10697136059413564</v>
      </c>
      <c r="T1046" s="101">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0.10927238007305687</v>
      </c>
      <c r="U1046" s="101">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0.11033195793154126</v>
      </c>
      <c r="V1046" s="101">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0.11110365742908961</v>
      </c>
      <c r="W1046" s="101">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0.1122884240961687</v>
      </c>
      <c r="X1046" s="101">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0.11491943317032226</v>
      </c>
      <c r="Y1046" s="101">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0.117880487302873</v>
      </c>
      <c r="Z1046" s="101">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0.12113886796014842</v>
      </c>
      <c r="AA1046" s="101">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0.12374440018879811</v>
      </c>
      <c r="AB1046" s="101">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0.12693570858518674</v>
      </c>
      <c r="AC1046" s="101">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0.13084113615278595</v>
      </c>
      <c r="AD1046" s="101">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0.13453780909031221</v>
      </c>
      <c r="AE1046" s="101">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0.13838522984786125</v>
      </c>
      <c r="AF1046" s="101">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0.1422552100509078</v>
      </c>
      <c r="AG1046" s="101">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0.14666883461308858</v>
      </c>
      <c r="AH1046" s="101">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0.15024709495665656</v>
      </c>
      <c r="AI1046" s="101">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0.15408132184002271</v>
      </c>
      <c r="AJ1046" s="101">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0.15791627313476184</v>
      </c>
      <c r="AK1046" s="101">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0.16139685457136538</v>
      </c>
      <c r="AL1046" s="101">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0.16476948346525533</v>
      </c>
      <c r="AM1046" s="101">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0.1682466106779141</v>
      </c>
      <c r="AN1046" s="101">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0.17192264568830376</v>
      </c>
      <c r="AO1046" s="101">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0.17515461564548812</v>
      </c>
      <c r="AP1046" s="101">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0.17836303688392388</v>
      </c>
      <c r="AQ1046" s="101">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0.18155644014490915</v>
      </c>
      <c r="AR1046" s="101">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0.18501677268932123</v>
      </c>
      <c r="AS1046" s="101">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0.1885273047927761</v>
      </c>
      <c r="AT1046" s="101">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0.1893481182412324</v>
      </c>
      <c r="AU1046" s="101">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0.18994311944670875</v>
      </c>
      <c r="AV1046" s="101">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0.19083634950059308</v>
      </c>
      <c r="AW1046" s="101">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0.19153378485504027</v>
      </c>
      <c r="AY1046" s="85"/>
      <c r="AZ1046" s="85"/>
    </row>
    <row r="1047" spans="1:52" x14ac:dyDescent="0.25">
      <c r="A1047" s="102" t="str">
        <f t="shared" si="345"/>
        <v>DS MM Volatilisation</v>
      </c>
      <c r="B1047" s="102" t="s">
        <v>975</v>
      </c>
      <c r="C1047" s="102" t="s">
        <v>1333</v>
      </c>
      <c r="D1047" t="s">
        <v>369</v>
      </c>
      <c r="E1047" t="s">
        <v>64</v>
      </c>
      <c r="F1047" t="s">
        <v>62</v>
      </c>
      <c r="G1047" t="s">
        <v>1179</v>
      </c>
      <c r="H1047" t="s">
        <v>1304</v>
      </c>
      <c r="I1047" t="s">
        <v>139</v>
      </c>
      <c r="J1047" t="s">
        <v>287</v>
      </c>
      <c r="K1047" s="101">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1.2775290998949166E-2</v>
      </c>
      <c r="L1047" s="101">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1.2752712154118219E-2</v>
      </c>
      <c r="M1047" s="101">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1.2681162766399339E-2</v>
      </c>
      <c r="N1047" s="101">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1.2401336695117745E-2</v>
      </c>
      <c r="O1047" s="101">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1.2136715911167996E-2</v>
      </c>
      <c r="P1047" s="101">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1.2094005553162118E-2</v>
      </c>
      <c r="Q1047" s="101">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1.1990325522103915E-2</v>
      </c>
      <c r="R1047" s="101">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1.1670998115233177E-2</v>
      </c>
      <c r="S1047" s="101">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1.0409990322553617E-2</v>
      </c>
      <c r="T1047" s="101">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1.0633915589789026E-2</v>
      </c>
      <c r="U1047" s="101">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1.0737029125893931E-2</v>
      </c>
      <c r="V1047" s="101">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1.0812127584554078E-2</v>
      </c>
      <c r="W1047" s="101">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1.092742395425785E-2</v>
      </c>
      <c r="X1047" s="101">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1.1183462382191907E-2</v>
      </c>
      <c r="Y1047" s="101">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1.1471619368260015E-2</v>
      </c>
      <c r="Z1047" s="101">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1.1788710886223677E-2</v>
      </c>
      <c r="AA1047" s="101">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1.2042270017702387E-2</v>
      </c>
      <c r="AB1047" s="101">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1.2352834353223334E-2</v>
      </c>
      <c r="AC1047" s="101">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1.2732893678993665E-2</v>
      </c>
      <c r="AD1047" s="101">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1.3092637906715528E-2</v>
      </c>
      <c r="AE1047" s="101">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1.3467052260524101E-2</v>
      </c>
      <c r="AF1047" s="101">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1.384366200203278E-2</v>
      </c>
      <c r="AG1047" s="101">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1.4273176862127078E-2</v>
      </c>
      <c r="AH1047" s="101">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1.4621397688161536E-2</v>
      </c>
      <c r="AI1047" s="101">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1.4994528071178318E-2</v>
      </c>
      <c r="AJ1047" s="101">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1.5367728950777933E-2</v>
      </c>
      <c r="AK1047" s="101">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1.5706444087901172E-2</v>
      </c>
      <c r="AL1047" s="101">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1.6034653750300141E-2</v>
      </c>
      <c r="AM1047" s="101">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1.6373032737283407E-2</v>
      </c>
      <c r="AN1047" s="101">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1.673076857116438E-2</v>
      </c>
      <c r="AO1047" s="101">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1.7045289913981791E-2</v>
      </c>
      <c r="AP1047" s="101">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1.7357519597303427E-2</v>
      </c>
      <c r="AQ1047" s="101">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1.7668287795989782E-2</v>
      </c>
      <c r="AR1047" s="101">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1.8005032398471E-2</v>
      </c>
      <c r="AS1047" s="101">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1.8346662205000568E-2</v>
      </c>
      <c r="AT1047" s="101">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1.8426540221018993E-2</v>
      </c>
      <c r="AU1047" s="101">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1.8484443165849414E-2</v>
      </c>
      <c r="AV1047" s="101">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1.8571368452815044E-2</v>
      </c>
      <c r="AW1047" s="101">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1.8639239846149461E-2</v>
      </c>
      <c r="AY1047" s="85"/>
      <c r="AZ1047" s="85"/>
    </row>
    <row r="1048" spans="1:52" x14ac:dyDescent="0.25">
      <c r="A1048" s="102" t="str">
        <f t="shared" si="345"/>
        <v>DS MM Volatilisation</v>
      </c>
      <c r="B1048" s="102" t="s">
        <v>975</v>
      </c>
      <c r="C1048" s="102" t="s">
        <v>1333</v>
      </c>
      <c r="D1048" t="s">
        <v>369</v>
      </c>
      <c r="E1048" t="s">
        <v>64</v>
      </c>
      <c r="F1048" t="s">
        <v>62</v>
      </c>
      <c r="G1048" t="s">
        <v>1181</v>
      </c>
      <c r="H1048" t="s">
        <v>1305</v>
      </c>
      <c r="I1048" t="s">
        <v>139</v>
      </c>
      <c r="J1048" t="s">
        <v>287</v>
      </c>
      <c r="K1048" s="101">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6.4639922525530427E-2</v>
      </c>
      <c r="L1048" s="101">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6.6092820241884495E-2</v>
      </c>
      <c r="M1048" s="101">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6.7406950311631311E-2</v>
      </c>
      <c r="N1048" s="101">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6.8085378535523336E-2</v>
      </c>
      <c r="O1048" s="101">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6.8782509933711544E-2</v>
      </c>
      <c r="P1048" s="101">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7.0170496606956442E-2</v>
      </c>
      <c r="Q1048" s="101">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7.1357352719614867E-2</v>
      </c>
      <c r="R1048" s="101">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7.1807853842609945E-2</v>
      </c>
      <c r="S1048" s="101">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6.89560372793145E-2</v>
      </c>
      <c r="T1048" s="101">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7.1008173280929857E-2</v>
      </c>
      <c r="U1048" s="101">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7.2666722437194436E-2</v>
      </c>
      <c r="V1048" s="101">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7.4247222856444403E-2</v>
      </c>
      <c r="W1048" s="101">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7.600218438166105E-2</v>
      </c>
      <c r="X1048" s="101">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7.8331736592242102E-2</v>
      </c>
      <c r="Y1048" s="101">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8.0778487004079483E-2</v>
      </c>
      <c r="Z1048" s="101">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8.3401229369706939E-2</v>
      </c>
      <c r="AA1048" s="101">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8.5827271656106763E-2</v>
      </c>
      <c r="AB1048" s="101">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8.8549064394725929E-2</v>
      </c>
      <c r="AC1048" s="101">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9.1636240743728642E-2</v>
      </c>
      <c r="AD1048" s="101">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9.4662173779080358E-2</v>
      </c>
      <c r="AE1048" s="101">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9.7831321391472395E-2</v>
      </c>
      <c r="AF1048" s="101">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0.1010924495137356</v>
      </c>
      <c r="AG1048" s="101">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0.10468368456707709</v>
      </c>
      <c r="AH1048" s="101">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0.10798542807128246</v>
      </c>
      <c r="AI1048" s="101">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0.11143964262193619</v>
      </c>
      <c r="AJ1048" s="101">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0.11498300476041527</v>
      </c>
      <c r="AK1048" s="101">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0.11844428302751359</v>
      </c>
      <c r="AL1048" s="101">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0.12193846206930534</v>
      </c>
      <c r="AM1048" s="101">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0.12557241914152842</v>
      </c>
      <c r="AN1048" s="101">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0.12935192234708767</v>
      </c>
      <c r="AO1048" s="101">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0.13299431940651141</v>
      </c>
      <c r="AP1048" s="101">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0.13671453058130023</v>
      </c>
      <c r="AQ1048" s="101">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0.14051897664424154</v>
      </c>
      <c r="AR1048" s="101">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0.14456662668799888</v>
      </c>
      <c r="AS1048" s="101">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0.14869599338087189</v>
      </c>
      <c r="AT1048" s="101">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0.15137911693275455</v>
      </c>
      <c r="AU1048" s="101">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0.1539813872955596</v>
      </c>
      <c r="AV1048" s="101">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0.15681091101615385</v>
      </c>
      <c r="AW1048" s="101">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0.15957796848952543</v>
      </c>
      <c r="AY1048" s="85"/>
      <c r="AZ1048" s="85"/>
    </row>
    <row r="1049" spans="1:52" x14ac:dyDescent="0.25">
      <c r="A1049" s="102" t="str">
        <f t="shared" si="345"/>
        <v>DS MM Volatilisation</v>
      </c>
      <c r="B1049" s="102" t="s">
        <v>975</v>
      </c>
      <c r="C1049" s="102" t="s">
        <v>1333</v>
      </c>
      <c r="D1049" t="s">
        <v>369</v>
      </c>
      <c r="E1049" t="s">
        <v>64</v>
      </c>
      <c r="F1049" t="s">
        <v>62</v>
      </c>
      <c r="G1049" t="s">
        <v>1183</v>
      </c>
      <c r="H1049" t="s">
        <v>1306</v>
      </c>
      <c r="I1049" t="s">
        <v>139</v>
      </c>
      <c r="J1049" t="s">
        <v>287</v>
      </c>
      <c r="K1049" s="101">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0.3124157271084777</v>
      </c>
      <c r="L1049" s="101">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0.31821414255231495</v>
      </c>
      <c r="M1049" s="101">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0.32201191440693633</v>
      </c>
      <c r="N1049" s="101">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0.3178348082585094</v>
      </c>
      <c r="O1049" s="101">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0.31378386599173785</v>
      </c>
      <c r="P1049" s="101">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0.31779798966820449</v>
      </c>
      <c r="Q1049" s="101">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0.31934474546532327</v>
      </c>
      <c r="R1049" s="101">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0.3122534460886785</v>
      </c>
      <c r="S1049" s="101">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0.26726842990845273</v>
      </c>
      <c r="T1049" s="101">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0.28155383456320437</v>
      </c>
      <c r="U1049" s="101">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0.29111754321840305</v>
      </c>
      <c r="V1049" s="101">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0.2996184601617527</v>
      </c>
      <c r="W1049" s="101">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0.30988409927740257</v>
      </c>
      <c r="X1049" s="101">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0.32626779257260974</v>
      </c>
      <c r="Y1049" s="101">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0.34459114138127506</v>
      </c>
      <c r="Z1049" s="101">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0.36451721195122694</v>
      </c>
      <c r="AA1049" s="101">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0.38201404405887901</v>
      </c>
      <c r="AB1049" s="101">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0.40238508942677492</v>
      </c>
      <c r="AC1049" s="101">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0.4263053965641187</v>
      </c>
      <c r="AD1049" s="101">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0.44998725989455773</v>
      </c>
      <c r="AE1049" s="101">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0.47482812670868052</v>
      </c>
      <c r="AF1049" s="101">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0.50027841318334143</v>
      </c>
      <c r="AG1049" s="101">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0.52877672683612675</v>
      </c>
      <c r="AH1049" s="101">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0.55394333487777203</v>
      </c>
      <c r="AI1049" s="101">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0.58103945126716949</v>
      </c>
      <c r="AJ1049" s="101">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0.60869953568846558</v>
      </c>
      <c r="AK1049" s="101">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0.6352030919632573</v>
      </c>
      <c r="AL1049" s="101">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0.66171943775292319</v>
      </c>
      <c r="AM1049" s="101">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0.68930855279653469</v>
      </c>
      <c r="AN1049" s="101">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0.71866455371182625</v>
      </c>
      <c r="AO1049" s="101">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0.74635733605458598</v>
      </c>
      <c r="AP1049" s="101">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0.7745069527648214</v>
      </c>
      <c r="AQ1049" s="101">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0.80317067030208755</v>
      </c>
      <c r="AR1049" s="101">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0.83386954359351506</v>
      </c>
      <c r="AS1049" s="101">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0.86568293208899882</v>
      </c>
      <c r="AT1049" s="101">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0.88344012524771687</v>
      </c>
      <c r="AU1049" s="101">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0.90027059680950883</v>
      </c>
      <c r="AV1049" s="101">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0.91908561041712944</v>
      </c>
      <c r="AW1049" s="101">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0.9371463380375723</v>
      </c>
      <c r="AY1049" s="85"/>
      <c r="AZ1049" s="85"/>
    </row>
    <row r="1050" spans="1:52" x14ac:dyDescent="0.25">
      <c r="A1050" s="102" t="str">
        <f t="shared" si="345"/>
        <v>DS MM Leaching</v>
      </c>
      <c r="B1050" s="102" t="s">
        <v>975</v>
      </c>
      <c r="C1050" s="102" t="s">
        <v>1334</v>
      </c>
      <c r="D1050" t="s">
        <v>369</v>
      </c>
      <c r="E1050" t="s">
        <v>64</v>
      </c>
      <c r="F1050" t="s">
        <v>63</v>
      </c>
      <c r="G1050" t="s">
        <v>1153</v>
      </c>
      <c r="H1050" t="s">
        <v>1307</v>
      </c>
      <c r="I1050" t="s">
        <v>139</v>
      </c>
      <c r="J1050" t="s">
        <v>287</v>
      </c>
      <c r="K1050" s="22">
        <f t="shared" ref="K1050:AW1050" si="365">K1547</f>
        <v>8.9301817319657029E-2</v>
      </c>
      <c r="L1050" s="22">
        <f t="shared" si="365"/>
        <v>8.9904788204048389E-2</v>
      </c>
      <c r="M1050" s="22">
        <f t="shared" si="365"/>
        <v>9.0432234991344826E-2</v>
      </c>
      <c r="N1050" s="22">
        <f t="shared" si="365"/>
        <v>9.0500461338876806E-2</v>
      </c>
      <c r="O1050" s="22">
        <f t="shared" si="365"/>
        <v>9.0617974533052939E-2</v>
      </c>
      <c r="P1050" s="22">
        <f t="shared" si="365"/>
        <v>9.1292243565634368E-2</v>
      </c>
      <c r="Q1050" s="22">
        <f t="shared" si="365"/>
        <v>9.1831411898207801E-2</v>
      </c>
      <c r="R1050" s="22">
        <f t="shared" si="365"/>
        <v>9.1836139358568436E-2</v>
      </c>
      <c r="S1050" s="22">
        <f t="shared" si="365"/>
        <v>8.9403055409342513E-2</v>
      </c>
      <c r="T1050" s="22">
        <f t="shared" si="365"/>
        <v>9.0578464795021837E-2</v>
      </c>
      <c r="U1050" s="22">
        <f t="shared" si="365"/>
        <v>9.1468229504779536E-2</v>
      </c>
      <c r="V1050" s="22">
        <f t="shared" si="365"/>
        <v>9.2307701453058486E-2</v>
      </c>
      <c r="W1050" s="22">
        <f t="shared" si="365"/>
        <v>9.3281093922152392E-2</v>
      </c>
      <c r="X1050" s="22">
        <f t="shared" si="365"/>
        <v>9.4675817928952744E-2</v>
      </c>
      <c r="Y1050" s="22">
        <f t="shared" si="365"/>
        <v>9.6127887906373721E-2</v>
      </c>
      <c r="Z1050" s="22">
        <f t="shared" si="365"/>
        <v>9.7705163684132096E-2</v>
      </c>
      <c r="AA1050" s="22">
        <f t="shared" si="365"/>
        <v>9.9139534803866503E-2</v>
      </c>
      <c r="AB1050" s="22">
        <f t="shared" si="365"/>
        <v>0.10078297415070787</v>
      </c>
      <c r="AC1050" s="22">
        <f t="shared" si="365"/>
        <v>0.10268183134860724</v>
      </c>
      <c r="AD1050" s="22">
        <f t="shared" si="365"/>
        <v>0.10450996110897502</v>
      </c>
      <c r="AE1050" s="22">
        <f t="shared" si="365"/>
        <v>0.1064333985286125</v>
      </c>
      <c r="AF1050" s="22">
        <f t="shared" si="365"/>
        <v>0.10841517507268528</v>
      </c>
      <c r="AG1050" s="22">
        <f t="shared" si="365"/>
        <v>0.11062033109470952</v>
      </c>
      <c r="AH1050" s="22">
        <f t="shared" si="365"/>
        <v>0.11261681982671894</v>
      </c>
      <c r="AI1050" s="22">
        <f t="shared" si="365"/>
        <v>0.11469139352660324</v>
      </c>
      <c r="AJ1050" s="22">
        <f t="shared" si="365"/>
        <v>0.11682019256305964</v>
      </c>
      <c r="AK1050" s="22">
        <f t="shared" si="365"/>
        <v>0.11888535619665287</v>
      </c>
      <c r="AL1050" s="22">
        <f t="shared" si="365"/>
        <v>0.12096617191338277</v>
      </c>
      <c r="AM1050" s="22">
        <f t="shared" si="365"/>
        <v>0.12313525542688207</v>
      </c>
      <c r="AN1050" s="22">
        <f t="shared" si="365"/>
        <v>0.12537615973723265</v>
      </c>
      <c r="AO1050" s="22">
        <f t="shared" si="365"/>
        <v>0.12751645286240365</v>
      </c>
      <c r="AP1050" s="22">
        <f t="shared" si="365"/>
        <v>0.12970195754720021</v>
      </c>
      <c r="AQ1050" s="22">
        <f t="shared" si="365"/>
        <v>0.131936612577774</v>
      </c>
      <c r="AR1050" s="22">
        <f t="shared" si="365"/>
        <v>0.13432635811565444</v>
      </c>
      <c r="AS1050" s="22">
        <f t="shared" si="365"/>
        <v>0.13674240472836932</v>
      </c>
      <c r="AT1050" s="22">
        <f t="shared" si="365"/>
        <v>0.13818843767832675</v>
      </c>
      <c r="AU1050" s="22">
        <f t="shared" si="365"/>
        <v>0.13957828911754586</v>
      </c>
      <c r="AV1050" s="22">
        <f t="shared" si="365"/>
        <v>0.14111599332781352</v>
      </c>
      <c r="AW1050" s="22">
        <f t="shared" si="365"/>
        <v>0.14260938051125654</v>
      </c>
      <c r="AY1050" s="85"/>
      <c r="AZ1050" s="85"/>
    </row>
    <row r="1051" spans="1:52" x14ac:dyDescent="0.25">
      <c r="A1051" s="102" t="str">
        <f t="shared" si="345"/>
        <v>DS MM Leaching</v>
      </c>
      <c r="B1051" s="102" t="s">
        <v>975</v>
      </c>
      <c r="C1051" s="102" t="s">
        <v>1334</v>
      </c>
      <c r="D1051" t="s">
        <v>369</v>
      </c>
      <c r="E1051" t="s">
        <v>64</v>
      </c>
      <c r="F1051" t="s">
        <v>63</v>
      </c>
      <c r="G1051" t="s">
        <v>1155</v>
      </c>
      <c r="H1051" t="s">
        <v>1308</v>
      </c>
      <c r="I1051" t="s">
        <v>139</v>
      </c>
      <c r="J1051" t="s">
        <v>287</v>
      </c>
      <c r="K1051" s="22">
        <f t="shared" ref="K1051:AW1051" si="366">K1548</f>
        <v>2.69668832410737E-2</v>
      </c>
      <c r="L1051" s="22">
        <f t="shared" si="366"/>
        <v>2.7148965150772641E-2</v>
      </c>
      <c r="M1051" s="22">
        <f t="shared" si="366"/>
        <v>2.730824069919725E-2</v>
      </c>
      <c r="N1051" s="22">
        <f t="shared" si="366"/>
        <v>2.7328843325247671E-2</v>
      </c>
      <c r="O1051" s="22">
        <f t="shared" si="366"/>
        <v>2.7364329328576024E-2</v>
      </c>
      <c r="P1051" s="22">
        <f t="shared" si="366"/>
        <v>2.756794147019246E-2</v>
      </c>
      <c r="Q1051" s="22">
        <f t="shared" si="366"/>
        <v>2.7730756627914813E-2</v>
      </c>
      <c r="R1051" s="22">
        <f t="shared" si="366"/>
        <v>2.7732184201007922E-2</v>
      </c>
      <c r="S1051" s="22">
        <f t="shared" si="366"/>
        <v>2.6997454575745719E-2</v>
      </c>
      <c r="T1051" s="22">
        <f t="shared" si="366"/>
        <v>2.7352398390053725E-2</v>
      </c>
      <c r="U1051" s="22">
        <f t="shared" si="366"/>
        <v>2.7621084759046378E-2</v>
      </c>
      <c r="V1051" s="22">
        <f t="shared" si="366"/>
        <v>2.7874583990001138E-2</v>
      </c>
      <c r="W1051" s="22">
        <f t="shared" si="366"/>
        <v>2.8168523820674866E-2</v>
      </c>
      <c r="X1051" s="22">
        <f t="shared" si="366"/>
        <v>2.8589695086543694E-2</v>
      </c>
      <c r="Y1051" s="22">
        <f t="shared" si="366"/>
        <v>2.9028183380671174E-2</v>
      </c>
      <c r="Z1051" s="22">
        <f t="shared" si="366"/>
        <v>2.9504480650026085E-2</v>
      </c>
      <c r="AA1051" s="22">
        <f t="shared" si="366"/>
        <v>2.9937624338152707E-2</v>
      </c>
      <c r="AB1051" s="22">
        <f t="shared" si="366"/>
        <v>3.0433901326799174E-2</v>
      </c>
      <c r="AC1051" s="22">
        <f t="shared" si="366"/>
        <v>3.1007308026507561E-2</v>
      </c>
      <c r="AD1051" s="22">
        <f t="shared" si="366"/>
        <v>3.1559356834438362E-2</v>
      </c>
      <c r="AE1051" s="22">
        <f t="shared" si="366"/>
        <v>3.2140186137510761E-2</v>
      </c>
      <c r="AF1051" s="22">
        <f t="shared" si="366"/>
        <v>3.2738632376097511E-2</v>
      </c>
      <c r="AG1051" s="22">
        <f t="shared" si="366"/>
        <v>3.3404533549882341E-2</v>
      </c>
      <c r="AH1051" s="22">
        <f t="shared" si="366"/>
        <v>3.4007422495977352E-2</v>
      </c>
      <c r="AI1051" s="22">
        <f t="shared" si="366"/>
        <v>3.4633891121352886E-2</v>
      </c>
      <c r="AJ1051" s="22">
        <f t="shared" si="366"/>
        <v>3.5276734422674962E-2</v>
      </c>
      <c r="AK1051" s="22">
        <f t="shared" si="366"/>
        <v>3.5900361446764215E-2</v>
      </c>
      <c r="AL1051" s="22">
        <f t="shared" si="366"/>
        <v>3.6528715002866974E-2</v>
      </c>
      <c r="AM1051" s="22">
        <f t="shared" si="366"/>
        <v>3.718372319423778E-2</v>
      </c>
      <c r="AN1051" s="22">
        <f t="shared" si="366"/>
        <v>3.7860419444162144E-2</v>
      </c>
      <c r="AO1051" s="22">
        <f t="shared" si="366"/>
        <v>3.8506733668670703E-2</v>
      </c>
      <c r="AP1051" s="22">
        <f t="shared" si="366"/>
        <v>3.9166700637167727E-2</v>
      </c>
      <c r="AQ1051" s="22">
        <f t="shared" si="366"/>
        <v>3.9841509763143906E-2</v>
      </c>
      <c r="AR1051" s="22">
        <f t="shared" si="366"/>
        <v>4.0563152287676402E-2</v>
      </c>
      <c r="AS1051" s="22">
        <f t="shared" si="366"/>
        <v>4.1292737069549959E-2</v>
      </c>
      <c r="AT1051" s="22">
        <f t="shared" si="366"/>
        <v>4.1729402334542996E-2</v>
      </c>
      <c r="AU1051" s="22">
        <f t="shared" si="366"/>
        <v>4.2149102208619463E-2</v>
      </c>
      <c r="AV1051" s="22">
        <f t="shared" si="366"/>
        <v>4.2613449868523889E-2</v>
      </c>
      <c r="AW1051" s="22">
        <f t="shared" si="366"/>
        <v>4.3064414910651432E-2</v>
      </c>
      <c r="AY1051" s="85"/>
      <c r="AZ1051" s="85"/>
    </row>
    <row r="1052" spans="1:52" x14ac:dyDescent="0.25">
      <c r="A1052" s="102" t="str">
        <f t="shared" si="345"/>
        <v>DS MM Leaching</v>
      </c>
      <c r="B1052" s="102" t="s">
        <v>975</v>
      </c>
      <c r="C1052" s="102" t="s">
        <v>1334</v>
      </c>
      <c r="D1052" t="s">
        <v>369</v>
      </c>
      <c r="E1052" t="s">
        <v>64</v>
      </c>
      <c r="F1052" t="s">
        <v>63</v>
      </c>
      <c r="G1052" t="s">
        <v>1157</v>
      </c>
      <c r="H1052" t="s">
        <v>1309</v>
      </c>
      <c r="I1052" t="s">
        <v>139</v>
      </c>
      <c r="J1052" t="s">
        <v>287</v>
      </c>
      <c r="K1052" s="22">
        <f t="shared" ref="K1052:AW1052" si="367">K1549</f>
        <v>1.4498393681804938E-3</v>
      </c>
      <c r="L1052" s="22">
        <f t="shared" si="367"/>
        <v>1.4596287649956559E-3</v>
      </c>
      <c r="M1052" s="22">
        <f t="shared" si="367"/>
        <v>1.4681920074894272E-3</v>
      </c>
      <c r="N1052" s="22">
        <f t="shared" si="367"/>
        <v>1.4692996808556361E-3</v>
      </c>
      <c r="O1052" s="22">
        <f t="shared" si="367"/>
        <v>1.4712075396239221E-3</v>
      </c>
      <c r="P1052" s="22">
        <f t="shared" si="367"/>
        <v>1.4821544813270488E-3</v>
      </c>
      <c r="Q1052" s="22">
        <f t="shared" si="367"/>
        <v>1.4909080263063527E-3</v>
      </c>
      <c r="R1052" s="22">
        <f t="shared" si="367"/>
        <v>1.4909847779150886E-3</v>
      </c>
      <c r="S1052" s="22">
        <f t="shared" si="367"/>
        <v>1.451482996187078E-3</v>
      </c>
      <c r="T1052" s="22">
        <f t="shared" si="367"/>
        <v>1.4705660882476425E-3</v>
      </c>
      <c r="U1052" s="22">
        <f t="shared" si="367"/>
        <v>1.4850116610628827E-3</v>
      </c>
      <c r="V1052" s="22">
        <f t="shared" si="367"/>
        <v>1.4986407171742647E-3</v>
      </c>
      <c r="W1052" s="22">
        <f t="shared" si="367"/>
        <v>1.5144440094782853E-3</v>
      </c>
      <c r="X1052" s="22">
        <f t="shared" si="367"/>
        <v>1.5370877342478196E-3</v>
      </c>
      <c r="Y1052" s="22">
        <f t="shared" si="367"/>
        <v>1.5606624864959412E-3</v>
      </c>
      <c r="Z1052" s="22">
        <f t="shared" si="367"/>
        <v>1.5862699890721308E-3</v>
      </c>
      <c r="AA1052" s="22">
        <f t="shared" si="367"/>
        <v>1.6095573955369755E-3</v>
      </c>
      <c r="AB1052" s="22">
        <f t="shared" si="367"/>
        <v>1.6362390817084723E-3</v>
      </c>
      <c r="AC1052" s="22">
        <f t="shared" si="367"/>
        <v>1.6670675463769219E-3</v>
      </c>
      <c r="AD1052" s="22">
        <f t="shared" si="367"/>
        <v>1.6967477318006537E-3</v>
      </c>
      <c r="AE1052" s="22">
        <f t="shared" si="367"/>
        <v>1.7279752630751828E-3</v>
      </c>
      <c r="AF1052" s="22">
        <f t="shared" si="367"/>
        <v>1.7601499459514404E-3</v>
      </c>
      <c r="AG1052" s="22">
        <f t="shared" si="367"/>
        <v>1.7959512555963141E-3</v>
      </c>
      <c r="AH1052" s="22">
        <f t="shared" si="367"/>
        <v>1.8283647948576127E-3</v>
      </c>
      <c r="AI1052" s="22">
        <f t="shared" si="367"/>
        <v>1.8620460648760904E-3</v>
      </c>
      <c r="AJ1052" s="22">
        <f t="shared" si="367"/>
        <v>1.8966076980279822E-3</v>
      </c>
      <c r="AK1052" s="22">
        <f t="shared" si="367"/>
        <v>1.9301361930528979E-3</v>
      </c>
      <c r="AL1052" s="22">
        <f t="shared" si="367"/>
        <v>1.9639188039178583E-3</v>
      </c>
      <c r="AM1052" s="22">
        <f t="shared" si="367"/>
        <v>1.9991344665452565E-3</v>
      </c>
      <c r="AN1052" s="22">
        <f t="shared" si="367"/>
        <v>2.0355161594042262E-3</v>
      </c>
      <c r="AO1052" s="22">
        <f t="shared" si="367"/>
        <v>2.0702644022223028E-3</v>
      </c>
      <c r="AP1052" s="22">
        <f t="shared" si="367"/>
        <v>2.1057466670458603E-3</v>
      </c>
      <c r="AQ1052" s="22">
        <f t="shared" si="367"/>
        <v>2.1420269011426783E-3</v>
      </c>
      <c r="AR1052" s="22">
        <f t="shared" si="367"/>
        <v>2.1808250719385831E-3</v>
      </c>
      <c r="AS1052" s="22">
        <f t="shared" si="367"/>
        <v>2.2200502478600822E-3</v>
      </c>
      <c r="AT1052" s="22">
        <f t="shared" si="367"/>
        <v>2.2435269873202655E-3</v>
      </c>
      <c r="AU1052" s="22">
        <f t="shared" si="367"/>
        <v>2.2660916046257488E-3</v>
      </c>
      <c r="AV1052" s="22">
        <f t="shared" si="367"/>
        <v>2.2910566520075136E-3</v>
      </c>
      <c r="AW1052" s="22">
        <f t="shared" si="367"/>
        <v>2.3153022003678742E-3</v>
      </c>
      <c r="AY1052" s="85"/>
      <c r="AZ1052" s="85"/>
    </row>
    <row r="1053" spans="1:52" x14ac:dyDescent="0.25">
      <c r="A1053" s="102" t="str">
        <f t="shared" si="345"/>
        <v>DS MM Leaching</v>
      </c>
      <c r="B1053" s="102" t="s">
        <v>975</v>
      </c>
      <c r="C1053" s="102" t="s">
        <v>1334</v>
      </c>
      <c r="D1053" t="s">
        <v>369</v>
      </c>
      <c r="E1053" t="s">
        <v>64</v>
      </c>
      <c r="F1053" t="s">
        <v>63</v>
      </c>
      <c r="G1053" t="s">
        <v>1159</v>
      </c>
      <c r="H1053" t="s">
        <v>1310</v>
      </c>
      <c r="I1053" t="s">
        <v>139</v>
      </c>
      <c r="J1053" t="s">
        <v>287</v>
      </c>
      <c r="K1053" s="101">
        <f>IF('Net zero activities &amp; levers'!$C$12="Off",Constants!$H66*'Activity data'!AD8*Constants!$H84*FracLEACHMM*MMLeachEF*NtoN2O*kgtoGg,Constants!$H66*'Net zero Activity data'!AD8*Constants!$H84*FracLEACHMM*MMLeachEF*NtoN2O*kgtoGg)</f>
        <v>3.0452527896293373E-2</v>
      </c>
      <c r="L1053" s="101">
        <f>IF('Net zero activities &amp; levers'!$C$12="Off",Constants!$H66*'Activity data'!AE8*Constants!$H84*FracLEACHMM*MMLeachEF*NtoN2O*kgtoGg,Constants!$H66*'Net zero Activity data'!AE8*Constants!$H84*FracLEACHMM*MMLeachEF*NtoN2O*kgtoGg)</f>
        <v>3.0297487464546878E-2</v>
      </c>
      <c r="M1053" s="101">
        <f>IF('Net zero activities &amp; levers'!$C$12="Off",Constants!$H66*'Activity data'!AF8*Constants!$H84*FracLEACHMM*MMLeachEF*NtoN2O*kgtoGg,Constants!$H66*'Net zero Activity data'!AF8*Constants!$H84*FracLEACHMM*MMLeachEF*NtoN2O*kgtoGg)</f>
        <v>3.0014510280911927E-2</v>
      </c>
      <c r="N1053" s="101">
        <f>IF('Net zero activities &amp; levers'!$C$12="Off",Constants!$H66*'Activity data'!AG8*Constants!$H84*FracLEACHMM*MMLeachEF*NtoN2O*kgtoGg,Constants!$H66*'Net zero Activity data'!AG8*Constants!$H84*FracLEACHMM*MMLeachEF*NtoN2O*kgtoGg)</f>
        <v>2.9239921775422131E-2</v>
      </c>
      <c r="O1053" s="101">
        <f>IF('Net zero activities &amp; levers'!$C$12="Off",Constants!$H66*'Activity data'!AH8*Constants!$H84*FracLEACHMM*MMLeachEF*NtoN2O*kgtoGg,Constants!$H66*'Net zero Activity data'!AH8*Constants!$H84*FracLEACHMM*MMLeachEF*NtoN2O*kgtoGg)</f>
        <v>2.8496244024993216E-2</v>
      </c>
      <c r="P1053" s="101">
        <f>IF('Net zero activities &amp; levers'!$C$12="Off",Constants!$H66*'Activity data'!AI8*Constants!$H84*FracLEACHMM*MMLeachEF*NtoN2O*kgtoGg,Constants!$H66*'Net zero Activity data'!AI8*Constants!$H84*FracLEACHMM*MMLeachEF*NtoN2O*kgtoGg)</f>
        <v>2.8252813512235145E-2</v>
      </c>
      <c r="Q1053" s="101">
        <f>IF('Net zero activities &amp; levers'!$C$12="Off",Constants!$H66*'Activity data'!AJ8*Constants!$H84*FracLEACHMM*MMLeachEF*NtoN2O*kgtoGg,Constants!$H66*'Net zero Activity data'!AJ8*Constants!$H84*FracLEACHMM*MMLeachEF*NtoN2O*kgtoGg)</f>
        <v>2.7859647334891578E-2</v>
      </c>
      <c r="R1053" s="101">
        <f>IF('Net zero activities &amp; levers'!$C$12="Off",Constants!$H66*'Activity data'!AK8*Constants!$H84*FracLEACHMM*MMLeachEF*NtoN2O*kgtoGg,Constants!$H66*'Net zero Activity data'!AK8*Constants!$H84*FracLEACHMM*MMLeachEF*NtoN2O*kgtoGg)</f>
        <v>2.6976279512961457E-2</v>
      </c>
      <c r="S1053" s="101">
        <f>IF('Net zero activities &amp; levers'!$C$12="Off",Constants!$H66*'Activity data'!AL8*Constants!$H84*FracLEACHMM*MMLeachEF*NtoN2O*kgtoGg,Constants!$H66*'Net zero Activity data'!AL8*Constants!$H84*FracLEACHMM*MMLeachEF*NtoN2O*kgtoGg)</f>
        <v>2.4012489752417959E-2</v>
      </c>
      <c r="T1053" s="101">
        <f>IF('Net zero activities &amp; levers'!$C$12="Off",Constants!$H66*'Activity data'!AM8*Constants!$H84*FracLEACHMM*MMLeachEF*NtoN2O*kgtoGg,Constants!$H66*'Net zero Activity data'!AM8*Constants!$H84*FracLEACHMM*MMLeachEF*NtoN2O*kgtoGg)</f>
        <v>2.3975912548713531E-2</v>
      </c>
      <c r="U1053" s="101">
        <f>IF('Net zero activities &amp; levers'!$C$12="Off",Constants!$H66*'Activity data'!AN8*Constants!$H84*FracLEACHMM*MMLeachEF*NtoN2O*kgtoGg,Constants!$H66*'Net zero Activity data'!AN8*Constants!$H84*FracLEACHMM*MMLeachEF*NtoN2O*kgtoGg)</f>
        <v>2.36640372625052E-2</v>
      </c>
      <c r="V1053" s="101">
        <f>IF('Net zero activities &amp; levers'!$C$12="Off",Constants!$H66*'Activity data'!AO8*Constants!$H84*FracLEACHMM*MMLeachEF*NtoN2O*kgtoGg,Constants!$H66*'Net zero Activity data'!AO8*Constants!$H84*FracLEACHMM*MMLeachEF*NtoN2O*kgtoGg)</f>
        <v>2.3286265237017153E-2</v>
      </c>
      <c r="W1053" s="101">
        <f>IF('Net zero activities &amp; levers'!$C$12="Off",Constants!$H66*'Activity data'!AP8*Constants!$H84*FracLEACHMM*MMLeachEF*NtoN2O*kgtoGg,Constants!$H66*'Net zero Activity data'!AP8*Constants!$H84*FracLEACHMM*MMLeachEF*NtoN2O*kgtoGg)</f>
        <v>2.2984822878528582E-2</v>
      </c>
      <c r="X1053" s="101">
        <f>IF('Net zero activities &amp; levers'!$C$12="Off",Constants!$H66*'Activity data'!AQ8*Constants!$H84*FracLEACHMM*MMLeachEF*NtoN2O*kgtoGg,Constants!$H66*'Net zero Activity data'!AQ8*Constants!$H84*FracLEACHMM*MMLeachEF*NtoN2O*kgtoGg)</f>
        <v>2.2953061631528947E-2</v>
      </c>
      <c r="Y1053" s="101">
        <f>IF('Net zero activities &amp; levers'!$C$12="Off",Constants!$H66*'Activity data'!AR8*Constants!$H84*FracLEACHMM*MMLeachEF*NtoN2O*kgtoGg,Constants!$H66*'Net zero Activity data'!AR8*Constants!$H84*FracLEACHMM*MMLeachEF*NtoN2O*kgtoGg)</f>
        <v>2.2954586488073189E-2</v>
      </c>
      <c r="Z1053" s="101">
        <f>IF('Net zero activities &amp; levers'!$C$12="Off",Constants!$H66*'Activity data'!AS8*Constants!$H84*FracLEACHMM*MMLeachEF*NtoN2O*kgtoGg,Constants!$H66*'Net zero Activity data'!AS8*Constants!$H84*FracLEACHMM*MMLeachEF*NtoN2O*kgtoGg)</f>
        <v>2.298773893315845E-2</v>
      </c>
      <c r="AA1053" s="101">
        <f>IF('Net zero activities &amp; levers'!$C$12="Off",Constants!$H66*'Activity data'!AT8*Constants!$H84*FracLEACHMM*MMLeachEF*NtoN2O*kgtoGg,Constants!$H66*'Net zero Activity data'!AT8*Constants!$H84*FracLEACHMM*MMLeachEF*NtoN2O*kgtoGg)</f>
        <v>2.2879163612437803E-2</v>
      </c>
      <c r="AB1053" s="101">
        <f>IF('Net zero activities &amp; levers'!$C$12="Off",Constants!$H66*'Activity data'!AU8*Constants!$H84*FracLEACHMM*MMLeachEF*NtoN2O*kgtoGg,Constants!$H66*'Net zero Activity data'!AU8*Constants!$H84*FracLEACHMM*MMLeachEF*NtoN2O*kgtoGg)</f>
        <v>2.2854032186005933E-2</v>
      </c>
      <c r="AC1053" s="101">
        <f>IF('Net zero activities &amp; levers'!$C$12="Off",Constants!$H66*'Activity data'!AV8*Constants!$H84*FracLEACHMM*MMLeachEF*NtoN2O*kgtoGg,Constants!$H66*'Net zero Activity data'!AV8*Constants!$H84*FracLEACHMM*MMLeachEF*NtoN2O*kgtoGg)</f>
        <v>2.2926948033579753E-2</v>
      </c>
      <c r="AD1053" s="101">
        <f>IF('Net zero activities &amp; levers'!$C$12="Off",Constants!$H66*'Activity data'!AW8*Constants!$H84*FracLEACHMM*MMLeachEF*NtoN2O*kgtoGg,Constants!$H66*'Net zero Activity data'!AW8*Constants!$H84*FracLEACHMM*MMLeachEF*NtoN2O*kgtoGg)</f>
        <v>2.3056798554605934E-2</v>
      </c>
      <c r="AE1053" s="101">
        <f>IF('Net zero activities &amp; levers'!$C$12="Off",Constants!$H66*'Activity data'!AX8*Constants!$H84*FracLEACHMM*MMLeachEF*NtoN2O*kgtoGg,Constants!$H66*'Net zero Activity data'!AX8*Constants!$H84*FracLEACHMM*MMLeachEF*NtoN2O*kgtoGg)</f>
        <v>2.3185868032579597E-2</v>
      </c>
      <c r="AF1053" s="101">
        <f>IF('Net zero activities &amp; levers'!$C$12="Off",Constants!$H66*'Activity data'!AY8*Constants!$H84*FracLEACHMM*MMLeachEF*NtoN2O*kgtoGg,Constants!$H66*'Net zero Activity data'!AY8*Constants!$H84*FracLEACHMM*MMLeachEF*NtoN2O*kgtoGg)</f>
        <v>2.3292385896533856E-2</v>
      </c>
      <c r="AG1053" s="101">
        <f>IF('Net zero activities &amp; levers'!$C$12="Off",Constants!$H66*'Activity data'!AZ8*Constants!$H84*FracLEACHMM*MMLeachEF*NtoN2O*kgtoGg,Constants!$H66*'Net zero Activity data'!AZ8*Constants!$H84*FracLEACHMM*MMLeachEF*NtoN2O*kgtoGg)</f>
        <v>2.3457623332417701E-2</v>
      </c>
      <c r="AH1053" s="101">
        <f>IF('Net zero activities &amp; levers'!$C$12="Off",Constants!$H66*'Activity data'!BA8*Constants!$H84*FracLEACHMM*MMLeachEF*NtoN2O*kgtoGg,Constants!$H66*'Net zero Activity data'!BA8*Constants!$H84*FracLEACHMM*MMLeachEF*NtoN2O*kgtoGg)</f>
        <v>2.3465999049395767E-2</v>
      </c>
      <c r="AI1053" s="101">
        <f>IF('Net zero activities &amp; levers'!$C$12="Off",Constants!$H66*'Activity data'!BB8*Constants!$H84*FracLEACHMM*MMLeachEF*NtoN2O*kgtoGg,Constants!$H66*'Net zero Activity data'!BB8*Constants!$H84*FracLEACHMM*MMLeachEF*NtoN2O*kgtoGg)</f>
        <v>2.3485070401321945E-2</v>
      </c>
      <c r="AJ1053" s="101">
        <f>IF('Net zero activities &amp; levers'!$C$12="Off",Constants!$H66*'Activity data'!BC8*Constants!$H84*FracLEACHMM*MMLeachEF*NtoN2O*kgtoGg,Constants!$H66*'Net zero Activity data'!BC8*Constants!$H84*FracLEACHMM*MMLeachEF*NtoN2O*kgtoGg)</f>
        <v>2.3479631715033328E-2</v>
      </c>
      <c r="AK1053" s="101">
        <f>IF('Net zero activities &amp; levers'!$C$12="Off",Constants!$H66*'Activity data'!BD8*Constants!$H84*FracLEACHMM*MMLeachEF*NtoN2O*kgtoGg,Constants!$H66*'Net zero Activity data'!BD8*Constants!$H84*FracLEACHMM*MMLeachEF*NtoN2O*kgtoGg)</f>
        <v>2.3399589041754196E-2</v>
      </c>
      <c r="AL1053" s="101">
        <f>IF('Net zero activities &amp; levers'!$C$12="Off",Constants!$H66*'Activity data'!BE8*Constants!$H84*FracLEACHMM*MMLeachEF*NtoN2O*kgtoGg,Constants!$H66*'Net zero Activity data'!BE8*Constants!$H84*FracLEACHMM*MMLeachEF*NtoN2O*kgtoGg)</f>
        <v>2.328305924520107E-2</v>
      </c>
      <c r="AM1053" s="101">
        <f>IF('Net zero activities &amp; levers'!$C$12="Off",Constants!$H66*'Activity data'!BF8*Constants!$H84*FracLEACHMM*MMLeachEF*NtoN2O*kgtoGg,Constants!$H66*'Net zero Activity data'!BF8*Constants!$H84*FracLEACHMM*MMLeachEF*NtoN2O*kgtoGg)</f>
        <v>2.3160152037708052E-2</v>
      </c>
      <c r="AN1053" s="101">
        <f>IF('Net zero activities &amp; levers'!$C$12="Off",Constants!$H66*'Activity data'!BG8*Constants!$H84*FracLEACHMM*MMLeachEF*NtoN2O*kgtoGg,Constants!$H66*'Net zero Activity data'!BG8*Constants!$H84*FracLEACHMM*MMLeachEF*NtoN2O*kgtoGg)</f>
        <v>2.3328030910143772E-2</v>
      </c>
      <c r="AO1053" s="101">
        <f>IF('Net zero activities &amp; levers'!$C$12="Off",Constants!$H66*'Activity data'!BH8*Constants!$H84*FracLEACHMM*MMLeachEF*NtoN2O*kgtoGg,Constants!$H66*'Net zero Activity data'!BH8*Constants!$H84*FracLEACHMM*MMLeachEF*NtoN2O*kgtoGg)</f>
        <v>2.3423062453357575E-2</v>
      </c>
      <c r="AP1053" s="101">
        <f>IF('Net zero activities &amp; levers'!$C$12="Off",Constants!$H66*'Activity data'!BI8*Constants!$H84*FracLEACHMM*MMLeachEF*NtoN2O*kgtoGg,Constants!$H66*'Net zero Activity data'!BI8*Constants!$H84*FracLEACHMM*MMLeachEF*NtoN2O*kgtoGg)</f>
        <v>2.3502162898818513E-2</v>
      </c>
      <c r="AQ1053" s="101">
        <f>IF('Net zero activities &amp; levers'!$C$12="Off",Constants!$H66*'Activity data'!BJ8*Constants!$H84*FracLEACHMM*MMLeachEF*NtoN2O*kgtoGg,Constants!$H66*'Net zero Activity data'!BJ8*Constants!$H84*FracLEACHMM*MMLeachEF*NtoN2O*kgtoGg)</f>
        <v>2.3566568019175432E-2</v>
      </c>
      <c r="AR1053" s="101">
        <f>IF('Net zero activities &amp; levers'!$C$12="Off",Constants!$H66*'Activity data'!BK8*Constants!$H84*FracLEACHMM*MMLeachEF*NtoN2O*kgtoGg,Constants!$H66*'Net zero Activity data'!BK8*Constants!$H84*FracLEACHMM*MMLeachEF*NtoN2O*kgtoGg)</f>
        <v>2.3651807849423816E-2</v>
      </c>
      <c r="AS1053" s="101">
        <f>IF('Net zero activities &amp; levers'!$C$12="Off",Constants!$H66*'Activity data'!BL8*Constants!$H84*FracLEACHMM*MMLeachEF*NtoN2O*kgtoGg,Constants!$H66*'Net zero Activity data'!BL8*Constants!$H84*FracLEACHMM*MMLeachEF*NtoN2O*kgtoGg)</f>
        <v>2.3726865374870433E-2</v>
      </c>
      <c r="AT1053" s="101">
        <f>IF('Net zero activities &amp; levers'!$C$12="Off",Constants!$H66*'Activity data'!BM8*Constants!$H84*FracLEACHMM*MMLeachEF*NtoN2O*kgtoGg,Constants!$H66*'Net zero Activity data'!BM8*Constants!$H84*FracLEACHMM*MMLeachEF*NtoN2O*kgtoGg)</f>
        <v>2.3460322327416669E-2</v>
      </c>
      <c r="AU1053" s="101">
        <f>IF('Net zero activities &amp; levers'!$C$12="Off",Constants!$H66*'Activity data'!BN8*Constants!$H84*FracLEACHMM*MMLeachEF*NtoN2O*kgtoGg,Constants!$H66*'Net zero Activity data'!BN8*Constants!$H84*FracLEACHMM*MMLeachEF*NtoN2O*kgtoGg)</f>
        <v>2.3163108209019571E-2</v>
      </c>
      <c r="AV1053" s="101">
        <f>IF('Net zero activities &amp; levers'!$C$12="Off",Constants!$H66*'Activity data'!BO8*Constants!$H84*FracLEACHMM*MMLeachEF*NtoN2O*kgtoGg,Constants!$H66*'Net zero Activity data'!BO8*Constants!$H84*FracLEACHMM*MMLeachEF*NtoN2O*kgtoGg)</f>
        <v>2.2898434536127273E-2</v>
      </c>
      <c r="AW1053" s="101">
        <f>IF('Net zero activities &amp; levers'!$C$12="Off",Constants!$H66*'Activity data'!BP8*Constants!$H84*FracLEACHMM*MMLeachEF*NtoN2O*kgtoGg,Constants!$H66*'Net zero Activity data'!BP8*Constants!$H84*FracLEACHMM*MMLeachEF*NtoN2O*kgtoGg)</f>
        <v>2.2607216669828994E-2</v>
      </c>
      <c r="AY1053" s="85"/>
      <c r="AZ1053" s="85"/>
    </row>
    <row r="1054" spans="1:52" x14ac:dyDescent="0.25">
      <c r="A1054" s="102" t="str">
        <f t="shared" si="345"/>
        <v>DS MM Leaching</v>
      </c>
      <c r="B1054" s="102" t="s">
        <v>975</v>
      </c>
      <c r="C1054" s="102" t="s">
        <v>1334</v>
      </c>
      <c r="D1054" t="s">
        <v>369</v>
      </c>
      <c r="E1054" t="s">
        <v>64</v>
      </c>
      <c r="F1054" t="s">
        <v>63</v>
      </c>
      <c r="G1054" t="s">
        <v>1161</v>
      </c>
      <c r="H1054" t="s">
        <v>1311</v>
      </c>
      <c r="I1054" t="s">
        <v>139</v>
      </c>
      <c r="J1054" t="s">
        <v>287</v>
      </c>
      <c r="K1054" s="101">
        <f>IF('Net zero activities &amp; levers'!$C$12="Off",Constants!$H67*'Activity data'!AD9*Constants!$H85*FracLEACHMM*MMLeachEF*NtoN2O*kgtoGg,Constants!$H67*'Net zero Activity data'!AD9*Constants!$H85*FracLEACHMM*MMLeachEF*NtoN2O*kgtoGg)</f>
        <v>4.0424767632491129E-2</v>
      </c>
      <c r="L1054" s="101">
        <f>IF('Net zero activities &amp; levers'!$C$12="Off",Constants!$H67*'Activity data'!AE9*Constants!$H85*FracLEACHMM*MMLeachEF*NtoN2O*kgtoGg,Constants!$H67*'Net zero Activity data'!AE9*Constants!$H85*FracLEACHMM*MMLeachEF*NtoN2O*kgtoGg)</f>
        <v>4.0218956362952633E-2</v>
      </c>
      <c r="M1054" s="101">
        <f>IF('Net zero activities &amp; levers'!$C$12="Off",Constants!$H67*'Activity data'!AF9*Constants!$H85*FracLEACHMM*MMLeachEF*NtoN2O*kgtoGg,Constants!$H67*'Net zero Activity data'!AF9*Constants!$H85*FracLEACHMM*MMLeachEF*NtoN2O*kgtoGg)</f>
        <v>3.9843313101654371E-2</v>
      </c>
      <c r="N1054" s="101">
        <f>IF('Net zero activities &amp; levers'!$C$12="Off",Constants!$H67*'Activity data'!AG9*Constants!$H85*FracLEACHMM*MMLeachEF*NtoN2O*kgtoGg,Constants!$H67*'Net zero Activity data'!AG9*Constants!$H85*FracLEACHMM*MMLeachEF*NtoN2O*kgtoGg)</f>
        <v>3.8815071359232893E-2</v>
      </c>
      <c r="O1054" s="101">
        <f>IF('Net zero activities &amp; levers'!$C$12="Off",Constants!$H67*'Activity data'!AH9*Constants!$H85*FracLEACHMM*MMLeachEF*NtoN2O*kgtoGg,Constants!$H67*'Net zero Activity data'!AH9*Constants!$H85*FracLEACHMM*MMLeachEF*NtoN2O*kgtoGg)</f>
        <v>3.7827862666512127E-2</v>
      </c>
      <c r="P1054" s="101">
        <f>IF('Net zero activities &amp; levers'!$C$12="Off",Constants!$H67*'Activity data'!AI9*Constants!$H85*FracLEACHMM*MMLeachEF*NtoN2O*kgtoGg,Constants!$H67*'Net zero Activity data'!AI9*Constants!$H85*FracLEACHMM*MMLeachEF*NtoN2O*kgtoGg)</f>
        <v>3.7504716360024323E-2</v>
      </c>
      <c r="Q1054" s="101">
        <f>IF('Net zero activities &amp; levers'!$C$12="Off",Constants!$H67*'Activity data'!AJ9*Constants!$H85*FracLEACHMM*MMLeachEF*NtoN2O*kgtoGg,Constants!$H67*'Net zero Activity data'!AJ9*Constants!$H85*FracLEACHMM*MMLeachEF*NtoN2O*kgtoGg)</f>
        <v>3.6982800694625562E-2</v>
      </c>
      <c r="R1054" s="101">
        <f>IF('Net zero activities &amp; levers'!$C$12="Off",Constants!$H67*'Activity data'!AK9*Constants!$H85*FracLEACHMM*MMLeachEF*NtoN2O*kgtoGg,Constants!$H67*'Net zero Activity data'!AK9*Constants!$H85*FracLEACHMM*MMLeachEF*NtoN2O*kgtoGg)</f>
        <v>3.5810157850092082E-2</v>
      </c>
      <c r="S1054" s="101">
        <f>IF('Net zero activities &amp; levers'!$C$12="Off",Constants!$H67*'Activity data'!AL9*Constants!$H85*FracLEACHMM*MMLeachEF*NtoN2O*kgtoGg,Constants!$H67*'Net zero Activity data'!AL9*Constants!$H85*FracLEACHMM*MMLeachEF*NtoN2O*kgtoGg)</f>
        <v>3.1875820681448994E-2</v>
      </c>
      <c r="T1054" s="101">
        <f>IF('Net zero activities &amp; levers'!$C$12="Off",Constants!$H67*'Activity data'!AM9*Constants!$H85*FracLEACHMM*MMLeachEF*NtoN2O*kgtoGg,Constants!$H67*'Net zero Activity data'!AM9*Constants!$H85*FracLEACHMM*MMLeachEF*NtoN2O*kgtoGg)</f>
        <v>3.1827265600391896E-2</v>
      </c>
      <c r="U1054" s="101">
        <f>IF('Net zero activities &amp; levers'!$C$12="Off",Constants!$H67*'Activity data'!AN9*Constants!$H85*FracLEACHMM*MMLeachEF*NtoN2O*kgtoGg,Constants!$H67*'Net zero Activity data'!AN9*Constants!$H85*FracLEACHMM*MMLeachEF*NtoN2O*kgtoGg)</f>
        <v>3.14132610219141E-2</v>
      </c>
      <c r="V1054" s="101">
        <f>IF('Net zero activities &amp; levers'!$C$12="Off",Constants!$H67*'Activity data'!AO9*Constants!$H85*FracLEACHMM*MMLeachEF*NtoN2O*kgtoGg,Constants!$H67*'Net zero Activity data'!AO9*Constants!$H85*FracLEACHMM*MMLeachEF*NtoN2O*kgtoGg)</f>
        <v>3.0911780606218669E-2</v>
      </c>
      <c r="W1054" s="101">
        <f>IF('Net zero activities &amp; levers'!$C$12="Off",Constants!$H67*'Activity data'!AP9*Constants!$H85*FracLEACHMM*MMLeachEF*NtoN2O*kgtoGg,Constants!$H67*'Net zero Activity data'!AP9*Constants!$H85*FracLEACHMM*MMLeachEF*NtoN2O*kgtoGg)</f>
        <v>3.051162540931714E-2</v>
      </c>
      <c r="X1054" s="101">
        <f>IF('Net zero activities &amp; levers'!$C$12="Off",Constants!$H67*'Activity data'!AQ9*Constants!$H85*FracLEACHMM*MMLeachEF*NtoN2O*kgtoGg,Constants!$H67*'Net zero Activity data'!AQ9*Constants!$H85*FracLEACHMM*MMLeachEF*NtoN2O*kgtoGg)</f>
        <v>3.0469463358467022E-2</v>
      </c>
      <c r="Y1054" s="101">
        <f>IF('Net zero activities &amp; levers'!$C$12="Off",Constants!$H67*'Activity data'!AR9*Constants!$H85*FracLEACHMM*MMLeachEF*NtoN2O*kgtoGg,Constants!$H67*'Net zero Activity data'!AR9*Constants!$H85*FracLEACHMM*MMLeachEF*NtoN2O*kgtoGg)</f>
        <v>3.0471487557301471E-2</v>
      </c>
      <c r="Z1054" s="101">
        <f>IF('Net zero activities &amp; levers'!$C$12="Off",Constants!$H67*'Activity data'!AS9*Constants!$H85*FracLEACHMM*MMLeachEF*NtoN2O*kgtoGg,Constants!$H67*'Net zero Activity data'!AS9*Constants!$H85*FracLEACHMM*MMLeachEF*NtoN2O*kgtoGg)</f>
        <v>3.0515496379609583E-2</v>
      </c>
      <c r="AA1054" s="101">
        <f>IF('Net zero activities &amp; levers'!$C$12="Off",Constants!$H67*'Activity data'!AT9*Constants!$H85*FracLEACHMM*MMLeachEF*NtoN2O*kgtoGg,Constants!$H67*'Net zero Activity data'!AT9*Constants!$H85*FracLEACHMM*MMLeachEF*NtoN2O*kgtoGg)</f>
        <v>3.037136607536349E-2</v>
      </c>
      <c r="AB1054" s="101">
        <f>IF('Net zero activities &amp; levers'!$C$12="Off",Constants!$H67*'Activity data'!AU9*Constants!$H85*FracLEACHMM*MMLeachEF*NtoN2O*kgtoGg,Constants!$H67*'Net zero Activity data'!AU9*Constants!$H85*FracLEACHMM*MMLeachEF*NtoN2O*kgtoGg)</f>
        <v>3.0338004901629696E-2</v>
      </c>
      <c r="AC1054" s="101">
        <f>IF('Net zero activities &amp; levers'!$C$12="Off",Constants!$H67*'Activity data'!AV9*Constants!$H85*FracLEACHMM*MMLeachEF*NtoN2O*kgtoGg,Constants!$H67*'Net zero Activity data'!AV9*Constants!$H85*FracLEACHMM*MMLeachEF*NtoN2O*kgtoGg)</f>
        <v>3.0434798383108023E-2</v>
      </c>
      <c r="AD1054" s="101">
        <f>IF('Net zero activities &amp; levers'!$C$12="Off",Constants!$H67*'Activity data'!AW9*Constants!$H85*FracLEACHMM*MMLeachEF*NtoN2O*kgtoGg,Constants!$H67*'Net zero Activity data'!AW9*Constants!$H85*FracLEACHMM*MMLeachEF*NtoN2O*kgtoGg)</f>
        <v>3.0607170842869562E-2</v>
      </c>
      <c r="AE1054" s="101">
        <f>IF('Net zero activities &amp; levers'!$C$12="Off",Constants!$H67*'Activity data'!AX9*Constants!$H85*FracLEACHMM*MMLeachEF*NtoN2O*kgtoGg,Constants!$H67*'Net zero Activity data'!AX9*Constants!$H85*FracLEACHMM*MMLeachEF*NtoN2O*kgtoGg)</f>
        <v>3.077850649268165E-2</v>
      </c>
      <c r="AF1054" s="101">
        <f>IF('Net zero activities &amp; levers'!$C$12="Off",Constants!$H67*'Activity data'!AY9*Constants!$H85*FracLEACHMM*MMLeachEF*NtoN2O*kgtoGg,Constants!$H67*'Net zero Activity data'!AY9*Constants!$H85*FracLEACHMM*MMLeachEF*NtoN2O*kgtoGg)</f>
        <v>3.091990558814342E-2</v>
      </c>
      <c r="AG1054" s="101">
        <f>IF('Net zero activities &amp; levers'!$C$12="Off",Constants!$H67*'Activity data'!AZ9*Constants!$H85*FracLEACHMM*MMLeachEF*NtoN2O*kgtoGg,Constants!$H67*'Net zero Activity data'!AZ9*Constants!$H85*FracLEACHMM*MMLeachEF*NtoN2O*kgtoGg)</f>
        <v>3.113925305816433E-2</v>
      </c>
      <c r="AH1054" s="101">
        <f>IF('Net zero activities &amp; levers'!$C$12="Off",Constants!$H67*'Activity data'!BA9*Constants!$H85*FracLEACHMM*MMLeachEF*NtoN2O*kgtoGg,Constants!$H67*'Net zero Activity data'!BA9*Constants!$H85*FracLEACHMM*MMLeachEF*NtoN2O*kgtoGg)</f>
        <v>3.1150371557546273E-2</v>
      </c>
      <c r="AI1054" s="101">
        <f>IF('Net zero activities &amp; levers'!$C$12="Off",Constants!$H67*'Activity data'!BB9*Constants!$H85*FracLEACHMM*MMLeachEF*NtoN2O*kgtoGg,Constants!$H67*'Net zero Activity data'!BB9*Constants!$H85*FracLEACHMM*MMLeachEF*NtoN2O*kgtoGg)</f>
        <v>3.1175688174041268E-2</v>
      </c>
      <c r="AJ1054" s="101">
        <f>IF('Net zero activities &amp; levers'!$C$12="Off",Constants!$H67*'Activity data'!BC9*Constants!$H85*FracLEACHMM*MMLeachEF*NtoN2O*kgtoGg,Constants!$H67*'Net zero Activity data'!BC9*Constants!$H85*FracLEACHMM*MMLeachEF*NtoN2O*kgtoGg)</f>
        <v>3.1168468490007418E-2</v>
      </c>
      <c r="AK1054" s="101">
        <f>IF('Net zero activities &amp; levers'!$C$12="Off",Constants!$H67*'Activity data'!BD9*Constants!$H85*FracLEACHMM*MMLeachEF*NtoN2O*kgtoGg,Constants!$H67*'Net zero Activity data'!BD9*Constants!$H85*FracLEACHMM*MMLeachEF*NtoN2O*kgtoGg)</f>
        <v>3.1062214372811897E-2</v>
      </c>
      <c r="AL1054" s="101">
        <f>IF('Net zero activities &amp; levers'!$C$12="Off",Constants!$H67*'Activity data'!BE9*Constants!$H85*FracLEACHMM*MMLeachEF*NtoN2O*kgtoGg,Constants!$H67*'Net zero Activity data'!BE9*Constants!$H85*FracLEACHMM*MMLeachEF*NtoN2O*kgtoGg)</f>
        <v>3.0907524753481647E-2</v>
      </c>
      <c r="AM1054" s="101">
        <f>IF('Net zero activities &amp; levers'!$C$12="Off",Constants!$H67*'Activity data'!BF9*Constants!$H85*FracLEACHMM*MMLeachEF*NtoN2O*kgtoGg,Constants!$H67*'Net zero Activity data'!BF9*Constants!$H85*FracLEACHMM*MMLeachEF*NtoN2O*kgtoGg)</f>
        <v>3.0744369322832872E-2</v>
      </c>
      <c r="AN1054" s="101">
        <f>IF('Net zero activities &amp; levers'!$C$12="Off",Constants!$H67*'Activity data'!BG9*Constants!$H85*FracLEACHMM*MMLeachEF*NtoN2O*kgtoGg,Constants!$H67*'Net zero Activity data'!BG9*Constants!$H85*FracLEACHMM*MMLeachEF*NtoN2O*kgtoGg)</f>
        <v>3.0967223216333276E-2</v>
      </c>
      <c r="AO1054" s="101">
        <f>IF('Net zero activities &amp; levers'!$C$12="Off",Constants!$H67*'Activity data'!BH9*Constants!$H85*FracLEACHMM*MMLeachEF*NtoN2O*kgtoGg,Constants!$H67*'Net zero Activity data'!BH9*Constants!$H85*FracLEACHMM*MMLeachEF*NtoN2O*kgtoGg)</f>
        <v>3.1093374584300417E-2</v>
      </c>
      <c r="AP1054" s="101">
        <f>IF('Net zero activities &amp; levers'!$C$12="Off",Constants!$H67*'Activity data'!BI9*Constants!$H85*FracLEACHMM*MMLeachEF*NtoN2O*kgtoGg,Constants!$H67*'Net zero Activity data'!BI9*Constants!$H85*FracLEACHMM*MMLeachEF*NtoN2O*kgtoGg)</f>
        <v>3.1198377923867971E-2</v>
      </c>
      <c r="AQ1054" s="101">
        <f>IF('Net zero activities &amp; levers'!$C$12="Off",Constants!$H67*'Activity data'!BJ9*Constants!$H85*FracLEACHMM*MMLeachEF*NtoN2O*kgtoGg,Constants!$H67*'Net zero Activity data'!BJ9*Constants!$H85*FracLEACHMM*MMLeachEF*NtoN2O*kgtoGg)</f>
        <v>3.1283873684142378E-2</v>
      </c>
      <c r="AR1054" s="101">
        <f>IF('Net zero activities &amp; levers'!$C$12="Off",Constants!$H67*'Activity data'!BK9*Constants!$H85*FracLEACHMM*MMLeachEF*NtoN2O*kgtoGg,Constants!$H67*'Net zero Activity data'!BK9*Constants!$H85*FracLEACHMM*MMLeachEF*NtoN2O*kgtoGg)</f>
        <v>3.1397026862839357E-2</v>
      </c>
      <c r="AS1054" s="101">
        <f>IF('Net zero activities &amp; levers'!$C$12="Off",Constants!$H67*'Activity data'!BL9*Constants!$H85*FracLEACHMM*MMLeachEF*NtoN2O*kgtoGg,Constants!$H67*'Net zero Activity data'!BL9*Constants!$H85*FracLEACHMM*MMLeachEF*NtoN2O*kgtoGg)</f>
        <v>3.1496663353957004E-2</v>
      </c>
      <c r="AT1054" s="101">
        <f>IF('Net zero activities &amp; levers'!$C$12="Off",Constants!$H67*'Activity data'!BM9*Constants!$H85*FracLEACHMM*MMLeachEF*NtoN2O*kgtoGg,Constants!$H67*'Net zero Activity data'!BM9*Constants!$H85*FracLEACHMM*MMLeachEF*NtoN2O*kgtoGg)</f>
        <v>3.1142835888661888E-2</v>
      </c>
      <c r="AU1054" s="101">
        <f>IF('Net zero activities &amp; levers'!$C$12="Off",Constants!$H67*'Activity data'!BN9*Constants!$H85*FracLEACHMM*MMLeachEF*NtoN2O*kgtoGg,Constants!$H67*'Net zero Activity data'!BN9*Constants!$H85*FracLEACHMM*MMLeachEF*NtoN2O*kgtoGg)</f>
        <v>3.0748293546751383E-2</v>
      </c>
      <c r="AV1054" s="101">
        <f>IF('Net zero activities &amp; levers'!$C$12="Off",Constants!$H67*'Activity data'!BO9*Constants!$H85*FracLEACHMM*MMLeachEF*NtoN2O*kgtoGg,Constants!$H67*'Net zero Activity data'!BO9*Constants!$H85*FracLEACHMM*MMLeachEF*NtoN2O*kgtoGg)</f>
        <v>3.0396947617062204E-2</v>
      </c>
      <c r="AW1054" s="101">
        <f>IF('Net zero activities &amp; levers'!$C$12="Off",Constants!$H67*'Activity data'!BP9*Constants!$H85*FracLEACHMM*MMLeachEF*NtoN2O*kgtoGg,Constants!$H67*'Net zero Activity data'!BP9*Constants!$H85*FracLEACHMM*MMLeachEF*NtoN2O*kgtoGg)</f>
        <v>3.0010365110163955E-2</v>
      </c>
      <c r="AY1054" s="85"/>
      <c r="AZ1054" s="85"/>
    </row>
    <row r="1055" spans="1:52" x14ac:dyDescent="0.25">
      <c r="A1055" s="102" t="str">
        <f t="shared" si="345"/>
        <v>DS MM Leaching</v>
      </c>
      <c r="B1055" s="102" t="s">
        <v>975</v>
      </c>
      <c r="C1055" s="102" t="s">
        <v>1334</v>
      </c>
      <c r="D1055" t="s">
        <v>369</v>
      </c>
      <c r="E1055" t="s">
        <v>64</v>
      </c>
      <c r="F1055" t="s">
        <v>63</v>
      </c>
      <c r="G1055" t="s">
        <v>1163</v>
      </c>
      <c r="H1055" t="s">
        <v>1312</v>
      </c>
      <c r="I1055" t="s">
        <v>139</v>
      </c>
      <c r="J1055" t="s">
        <v>287</v>
      </c>
      <c r="K1055" s="101">
        <f>IF('Net zero activities &amp; levers'!$C$12="Off",Constants!$H68*'Activity data'!AD10*Constants!$H86*FracLEACHMM*MMLeachEF*NtoN2O*kgtoGg,Constants!$H68*'Net zero Activity data'!AD10*Constants!$H86*FracLEACHMM*MMLeachEF*NtoN2O*kgtoGg)</f>
        <v>4.2088279910489731E-2</v>
      </c>
      <c r="L1055" s="101">
        <f>IF('Net zero activities &amp; levers'!$C$12="Off",Constants!$H68*'Activity data'!AE10*Constants!$H86*FracLEACHMM*MMLeachEF*NtoN2O*kgtoGg,Constants!$H68*'Net zero Activity data'!AE10*Constants!$H86*FracLEACHMM*MMLeachEF*NtoN2O*kgtoGg)</f>
        <v>4.3658426789379527E-2</v>
      </c>
      <c r="M1055" s="101">
        <f>IF('Net zero activities &amp; levers'!$C$12="Off",Constants!$H68*'Activity data'!AF10*Constants!$H86*FracLEACHMM*MMLeachEF*NtoN2O*kgtoGg,Constants!$H68*'Net zero Activity data'!AF10*Constants!$H86*FracLEACHMM*MMLeachEF*NtoN2O*kgtoGg)</f>
        <v>4.5069001422451092E-2</v>
      </c>
      <c r="N1055" s="101">
        <f>IF('Net zero activities &amp; levers'!$C$12="Off",Constants!$H68*'Activity data'!AG10*Constants!$H86*FracLEACHMM*MMLeachEF*NtoN2O*kgtoGg,Constants!$H68*'Net zero Activity data'!AG10*Constants!$H86*FracLEACHMM*MMLeachEF*NtoN2O*kgtoGg)</f>
        <v>4.5730945940485053E-2</v>
      </c>
      <c r="O1055" s="101">
        <f>IF('Net zero activities &amp; levers'!$C$12="Off",Constants!$H68*'Activity data'!AH10*Constants!$H86*FracLEACHMM*MMLeachEF*NtoN2O*kgtoGg,Constants!$H68*'Net zero Activity data'!AH10*Constants!$H86*FracLEACHMM*MMLeachEF*NtoN2O*kgtoGg)</f>
        <v>4.6403018793330496E-2</v>
      </c>
      <c r="P1055" s="101">
        <f>IF('Net zero activities &amp; levers'!$C$12="Off",Constants!$H68*'Activity data'!AI10*Constants!$H86*FracLEACHMM*MMLeachEF*NtoN2O*kgtoGg,Constants!$H68*'Net zero Activity data'!AI10*Constants!$H86*FracLEACHMM*MMLeachEF*NtoN2O*kgtoGg)</f>
        <v>4.788652540684897E-2</v>
      </c>
      <c r="Q1055" s="101">
        <f>IF('Net zero activities &amp; levers'!$C$12="Off",Constants!$H68*'Activity data'!AJ10*Constants!$H86*FracLEACHMM*MMLeachEF*NtoN2O*kgtoGg,Constants!$H68*'Net zero Activity data'!AJ10*Constants!$H86*FracLEACHMM*MMLeachEF*NtoN2O*kgtoGg)</f>
        <v>4.9137870108527694E-2</v>
      </c>
      <c r="R1055" s="101">
        <f>IF('Net zero activities &amp; levers'!$C$12="Off",Constants!$H68*'Activity data'!AK10*Constants!$H86*FracLEACHMM*MMLeachEF*NtoN2O*kgtoGg,Constants!$H68*'Net zero Activity data'!AK10*Constants!$H86*FracLEACHMM*MMLeachEF*NtoN2O*kgtoGg)</f>
        <v>4.9503165411805869E-2</v>
      </c>
      <c r="S1055" s="101">
        <f>IF('Net zero activities &amp; levers'!$C$12="Off",Constants!$H68*'Activity data'!AL10*Constants!$H86*FracLEACHMM*MMLeachEF*NtoN2O*kgtoGg,Constants!$H68*'Net zero Activity data'!AL10*Constants!$H86*FracLEACHMM*MMLeachEF*NtoN2O*kgtoGg)</f>
        <v>4.5839757980885354E-2</v>
      </c>
      <c r="T1055" s="101">
        <f>IF('Net zero activities &amp; levers'!$C$12="Off",Constants!$H68*'Activity data'!AM10*Constants!$H86*FracLEACHMM*MMLeachEF*NtoN2O*kgtoGg,Constants!$H68*'Net zero Activity data'!AM10*Constants!$H86*FracLEACHMM*MMLeachEF*NtoN2O*kgtoGg)</f>
        <v>4.7374328809953931E-2</v>
      </c>
      <c r="U1055" s="101">
        <f>IF('Net zero activities &amp; levers'!$C$12="Off",Constants!$H68*'Activity data'!AN10*Constants!$H86*FracLEACHMM*MMLeachEF*NtoN2O*kgtoGg,Constants!$H68*'Net zero Activity data'!AN10*Constants!$H86*FracLEACHMM*MMLeachEF*NtoN2O*kgtoGg)</f>
        <v>4.8385087638075454E-2</v>
      </c>
      <c r="V1055" s="101">
        <f>IF('Net zero activities &amp; levers'!$C$12="Off",Constants!$H68*'Activity data'!AO10*Constants!$H86*FracLEACHMM*MMLeachEF*NtoN2O*kgtoGg,Constants!$H68*'Net zero Activity data'!AO10*Constants!$H86*FracLEACHMM*MMLeachEF*NtoN2O*kgtoGg)</f>
        <v>4.9258578492451674E-2</v>
      </c>
      <c r="W1055" s="101">
        <f>IF('Net zero activities &amp; levers'!$C$12="Off",Constants!$H68*'Activity data'!AP10*Constants!$H86*FracLEACHMM*MMLeachEF*NtoN2O*kgtoGg,Constants!$H68*'Net zero Activity data'!AP10*Constants!$H86*FracLEACHMM*MMLeachEF*NtoN2O*kgtoGg)</f>
        <v>5.0291952299074204E-2</v>
      </c>
      <c r="X1055" s="101">
        <f>IF('Net zero activities &amp; levers'!$C$12="Off",Constants!$H68*'Activity data'!AQ10*Constants!$H86*FracLEACHMM*MMLeachEF*NtoN2O*kgtoGg,Constants!$H68*'Net zero Activity data'!AQ10*Constants!$H86*FracLEACHMM*MMLeachEF*NtoN2O*kgtoGg)</f>
        <v>5.1939711724589818E-2</v>
      </c>
      <c r="Y1055" s="101">
        <f>IF('Net zero activities &amp; levers'!$C$12="Off",Constants!$H68*'Activity data'!AR10*Constants!$H86*FracLEACHMM*MMLeachEF*NtoN2O*kgtoGg,Constants!$H68*'Net zero Activity data'!AR10*Constants!$H86*FracLEACHMM*MMLeachEF*NtoN2O*kgtoGg)</f>
        <v>5.3711299521856999E-2</v>
      </c>
      <c r="Z1055" s="101">
        <f>IF('Net zero activities &amp; levers'!$C$12="Off",Constants!$H68*'Activity data'!AS10*Constants!$H86*FracLEACHMM*MMLeachEF*NtoN2O*kgtoGg,Constants!$H68*'Net zero Activity data'!AS10*Constants!$H86*FracLEACHMM*MMLeachEF*NtoN2O*kgtoGg)</f>
        <v>5.561270789509077E-2</v>
      </c>
      <c r="AA1055" s="101">
        <f>IF('Net zero activities &amp; levers'!$C$12="Off",Constants!$H68*'Activity data'!AT10*Constants!$H86*FracLEACHMM*MMLeachEF*NtoN2O*kgtoGg,Constants!$H68*'Net zero Activity data'!AT10*Constants!$H86*FracLEACHMM*MMLeachEF*NtoN2O*kgtoGg)</f>
        <v>5.7220519996954537E-2</v>
      </c>
      <c r="AB1055" s="101">
        <f>IF('Net zero activities &amp; levers'!$C$12="Off",Constants!$H68*'Activity data'!AU10*Constants!$H86*FracLEACHMM*MMLeachEF*NtoN2O*kgtoGg,Constants!$H68*'Net zero Activity data'!AU10*Constants!$H86*FracLEACHMM*MMLeachEF*NtoN2O*kgtoGg)</f>
        <v>5.9083740281731877E-2</v>
      </c>
      <c r="AC1055" s="101">
        <f>IF('Net zero activities &amp; levers'!$C$12="Off",Constants!$H68*'Activity data'!AV10*Constants!$H86*FracLEACHMM*MMLeachEF*NtoN2O*kgtoGg,Constants!$H68*'Net zero Activity data'!AV10*Constants!$H86*FracLEACHMM*MMLeachEF*NtoN2O*kgtoGg)</f>
        <v>6.1264843378282627E-2</v>
      </c>
      <c r="AD1055" s="101">
        <f>IF('Net zero activities &amp; levers'!$C$12="Off",Constants!$H68*'Activity data'!AW10*Constants!$H86*FracLEACHMM*MMLeachEF*NtoN2O*kgtoGg,Constants!$H68*'Net zero Activity data'!AW10*Constants!$H86*FracLEACHMM*MMLeachEF*NtoN2O*kgtoGg)</f>
        <v>6.3685236331864695E-2</v>
      </c>
      <c r="AE1055" s="101">
        <f>IF('Net zero activities &amp; levers'!$C$12="Off",Constants!$H68*'Activity data'!AX10*Constants!$H86*FracLEACHMM*MMLeachEF*NtoN2O*kgtoGg,Constants!$H68*'Net zero Activity data'!AX10*Constants!$H86*FracLEACHMM*MMLeachEF*NtoN2O*kgtoGg)</f>
        <v>6.6201305217715362E-2</v>
      </c>
      <c r="AF1055" s="101">
        <f>IF('Net zero activities &amp; levers'!$C$12="Off",Constants!$H68*'Activity data'!AY10*Constants!$H86*FracLEACHMM*MMLeachEF*NtoN2O*kgtoGg,Constants!$H68*'Net zero Activity data'!AY10*Constants!$H86*FracLEACHMM*MMLeachEF*NtoN2O*kgtoGg)</f>
        <v>6.8754048942702928E-2</v>
      </c>
      <c r="AG1055" s="101">
        <f>IF('Net zero activities &amp; levers'!$C$12="Off",Constants!$H68*'Activity data'!AZ10*Constants!$H86*FracLEACHMM*MMLeachEF*NtoN2O*kgtoGg,Constants!$H68*'Net zero Activity data'!AZ10*Constants!$H86*FracLEACHMM*MMLeachEF*NtoN2O*kgtoGg)</f>
        <v>7.1590583966406801E-2</v>
      </c>
      <c r="AH1055" s="101">
        <f>IF('Net zero activities &amp; levers'!$C$12="Off",Constants!$H68*'Activity data'!BA10*Constants!$H86*FracLEACHMM*MMLeachEF*NtoN2O*kgtoGg,Constants!$H68*'Net zero Activity data'!BA10*Constants!$H86*FracLEACHMM*MMLeachEF*NtoN2O*kgtoGg)</f>
        <v>7.4054894468481555E-2</v>
      </c>
      <c r="AI1055" s="101">
        <f>IF('Net zero activities &amp; levers'!$C$12="Off",Constants!$H68*'Activity data'!BB10*Constants!$H86*FracLEACHMM*MMLeachEF*NtoN2O*kgtoGg,Constants!$H68*'Net zero Activity data'!BB10*Constants!$H86*FracLEACHMM*MMLeachEF*NtoN2O*kgtoGg)</f>
        <v>7.6650212505560159E-2</v>
      </c>
      <c r="AJ1055" s="101">
        <f>IF('Net zero activities &amp; levers'!$C$12="Off",Constants!$H68*'Activity data'!BC10*Constants!$H86*FracLEACHMM*MMLeachEF*NtoN2O*kgtoGg,Constants!$H68*'Net zero Activity data'!BC10*Constants!$H86*FracLEACHMM*MMLeachEF*NtoN2O*kgtoGg)</f>
        <v>7.926697266464891E-2</v>
      </c>
      <c r="AK1055" s="101">
        <f>IF('Net zero activities &amp; levers'!$C$12="Off",Constants!$H68*'Activity data'!BD10*Constants!$H86*FracLEACHMM*MMLeachEF*NtoN2O*kgtoGg,Constants!$H68*'Net zero Activity data'!BD10*Constants!$H86*FracLEACHMM*MMLeachEF*NtoN2O*kgtoGg)</f>
        <v>8.1727886974846925E-2</v>
      </c>
      <c r="AL1055" s="101">
        <f>IF('Net zero activities &amp; levers'!$C$12="Off",Constants!$H68*'Activity data'!BE10*Constants!$H86*FracLEACHMM*MMLeachEF*NtoN2O*kgtoGg,Constants!$H68*'Net zero Activity data'!BE10*Constants!$H86*FracLEACHMM*MMLeachEF*NtoN2O*kgtoGg)</f>
        <v>8.4149908352579239E-2</v>
      </c>
      <c r="AM1055" s="101">
        <f>IF('Net zero activities &amp; levers'!$C$12="Off",Constants!$H68*'Activity data'!BF10*Constants!$H86*FracLEACHMM*MMLeachEF*NtoN2O*kgtoGg,Constants!$H68*'Net zero Activity data'!BF10*Constants!$H86*FracLEACHMM*MMLeachEF*NtoN2O*kgtoGg)</f>
        <v>8.6637560601822261E-2</v>
      </c>
      <c r="AN1055" s="101">
        <f>IF('Net zero activities &amp; levers'!$C$12="Off",Constants!$H68*'Activity data'!BG10*Constants!$H86*FracLEACHMM*MMLeachEF*NtoN2O*kgtoGg,Constants!$H68*'Net zero Activity data'!BG10*Constants!$H86*FracLEACHMM*MMLeachEF*NtoN2O*kgtoGg)</f>
        <v>8.9774381331054462E-2</v>
      </c>
      <c r="AO1055" s="101">
        <f>IF('Net zero activities &amp; levers'!$C$12="Off",Constants!$H68*'Activity data'!BH10*Constants!$H86*FracLEACHMM*MMLeachEF*NtoN2O*kgtoGg,Constants!$H68*'Net zero Activity data'!BH10*Constants!$H86*FracLEACHMM*MMLeachEF*NtoN2O*kgtoGg)</f>
        <v>9.2740753913483548E-2</v>
      </c>
      <c r="AP1055" s="101">
        <f>IF('Net zero activities &amp; levers'!$C$12="Off",Constants!$H68*'Activity data'!BI10*Constants!$H86*FracLEACHMM*MMLeachEF*NtoN2O*kgtoGg,Constants!$H68*'Net zero Activity data'!BI10*Constants!$H86*FracLEACHMM*MMLeachEF*NtoN2O*kgtoGg)</f>
        <v>9.5749348874395443E-2</v>
      </c>
      <c r="AQ1055" s="101">
        <f>IF('Net zero activities &amp; levers'!$C$12="Off",Constants!$H68*'Activity data'!BJ10*Constants!$H86*FracLEACHMM*MMLeachEF*NtoN2O*kgtoGg,Constants!$H68*'Net zero Activity data'!BJ10*Constants!$H86*FracLEACHMM*MMLeachEF*NtoN2O*kgtoGg)</f>
        <v>9.8805067332979044E-2</v>
      </c>
      <c r="AR1055" s="101">
        <f>IF('Net zero activities &amp; levers'!$C$12="Off",Constants!$H68*'Activity data'!BK10*Constants!$H86*FracLEACHMM*MMLeachEF*NtoN2O*kgtoGg,Constants!$H68*'Net zero Activity data'!BK10*Constants!$H86*FracLEACHMM*MMLeachEF*NtoN2O*kgtoGg)</f>
        <v>0.1020613595708047</v>
      </c>
      <c r="AS1055" s="101">
        <f>IF('Net zero activities &amp; levers'!$C$12="Off",Constants!$H68*'Activity data'!BL10*Constants!$H86*FracLEACHMM*MMLeachEF*NtoN2O*kgtoGg,Constants!$H68*'Net zero Activity data'!BL10*Constants!$H86*FracLEACHMM*MMLeachEF*NtoN2O*kgtoGg)</f>
        <v>0.10539408347278972</v>
      </c>
      <c r="AT1055" s="101">
        <f>IF('Net zero activities &amp; levers'!$C$12="Off",Constants!$H68*'Activity data'!BM10*Constants!$H86*FracLEACHMM*MMLeachEF*NtoN2O*kgtoGg,Constants!$H68*'Net zero Activity data'!BM10*Constants!$H86*FracLEACHMM*MMLeachEF*NtoN2O*kgtoGg)</f>
        <v>0.10728993490272434</v>
      </c>
      <c r="AU1055" s="101">
        <f>IF('Net zero activities &amp; levers'!$C$12="Off",Constants!$H68*'Activity data'!BN10*Constants!$H86*FracLEACHMM*MMLeachEF*NtoN2O*kgtoGg,Constants!$H68*'Net zero Activity data'!BN10*Constants!$H86*FracLEACHMM*MMLeachEF*NtoN2O*kgtoGg)</f>
        <v>0.10908044995452261</v>
      </c>
      <c r="AV1055" s="101">
        <f>IF('Net zero activities &amp; levers'!$C$12="Off",Constants!$H68*'Activity data'!BO10*Constants!$H86*FracLEACHMM*MMLeachEF*NtoN2O*kgtoGg,Constants!$H68*'Net zero Activity data'!BO10*Constants!$H86*FracLEACHMM*MMLeachEF*NtoN2O*kgtoGg)</f>
        <v>0.11106127642330926</v>
      </c>
      <c r="AW1055" s="101">
        <f>IF('Net zero activities &amp; levers'!$C$12="Off",Constants!$H68*'Activity data'!BP10*Constants!$H86*FracLEACHMM*MMLeachEF*NtoN2O*kgtoGg,Constants!$H68*'Net zero Activity data'!BP10*Constants!$H86*FracLEACHMM*MMLeachEF*NtoN2O*kgtoGg)</f>
        <v>0.11295315373217359</v>
      </c>
      <c r="AY1055" s="85"/>
      <c r="AZ1055" s="85"/>
    </row>
    <row r="1056" spans="1:52" x14ac:dyDescent="0.25">
      <c r="A1056" s="102" t="str">
        <f t="shared" si="345"/>
        <v>DS MM Leaching</v>
      </c>
      <c r="B1056" s="102" t="s">
        <v>975</v>
      </c>
      <c r="C1056" s="102" t="s">
        <v>1334</v>
      </c>
      <c r="D1056" t="s">
        <v>369</v>
      </c>
      <c r="E1056" t="s">
        <v>64</v>
      </c>
      <c r="F1056" t="s">
        <v>63</v>
      </c>
      <c r="G1056" t="s">
        <v>1165</v>
      </c>
      <c r="H1056" t="s">
        <v>1313</v>
      </c>
      <c r="I1056" t="s">
        <v>139</v>
      </c>
      <c r="J1056" t="s">
        <v>287</v>
      </c>
      <c r="K1056" s="101">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4.3939271631598543E-3</v>
      </c>
      <c r="L1056" s="101">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4.3962984818877171E-3</v>
      </c>
      <c r="M1056" s="101">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4.4017499414647923E-3</v>
      </c>
      <c r="N1056" s="101">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4.4098431410874153E-3</v>
      </c>
      <c r="O1056" s="101">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4.4207667549247352E-3</v>
      </c>
      <c r="P1056" s="101">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4.4347403177031263E-3</v>
      </c>
      <c r="Q1056" s="101">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4.4501377302209226E-3</v>
      </c>
      <c r="R1056" s="101">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4.4667198464041179E-3</v>
      </c>
      <c r="S1056" s="101">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4.4831484324149608E-3</v>
      </c>
      <c r="T1056" s="101">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4.4898717427697809E-3</v>
      </c>
      <c r="U1056" s="101">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4.4975062704204526E-3</v>
      </c>
      <c r="V1056" s="101">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4.5061403809784359E-3</v>
      </c>
      <c r="W1056" s="101">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4.5158367053022919E-3</v>
      </c>
      <c r="X1056" s="101">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4.526732327246351E-3</v>
      </c>
      <c r="Y1056" s="101">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4.5335830197240166E-3</v>
      </c>
      <c r="Z1056" s="101">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4.5412972482123245E-3</v>
      </c>
      <c r="AA1056" s="101">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4.5496603151243516E-3</v>
      </c>
      <c r="AB1056" s="101">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4.558868291538884E-3</v>
      </c>
      <c r="AC1056" s="101">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4.5689201230950608E-3</v>
      </c>
      <c r="AD1056" s="101">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4.5755732338553573E-3</v>
      </c>
      <c r="AE1056" s="101">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4.5828736540396882E-3</v>
      </c>
      <c r="AF1056" s="101">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4.5907723416262498E-3</v>
      </c>
      <c r="AG1056" s="101">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4.5993548004809003E-3</v>
      </c>
      <c r="AH1056" s="101">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4.608317319688404E-3</v>
      </c>
      <c r="AI1056" s="101">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4.614051297103656E-3</v>
      </c>
      <c r="AJ1056" s="101">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4.6202716852182099E-3</v>
      </c>
      <c r="AK1056" s="101">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4.6268842765144489E-3</v>
      </c>
      <c r="AL1056" s="101">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4.6339252685925585E-3</v>
      </c>
      <c r="AM1056" s="101">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4.6414276467124371E-3</v>
      </c>
      <c r="AN1056" s="101">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4.6458494434601398E-3</v>
      </c>
      <c r="AO1056" s="101">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4.650560968895651E-3</v>
      </c>
      <c r="AP1056" s="101">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4.6556452517360746E-3</v>
      </c>
      <c r="AQ1056" s="101">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4.6610933229495489E-3</v>
      </c>
      <c r="AR1056" s="101">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4.6669636754851076E-3</v>
      </c>
      <c r="AS1056" s="101">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4.6696094397021678E-3</v>
      </c>
      <c r="AT1056" s="101">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4.671905929653092E-3</v>
      </c>
      <c r="AU1056" s="101">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4.6744411838373096E-3</v>
      </c>
      <c r="AV1056" s="101">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4.6773396676684084E-3</v>
      </c>
      <c r="AW1056" s="101">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4.6804674678318113E-3</v>
      </c>
      <c r="AY1056" s="85"/>
      <c r="AZ1056" s="85"/>
    </row>
    <row r="1057" spans="1:52" x14ac:dyDescent="0.25">
      <c r="A1057" s="102" t="str">
        <f t="shared" si="345"/>
        <v>DS MM Leaching</v>
      </c>
      <c r="B1057" s="102" t="s">
        <v>975</v>
      </c>
      <c r="C1057" s="102" t="s">
        <v>1334</v>
      </c>
      <c r="D1057" t="s">
        <v>369</v>
      </c>
      <c r="E1057" t="s">
        <v>64</v>
      </c>
      <c r="F1057" t="s">
        <v>63</v>
      </c>
      <c r="G1057" t="s">
        <v>1167</v>
      </c>
      <c r="H1057" t="s">
        <v>1314</v>
      </c>
      <c r="I1057" t="s">
        <v>139</v>
      </c>
      <c r="J1057" t="s">
        <v>287</v>
      </c>
      <c r="K1057" s="101">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3.6549565945200539E-3</v>
      </c>
      <c r="L1057" s="101">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3.6569291049191287E-3</v>
      </c>
      <c r="M1057" s="101">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3.6614637381506597E-3</v>
      </c>
      <c r="N1057" s="101">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3.6681958236479987E-3</v>
      </c>
      <c r="O1057" s="101">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3.677282304362893E-3</v>
      </c>
      <c r="P1057" s="101">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3.6889057936765148E-3</v>
      </c>
      <c r="Q1057" s="101">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3.7017136697133114E-3</v>
      </c>
      <c r="R1057" s="101">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3.7155070059804707E-3</v>
      </c>
      <c r="S1057" s="101">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3.7291726327761108E-3</v>
      </c>
      <c r="T1057" s="101">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3.734765216951012E-3</v>
      </c>
      <c r="U1057" s="101">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3.7411157699180305E-3</v>
      </c>
      <c r="V1057" s="101">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3.7482977959621354E-3</v>
      </c>
      <c r="W1057" s="101">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3.7563633926855455E-3</v>
      </c>
      <c r="X1057" s="101">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3.7654265891831403E-3</v>
      </c>
      <c r="Y1057" s="101">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3.7711251323584139E-3</v>
      </c>
      <c r="Z1057" s="101">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3.7775419820780388E-3</v>
      </c>
      <c r="AA1057" s="101">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3.7844985485902928E-3</v>
      </c>
      <c r="AB1057" s="101">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3.7921579277444711E-3</v>
      </c>
      <c r="AC1057" s="101">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3.8005192425020961E-3</v>
      </c>
      <c r="AD1057" s="101">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3.8060534332486559E-3</v>
      </c>
      <c r="AE1057" s="101">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3.812126068935291E-3</v>
      </c>
      <c r="AF1057" s="101">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3.8186963554262946E-3</v>
      </c>
      <c r="AG1057" s="101">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3.8258354165493381E-3</v>
      </c>
      <c r="AH1057" s="101">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3.8332906194838865E-3</v>
      </c>
      <c r="AI1057" s="101">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3.8380602567101062E-3</v>
      </c>
      <c r="AJ1057" s="101">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3.8432345000954712E-3</v>
      </c>
      <c r="AK1057" s="101">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3.8487349859405015E-3</v>
      </c>
      <c r="AL1057" s="101">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3.854591824133819E-3</v>
      </c>
      <c r="AM1057" s="101">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3.860832452475075E-3</v>
      </c>
      <c r="AN1057" s="101">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3.8645105915480556E-3</v>
      </c>
      <c r="AO1057" s="101">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3.868429732744831E-3</v>
      </c>
      <c r="AP1057" s="101">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3.8726589410147858E-3</v>
      </c>
      <c r="AQ1057" s="101">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3.8771907557376274E-3</v>
      </c>
      <c r="AR1057" s="101">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3.8820738325195756E-3</v>
      </c>
      <c r="AS1057" s="101">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3.8842746321718241E-3</v>
      </c>
      <c r="AT1057" s="101">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3.8861848984959361E-3</v>
      </c>
      <c r="AU1057" s="101">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3.8882937736901091E-3</v>
      </c>
      <c r="AV1057" s="101">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3.8907047905775548E-3</v>
      </c>
      <c r="AW1057" s="101">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3.893306557381843E-3</v>
      </c>
      <c r="AY1057" s="85"/>
      <c r="AZ1057" s="85"/>
    </row>
    <row r="1058" spans="1:52" x14ac:dyDescent="0.25">
      <c r="A1058" s="102" t="str">
        <f t="shared" ref="A1058:A1065" si="368">B1058&amp;" "&amp;C1058</f>
        <v>DS MM Leaching</v>
      </c>
      <c r="B1058" s="102" t="s">
        <v>975</v>
      </c>
      <c r="C1058" s="102" t="s">
        <v>1334</v>
      </c>
      <c r="D1058" t="s">
        <v>369</v>
      </c>
      <c r="E1058" t="s">
        <v>64</v>
      </c>
      <c r="F1058" t="s">
        <v>63</v>
      </c>
      <c r="G1058" t="s">
        <v>1169</v>
      </c>
      <c r="H1058" t="s">
        <v>1315</v>
      </c>
      <c r="I1058" t="s">
        <v>139</v>
      </c>
      <c r="J1058" t="s">
        <v>287</v>
      </c>
      <c r="K1058" s="22">
        <f t="shared" ref="K1058:AW1058" si="369">K1555</f>
        <v>5.4310526355704706E-4</v>
      </c>
      <c r="L1058" s="22">
        <f t="shared" si="369"/>
        <v>5.4451688444022309E-4</v>
      </c>
      <c r="M1058" s="22">
        <f t="shared" si="369"/>
        <v>5.4642048272795488E-4</v>
      </c>
      <c r="N1058" s="22">
        <f t="shared" si="369"/>
        <v>5.4873901711368408E-4</v>
      </c>
      <c r="O1058" s="22">
        <f t="shared" si="369"/>
        <v>5.5151606201275956E-4</v>
      </c>
      <c r="P1058" s="22">
        <f t="shared" si="369"/>
        <v>5.5479917019086967E-4</v>
      </c>
      <c r="Q1058" s="22">
        <f t="shared" si="369"/>
        <v>5.5827861691807733E-4</v>
      </c>
      <c r="R1058" s="22">
        <f t="shared" si="369"/>
        <v>5.6191368988015911E-4</v>
      </c>
      <c r="S1058" s="22">
        <f t="shared" si="369"/>
        <v>5.6545265172179603E-4</v>
      </c>
      <c r="T1058" s="22">
        <f t="shared" si="369"/>
        <v>5.6707582821690196E-4</v>
      </c>
      <c r="U1058" s="22">
        <f t="shared" si="369"/>
        <v>5.688262569994144E-4</v>
      </c>
      <c r="V1058" s="22">
        <f t="shared" si="369"/>
        <v>5.7072343735121143E-4</v>
      </c>
      <c r="W1058" s="22">
        <f t="shared" si="369"/>
        <v>5.7278141367930822E-4</v>
      </c>
      <c r="X1058" s="22">
        <f t="shared" si="369"/>
        <v>5.7502787156601661E-4</v>
      </c>
      <c r="Y1058" s="22">
        <f t="shared" si="369"/>
        <v>5.7647376885579151E-4</v>
      </c>
      <c r="Z1058" s="22">
        <f t="shared" si="369"/>
        <v>5.7805165552479612E-4</v>
      </c>
      <c r="AA1058" s="22">
        <f t="shared" si="369"/>
        <v>5.7972228180818623E-4</v>
      </c>
      <c r="AB1058" s="22">
        <f t="shared" si="369"/>
        <v>5.8152362966634491E-4</v>
      </c>
      <c r="AC1058" s="22">
        <f t="shared" si="369"/>
        <v>5.8345630636338756E-4</v>
      </c>
      <c r="AD1058" s="22">
        <f t="shared" si="369"/>
        <v>5.8472841865727081E-4</v>
      </c>
      <c r="AE1058" s="22">
        <f t="shared" si="369"/>
        <v>5.8609967948546591E-4</v>
      </c>
      <c r="AF1058" s="22">
        <f t="shared" si="369"/>
        <v>5.8756155218491358E-4</v>
      </c>
      <c r="AG1058" s="22">
        <f t="shared" si="369"/>
        <v>5.8913046785545045E-4</v>
      </c>
      <c r="AH1058" s="22">
        <f t="shared" si="369"/>
        <v>5.907505198986619E-4</v>
      </c>
      <c r="AI1058" s="22">
        <f t="shared" si="369"/>
        <v>5.9175481340963034E-4</v>
      </c>
      <c r="AJ1058" s="22">
        <f t="shared" si="369"/>
        <v>5.9283358105937484E-4</v>
      </c>
      <c r="AK1058" s="22">
        <f t="shared" si="369"/>
        <v>5.9396979223100309E-4</v>
      </c>
      <c r="AL1058" s="22">
        <f t="shared" si="369"/>
        <v>5.951704835417687E-4</v>
      </c>
      <c r="AM1058" s="22">
        <f t="shared" si="369"/>
        <v>5.9644200781221212E-4</v>
      </c>
      <c r="AN1058" s="22">
        <f t="shared" si="369"/>
        <v>5.9713531651955909E-4</v>
      </c>
      <c r="AO1058" s="22">
        <f t="shared" si="369"/>
        <v>5.9787071978947392E-4</v>
      </c>
      <c r="AP1058" s="22">
        <f t="shared" si="369"/>
        <v>5.9866365286918302E-4</v>
      </c>
      <c r="AQ1058" s="22">
        <f t="shared" si="369"/>
        <v>5.995126405769686E-4</v>
      </c>
      <c r="AR1058" s="22">
        <f t="shared" si="369"/>
        <v>6.0042847554345289E-4</v>
      </c>
      <c r="AS1058" s="22">
        <f t="shared" si="369"/>
        <v>6.0074837701766222E-4</v>
      </c>
      <c r="AT1058" s="22">
        <f t="shared" si="369"/>
        <v>6.009974007852993E-4</v>
      </c>
      <c r="AU1058" s="22">
        <f t="shared" si="369"/>
        <v>6.0128274641363551E-4</v>
      </c>
      <c r="AV1058" s="22">
        <f t="shared" si="369"/>
        <v>6.0162705109906029E-4</v>
      </c>
      <c r="AW1058" s="22">
        <f t="shared" si="369"/>
        <v>6.0200613236202735E-4</v>
      </c>
      <c r="AY1058" s="85"/>
      <c r="AZ1058" s="85"/>
    </row>
    <row r="1059" spans="1:52" x14ac:dyDescent="0.25">
      <c r="A1059" s="102" t="str">
        <f t="shared" si="368"/>
        <v>DS MM Leaching</v>
      </c>
      <c r="B1059" s="102" t="s">
        <v>975</v>
      </c>
      <c r="C1059" s="102" t="s">
        <v>1334</v>
      </c>
      <c r="D1059" t="s">
        <v>369</v>
      </c>
      <c r="E1059" t="s">
        <v>64</v>
      </c>
      <c r="F1059" t="s">
        <v>63</v>
      </c>
      <c r="G1059" t="s">
        <v>1171</v>
      </c>
      <c r="H1059" t="s">
        <v>1316</v>
      </c>
      <c r="I1059" t="s">
        <v>139</v>
      </c>
      <c r="J1059" t="s">
        <v>287</v>
      </c>
      <c r="K1059" s="22">
        <f t="shared" ref="K1059:AW1059" si="370">K1556</f>
        <v>6.697719658610918E-3</v>
      </c>
      <c r="L1059" s="22">
        <f t="shared" si="370"/>
        <v>6.7151281456468035E-3</v>
      </c>
      <c r="M1059" s="22">
        <f t="shared" si="370"/>
        <v>6.7386038298821848E-3</v>
      </c>
      <c r="N1059" s="22">
        <f t="shared" si="370"/>
        <v>6.7671966172780547E-3</v>
      </c>
      <c r="O1059" s="22">
        <f t="shared" si="370"/>
        <v>6.801443879202132E-3</v>
      </c>
      <c r="P1059" s="22">
        <f t="shared" si="370"/>
        <v>6.8419320491046936E-3</v>
      </c>
      <c r="Q1059" s="22">
        <f t="shared" si="370"/>
        <v>6.8848415186120908E-3</v>
      </c>
      <c r="R1059" s="22">
        <f t="shared" si="370"/>
        <v>6.9296702125547019E-3</v>
      </c>
      <c r="S1059" s="22">
        <f t="shared" si="370"/>
        <v>6.9733136384028775E-3</v>
      </c>
      <c r="T1059" s="22">
        <f t="shared" si="370"/>
        <v>6.9933310859405127E-3</v>
      </c>
      <c r="U1059" s="22">
        <f t="shared" si="370"/>
        <v>7.0149178427891682E-3</v>
      </c>
      <c r="V1059" s="22">
        <f t="shared" si="370"/>
        <v>7.0383143793186411E-3</v>
      </c>
      <c r="W1059" s="22">
        <f t="shared" si="370"/>
        <v>7.0636938949200419E-3</v>
      </c>
      <c r="X1059" s="22">
        <f t="shared" si="370"/>
        <v>7.0913978156139906E-3</v>
      </c>
      <c r="Y1059" s="22">
        <f t="shared" si="370"/>
        <v>7.1092290084818878E-3</v>
      </c>
      <c r="Z1059" s="22">
        <f t="shared" si="370"/>
        <v>7.1286879297466866E-3</v>
      </c>
      <c r="AA1059" s="22">
        <f t="shared" si="370"/>
        <v>7.1492905407896492E-3</v>
      </c>
      <c r="AB1059" s="22">
        <f t="shared" si="370"/>
        <v>7.1715052453251351E-3</v>
      </c>
      <c r="AC1059" s="22">
        <f t="shared" si="370"/>
        <v>7.1953395322969481E-3</v>
      </c>
      <c r="AD1059" s="22">
        <f t="shared" si="370"/>
        <v>7.2110275620223471E-3</v>
      </c>
      <c r="AE1059" s="22">
        <f t="shared" si="370"/>
        <v>7.2279383180439954E-3</v>
      </c>
      <c r="AF1059" s="22">
        <f t="shared" si="370"/>
        <v>7.2459665239452764E-3</v>
      </c>
      <c r="AG1059" s="22">
        <f t="shared" si="370"/>
        <v>7.2653148124528005E-3</v>
      </c>
      <c r="AH1059" s="22">
        <f t="shared" si="370"/>
        <v>7.2852937284123434E-3</v>
      </c>
      <c r="AI1059" s="22">
        <f t="shared" si="370"/>
        <v>7.2976789451332669E-3</v>
      </c>
      <c r="AJ1059" s="22">
        <f t="shared" si="370"/>
        <v>7.3109825968921283E-3</v>
      </c>
      <c r="AK1059" s="22">
        <f t="shared" si="370"/>
        <v>7.3249946575573233E-3</v>
      </c>
      <c r="AL1059" s="22">
        <f t="shared" si="370"/>
        <v>7.3398019045785847E-3</v>
      </c>
      <c r="AM1059" s="22">
        <f t="shared" si="370"/>
        <v>7.3554826826413384E-3</v>
      </c>
      <c r="AN1059" s="22">
        <f t="shared" si="370"/>
        <v>7.3640327514222425E-3</v>
      </c>
      <c r="AO1059" s="22">
        <f t="shared" si="370"/>
        <v>7.3731019416297819E-3</v>
      </c>
      <c r="AP1059" s="22">
        <f t="shared" si="370"/>
        <v>7.3828806048692958E-3</v>
      </c>
      <c r="AQ1059" s="22">
        <f t="shared" si="370"/>
        <v>7.3933505488044948E-3</v>
      </c>
      <c r="AR1059" s="22">
        <f t="shared" si="370"/>
        <v>7.4046448710485676E-3</v>
      </c>
      <c r="AS1059" s="22">
        <f t="shared" si="370"/>
        <v>7.4085899817598836E-3</v>
      </c>
      <c r="AT1059" s="22">
        <f t="shared" si="370"/>
        <v>7.411661009599016E-3</v>
      </c>
      <c r="AU1059" s="22">
        <f t="shared" si="370"/>
        <v>7.4151799683582981E-3</v>
      </c>
      <c r="AV1059" s="22">
        <f t="shared" si="370"/>
        <v>7.4194260260102111E-3</v>
      </c>
      <c r="AW1059" s="22">
        <f t="shared" si="370"/>
        <v>7.4241009577362587E-3</v>
      </c>
      <c r="AY1059" s="85"/>
      <c r="AZ1059" s="85"/>
    </row>
    <row r="1060" spans="1:52" x14ac:dyDescent="0.25">
      <c r="A1060" s="102" t="str">
        <f t="shared" si="368"/>
        <v>DS MM Leaching</v>
      </c>
      <c r="B1060" s="102" t="s">
        <v>975</v>
      </c>
      <c r="C1060" s="102" t="s">
        <v>1334</v>
      </c>
      <c r="D1060" t="s">
        <v>369</v>
      </c>
      <c r="E1060" t="s">
        <v>64</v>
      </c>
      <c r="F1060" t="s">
        <v>63</v>
      </c>
      <c r="G1060" t="s">
        <v>1173</v>
      </c>
      <c r="H1060" t="s">
        <v>1317</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85"/>
      <c r="AZ1060" s="85"/>
    </row>
    <row r="1061" spans="1:52" x14ac:dyDescent="0.25">
      <c r="A1061" s="102" t="str">
        <f t="shared" si="368"/>
        <v>DS MM Leaching</v>
      </c>
      <c r="B1061" s="102" t="s">
        <v>975</v>
      </c>
      <c r="C1061" s="102" t="s">
        <v>1334</v>
      </c>
      <c r="D1061" t="s">
        <v>369</v>
      </c>
      <c r="E1061" t="s">
        <v>64</v>
      </c>
      <c r="F1061" t="s">
        <v>63</v>
      </c>
      <c r="G1061" t="s">
        <v>1175</v>
      </c>
      <c r="H1061" t="s">
        <v>1318</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85"/>
      <c r="AZ1061" s="85"/>
    </row>
    <row r="1062" spans="1:52" x14ac:dyDescent="0.25">
      <c r="A1062" s="102" t="str">
        <f t="shared" si="368"/>
        <v>DS MM Leaching</v>
      </c>
      <c r="B1062" s="102" t="s">
        <v>975</v>
      </c>
      <c r="C1062" s="102" t="s">
        <v>1334</v>
      </c>
      <c r="D1062" t="s">
        <v>369</v>
      </c>
      <c r="E1062" t="s">
        <v>64</v>
      </c>
      <c r="F1062" t="s">
        <v>63</v>
      </c>
      <c r="G1062" t="s">
        <v>1177</v>
      </c>
      <c r="H1062" t="s">
        <v>1319</v>
      </c>
      <c r="I1062" t="s">
        <v>139</v>
      </c>
      <c r="J1062" t="s">
        <v>287</v>
      </c>
      <c r="K1062" s="101">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2.6982078121909357E-2</v>
      </c>
      <c r="L1062" s="101">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2.6934390428910333E-2</v>
      </c>
      <c r="M1062" s="101">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2.6783274405865188E-2</v>
      </c>
      <c r="N1062" s="101">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2.6192267209513419E-2</v>
      </c>
      <c r="O1062" s="101">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2.5633374369749509E-2</v>
      </c>
      <c r="P1062" s="101">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2.5543167875320214E-2</v>
      </c>
      <c r="Q1062" s="101">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2.5324190264718272E-2</v>
      </c>
      <c r="R1062" s="101">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2.4649754195953832E-2</v>
      </c>
      <c r="S1062" s="101">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2.1986440242697105E-2</v>
      </c>
      <c r="T1062" s="101">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2.2459382037487714E-2</v>
      </c>
      <c r="U1062" s="101">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2.2677163181325274E-2</v>
      </c>
      <c r="V1062" s="101">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2.2835775026532532E-2</v>
      </c>
      <c r="W1062" s="101">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2.3079286947691565E-2</v>
      </c>
      <c r="X1062" s="101">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2.3620053405793831E-2</v>
      </c>
      <c r="Y1062" s="101">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2.4228655926871678E-2</v>
      </c>
      <c r="Z1062" s="101">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2.4898369682135196E-2</v>
      </c>
      <c r="AA1062" s="101">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2.5433899737352311E-2</v>
      </c>
      <c r="AB1062" s="101">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2.6089827744283384E-2</v>
      </c>
      <c r="AC1062" s="101">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2.6892532780101251E-2</v>
      </c>
      <c r="AD1062" s="101">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2.765233127370078E-2</v>
      </c>
      <c r="AE1062" s="101">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2.844311383554287E-2</v>
      </c>
      <c r="AF1062" s="101">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2.9238533170233168E-2</v>
      </c>
      <c r="AG1062" s="101">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3.0145690863199903E-2</v>
      </c>
      <c r="AH1062" s="101">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3.0881151333925026E-2</v>
      </c>
      <c r="AI1062" s="101">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3.1669222082767075E-2</v>
      </c>
      <c r="AJ1062" s="101">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3.2457441724053543E-2</v>
      </c>
      <c r="AK1062" s="101">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3.3172825686084956E-2</v>
      </c>
      <c r="AL1062" s="101">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3.3866021539857898E-2</v>
      </c>
      <c r="AM1062" s="101">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3.4580695535334494E-2</v>
      </c>
      <c r="AN1062" s="101">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3.533625219682867E-2</v>
      </c>
      <c r="AO1062" s="101">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3.6000537608691721E-2</v>
      </c>
      <c r="AP1062" s="101">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3.6659982916673862E-2</v>
      </c>
      <c r="AQ1062" s="101">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3.7316341493198645E-2</v>
      </c>
      <c r="AR1062" s="101">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3.8027563583719087E-2</v>
      </c>
      <c r="AS1062" s="101">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3.8749103478920827E-2</v>
      </c>
      <c r="AT1062" s="101">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3.891780999751282E-2</v>
      </c>
      <c r="AU1062" s="101">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3.9040104024398906E-2</v>
      </c>
      <c r="AV1062" s="101">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3.9223694745257554E-2</v>
      </c>
      <c r="AW1062" s="101">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3.9367042653132414E-2</v>
      </c>
      <c r="AY1062" s="85"/>
      <c r="AZ1062" s="85"/>
    </row>
    <row r="1063" spans="1:52" x14ac:dyDescent="0.25">
      <c r="A1063" s="102" t="str">
        <f t="shared" si="368"/>
        <v>DS MM Leaching</v>
      </c>
      <c r="B1063" s="102" t="s">
        <v>975</v>
      </c>
      <c r="C1063" s="102" t="s">
        <v>1334</v>
      </c>
      <c r="D1063" t="s">
        <v>369</v>
      </c>
      <c r="E1063" t="s">
        <v>64</v>
      </c>
      <c r="F1063" t="s">
        <v>63</v>
      </c>
      <c r="G1063" t="s">
        <v>1179</v>
      </c>
      <c r="H1063" t="s">
        <v>1320</v>
      </c>
      <c r="I1063" t="s">
        <v>139</v>
      </c>
      <c r="J1063" t="s">
        <v>287</v>
      </c>
      <c r="K1063" s="101">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4.0326044819915296E-3</v>
      </c>
      <c r="L1063" s="101">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4.0254773213757008E-3</v>
      </c>
      <c r="M1063" s="101">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4.0028922873735296E-3</v>
      </c>
      <c r="N1063" s="101">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3.9145633507316107E-3</v>
      </c>
      <c r="O1063" s="101">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3.8310340628686856E-3</v>
      </c>
      <c r="P1063" s="101">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3.8175522579425875E-3</v>
      </c>
      <c r="Q1063" s="101">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3.7848249754115887E-3</v>
      </c>
      <c r="R1063" s="101">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3.6840271828387553E-3</v>
      </c>
      <c r="S1063" s="101">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3.2859817937353586E-3</v>
      </c>
      <c r="T1063" s="101">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3.3566652745546173E-3</v>
      </c>
      <c r="U1063" s="101">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3.3892137392341954E-3</v>
      </c>
      <c r="V1063" s="101">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3.4129190607809592E-3</v>
      </c>
      <c r="W1063" s="101">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3.4493131168743213E-3</v>
      </c>
      <c r="X1063" s="101">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3.5301333277120909E-3</v>
      </c>
      <c r="Y1063" s="101">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3.6210919723042977E-3</v>
      </c>
      <c r="Z1063" s="101">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3.7211839918635339E-3</v>
      </c>
      <c r="AA1063" s="101">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3.801221596496966E-3</v>
      </c>
      <c r="AB1063" s="101">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3.8992532680629222E-3</v>
      </c>
      <c r="AC1063" s="101">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4.0192214895813328E-3</v>
      </c>
      <c r="AD1063" s="101">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4.1327771170187903E-3</v>
      </c>
      <c r="AE1063" s="101">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4.250963466074527E-3</v>
      </c>
      <c r="AF1063" s="101">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4.3698428036719628E-3</v>
      </c>
      <c r="AG1063" s="101">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4.5054219893077892E-3</v>
      </c>
      <c r="AH1063" s="101">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4.6153401793439189E-3</v>
      </c>
      <c r="AI1063" s="101">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4.7331212345891162E-3</v>
      </c>
      <c r="AJ1063" s="101">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4.8509245425435391E-3</v>
      </c>
      <c r="AK1063" s="101">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4.9578421994637533E-3</v>
      </c>
      <c r="AL1063" s="101">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5.061443734311913E-3</v>
      </c>
      <c r="AM1063" s="101">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5.1682552832333995E-3</v>
      </c>
      <c r="AN1063" s="101">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5.2811769479685538E-3</v>
      </c>
      <c r="AO1063" s="101">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5.3804576748679887E-3</v>
      </c>
      <c r="AP1063" s="101">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5.4790150244013337E-3</v>
      </c>
      <c r="AQ1063" s="101">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5.5771110467139461E-3</v>
      </c>
      <c r="AR1063" s="101">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5.6834066914365532E-3</v>
      </c>
      <c r="AS1063" s="101">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5.7912443828915926E-3</v>
      </c>
      <c r="AT1063" s="101">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5.8164584030994289E-3</v>
      </c>
      <c r="AU1063" s="101">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5.8347358478060014E-3</v>
      </c>
      <c r="AV1063" s="101">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5.8621743853582847E-3</v>
      </c>
      <c r="AW1063" s="101">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5.8835984362845513E-3</v>
      </c>
      <c r="AY1063" s="85"/>
      <c r="AZ1063" s="85"/>
    </row>
    <row r="1064" spans="1:52" x14ac:dyDescent="0.25">
      <c r="A1064" s="102" t="str">
        <f t="shared" si="368"/>
        <v>DS MM Leaching</v>
      </c>
      <c r="B1064" s="102" t="s">
        <v>975</v>
      </c>
      <c r="C1064" s="102" t="s">
        <v>1334</v>
      </c>
      <c r="D1064" t="s">
        <v>369</v>
      </c>
      <c r="E1064" t="s">
        <v>64</v>
      </c>
      <c r="F1064" t="s">
        <v>63</v>
      </c>
      <c r="G1064" t="s">
        <v>1181</v>
      </c>
      <c r="H1064" t="s">
        <v>1321</v>
      </c>
      <c r="I1064" t="s">
        <v>139</v>
      </c>
      <c r="J1064" t="s">
        <v>287</v>
      </c>
      <c r="K1064" s="101">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1.677506639935911E-2</v>
      </c>
      <c r="L1064" s="101">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1.7152115979727815E-2</v>
      </c>
      <c r="M1064" s="101">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1.7493153195060028E-2</v>
      </c>
      <c r="N1064" s="101">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1.7669215882921287E-2</v>
      </c>
      <c r="O1064" s="101">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1.7850132335738296E-2</v>
      </c>
      <c r="P1064" s="101">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1.8210336489694584E-2</v>
      </c>
      <c r="Q1064" s="101">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1.8518344131387941E-2</v>
      </c>
      <c r="R1064" s="101">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1.8635256187528534E-2</v>
      </c>
      <c r="S1064" s="101">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1.7895165383905148E-2</v>
      </c>
      <c r="T1064" s="101">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1.8427726629999096E-2</v>
      </c>
      <c r="U1064" s="101">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1.8858145961209626E-2</v>
      </c>
      <c r="V1064" s="101">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1.926831042987312E-2</v>
      </c>
      <c r="W1064" s="101">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1.9723750272057364E-2</v>
      </c>
      <c r="X1064" s="101">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2.0328305344007466E-2</v>
      </c>
      <c r="Y1064" s="101">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2.0963275174069075E-2</v>
      </c>
      <c r="Z1064" s="101">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2.1643917656498337E-2</v>
      </c>
      <c r="AA1064" s="101">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2.2273513405564039E-2</v>
      </c>
      <c r="AB1064" s="101">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2.2979861002091512E-2</v>
      </c>
      <c r="AC1064" s="101">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2.3781031334877679E-2</v>
      </c>
      <c r="AD1064" s="101">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2.4566308074155798E-2</v>
      </c>
      <c r="AE1064" s="101">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2.5388751226160661E-2</v>
      </c>
      <c r="AF1064" s="101">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2.6235064752699551E-2</v>
      </c>
      <c r="AG1064" s="101">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2.7167046167926586E-2</v>
      </c>
      <c r="AH1064" s="101">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2.8023900018498905E-2</v>
      </c>
      <c r="AI1064" s="101">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2.8920322479741228E-2</v>
      </c>
      <c r="AJ1064" s="101">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2.9839880128135453E-2</v>
      </c>
      <c r="AK1064" s="101">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3.0738135733783801E-2</v>
      </c>
      <c r="AL1064" s="101">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3.1644929602760906E-2</v>
      </c>
      <c r="AM1064" s="101">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3.2587998047109448E-2</v>
      </c>
      <c r="AN1064" s="101">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3.3568837979348017E-2</v>
      </c>
      <c r="AO1064" s="101">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3.451409673179362E-2</v>
      </c>
      <c r="AP1064" s="101">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3.5479549458814943E-2</v>
      </c>
      <c r="AQ1064" s="101">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3.6466862450927735E-2</v>
      </c>
      <c r="AR1064" s="101">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3.7517290662975496E-2</v>
      </c>
      <c r="AS1064" s="101">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3.8588925617873325E-2</v>
      </c>
      <c r="AT1064" s="101">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3.9285237958327314E-2</v>
      </c>
      <c r="AU1064" s="101">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3.9960567637255945E-2</v>
      </c>
      <c r="AV1064" s="101">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4.0694873101077993E-2</v>
      </c>
      <c r="AW1064" s="101">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4.1412967601087917E-2</v>
      </c>
      <c r="AY1064" s="85"/>
      <c r="AZ1064" s="85"/>
    </row>
    <row r="1065" spans="1:52" x14ac:dyDescent="0.25">
      <c r="A1065" s="102" t="str">
        <f t="shared" si="368"/>
        <v>DS MM Leaching</v>
      </c>
      <c r="B1065" s="102" t="s">
        <v>975</v>
      </c>
      <c r="C1065" s="102" t="s">
        <v>1334</v>
      </c>
      <c r="D1065" t="s">
        <v>369</v>
      </c>
      <c r="E1065" t="s">
        <v>64</v>
      </c>
      <c r="F1065" t="s">
        <v>63</v>
      </c>
      <c r="G1065" t="s">
        <v>1183</v>
      </c>
      <c r="H1065" t="s">
        <v>1322</v>
      </c>
      <c r="I1065" t="s">
        <v>139</v>
      </c>
      <c r="J1065" t="s">
        <v>287</v>
      </c>
      <c r="K1065" s="101">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7.810393177711944E-2</v>
      </c>
      <c r="L1065" s="101">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7.9553535638078737E-2</v>
      </c>
      <c r="M1065" s="101">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8.0502978601734096E-2</v>
      </c>
      <c r="N1065" s="101">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7.9458702064627351E-2</v>
      </c>
      <c r="O1065" s="101">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7.8445966497934463E-2</v>
      </c>
      <c r="P1065" s="101">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7.944949741705111E-2</v>
      </c>
      <c r="Q1065" s="101">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7.9836186366330816E-2</v>
      </c>
      <c r="R1065" s="101">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7.8063361522169639E-2</v>
      </c>
      <c r="S1065" s="101">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6.6817107477113183E-2</v>
      </c>
      <c r="T1065" s="101">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7.0388458640801108E-2</v>
      </c>
      <c r="U1065" s="101">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7.2779385804600763E-2</v>
      </c>
      <c r="V1065" s="101">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7.4904615040438174E-2</v>
      </c>
      <c r="W1065" s="101">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7.7471024819350642E-2</v>
      </c>
      <c r="X1065" s="101">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8.1566948143152435E-2</v>
      </c>
      <c r="Y1065" s="101">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8.614778534531875E-2</v>
      </c>
      <c r="Z1065" s="101">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9.1129302987806735E-2</v>
      </c>
      <c r="AA1065" s="101">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9.5503511014719752E-2</v>
      </c>
      <c r="AB1065" s="101">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0.10059627235669374</v>
      </c>
      <c r="AC1065" s="101">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0.10657634914102967</v>
      </c>
      <c r="AD1065" s="101">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0.11249681497363943</v>
      </c>
      <c r="AE1065" s="101">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0.11870703167717016</v>
      </c>
      <c r="AF1065" s="101">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0.12506960329583536</v>
      </c>
      <c r="AG1065" s="101">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0.13219418170903169</v>
      </c>
      <c r="AH1065" s="101">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0.13848583371944298</v>
      </c>
      <c r="AI1065" s="101">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0.1452598628167924</v>
      </c>
      <c r="AJ1065" s="101">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0.15217488392211642</v>
      </c>
      <c r="AK1065" s="101">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0.15880077299081433</v>
      </c>
      <c r="AL1065" s="101">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0.16542985943823083</v>
      </c>
      <c r="AM1065" s="101">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0.17232713819913364</v>
      </c>
      <c r="AN1065" s="101">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0.17966613842795656</v>
      </c>
      <c r="AO1065" s="101">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0.1865893340136465</v>
      </c>
      <c r="AP1065" s="101">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0.19362673819120535</v>
      </c>
      <c r="AQ1065" s="101">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0.20079266757552186</v>
      </c>
      <c r="AR1065" s="101">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0.20846738589837877</v>
      </c>
      <c r="AS1065" s="101">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0.21642073302224971</v>
      </c>
      <c r="AT1065" s="101">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0.22086003131192922</v>
      </c>
      <c r="AU1065" s="101">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0.22506764920237721</v>
      </c>
      <c r="AV1065" s="101">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0.22977140260428236</v>
      </c>
      <c r="AW1065" s="101">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0.23428658450939308</v>
      </c>
      <c r="AY1065" s="85"/>
      <c r="AZ1065" s="85"/>
    </row>
    <row r="1067" spans="1:52" x14ac:dyDescent="0.25">
      <c r="A1067" s="102" t="str">
        <f t="shared" ref="A1067:A1089" si="373">B1067&amp;" "&amp;C1067</f>
        <v>CM Cattle</v>
      </c>
      <c r="B1067" s="102" t="s">
        <v>1323</v>
      </c>
      <c r="C1067" s="102" t="s">
        <v>1109</v>
      </c>
      <c r="D1067" t="s">
        <v>15</v>
      </c>
      <c r="E1067" t="s">
        <v>16</v>
      </c>
      <c r="F1067" t="s">
        <v>6</v>
      </c>
      <c r="G1067" t="s">
        <v>136</v>
      </c>
      <c r="H1067" t="s">
        <v>1021</v>
      </c>
      <c r="I1067" t="s">
        <v>121</v>
      </c>
      <c r="J1067" t="s">
        <v>286</v>
      </c>
      <c r="K1067" s="100">
        <f>IF('Net zero activities &amp; levers'!$C$14="Off",('Activity data'!AD5*EF!$H4)*kgtoGg,IF('Net zero activities &amp; levers'!$C$14="On",('Net zero Activity data'!AD5*EF!$H4)*kgtoGg,"ERROR"))</f>
        <v>72.319515891788683</v>
      </c>
      <c r="L1067" s="100">
        <f>IF('Net zero activities &amp; levers'!$C$14="Off",('Activity data'!AE5*EF!$H4)*kgtoGg,IF('Net zero activities &amp; levers'!$C$14="On",('Net zero Activity data'!AE5*EF!$H4)*kgtoGg,"ERROR"))</f>
        <v>72.807821323468076</v>
      </c>
      <c r="M1067" s="100">
        <f>IF('Net zero activities &amp; levers'!$C$14="Off",('Activity data'!AF5*EF!$H4)*kgtoGg,IF('Net zero activities &amp; levers'!$C$14="On",('Net zero Activity data'!AF5*EF!$H4)*kgtoGg,"ERROR"))</f>
        <v>73.234964885165326</v>
      </c>
      <c r="N1067" s="100">
        <f>IF('Net zero activities &amp; levers'!$C$14="Off",('Activity data'!AG5*EF!$H4)*kgtoGg,IF('Net zero activities &amp; levers'!$C$14="On",('Net zero Activity data'!AG5*EF!$H4)*kgtoGg,"ERROR"))</f>
        <v>73.290216800217806</v>
      </c>
      <c r="O1067" s="100">
        <f>IF('Net zero activities &amp; levers'!$C$14="Off",('Activity data'!AH5*EF!$H4)*kgtoGg,IF('Net zero activities &amp; levers'!$C$14="On",('Net zero Activity data'!AH5*EF!$H4)*kgtoGg,"ERROR"))</f>
        <v>73.385382806563399</v>
      </c>
      <c r="P1067" s="100">
        <f>IF('Net zero activities &amp; levers'!$C$14="Off",('Activity data'!AI5*EF!$H4)*kgtoGg,IF('Net zero activities &amp; levers'!$C$14="On",('Net zero Activity data'!AI5*EF!$H4)*kgtoGg,"ERROR"))</f>
        <v>73.931427797367633</v>
      </c>
      <c r="Q1067" s="100">
        <f>IF('Net zero activities &amp; levers'!$C$14="Off",('Activity data'!AJ5*EF!$H4)*kgtoGg,IF('Net zero activities &amp; levers'!$C$14="On",('Net zero Activity data'!AJ5*EF!$H4)*kgtoGg,"ERROR"))</f>
        <v>74.368063847632101</v>
      </c>
      <c r="R1067" s="100">
        <f>IF('Net zero activities &amp; levers'!$C$14="Off",('Activity data'!AK5*EF!$H4)*kgtoGg,IF('Net zero activities &amp; levers'!$C$14="On",('Net zero Activity data'!AK5*EF!$H4)*kgtoGg,"ERROR"))</f>
        <v>74.371892298776103</v>
      </c>
      <c r="S1067" s="100">
        <f>IF('Net zero activities &amp; levers'!$C$14="Off",('Activity data'!AL5*EF!$H4)*kgtoGg,IF('Net zero activities &amp; levers'!$C$14="On",('Net zero Activity data'!AL5*EF!$H4)*kgtoGg,"ERROR"))</f>
        <v>72.401501789227453</v>
      </c>
      <c r="T1067" s="100">
        <f>IF('Net zero activities &amp; levers'!$C$14="Off",('Activity data'!AM5*EF!$H4)*kgtoGg,IF('Net zero activities &amp; levers'!$C$14="On",('Net zero Activity data'!AM5*EF!$H4)*kgtoGg,"ERROR"))</f>
        <v>72.766559443504732</v>
      </c>
      <c r="U1067" s="100">
        <f>IF('Net zero activities &amp; levers'!$C$14="Off",('Activity data'!AN5*EF!$H4)*kgtoGg,IF('Net zero activities &amp; levers'!$C$14="On",('Net zero Activity data'!AN5*EF!$H4)*kgtoGg,"ERROR"))</f>
        <v>72.888763783261396</v>
      </c>
      <c r="V1067" s="100">
        <f>IF('Net zero activities &amp; levers'!$C$14="Off",('Activity data'!AO5*EF!$H4)*kgtoGg,IF('Net zero activities &amp; levers'!$C$14="On",('Net zero Activity data'!AO5*EF!$H4)*kgtoGg,"ERROR"))</f>
        <v>72.959687931935562</v>
      </c>
      <c r="W1067" s="100">
        <f>IF('Net zero activities &amp; levers'!$C$14="Off",('Activity data'!AP5*EF!$H4)*kgtoGg,IF('Net zero activities &amp; levers'!$C$14="On",('Net zero Activity data'!AP5*EF!$H4)*kgtoGg,"ERROR"))</f>
        <v>73.124717464527009</v>
      </c>
      <c r="X1067" s="100">
        <f>IF('Net zero activities &amp; levers'!$C$14="Off",('Activity data'!AQ5*EF!$H4)*kgtoGg,IF('Net zero activities &amp; levers'!$C$14="On",('Net zero Activity data'!AQ5*EF!$H4)*kgtoGg,"ERROR"))</f>
        <v>73.60469410136966</v>
      </c>
      <c r="Y1067" s="100">
        <f>IF('Net zero activities &amp; levers'!$C$14="Off",('Activity data'!AR5*EF!$H4)*kgtoGg,IF('Net zero activities &amp; levers'!$C$14="On",('Net zero Activity data'!AR5*EF!$H4)*kgtoGg,"ERROR"))</f>
        <v>74.110810334114063</v>
      </c>
      <c r="Z1067" s="100">
        <f>IF('Net zero activities &amp; levers'!$C$14="Off",('Activity data'!AS5*EF!$H4)*kgtoGg,IF('Net zero activities &amp; levers'!$C$14="On",('Net zero Activity data'!AS5*EF!$H4)*kgtoGg,"ERROR"))</f>
        <v>74.693829199166146</v>
      </c>
      <c r="AA1067" s="100">
        <f>IF('Net zero activities &amp; levers'!$C$14="Off",('Activity data'!AT5*EF!$H4)*kgtoGg,IF('Net zero activities &amp; levers'!$C$14="On",('Net zero Activity data'!AT5*EF!$H4)*kgtoGg,"ERROR"))</f>
        <v>75.148088602888919</v>
      </c>
      <c r="AB1067" s="100">
        <f>IF('Net zero activities &amp; levers'!$C$14="Off",('Activity data'!AU5*EF!$H4)*kgtoGg,IF('Net zero activities &amp; levers'!$C$14="On",('Net zero Activity data'!AU5*EF!$H4)*kgtoGg,"ERROR"))</f>
        <v>75.740882312073722</v>
      </c>
      <c r="AC1067" s="100">
        <f>IF('Net zero activities &amp; levers'!$C$14="Off",('Activity data'!AV5*EF!$H4)*kgtoGg,IF('Net zero activities &amp; levers'!$C$14="On",('Net zero Activity data'!AV5*EF!$H4)*kgtoGg,"ERROR"))</f>
        <v>76.502679478938958</v>
      </c>
      <c r="AD1067" s="100">
        <f>IF('Net zero activities &amp; levers'!$C$14="Off",('Activity data'!AW5*EF!$H4)*kgtoGg,IF('Net zero activities &amp; levers'!$C$14="On",('Net zero Activity data'!AW5*EF!$H4)*kgtoGg,"ERROR"))</f>
        <v>77.73776674969281</v>
      </c>
      <c r="AE1067" s="100">
        <f>IF('Net zero activities &amp; levers'!$C$14="Off",('Activity data'!AX5*EF!$H4)*kgtoGg,IF('Net zero activities &amp; levers'!$C$14="On",('Net zero Activity data'!AX5*EF!$H4)*kgtoGg,"ERROR"))</f>
        <v>79.039189616580273</v>
      </c>
      <c r="AF1067" s="100">
        <f>IF('Net zero activities &amp; levers'!$C$14="Off",('Activity data'!AY5*EF!$H4)*kgtoGg,IF('Net zero activities &amp; levers'!$C$14="On",('Net zero Activity data'!AY5*EF!$H4)*kgtoGg,"ERROR"))</f>
        <v>80.379192221422812</v>
      </c>
      <c r="AG1067" s="100">
        <f>IF('Net zero activities &amp; levers'!$C$14="Off",('Activity data'!AZ5*EF!$H4)*kgtoGg,IF('Net zero activities &amp; levers'!$C$14="On",('Net zero Activity data'!AZ5*EF!$H4)*kgtoGg,"ERROR"))</f>
        <v>81.879722673787128</v>
      </c>
      <c r="AH1067" s="100">
        <f>IF('Net zero activities &amp; levers'!$C$14="Off",('Activity data'!BA5*EF!$H4)*kgtoGg,IF('Net zero activities &amp; levers'!$C$14="On",('Net zero Activity data'!BA5*EF!$H4)*kgtoGg,"ERROR"))</f>
        <v>83.220696383637716</v>
      </c>
      <c r="AI1067" s="100">
        <f>IF('Net zero activities &amp; levers'!$C$14="Off",('Activity data'!BB5*EF!$H4)*kgtoGg,IF('Net zero activities &amp; levers'!$C$14="On",('Net zero Activity data'!BB5*EF!$H4)*kgtoGg,"ERROR"))</f>
        <v>84.614427393967858</v>
      </c>
      <c r="AJ1067" s="100">
        <f>IF('Net zero activities &amp; levers'!$C$14="Off",('Activity data'!BC5*EF!$H4)*kgtoGg,IF('Net zero activities &amp; levers'!$C$14="On",('Net zero Activity data'!BC5*EF!$H4)*kgtoGg,"ERROR"))</f>
        <v>86.043057507176229</v>
      </c>
      <c r="AK1067" s="100">
        <f>IF('Net zero activities &amp; levers'!$C$14="Off",('Activity data'!BD5*EF!$H4)*kgtoGg,IF('Net zero activities &amp; levers'!$C$14="On",('Net zero Activity data'!BD5*EF!$H4)*kgtoGg,"ERROR"))</f>
        <v>87.419722819280452</v>
      </c>
      <c r="AL1067" s="100">
        <f>IF('Net zero activities &amp; levers'!$C$14="Off",('Activity data'!BE5*EF!$H4)*kgtoGg,IF('Net zero activities &amp; levers'!$C$14="On",('Net zero Activity data'!BE5*EF!$H4)*kgtoGg,"ERROR"))</f>
        <v>88.802861221903001</v>
      </c>
      <c r="AM1067" s="100">
        <f>IF('Net zero activities &amp; levers'!$C$14="Off",('Activity data'!BF5*EF!$H4)*kgtoGg,IF('Net zero activities &amp; levers'!$C$14="On",('Net zero Activity data'!BF5*EF!$H4)*kgtoGg,"ERROR"))</f>
        <v>90.245635617651999</v>
      </c>
      <c r="AN1067" s="100">
        <f>IF('Net zero activities &amp; levers'!$C$14="Off",('Activity data'!BG5*EF!$H4)*kgtoGg,IF('Net zero activities &amp; levers'!$C$14="On",('Net zero Activity data'!BG5*EF!$H4)*kgtoGg,"ERROR"))</f>
        <v>91.735690335454649</v>
      </c>
      <c r="AO1067" s="100">
        <f>IF('Net zero activities &amp; levers'!$C$14="Off",('Activity data'!BH5*EF!$H4)*kgtoGg,IF('Net zero activities &amp; levers'!$C$14="On",('Net zero Activity data'!BH5*EF!$H4)*kgtoGg,"ERROR"))</f>
        <v>93.146807436469913</v>
      </c>
      <c r="AP1067" s="100">
        <f>IF('Net zero activities &amp; levers'!$C$14="Off",('Activity data'!BI5*EF!$H4)*kgtoGg,IF('Net zero activities &amp; levers'!$C$14="On",('Net zero Activity data'!BI5*EF!$H4)*kgtoGg,"ERROR"))</f>
        <v>94.585695419644097</v>
      </c>
      <c r="AQ1067" s="100">
        <f>IF('Net zero activities &amp; levers'!$C$14="Off",('Activity data'!BJ5*EF!$H4)*kgtoGg,IF('Net zero activities &amp; levers'!$C$14="On",('Net zero Activity data'!BJ5*EF!$H4)*kgtoGg,"ERROR"))</f>
        <v>96.055057114567845</v>
      </c>
      <c r="AR1067" s="100">
        <f>IF('Net zero activities &amp; levers'!$C$14="Off",('Activity data'!BK5*EF!$H4)*kgtoGg,IF('Net zero activities &amp; levers'!$C$14="On",('Net zero Activity data'!BK5*EF!$H4)*kgtoGg,"ERROR"))</f>
        <v>97.631713330125294</v>
      </c>
      <c r="AS1067" s="100">
        <f>IF('Net zero activities &amp; levers'!$C$14="Off",('Activity data'!BL5*EF!$H4)*kgtoGg,IF('Net zero activities &amp; levers'!$C$14="On",('Net zero Activity data'!BL5*EF!$H4)*kgtoGg,"ERROR"))</f>
        <v>99.221647986031471</v>
      </c>
      <c r="AT1067" s="100">
        <f>IF('Net zero activities &amp; levers'!$C$14="Off",('Activity data'!BM5*EF!$H4)*kgtoGg,IF('Net zero activities &amp; levers'!$C$14="On",('Net zero Activity data'!BM5*EF!$H4)*kgtoGg,"ERROR"))</f>
        <v>100.10303963059988</v>
      </c>
      <c r="AU1067" s="100">
        <f>IF('Net zero activities &amp; levers'!$C$14="Off",('Activity data'!BN5*EF!$H4)*kgtoGg,IF('Net zero activities &amp; levers'!$C$14="On",('Net zero Activity data'!BN5*EF!$H4)*kgtoGg,"ERROR"))</f>
        <v>100.94028877188875</v>
      </c>
      <c r="AV1067" s="100">
        <f>IF('Net zero activities &amp; levers'!$C$14="Off",('Activity data'!BO5*EF!$H4)*kgtoGg,IF('Net zero activities &amp; levers'!$C$14="On",('Net zero Activity data'!BO5*EF!$H4)*kgtoGg,"ERROR"))</f>
        <v>101.88090590078694</v>
      </c>
      <c r="AW1067" s="100">
        <f>IF('Net zero activities &amp; levers'!$C$14="Off",('Activity data'!BP5*EF!$H4)*kgtoGg,IF('Net zero activities &amp; levers'!$C$14="On",('Net zero Activity data'!BP5*EF!$H4)*kgtoGg,"ERROR"))</f>
        <v>102.78584564212758</v>
      </c>
      <c r="AY1067" s="85"/>
    </row>
    <row r="1068" spans="1:52" x14ac:dyDescent="0.25">
      <c r="A1068" s="102" t="str">
        <f t="shared" si="373"/>
        <v>CM Cattle</v>
      </c>
      <c r="B1068" s="102" t="s">
        <v>1323</v>
      </c>
      <c r="C1068" s="102" t="s">
        <v>1109</v>
      </c>
      <c r="D1068" t="s">
        <v>15</v>
      </c>
      <c r="E1068" t="s">
        <v>16</v>
      </c>
      <c r="F1068" t="s">
        <v>6</v>
      </c>
      <c r="G1068" t="s">
        <v>137</v>
      </c>
      <c r="H1068" t="s">
        <v>1021</v>
      </c>
      <c r="I1068" t="s">
        <v>121</v>
      </c>
      <c r="J1068" t="s">
        <v>286</v>
      </c>
      <c r="K1068" s="100">
        <f>IF('Net zero activities &amp; levers'!$C$14="Off",('Activity data'!AD6*EF!$H5)*kgtoGg,IF('Net zero activities &amp; levers'!$C$14="On",('Net zero Activity data'!AD6*EF!$H5)*kgtoGg,"ERROR"))</f>
        <v>57.842346035228502</v>
      </c>
      <c r="L1068" s="100">
        <f>IF('Net zero activities &amp; levers'!$C$14="Off",('Activity data'!AE6*EF!$H5)*kgtoGg,IF('Net zero activities &amp; levers'!$C$14="On",('Net zero Activity data'!AE6*EF!$H5)*kgtoGg,"ERROR"))</f>
        <v>58.232900803215919</v>
      </c>
      <c r="M1068" s="100">
        <f>IF('Net zero activities &amp; levers'!$C$14="Off",('Activity data'!AF6*EF!$H5)*kgtoGg,IF('Net zero activities &amp; levers'!$C$14="On",('Net zero Activity data'!AF6*EF!$H5)*kgtoGg,"ERROR"))</f>
        <v>58.574537295077718</v>
      </c>
      <c r="N1068" s="100">
        <f>IF('Net zero activities &amp; levers'!$C$14="Off",('Activity data'!AG6*EF!$H5)*kgtoGg,IF('Net zero activities &amp; levers'!$C$14="On",('Net zero Activity data'!AG6*EF!$H5)*kgtoGg,"ERROR"))</f>
        <v>58.618728691413338</v>
      </c>
      <c r="O1068" s="100">
        <f>IF('Net zero activities &amp; levers'!$C$14="Off",('Activity data'!AH6*EF!$H5)*kgtoGg,IF('Net zero activities &amp; levers'!$C$14="On",('Net zero Activity data'!AH6*EF!$H5)*kgtoGg,"ERROR"))</f>
        <v>58.6948440387294</v>
      </c>
      <c r="P1068" s="100">
        <f>IF('Net zero activities &amp; levers'!$C$14="Off",('Activity data'!AI6*EF!$H5)*kgtoGg,IF('Net zero activities &amp; levers'!$C$14="On",('Net zero Activity data'!AI6*EF!$H5)*kgtoGg,"ERROR"))</f>
        <v>59.13157986196363</v>
      </c>
      <c r="Q1068" s="100">
        <f>IF('Net zero activities &amp; levers'!$C$14="Off",('Activity data'!AJ6*EF!$H5)*kgtoGg,IF('Net zero activities &amp; levers'!$C$14="On",('Net zero Activity data'!AJ6*EF!$H5)*kgtoGg,"ERROR"))</f>
        <v>59.480808603326388</v>
      </c>
      <c r="R1068" s="100">
        <f>IF('Net zero activities &amp; levers'!$C$14="Off",('Activity data'!AK6*EF!$H5)*kgtoGg,IF('Net zero activities &amp; levers'!$C$14="On",('Net zero Activity data'!AK6*EF!$H5)*kgtoGg,"ERROR"))</f>
        <v>59.483870661930055</v>
      </c>
      <c r="S1068" s="100">
        <f>IF('Net zero activities &amp; levers'!$C$14="Off",('Activity data'!AL6*EF!$H5)*kgtoGg,IF('Net zero activities &amp; levers'!$C$14="On",('Net zero Activity data'!AL6*EF!$H5)*kgtoGg,"ERROR"))</f>
        <v>57.907919713248667</v>
      </c>
      <c r="T1068" s="100">
        <f>IF('Net zero activities &amp; levers'!$C$14="Off",('Activity data'!AM6*EF!$H5)*kgtoGg,IF('Net zero activities &amp; levers'!$C$14="On",('Net zero Activity data'!AM6*EF!$H5)*kgtoGg,"ERROR"))</f>
        <v>58.199898868544878</v>
      </c>
      <c r="U1068" s="100">
        <f>IF('Net zero activities &amp; levers'!$C$14="Off",('Activity data'!AN6*EF!$H5)*kgtoGg,IF('Net zero activities &amp; levers'!$C$14="On",('Net zero Activity data'!AN6*EF!$H5)*kgtoGg,"ERROR"))</f>
        <v>58.29763992253352</v>
      </c>
      <c r="V1068" s="100">
        <f>IF('Net zero activities &amp; levers'!$C$14="Off",('Activity data'!AO6*EF!$H5)*kgtoGg,IF('Net zero activities &amp; levers'!$C$14="On",('Net zero Activity data'!AO6*EF!$H5)*kgtoGg,"ERROR"))</f>
        <v>58.354366230768257</v>
      </c>
      <c r="W1068" s="100">
        <f>IF('Net zero activities &amp; levers'!$C$14="Off",('Activity data'!AP6*EF!$H5)*kgtoGg,IF('Net zero activities &amp; levers'!$C$14="On",('Net zero Activity data'!AP6*EF!$H5)*kgtoGg,"ERROR"))</f>
        <v>58.486359582942647</v>
      </c>
      <c r="X1068" s="100">
        <f>IF('Net zero activities &amp; levers'!$C$14="Off",('Activity data'!AQ6*EF!$H5)*kgtoGg,IF('Net zero activities &amp; levers'!$C$14="On",('Net zero Activity data'!AQ6*EF!$H5)*kgtoGg,"ERROR"))</f>
        <v>58.870252842939301</v>
      </c>
      <c r="Y1068" s="100">
        <f>IF('Net zero activities &amp; levers'!$C$14="Off",('Activity data'!AR6*EF!$H5)*kgtoGg,IF('Net zero activities &amp; levers'!$C$14="On",('Net zero Activity data'!AR6*EF!$H5)*kgtoGg,"ERROR"))</f>
        <v>59.275052984470257</v>
      </c>
      <c r="Z1068" s="100">
        <f>IF('Net zero activities &amp; levers'!$C$14="Off",('Activity data'!AS6*EF!$H5)*kgtoGg,IF('Net zero activities &amp; levers'!$C$14="On",('Net zero Activity data'!AS6*EF!$H5)*kgtoGg,"ERROR"))</f>
        <v>59.741361124417843</v>
      </c>
      <c r="AA1068" s="100">
        <f>IF('Net zero activities &amp; levers'!$C$14="Off",('Activity data'!AT6*EF!$H5)*kgtoGg,IF('Net zero activities &amp; levers'!$C$14="On",('Net zero Activity data'!AT6*EF!$H5)*kgtoGg,"ERROR"))</f>
        <v>60.104685315625169</v>
      </c>
      <c r="AB1068" s="100">
        <f>IF('Net zero activities &amp; levers'!$C$14="Off",('Activity data'!AU6*EF!$H5)*kgtoGg,IF('Net zero activities &amp; levers'!$C$14="On",('Net zero Activity data'!AU6*EF!$H5)*kgtoGg,"ERROR"))</f>
        <v>60.578811537729301</v>
      </c>
      <c r="AC1068" s="100">
        <f>IF('Net zero activities &amp; levers'!$C$14="Off",('Activity data'!AV6*EF!$H5)*kgtoGg,IF('Net zero activities &amp; levers'!$C$14="On",('Net zero Activity data'!AV6*EF!$H5)*kgtoGg,"ERROR"))</f>
        <v>61.188109523080996</v>
      </c>
      <c r="AD1068" s="100">
        <f>IF('Net zero activities &amp; levers'!$C$14="Off",('Activity data'!AW6*EF!$H5)*kgtoGg,IF('Net zero activities &amp; levers'!$C$14="On",('Net zero Activity data'!AW6*EF!$H5)*kgtoGg,"ERROR"))</f>
        <v>62.175952768679387</v>
      </c>
      <c r="AE1068" s="100">
        <f>IF('Net zero activities &amp; levers'!$C$14="Off",('Activity data'!AX6*EF!$H5)*kgtoGg,IF('Net zero activities &amp; levers'!$C$14="On",('Net zero Activity data'!AX6*EF!$H5)*kgtoGg,"ERROR"))</f>
        <v>63.216852322228689</v>
      </c>
      <c r="AF1068" s="100">
        <f>IF('Net zero activities &amp; levers'!$C$14="Off",('Activity data'!AY6*EF!$H5)*kgtoGg,IF('Net zero activities &amp; levers'!$C$14="On",('Net zero Activity data'!AY6*EF!$H5)*kgtoGg,"ERROR"))</f>
        <v>64.288608588868897</v>
      </c>
      <c r="AG1068" s="100">
        <f>IF('Net zero activities &amp; levers'!$C$14="Off",('Activity data'!AZ6*EF!$H5)*kgtoGg,IF('Net zero activities &amp; levers'!$C$14="On",('Net zero Activity data'!AZ6*EF!$H5)*kgtoGg,"ERROR"))</f>
        <v>65.488757685440874</v>
      </c>
      <c r="AH1068" s="100">
        <f>IF('Net zero activities &amp; levers'!$C$14="Off",('Activity data'!BA6*EF!$H5)*kgtoGg,IF('Net zero activities &amp; levers'!$C$14="On",('Net zero Activity data'!BA6*EF!$H5)*kgtoGg,"ERROR"))</f>
        <v>66.561290657942834</v>
      </c>
      <c r="AI1068" s="100">
        <f>IF('Net zero activities &amp; levers'!$C$14="Off",('Activity data'!BB6*EF!$H5)*kgtoGg,IF('Net zero activities &amp; levers'!$C$14="On",('Net zero Activity data'!BB6*EF!$H5)*kgtoGg,"ERROR"))</f>
        <v>67.676019792747468</v>
      </c>
      <c r="AJ1068" s="100">
        <f>IF('Net zero activities &amp; levers'!$C$14="Off",('Activity data'!BC6*EF!$H5)*kgtoGg,IF('Net zero activities &amp; levers'!$C$14="On",('Net zero Activity data'!BC6*EF!$H5)*kgtoGg,"ERROR"))</f>
        <v>68.818661807776905</v>
      </c>
      <c r="AK1068" s="100">
        <f>IF('Net zero activities &amp; levers'!$C$14="Off",('Activity data'!BD6*EF!$H5)*kgtoGg,IF('Net zero activities &amp; levers'!$C$14="On",('Net zero Activity data'!BD6*EF!$H5)*kgtoGg,"ERROR"))</f>
        <v>69.919741514623638</v>
      </c>
      <c r="AL1068" s="100">
        <f>IF('Net zero activities &amp; levers'!$C$14="Off",('Activity data'!BE6*EF!$H5)*kgtoGg,IF('Net zero activities &amp; levers'!$C$14="On",('Net zero Activity data'!BE6*EF!$H5)*kgtoGg,"ERROR"))</f>
        <v>71.025998506426745</v>
      </c>
      <c r="AM1068" s="100">
        <f>IF('Net zero activities &amp; levers'!$C$14="Off",('Activity data'!BF6*EF!$H5)*kgtoGg,IF('Net zero activities &amp; levers'!$C$14="On",('Net zero Activity data'!BF6*EF!$H5)*kgtoGg,"ERROR"))</f>
        <v>72.179953352785944</v>
      </c>
      <c r="AN1068" s="100">
        <f>IF('Net zero activities &amp; levers'!$C$14="Off",('Activity data'!BG6*EF!$H5)*kgtoGg,IF('Net zero activities &amp; levers'!$C$14="On",('Net zero Activity data'!BG6*EF!$H5)*kgtoGg,"ERROR"))</f>
        <v>73.37172378343331</v>
      </c>
      <c r="AO1068" s="100">
        <f>IF('Net zero activities &amp; levers'!$C$14="Off",('Activity data'!BH6*EF!$H5)*kgtoGg,IF('Net zero activities &amp; levers'!$C$14="On",('Net zero Activity data'!BH6*EF!$H5)*kgtoGg,"ERROR"))</f>
        <v>74.500358601388726</v>
      </c>
      <c r="AP1068" s="100">
        <f>IF('Net zero activities &amp; levers'!$C$14="Off",('Activity data'!BI6*EF!$H5)*kgtoGg,IF('Net zero activities &amp; levers'!$C$14="On",('Net zero Activity data'!BI6*EF!$H5)*kgtoGg,"ERROR"))</f>
        <v>75.651205030632369</v>
      </c>
      <c r="AQ1068" s="100">
        <f>IF('Net zero activities &amp; levers'!$C$14="Off",('Activity data'!BJ6*EF!$H5)*kgtoGg,IF('Net zero activities &amp; levers'!$C$14="On",('Net zero Activity data'!BJ6*EF!$H5)*kgtoGg,"ERROR"))</f>
        <v>76.826424839015232</v>
      </c>
      <c r="AR1068" s="100">
        <f>IF('Net zero activities &amp; levers'!$C$14="Off",('Activity data'!BK6*EF!$H5)*kgtoGg,IF('Net zero activities &amp; levers'!$C$14="On",('Net zero Activity data'!BK6*EF!$H5)*kgtoGg,"ERROR"))</f>
        <v>78.087460581225216</v>
      </c>
      <c r="AS1068" s="100">
        <f>IF('Net zero activities &amp; levers'!$C$14="Off",('Activity data'!BL6*EF!$H5)*kgtoGg,IF('Net zero activities &amp; levers'!$C$14="On",('Net zero Activity data'!BL6*EF!$H5)*kgtoGg,"ERROR"))</f>
        <v>79.359116639846121</v>
      </c>
      <c r="AT1068" s="100">
        <f>IF('Net zero activities &amp; levers'!$C$14="Off",('Activity data'!BM6*EF!$H5)*kgtoGg,IF('Net zero activities &amp; levers'!$C$14="On",('Net zero Activity data'!BM6*EF!$H5)*kgtoGg,"ERROR"))</f>
        <v>80.064068268310706</v>
      </c>
      <c r="AU1068" s="100">
        <f>IF('Net zero activities &amp; levers'!$C$14="Off",('Activity data'!BN6*EF!$H5)*kgtoGg,IF('Net zero activities &amp; levers'!$C$14="On",('Net zero Activity data'!BN6*EF!$H5)*kgtoGg,"ERROR"))</f>
        <v>80.73371399188818</v>
      </c>
      <c r="AV1068" s="100">
        <f>IF('Net zero activities &amp; levers'!$C$14="Off",('Activity data'!BO6*EF!$H5)*kgtoGg,IF('Net zero activities &amp; levers'!$C$14="On",('Net zero Activity data'!BO6*EF!$H5)*kgtoGg,"ERROR"))</f>
        <v>81.486035143177432</v>
      </c>
      <c r="AW1068" s="100">
        <f>IF('Net zero activities &amp; levers'!$C$14="Off",('Activity data'!BP6*EF!$H5)*kgtoGg,IF('Net zero activities &amp; levers'!$C$14="On",('Net zero Activity data'!BP6*EF!$H5)*kgtoGg,"ERROR"))</f>
        <v>82.209820929271146</v>
      </c>
      <c r="AY1068" s="85"/>
    </row>
    <row r="1069" spans="1:52" x14ac:dyDescent="0.25">
      <c r="A1069" s="102" t="str">
        <f t="shared" si="373"/>
        <v>CM Cattle</v>
      </c>
      <c r="B1069" s="102" t="s">
        <v>1323</v>
      </c>
      <c r="C1069" s="102" t="s">
        <v>1109</v>
      </c>
      <c r="D1069" t="s">
        <v>15</v>
      </c>
      <c r="E1069" t="s">
        <v>16</v>
      </c>
      <c r="F1069" t="s">
        <v>67</v>
      </c>
      <c r="G1069" t="s">
        <v>307</v>
      </c>
      <c r="H1069" t="s">
        <v>1021</v>
      </c>
      <c r="I1069" t="s">
        <v>121</v>
      </c>
      <c r="J1069" t="s">
        <v>286</v>
      </c>
      <c r="K1069" s="100">
        <f>IF('Net zero activities &amp; levers'!$C$14="Off",('Activity data'!AD7*EF!$H6)*kgtoGg,IF('Net zero activities &amp; levers'!$C$14="On",('Net zero Activity data'!AD7*EF!$H6)*kgtoGg,"ERROR"))</f>
        <v>26.152753652516633</v>
      </c>
      <c r="L1069" s="100">
        <f>IF('Net zero activities &amp; levers'!$C$14="Off",('Activity data'!AE7*EF!$H6)*kgtoGg,IF('Net zero activities &amp; levers'!$C$14="On",('Net zero Activity data'!AE7*EF!$H6)*kgtoGg,"ERROR"))</f>
        <v>26.329338513524345</v>
      </c>
      <c r="M1069" s="100">
        <f>IF('Net zero activities &amp; levers'!$C$14="Off",('Activity data'!AF7*EF!$H6)*kgtoGg,IF('Net zero activities &amp; levers'!$C$14="On",('Net zero Activity data'!AF7*EF!$H6)*kgtoGg,"ERROR"))</f>
        <v>26.483805536783215</v>
      </c>
      <c r="N1069" s="100">
        <f>IF('Net zero activities &amp; levers'!$C$14="Off",('Activity data'!AG7*EF!$H6)*kgtoGg,IF('Net zero activities &amp; levers'!$C$14="On",('Net zero Activity data'!AG7*EF!$H6)*kgtoGg,"ERROR"))</f>
        <v>26.503786170024174</v>
      </c>
      <c r="O1069" s="100">
        <f>IF('Net zero activities &amp; levers'!$C$14="Off",('Activity data'!AH7*EF!$H6)*kgtoGg,IF('Net zero activities &amp; levers'!$C$14="On",('Net zero Activity data'!AH7*EF!$H6)*kgtoGg,"ERROR"))</f>
        <v>26.538200851723289</v>
      </c>
      <c r="P1069" s="100">
        <f>IF('Net zero activities &amp; levers'!$C$14="Off",('Activity data'!AI7*EF!$H6)*kgtoGg,IF('Net zero activities &amp; levers'!$C$14="On",('Net zero Activity data'!AI7*EF!$H6)*kgtoGg,"ERROR"))</f>
        <v>26.735665947439109</v>
      </c>
      <c r="Q1069" s="100">
        <f>IF('Net zero activities &amp; levers'!$C$14="Off",('Activity data'!AJ7*EF!$H6)*kgtoGg,IF('Net zero activities &amp; levers'!$C$14="On",('Net zero Activity data'!AJ7*EF!$H6)*kgtoGg,"ERROR"))</f>
        <v>26.893565719271944</v>
      </c>
      <c r="R1069" s="100">
        <f>IF('Net zero activities &amp; levers'!$C$14="Off",('Activity data'!AK7*EF!$H6)*kgtoGg,IF('Net zero activities &amp; levers'!$C$14="On",('Net zero Activity data'!AK7*EF!$H6)*kgtoGg,"ERROR"))</f>
        <v>26.894950193966014</v>
      </c>
      <c r="S1069" s="100">
        <f>IF('Net zero activities &amp; levers'!$C$14="Off",('Activity data'!AL7*EF!$H6)*kgtoGg,IF('Net zero activities &amp; levers'!$C$14="On",('Net zero Activity data'!AL7*EF!$H6)*kgtoGg,"ERROR"))</f>
        <v>26.182402039293791</v>
      </c>
      <c r="T1069" s="100">
        <f>IF('Net zero activities &amp; levers'!$C$14="Off",('Activity data'!AM7*EF!$H6)*kgtoGg,IF('Net zero activities &amp; levers'!$C$14="On",('Net zero Activity data'!AM7*EF!$H6)*kgtoGg,"ERROR"))</f>
        <v>26.314417067098528</v>
      </c>
      <c r="U1069" s="100">
        <f>IF('Net zero activities &amp; levers'!$C$14="Off",('Activity data'!AN7*EF!$H6)*kgtoGg,IF('Net zero activities &amp; levers'!$C$14="On",('Net zero Activity data'!AN7*EF!$H6)*kgtoGg,"ERROR"))</f>
        <v>26.358609564151561</v>
      </c>
      <c r="V1069" s="100">
        <f>IF('Net zero activities &amp; levers'!$C$14="Off",('Activity data'!AO7*EF!$H6)*kgtoGg,IF('Net zero activities &amp; levers'!$C$14="On",('Net zero Activity data'!AO7*EF!$H6)*kgtoGg,"ERROR"))</f>
        <v>26.384257714106894</v>
      </c>
      <c r="W1069" s="100">
        <f>IF('Net zero activities &amp; levers'!$C$14="Off",('Activity data'!AP7*EF!$H6)*kgtoGg,IF('Net zero activities &amp; levers'!$C$14="On",('Net zero Activity data'!AP7*EF!$H6)*kgtoGg,"ERROR"))</f>
        <v>26.44393699511469</v>
      </c>
      <c r="X1069" s="100">
        <f>IF('Net zero activities &amp; levers'!$C$14="Off",('Activity data'!AQ7*EF!$H6)*kgtoGg,IF('Net zero activities &amp; levers'!$C$14="On",('Net zero Activity data'!AQ7*EF!$H6)*kgtoGg,"ERROR"))</f>
        <v>26.617509931652211</v>
      </c>
      <c r="Y1069" s="100">
        <f>IF('Net zero activities &amp; levers'!$C$14="Off",('Activity data'!AR7*EF!$H6)*kgtoGg,IF('Net zero activities &amp; levers'!$C$14="On",('Net zero Activity data'!AR7*EF!$H6)*kgtoGg,"ERROR"))</f>
        <v>26.800535674998017</v>
      </c>
      <c r="Z1069" s="100">
        <f>IF('Net zero activities &amp; levers'!$C$14="Off",('Activity data'!AS7*EF!$H6)*kgtoGg,IF('Net zero activities &amp; levers'!$C$14="On",('Net zero Activity data'!AS7*EF!$H6)*kgtoGg,"ERROR"))</f>
        <v>27.011371554697376</v>
      </c>
      <c r="AA1069" s="100">
        <f>IF('Net zero activities &amp; levers'!$C$14="Off",('Activity data'!AT7*EF!$H6)*kgtoGg,IF('Net zero activities &amp; levers'!$C$14="On",('Net zero Activity data'!AT7*EF!$H6)*kgtoGg,"ERROR"))</f>
        <v>27.175644422586551</v>
      </c>
      <c r="AB1069" s="100">
        <f>IF('Net zero activities &amp; levers'!$C$14="Off",('Activity data'!AU7*EF!$H6)*kgtoGg,IF('Net zero activities &amp; levers'!$C$14="On",('Net zero Activity data'!AU7*EF!$H6)*kgtoGg,"ERROR"))</f>
        <v>27.390015158506149</v>
      </c>
      <c r="AC1069" s="100">
        <f>IF('Net zero activities &amp; levers'!$C$14="Off",('Activity data'!AV7*EF!$H6)*kgtoGg,IF('Net zero activities &amp; levers'!$C$14="On",('Net zero Activity data'!AV7*EF!$H6)*kgtoGg,"ERROR"))</f>
        <v>27.665502257562824</v>
      </c>
      <c r="AD1069" s="100">
        <f>IF('Net zero activities &amp; levers'!$C$14="Off",('Activity data'!AW7*EF!$H6)*kgtoGg,IF('Net zero activities &amp; levers'!$C$14="On",('Net zero Activity data'!AW7*EF!$H6)*kgtoGg,"ERROR"))</f>
        <v>28.112144256379793</v>
      </c>
      <c r="AE1069" s="100">
        <f>IF('Net zero activities &amp; levers'!$C$14="Off",('Activity data'!AX7*EF!$H6)*kgtoGg,IF('Net zero activities &amp; levers'!$C$14="On",('Net zero Activity data'!AX7*EF!$H6)*kgtoGg,"ERROR"))</f>
        <v>28.582775056596819</v>
      </c>
      <c r="AF1069" s="100">
        <f>IF('Net zero activities &amp; levers'!$C$14="Off",('Activity data'!AY7*EF!$H6)*kgtoGg,IF('Net zero activities &amp; levers'!$C$14="On",('Net zero Activity data'!AY7*EF!$H6)*kgtoGg,"ERROR"))</f>
        <v>29.067357365895106</v>
      </c>
      <c r="AG1069" s="100">
        <f>IF('Net zero activities &amp; levers'!$C$14="Off",('Activity data'!AZ7*EF!$H6)*kgtoGg,IF('Net zero activities &amp; levers'!$C$14="On",('Net zero Activity data'!AZ7*EF!$H6)*kgtoGg,"ERROR"))</f>
        <v>29.609991021345767</v>
      </c>
      <c r="AH1069" s="100">
        <f>IF('Net zero activities &amp; levers'!$C$14="Off",('Activity data'!BA7*EF!$H6)*kgtoGg,IF('Net zero activities &amp; levers'!$C$14="On",('Net zero Activity data'!BA7*EF!$H6)*kgtoGg,"ERROR"))</f>
        <v>30.094924509295261</v>
      </c>
      <c r="AI1069" s="100">
        <f>IF('Net zero activities &amp; levers'!$C$14="Off",('Activity data'!BB7*EF!$H6)*kgtoGg,IF('Net zero activities &amp; levers'!$C$14="On",('Net zero Activity data'!BB7*EF!$H6)*kgtoGg,"ERROR"))</f>
        <v>30.598936508291171</v>
      </c>
      <c r="AJ1069" s="100">
        <f>IF('Net zero activities &amp; levers'!$C$14="Off",('Activity data'!BC7*EF!$H6)*kgtoGg,IF('Net zero activities &amp; levers'!$C$14="On",('Net zero Activity data'!BC7*EF!$H6)*kgtoGg,"ERROR"))</f>
        <v>31.115568996086179</v>
      </c>
      <c r="AK1069" s="100">
        <f>IF('Net zero activities &amp; levers'!$C$14="Off",('Activity data'!BD7*EF!$H6)*kgtoGg,IF('Net zero activities &amp; levers'!$C$14="On",('Net zero Activity data'!BD7*EF!$H6)*kgtoGg,"ERROR"))</f>
        <v>31.613409562708593</v>
      </c>
      <c r="AL1069" s="100">
        <f>IF('Net zero activities &amp; levers'!$C$14="Off",('Activity data'!BE7*EF!$H6)*kgtoGg,IF('Net zero activities &amp; levers'!$C$14="On",('Net zero Activity data'!BE7*EF!$H6)*kgtoGg,"ERROR"))</f>
        <v>32.113590979371402</v>
      </c>
      <c r="AM1069" s="100">
        <f>IF('Net zero activities &amp; levers'!$C$14="Off",('Activity data'!BF7*EF!$H6)*kgtoGg,IF('Net zero activities &amp; levers'!$C$14="On",('Net zero Activity data'!BF7*EF!$H6)*kgtoGg,"ERROR"))</f>
        <v>32.635338434161341</v>
      </c>
      <c r="AN1069" s="100">
        <f>IF('Net zero activities &amp; levers'!$C$14="Off",('Activity data'!BG7*EF!$H6)*kgtoGg,IF('Net zero activities &amp; levers'!$C$14="On",('Net zero Activity data'!BG7*EF!$H6)*kgtoGg,"ERROR"))</f>
        <v>33.174183771867597</v>
      </c>
      <c r="AO1069" s="100">
        <f>IF('Net zero activities &amp; levers'!$C$14="Off",('Activity data'!BH7*EF!$H6)*kgtoGg,IF('Net zero activities &amp; levers'!$C$14="On",('Net zero Activity data'!BH7*EF!$H6)*kgtoGg,"ERROR"))</f>
        <v>33.684483066084731</v>
      </c>
      <c r="AP1069" s="100">
        <f>IF('Net zero activities &amp; levers'!$C$14="Off",('Activity data'!BI7*EF!$H6)*kgtoGg,IF('Net zero activities &amp; levers'!$C$14="On",('Net zero Activity data'!BI7*EF!$H6)*kgtoGg,"ERROR"))</f>
        <v>34.204825085710922</v>
      </c>
      <c r="AQ1069" s="100">
        <f>IF('Net zero activities &amp; levers'!$C$14="Off",('Activity data'!BJ7*EF!$H6)*kgtoGg,IF('Net zero activities &amp; levers'!$C$14="On",('Net zero Activity data'!BJ7*EF!$H6)*kgtoGg,"ERROR"))</f>
        <v>34.736187249297366</v>
      </c>
      <c r="AR1069" s="100">
        <f>IF('Net zero activities &amp; levers'!$C$14="Off",('Activity data'!BK7*EF!$H6)*kgtoGg,IF('Net zero activities &amp; levers'!$C$14="On",('Net zero Activity data'!BK7*EF!$H6)*kgtoGg,"ERROR"))</f>
        <v>35.306350103565933</v>
      </c>
      <c r="AS1069" s="100">
        <f>IF('Net zero activities &amp; levers'!$C$14="Off",('Activity data'!BL7*EF!$H6)*kgtoGg,IF('Net zero activities &amp; levers'!$C$14="On",('Net zero Activity data'!BL7*EF!$H6)*kgtoGg,"ERROR"))</f>
        <v>35.881314812147913</v>
      </c>
      <c r="AT1069" s="100">
        <f>IF('Net zero activities &amp; levers'!$C$14="Off",('Activity data'!BM7*EF!$H6)*kgtoGg,IF('Net zero activities &amp; levers'!$C$14="On",('Net zero Activity data'!BM7*EF!$H6)*kgtoGg,"ERROR"))</f>
        <v>36.200050609360311</v>
      </c>
      <c r="AU1069" s="100">
        <f>IF('Net zero activities &amp; levers'!$C$14="Off",('Activity data'!BN7*EF!$H6)*kgtoGg,IF('Net zero activities &amp; levers'!$C$14="On",('Net zero Activity data'!BN7*EF!$H6)*kgtoGg,"ERROR"))</f>
        <v>36.50282324642653</v>
      </c>
      <c r="AV1069" s="100">
        <f>IF('Net zero activities &amp; levers'!$C$14="Off",('Activity data'!BO7*EF!$H6)*kgtoGg,IF('Net zero activities &amp; levers'!$C$14="On",('Net zero Activity data'!BO7*EF!$H6)*kgtoGg,"ERROR"))</f>
        <v>36.842976630337738</v>
      </c>
      <c r="AW1069" s="100">
        <f>IF('Net zero activities &amp; levers'!$C$14="Off",('Activity data'!BP7*EF!$H6)*kgtoGg,IF('Net zero activities &amp; levers'!$C$14="On",('Net zero Activity data'!BP7*EF!$H6)*kgtoGg,"ERROR"))</f>
        <v>37.170228076006516</v>
      </c>
      <c r="AY1069" s="85"/>
    </row>
    <row r="1070" spans="1:52" x14ac:dyDescent="0.25">
      <c r="A1070" s="102" t="str">
        <f t="shared" si="373"/>
        <v>CM Cattle</v>
      </c>
      <c r="B1070" s="102" t="s">
        <v>1323</v>
      </c>
      <c r="C1070" s="102" t="s">
        <v>1109</v>
      </c>
      <c r="D1070" t="s">
        <v>15</v>
      </c>
      <c r="E1070" t="s">
        <v>16</v>
      </c>
      <c r="F1070" t="s">
        <v>67</v>
      </c>
      <c r="G1070" t="s">
        <v>122</v>
      </c>
      <c r="H1070" t="s">
        <v>1021</v>
      </c>
      <c r="I1070" t="s">
        <v>121</v>
      </c>
      <c r="J1070" t="s">
        <v>286</v>
      </c>
      <c r="K1070" s="100">
        <f>IF('Net zero activities &amp; levers'!$C$14="Off",('Activity data'!AD8*EF!$H7)*kgtoGg,IF('Net zero activities &amp; levers'!$C$14="On",('Net zero Activity data'!AD8*EF!$H7)*kgtoGg,"ERROR"))</f>
        <v>465.52056336079949</v>
      </c>
      <c r="L1070" s="100">
        <f>IF('Net zero activities &amp; levers'!$C$14="Off",('Activity data'!AE8*EF!$H7)*kgtoGg,IF('Net zero activities &amp; levers'!$C$14="On",('Net zero Activity data'!AE8*EF!$H7)*kgtoGg,"ERROR"))</f>
        <v>463.15049709319385</v>
      </c>
      <c r="M1070" s="100">
        <f>IF('Net zero activities &amp; levers'!$C$14="Off",('Activity data'!AF8*EF!$H7)*kgtoGg,IF('Net zero activities &amp; levers'!$C$14="On",('Net zero Activity data'!AF8*EF!$H7)*kgtoGg,"ERROR"))</f>
        <v>458.82469207652616</v>
      </c>
      <c r="N1070" s="100">
        <f>IF('Net zero activities &amp; levers'!$C$14="Off",('Activity data'!AG8*EF!$H7)*kgtoGg,IF('Net zero activities &amp; levers'!$C$14="On",('Net zero Activity data'!AG8*EF!$H7)*kgtoGg,"ERROR"))</f>
        <v>446.98374150991339</v>
      </c>
      <c r="O1070" s="100">
        <f>IF('Net zero activities &amp; levers'!$C$14="Off",('Activity data'!AH8*EF!$H7)*kgtoGg,IF('Net zero activities &amp; levers'!$C$14="On",('Net zero Activity data'!AH8*EF!$H7)*kgtoGg,"ERROR"))</f>
        <v>435.61531631652565</v>
      </c>
      <c r="P1070" s="100">
        <f>IF('Net zero activities &amp; levers'!$C$14="Off",('Activity data'!AI8*EF!$H7)*kgtoGg,IF('Net zero activities &amp; levers'!$C$14="On",('Net zero Activity data'!AI8*EF!$H7)*kgtoGg,"ERROR"))</f>
        <v>431.8940518676672</v>
      </c>
      <c r="Q1070" s="100">
        <f>IF('Net zero activities &amp; levers'!$C$14="Off",('Activity data'!AJ8*EF!$H7)*kgtoGg,IF('Net zero activities &amp; levers'!$C$14="On",('Net zero Activity data'!AJ8*EF!$H7)*kgtoGg,"ERROR"))</f>
        <v>425.88381386723944</v>
      </c>
      <c r="R1070" s="100">
        <f>IF('Net zero activities &amp; levers'!$C$14="Off",('Activity data'!AK8*EF!$H7)*kgtoGg,IF('Net zero activities &amp; levers'!$C$14="On",('Net zero Activity data'!AK8*EF!$H7)*kgtoGg,"ERROR"))</f>
        <v>412.37997971855566</v>
      </c>
      <c r="S1070" s="100">
        <f>IF('Net zero activities &amp; levers'!$C$14="Off",('Activity data'!AL8*EF!$H7)*kgtoGg,IF('Net zero activities &amp; levers'!$C$14="On",('Net zero Activity data'!AL8*EF!$H7)*kgtoGg,"ERROR"))</f>
        <v>367.07322936568551</v>
      </c>
      <c r="T1070" s="100">
        <f>IF('Net zero activities &amp; levers'!$C$14="Off",('Activity data'!AM8*EF!$H7)*kgtoGg,IF('Net zero activities &amp; levers'!$C$14="On",('Net zero Activity data'!AM8*EF!$H7)*kgtoGg,"ERROR"))</f>
        <v>366.51408233747708</v>
      </c>
      <c r="U1070" s="100">
        <f>IF('Net zero activities &amp; levers'!$C$14="Off",('Activity data'!AN8*EF!$H7)*kgtoGg,IF('Net zero activities &amp; levers'!$C$14="On",('Net zero Activity data'!AN8*EF!$H7)*kgtoGg,"ERROR"))</f>
        <v>361.74651888828032</v>
      </c>
      <c r="V1070" s="100">
        <f>IF('Net zero activities &amp; levers'!$C$14="Off",('Activity data'!AO8*EF!$H7)*kgtoGg,IF('Net zero activities &amp; levers'!$C$14="On",('Net zero Activity data'!AO8*EF!$H7)*kgtoGg,"ERROR"))</f>
        <v>355.97160763210996</v>
      </c>
      <c r="W1070" s="100">
        <f>IF('Net zero activities &amp; levers'!$C$14="Off",('Activity data'!AP8*EF!$H7)*kgtoGg,IF('Net zero activities &amp; levers'!$C$14="On",('Net zero Activity data'!AP8*EF!$H7)*kgtoGg,"ERROR"))</f>
        <v>351.36352987179083</v>
      </c>
      <c r="X1070" s="100">
        <f>IF('Net zero activities &amp; levers'!$C$14="Off",('Activity data'!AQ8*EF!$H7)*kgtoGg,IF('Net zero activities &amp; levers'!$C$14="On",('Net zero Activity data'!AQ8*EF!$H7)*kgtoGg,"ERROR"))</f>
        <v>350.87800323023703</v>
      </c>
      <c r="Y1070" s="100">
        <f>IF('Net zero activities &amp; levers'!$C$14="Off",('Activity data'!AR8*EF!$H7)*kgtoGg,IF('Net zero activities &amp; levers'!$C$14="On",('Net zero Activity data'!AR8*EF!$H7)*kgtoGg,"ERROR"))</f>
        <v>350.9013133501698</v>
      </c>
      <c r="Z1070" s="100">
        <f>IF('Net zero activities &amp; levers'!$C$14="Off",('Activity data'!AS8*EF!$H7)*kgtoGg,IF('Net zero activities &amp; levers'!$C$14="On",('Net zero Activity data'!AS8*EF!$H7)*kgtoGg,"ERROR"))</f>
        <v>351.40810690653524</v>
      </c>
      <c r="AA1070" s="100">
        <f>IF('Net zero activities &amp; levers'!$C$14="Off",('Activity data'!AT8*EF!$H7)*kgtoGg,IF('Net zero activities &amp; levers'!$C$14="On",('Net zero Activity data'!AT8*EF!$H7)*kgtoGg,"ERROR"))</f>
        <v>349.74834175859473</v>
      </c>
      <c r="AB1070" s="100">
        <f>IF('Net zero activities &amp; levers'!$C$14="Off",('Activity data'!AU8*EF!$H7)*kgtoGg,IF('Net zero activities &amp; levers'!$C$14="On",('Net zero Activity data'!AU8*EF!$H7)*kgtoGg,"ERROR"))</f>
        <v>349.36416360988835</v>
      </c>
      <c r="AC1070" s="100">
        <f>IF('Net zero activities &amp; levers'!$C$14="Off",('Activity data'!AV8*EF!$H7)*kgtoGg,IF('Net zero activities &amp; levers'!$C$14="On",('Net zero Activity data'!AV8*EF!$H7)*kgtoGg,"ERROR"))</f>
        <v>350.47881085875036</v>
      </c>
      <c r="AD1070" s="100">
        <f>IF('Net zero activities &amp; levers'!$C$14="Off",('Activity data'!AW8*EF!$H7)*kgtoGg,IF('Net zero activities &amp; levers'!$C$14="On",('Net zero Activity data'!AW8*EF!$H7)*kgtoGg,"ERROR"))</f>
        <v>352.46380494221881</v>
      </c>
      <c r="AE1070" s="100">
        <f>IF('Net zero activities &amp; levers'!$C$14="Off",('Activity data'!AX8*EF!$H7)*kgtoGg,IF('Net zero activities &amp; levers'!$C$14="On",('Net zero Activity data'!AX8*EF!$H7)*kgtoGg,"ERROR"))</f>
        <v>354.43685940599278</v>
      </c>
      <c r="AF1070" s="100">
        <f>IF('Net zero activities &amp; levers'!$C$14="Off",('Activity data'!AY8*EF!$H7)*kgtoGg,IF('Net zero activities &amp; levers'!$C$14="On",('Net zero Activity data'!AY8*EF!$H7)*kgtoGg,"ERROR"))</f>
        <v>356.0651727008642</v>
      </c>
      <c r="AG1070" s="100">
        <f>IF('Net zero activities &amp; levers'!$C$14="Off",('Activity data'!AZ8*EF!$H7)*kgtoGg,IF('Net zero activities &amp; levers'!$C$14="On",('Net zero Activity data'!AZ8*EF!$H7)*kgtoGg,"ERROR"))</f>
        <v>358.59111814956049</v>
      </c>
      <c r="AH1070" s="100">
        <f>IF('Net zero activities &amp; levers'!$C$14="Off",('Activity data'!BA8*EF!$H7)*kgtoGg,IF('Net zero activities &amp; levers'!$C$14="On",('Net zero Activity data'!BA8*EF!$H7)*kgtoGg,"ERROR"))</f>
        <v>358.71915574628997</v>
      </c>
      <c r="AI1070" s="100">
        <f>IF('Net zero activities &amp; levers'!$C$14="Off",('Activity data'!BB8*EF!$H7)*kgtoGg,IF('Net zero activities &amp; levers'!$C$14="On",('Net zero Activity data'!BB8*EF!$H7)*kgtoGg,"ERROR"))</f>
        <v>359.01069497492028</v>
      </c>
      <c r="AJ1070" s="100">
        <f>IF('Net zero activities &amp; levers'!$C$14="Off",('Activity data'!BC8*EF!$H7)*kgtoGg,IF('Net zero activities &amp; levers'!$C$14="On",('Net zero Activity data'!BC8*EF!$H7)*kgtoGg,"ERROR"))</f>
        <v>358.92755506897754</v>
      </c>
      <c r="AK1070" s="100">
        <f>IF('Net zero activities &amp; levers'!$C$14="Off",('Activity data'!BD8*EF!$H7)*kgtoGg,IF('Net zero activities &amp; levers'!$C$14="On",('Net zero Activity data'!BD8*EF!$H7)*kgtoGg,"ERROR"))</f>
        <v>357.70396172773826</v>
      </c>
      <c r="AL1070" s="100">
        <f>IF('Net zero activities &amp; levers'!$C$14="Off",('Activity data'!BE8*EF!$H7)*kgtoGg,IF('Net zero activities &amp; levers'!$C$14="On",('Net zero Activity data'!BE8*EF!$H7)*kgtoGg,"ERROR"))</f>
        <v>355.92259839644197</v>
      </c>
      <c r="AM1070" s="100">
        <f>IF('Net zero activities &amp; levers'!$C$14="Off",('Activity data'!BF8*EF!$H7)*kgtoGg,IF('Net zero activities &amp; levers'!$C$14="On",('Net zero Activity data'!BF8*EF!$H7)*kgtoGg,"ERROR"))</f>
        <v>354.04374509834804</v>
      </c>
      <c r="AN1070" s="100">
        <f>IF('Net zero activities &amp; levers'!$C$14="Off",('Activity data'!BG8*EF!$H7)*kgtoGg,IF('Net zero activities &amp; levers'!$C$14="On",('Net zero Activity data'!BG8*EF!$H7)*kgtoGg,"ERROR"))</f>
        <v>356.61006956043531</v>
      </c>
      <c r="AO1070" s="100">
        <f>IF('Net zero activities &amp; levers'!$C$14="Off",('Activity data'!BH8*EF!$H7)*kgtoGg,IF('Net zero activities &amp; levers'!$C$14="On",('Net zero Activity data'!BH8*EF!$H7)*kgtoGg,"ERROR"))</f>
        <v>358.0627941974372</v>
      </c>
      <c r="AP1070" s="100">
        <f>IF('Net zero activities &amp; levers'!$C$14="Off",('Activity data'!BI8*EF!$H7)*kgtoGg,IF('Net zero activities &amp; levers'!$C$14="On",('Net zero Activity data'!BI8*EF!$H7)*kgtoGg,"ERROR"))</f>
        <v>359.27198392574047</v>
      </c>
      <c r="AQ1070" s="100">
        <f>IF('Net zero activities &amp; levers'!$C$14="Off",('Activity data'!BJ8*EF!$H7)*kgtoGg,IF('Net zero activities &amp; levers'!$C$14="On",('Net zero Activity data'!BJ8*EF!$H7)*kgtoGg,"ERROR"))</f>
        <v>360.25652970840838</v>
      </c>
      <c r="AR1070" s="100">
        <f>IF('Net zero activities &amp; levers'!$C$14="Off",('Activity data'!BK8*EF!$H7)*kgtoGg,IF('Net zero activities &amp; levers'!$C$14="On",('Net zero Activity data'!BK8*EF!$H7)*kgtoGg,"ERROR"))</f>
        <v>361.55957075423362</v>
      </c>
      <c r="AS1070" s="100">
        <f>IF('Net zero activities &amp; levers'!$C$14="Off",('Activity data'!BL8*EF!$H7)*kgtoGg,IF('Net zero activities &amp; levers'!$C$14="On",('Net zero Activity data'!BL8*EF!$H7)*kgtoGg,"ERROR"))</f>
        <v>362.70695732422104</v>
      </c>
      <c r="AT1070" s="100">
        <f>IF('Net zero activities &amp; levers'!$C$14="Off",('Activity data'!BM8*EF!$H7)*kgtoGg,IF('Net zero activities &amp; levers'!$C$14="On",('Net zero Activity data'!BM8*EF!$H7)*kgtoGg,"ERROR"))</f>
        <v>358.63237704526551</v>
      </c>
      <c r="AU1070" s="100">
        <f>IF('Net zero activities &amp; levers'!$C$14="Off",('Activity data'!BN8*EF!$H7)*kgtoGg,IF('Net zero activities &amp; levers'!$C$14="On",('Net zero Activity data'!BN8*EF!$H7)*kgtoGg,"ERROR"))</f>
        <v>354.08893538727949</v>
      </c>
      <c r="AV1070" s="100">
        <f>IF('Net zero activities &amp; levers'!$C$14="Off",('Activity data'!BO8*EF!$H7)*kgtoGg,IF('Net zero activities &amp; levers'!$C$14="On",('Net zero Activity data'!BO8*EF!$H7)*kgtoGg,"ERROR"))</f>
        <v>350.04293179338441</v>
      </c>
      <c r="AW1070" s="100">
        <f>IF('Net zero activities &amp; levers'!$C$14="Off",('Activity data'!BP8*EF!$H7)*kgtoGg,IF('Net zero activities &amp; levers'!$C$14="On",('Net zero Activity data'!BP8*EF!$H7)*kgtoGg,"ERROR"))</f>
        <v>345.59115341749447</v>
      </c>
      <c r="AY1070" s="85"/>
    </row>
    <row r="1071" spans="1:52" x14ac:dyDescent="0.25">
      <c r="A1071" s="102" t="str">
        <f t="shared" si="373"/>
        <v>CM Cattle</v>
      </c>
      <c r="B1071" s="102" t="s">
        <v>1323</v>
      </c>
      <c r="C1071" s="102" t="s">
        <v>1109</v>
      </c>
      <c r="D1071" t="s">
        <v>15</v>
      </c>
      <c r="E1071" t="s">
        <v>16</v>
      </c>
      <c r="F1071" t="s">
        <v>67</v>
      </c>
      <c r="G1071" t="s">
        <v>123</v>
      </c>
      <c r="H1071" t="s">
        <v>1021</v>
      </c>
      <c r="I1071" t="s">
        <v>121</v>
      </c>
      <c r="J1071" t="s">
        <v>286</v>
      </c>
      <c r="K1071" s="100">
        <f>IF('Net zero activities &amp; levers'!$C$14="Off",('Activity data'!AD9*EF!$H8)*kgtoGg,IF('Net zero activities &amp; levers'!$C$14="On",('Net zero Activity data'!AD9*EF!$H8)*kgtoGg,"ERROR"))</f>
        <v>327.80986528142375</v>
      </c>
      <c r="L1071" s="100">
        <f>IF('Net zero activities &amp; levers'!$C$14="Off",('Activity data'!AE9*EF!$H8)*kgtoGg,IF('Net zero activities &amp; levers'!$C$14="On",('Net zero Activity data'!AE9*EF!$H8)*kgtoGg,"ERROR"))</f>
        <v>326.14091407917653</v>
      </c>
      <c r="M1071" s="100">
        <f>IF('Net zero activities &amp; levers'!$C$14="Off",('Activity data'!AF9*EF!$H8)*kgtoGg,IF('Net zero activities &amp; levers'!$C$14="On",('Net zero Activity data'!AF9*EF!$H8)*kgtoGg,"ERROR"))</f>
        <v>323.0947724662044</v>
      </c>
      <c r="N1071" s="100">
        <f>IF('Net zero activities &amp; levers'!$C$14="Off",('Activity data'!AG9*EF!$H8)*kgtoGg,IF('Net zero activities &amp; levers'!$C$14="On",('Net zero Activity data'!AG9*EF!$H8)*kgtoGg,"ERROR"))</f>
        <v>314.75662219842133</v>
      </c>
      <c r="O1071" s="100">
        <f>IF('Net zero activities &amp; levers'!$C$14="Off",('Activity data'!AH9*EF!$H8)*kgtoGg,IF('Net zero activities &amp; levers'!$C$14="On",('Net zero Activity data'!AH9*EF!$H8)*kgtoGg,"ERROR"))</f>
        <v>306.75121443683565</v>
      </c>
      <c r="P1071" s="100">
        <f>IF('Net zero activities &amp; levers'!$C$14="Off",('Activity data'!AI9*EF!$H8)*kgtoGg,IF('Net zero activities &amp; levers'!$C$14="On",('Net zero Activity data'!AI9*EF!$H8)*kgtoGg,"ERROR"))</f>
        <v>304.13077767492297</v>
      </c>
      <c r="Q1071" s="100">
        <f>IF('Net zero activities &amp; levers'!$C$14="Off",('Activity data'!AJ9*EF!$H8)*kgtoGg,IF('Net zero activities &amp; levers'!$C$14="On",('Net zero Activity data'!AJ9*EF!$H8)*kgtoGg,"ERROR"))</f>
        <v>299.89849350898703</v>
      </c>
      <c r="R1071" s="100">
        <f>IF('Net zero activities &amp; levers'!$C$14="Off",('Activity data'!AK9*EF!$H8)*kgtoGg,IF('Net zero activities &amp; levers'!$C$14="On",('Net zero Activity data'!AK9*EF!$H8)*kgtoGg,"ERROR"))</f>
        <v>290.38937532717256</v>
      </c>
      <c r="S1071" s="100">
        <f>IF('Net zero activities &amp; levers'!$C$14="Off",('Activity data'!AL9*EF!$H8)*kgtoGg,IF('Net zero activities &amp; levers'!$C$14="On",('Net zero Activity data'!AL9*EF!$H8)*kgtoGg,"ERROR"))</f>
        <v>258.48530728280883</v>
      </c>
      <c r="T1071" s="100">
        <f>IF('Net zero activities &amp; levers'!$C$14="Off",('Activity data'!AM9*EF!$H8)*kgtoGg,IF('Net zero activities &amp; levers'!$C$14="On",('Net zero Activity data'!AM9*EF!$H8)*kgtoGg,"ERROR"))</f>
        <v>258.09156761497064</v>
      </c>
      <c r="U1071" s="100">
        <f>IF('Net zero activities &amp; levers'!$C$14="Off",('Activity data'!AN9*EF!$H8)*kgtoGg,IF('Net zero activities &amp; levers'!$C$14="On",('Net zero Activity data'!AN9*EF!$H8)*kgtoGg,"ERROR"))</f>
        <v>254.734348933332</v>
      </c>
      <c r="V1071" s="100">
        <f>IF('Net zero activities &amp; levers'!$C$14="Off",('Activity data'!AO9*EF!$H8)*kgtoGg,IF('Net zero activities &amp; levers'!$C$14="On",('Net zero Activity data'!AO9*EF!$H8)*kgtoGg,"ERROR"))</f>
        <v>250.66777694942124</v>
      </c>
      <c r="W1071" s="100">
        <f>IF('Net zero activities &amp; levers'!$C$14="Off",('Activity data'!AP9*EF!$H8)*kgtoGg,IF('Net zero activities &amp; levers'!$C$14="On",('Net zero Activity data'!AP9*EF!$H8)*kgtoGg,"ERROR"))</f>
        <v>247.42286476141595</v>
      </c>
      <c r="X1071" s="100">
        <f>IF('Net zero activities &amp; levers'!$C$14="Off",('Activity data'!AQ9*EF!$H8)*kgtoGg,IF('Net zero activities &amp; levers'!$C$14="On",('Net zero Activity data'!AQ9*EF!$H8)*kgtoGg,"ERROR"))</f>
        <v>247.08096703339891</v>
      </c>
      <c r="Y1071" s="100">
        <f>IF('Net zero activities &amp; levers'!$C$14="Off",('Activity data'!AR9*EF!$H8)*kgtoGg,IF('Net zero activities &amp; levers'!$C$14="On",('Net zero Activity data'!AR9*EF!$H8)*kgtoGg,"ERROR"))</f>
        <v>247.09738153337221</v>
      </c>
      <c r="Z1071" s="100">
        <f>IF('Net zero activities &amp; levers'!$C$14="Off",('Activity data'!AS9*EF!$H8)*kgtoGg,IF('Net zero activities &amp; levers'!$C$14="On",('Net zero Activity data'!AS9*EF!$H8)*kgtoGg,"ERROR"))</f>
        <v>247.45425497895809</v>
      </c>
      <c r="AA1071" s="100">
        <f>IF('Net zero activities &amp; levers'!$C$14="Off",('Activity data'!AT9*EF!$H8)*kgtoGg,IF('Net zero activities &amp; levers'!$C$14="On",('Net zero Activity data'!AT9*EF!$H8)*kgtoGg,"ERROR"))</f>
        <v>246.28548300115935</v>
      </c>
      <c r="AB1071" s="100">
        <f>IF('Net zero activities &amp; levers'!$C$14="Off",('Activity data'!AU9*EF!$H8)*kgtoGg,IF('Net zero activities &amp; levers'!$C$14="On",('Net zero Activity data'!AU9*EF!$H8)*kgtoGg,"ERROR"))</f>
        <v>246.01495276665733</v>
      </c>
      <c r="AC1071" s="100">
        <f>IF('Net zero activities &amp; levers'!$C$14="Off",('Activity data'!AV9*EF!$H8)*kgtoGg,IF('Net zero activities &amp; levers'!$C$14="On",('Net zero Activity data'!AV9*EF!$H8)*kgtoGg,"ERROR"))</f>
        <v>246.79986409656257</v>
      </c>
      <c r="AD1071" s="100">
        <f>IF('Net zero activities &amp; levers'!$C$14="Off",('Activity data'!AW9*EF!$H8)*kgtoGg,IF('Net zero activities &amp; levers'!$C$14="On",('Net zero Activity data'!AW9*EF!$H8)*kgtoGg,"ERROR"))</f>
        <v>248.19765550321605</v>
      </c>
      <c r="AE1071" s="100">
        <f>IF('Net zero activities &amp; levers'!$C$14="Off",('Activity data'!AX9*EF!$H8)*kgtoGg,IF('Net zero activities &amp; levers'!$C$14="On",('Net zero Activity data'!AX9*EF!$H8)*kgtoGg,"ERROR"))</f>
        <v>249.58703927886114</v>
      </c>
      <c r="AF1071" s="100">
        <f>IF('Net zero activities &amp; levers'!$C$14="Off",('Activity data'!AY9*EF!$H8)*kgtoGg,IF('Net zero activities &amp; levers'!$C$14="On",('Net zero Activity data'!AY9*EF!$H8)*kgtoGg,"ERROR"))</f>
        <v>250.73366351813033</v>
      </c>
      <c r="AG1071" s="100">
        <f>IF('Net zero activities &amp; levers'!$C$14="Off",('Activity data'!AZ9*EF!$H8)*kgtoGg,IF('Net zero activities &amp; levers'!$C$14="On",('Net zero Activity data'!AZ9*EF!$H8)*kgtoGg,"ERROR"))</f>
        <v>252.51238158649545</v>
      </c>
      <c r="AH1071" s="100">
        <f>IF('Net zero activities &amp; levers'!$C$14="Off",('Activity data'!BA9*EF!$H8)*kgtoGg,IF('Net zero activities &amp; levers'!$C$14="On",('Net zero Activity data'!BA9*EF!$H8)*kgtoGg,"ERROR"))</f>
        <v>252.60254298996134</v>
      </c>
      <c r="AI1071" s="100">
        <f>IF('Net zero activities &amp; levers'!$C$14="Off",('Activity data'!BB9*EF!$H8)*kgtoGg,IF('Net zero activities &amp; levers'!$C$14="On",('Net zero Activity data'!BB9*EF!$H8)*kgtoGg,"ERROR"))</f>
        <v>252.80783883032467</v>
      </c>
      <c r="AJ1071" s="100">
        <f>IF('Net zero activities &amp; levers'!$C$14="Off",('Activity data'!BC9*EF!$H8)*kgtoGg,IF('Net zero activities &amp; levers'!$C$14="On",('Net zero Activity data'!BC9*EF!$H8)*kgtoGg,"ERROR"))</f>
        <v>252.74929344369372</v>
      </c>
      <c r="AK1071" s="100">
        <f>IF('Net zero activities &amp; levers'!$C$14="Off",('Activity data'!BD9*EF!$H8)*kgtoGg,IF('Net zero activities &amp; levers'!$C$14="On",('Net zero Activity data'!BD9*EF!$H8)*kgtoGg,"ERROR"))</f>
        <v>251.88766454924675</v>
      </c>
      <c r="AL1071" s="100">
        <f>IF('Net zero activities &amp; levers'!$C$14="Off",('Activity data'!BE9*EF!$H8)*kgtoGg,IF('Net zero activities &amp; levers'!$C$14="On",('Net zero Activity data'!BE9*EF!$H8)*kgtoGg,"ERROR"))</f>
        <v>250.63326566848909</v>
      </c>
      <c r="AM1071" s="100">
        <f>IF('Net zero activities &amp; levers'!$C$14="Off",('Activity data'!BF9*EF!$H8)*kgtoGg,IF('Net zero activities &amp; levers'!$C$14="On",('Net zero Activity data'!BF9*EF!$H8)*kgtoGg,"ERROR"))</f>
        <v>249.31021638773285</v>
      </c>
      <c r="AN1071" s="100">
        <f>IF('Net zero activities &amp; levers'!$C$14="Off",('Activity data'!BG9*EF!$H8)*kgtoGg,IF('Net zero activities &amp; levers'!$C$14="On",('Net zero Activity data'!BG9*EF!$H8)*kgtoGg,"ERROR"))</f>
        <v>251.11736851461586</v>
      </c>
      <c r="AO1071" s="100">
        <f>IF('Net zero activities &amp; levers'!$C$14="Off",('Activity data'!BH9*EF!$H8)*kgtoGg,IF('Net zero activities &amp; levers'!$C$14="On",('Net zero Activity data'!BH9*EF!$H8)*kgtoGg,"ERROR"))</f>
        <v>252.14034688555736</v>
      </c>
      <c r="AP1071" s="100">
        <f>IF('Net zero activities &amp; levers'!$C$14="Off",('Activity data'!BI9*EF!$H8)*kgtoGg,IF('Net zero activities &amp; levers'!$C$14="On",('Net zero Activity data'!BI9*EF!$H8)*kgtoGg,"ERROR"))</f>
        <v>252.99183305637885</v>
      </c>
      <c r="AQ1071" s="100">
        <f>IF('Net zero activities &amp; levers'!$C$14="Off",('Activity data'!BJ9*EF!$H8)*kgtoGg,IF('Net zero activities &amp; levers'!$C$14="On",('Net zero Activity data'!BJ9*EF!$H8)*kgtoGg,"ERROR"))</f>
        <v>253.6851296490143</v>
      </c>
      <c r="AR1071" s="100">
        <f>IF('Net zero activities &amp; levers'!$C$14="Off",('Activity data'!BK9*EF!$H8)*kgtoGg,IF('Net zero activities &amp; levers'!$C$14="On",('Net zero Activity data'!BK9*EF!$H8)*kgtoGg,"ERROR"))</f>
        <v>254.60270395895319</v>
      </c>
      <c r="AS1071" s="100">
        <f>IF('Net zero activities &amp; levers'!$C$14="Off",('Activity data'!BL9*EF!$H8)*kgtoGg,IF('Net zero activities &amp; levers'!$C$14="On",('Net zero Activity data'!BL9*EF!$H8)*kgtoGg,"ERROR"))</f>
        <v>255.41066963552367</v>
      </c>
      <c r="AT1071" s="100">
        <f>IF('Net zero activities &amp; levers'!$C$14="Off",('Activity data'!BM9*EF!$H8)*kgtoGg,IF('Net zero activities &amp; levers'!$C$14="On",('Net zero Activity data'!BM9*EF!$H8)*kgtoGg,"ERROR"))</f>
        <v>252.54143523977578</v>
      </c>
      <c r="AU1071" s="100">
        <f>IF('Net zero activities &amp; levers'!$C$14="Off",('Activity data'!BN9*EF!$H8)*kgtoGg,IF('Net zero activities &amp; levers'!$C$14="On",('Net zero Activity data'!BN9*EF!$H8)*kgtoGg,"ERROR"))</f>
        <v>249.34203844607481</v>
      </c>
      <c r="AV1071" s="100">
        <f>IF('Net zero activities &amp; levers'!$C$14="Off",('Activity data'!BO9*EF!$H8)*kgtoGg,IF('Net zero activities &amp; levers'!$C$14="On",('Net zero Activity data'!BO9*EF!$H8)*kgtoGg,"ERROR"))</f>
        <v>246.49292715554961</v>
      </c>
      <c r="AW1071" s="100">
        <f>IF('Net zero activities &amp; levers'!$C$14="Off",('Activity data'!BP9*EF!$H8)*kgtoGg,IF('Net zero activities &amp; levers'!$C$14="On",('Net zero Activity data'!BP9*EF!$H8)*kgtoGg,"ERROR"))</f>
        <v>243.35807773208339</v>
      </c>
      <c r="AY1071" s="85"/>
    </row>
    <row r="1072" spans="1:52" x14ac:dyDescent="0.25">
      <c r="A1072" s="102" t="str">
        <f t="shared" si="373"/>
        <v>CM Cattle</v>
      </c>
      <c r="B1072" s="102" t="s">
        <v>1323</v>
      </c>
      <c r="C1072" s="102" t="s">
        <v>1109</v>
      </c>
      <c r="D1072" t="s">
        <v>15</v>
      </c>
      <c r="E1072" t="s">
        <v>16</v>
      </c>
      <c r="F1072" t="s">
        <v>67</v>
      </c>
      <c r="G1072" t="s">
        <v>135</v>
      </c>
      <c r="H1072" t="s">
        <v>1021</v>
      </c>
      <c r="I1072" t="s">
        <v>121</v>
      </c>
      <c r="J1072" t="s">
        <v>286</v>
      </c>
      <c r="K1072" s="100">
        <f>IF('Net zero activities &amp; levers'!$C$14="Off",('Activity data'!AD10*EF!$H9)*kgtoGg,IF('Net zero activities &amp; levers'!$C$14="On",('Net zero Activity data'!AD10*EF!$H9)*kgtoGg,"ERROR"))</f>
        <v>31.983141266454435</v>
      </c>
      <c r="L1072" s="100">
        <f>IF('Net zero activities &amp; levers'!$C$14="Off",('Activity data'!AE10*EF!$H9)*kgtoGg,IF('Net zero activities &amp; levers'!$C$14="On",('Net zero Activity data'!AE10*EF!$H9)*kgtoGg,"ERROR"))</f>
        <v>33.176305480896438</v>
      </c>
      <c r="M1072" s="100">
        <f>IF('Net zero activities &amp; levers'!$C$14="Off",('Activity data'!AF10*EF!$H9)*kgtoGg,IF('Net zero activities &amp; levers'!$C$14="On",('Net zero Activity data'!AF10*EF!$H9)*kgtoGg,"ERROR"))</f>
        <v>34.248209769984797</v>
      </c>
      <c r="N1072" s="100">
        <f>IF('Net zero activities &amp; levers'!$C$14="Off",('Activity data'!AG10*EF!$H9)*kgtoGg,IF('Net zero activities &amp; levers'!$C$14="On",('Net zero Activity data'!AG10*EF!$H9)*kgtoGg,"ERROR"))</f>
        <v>34.751225456913808</v>
      </c>
      <c r="O1072" s="100">
        <f>IF('Net zero activities &amp; levers'!$C$14="Off",('Activity data'!AH10*EF!$H9)*kgtoGg,IF('Net zero activities &amp; levers'!$C$14="On",('Net zero Activity data'!AH10*EF!$H9)*kgtoGg,"ERROR"))</f>
        <v>35.261937727399058</v>
      </c>
      <c r="P1072" s="100">
        <f>IF('Net zero activities &amp; levers'!$C$14="Off",('Activity data'!AI10*EF!$H9)*kgtoGg,IF('Net zero activities &amp; levers'!$C$14="On",('Net zero Activity data'!AI10*EF!$H9)*kgtoGg,"ERROR"))</f>
        <v>36.389263474395328</v>
      </c>
      <c r="Q1072" s="100">
        <f>IF('Net zero activities &amp; levers'!$C$14="Off",('Activity data'!AJ10*EF!$H9)*kgtoGg,IF('Net zero activities &amp; levers'!$C$14="On",('Net zero Activity data'!AJ10*EF!$H9)*kgtoGg,"ERROR"))</f>
        <v>37.34016796495505</v>
      </c>
      <c r="R1072" s="100">
        <f>IF('Net zero activities &amp; levers'!$C$14="Off",('Activity data'!AK10*EF!$H9)*kgtoGg,IF('Net zero activities &amp; levers'!$C$14="On",('Net zero Activity data'!AK10*EF!$H9)*kgtoGg,"ERROR"))</f>
        <v>37.617758099633058</v>
      </c>
      <c r="S1072" s="100">
        <f>IF('Net zero activities &amp; levers'!$C$14="Off",('Activity data'!AL10*EF!$H9)*kgtoGg,IF('Net zero activities &amp; levers'!$C$14="On",('Net zero Activity data'!AL10*EF!$H9)*kgtoGg,"ERROR"))</f>
        <v>34.833912391780601</v>
      </c>
      <c r="T1072" s="100">
        <f>IF('Net zero activities &amp; levers'!$C$14="Off",('Activity data'!AM10*EF!$H9)*kgtoGg,IF('Net zero activities &amp; levers'!$C$14="On",('Net zero Activity data'!AM10*EF!$H9)*kgtoGg,"ERROR"))</f>
        <v>36.000042148422146</v>
      </c>
      <c r="U1072" s="100">
        <f>IF('Net zero activities &amp; levers'!$C$14="Off",('Activity data'!AN10*EF!$H9)*kgtoGg,IF('Net zero activities &amp; levers'!$C$14="On",('Net zero Activity data'!AN10*EF!$H9)*kgtoGg,"ERROR"))</f>
        <v>36.768123962525195</v>
      </c>
      <c r="V1072" s="100">
        <f>IF('Net zero activities &amp; levers'!$C$14="Off",('Activity data'!AO10*EF!$H9)*kgtoGg,IF('Net zero activities &amp; levers'!$C$14="On",('Net zero Activity data'!AO10*EF!$H9)*kgtoGg,"ERROR"))</f>
        <v>37.431895004009547</v>
      </c>
      <c r="W1072" s="100">
        <f>IF('Net zero activities &amp; levers'!$C$14="Off",('Activity data'!AP10*EF!$H9)*kgtoGg,IF('Net zero activities &amp; levers'!$C$14="On",('Net zero Activity data'!AP10*EF!$H9)*kgtoGg,"ERROR"))</f>
        <v>38.217162078562176</v>
      </c>
      <c r="X1072" s="100">
        <f>IF('Net zero activities &amp; levers'!$C$14="Off",('Activity data'!AQ10*EF!$H9)*kgtoGg,IF('Net zero activities &amp; levers'!$C$14="On",('Net zero Activity data'!AQ10*EF!$H9)*kgtoGg,"ERROR"))</f>
        <v>39.469304541772296</v>
      </c>
      <c r="Y1072" s="100">
        <f>IF('Net zero activities &amp; levers'!$C$14="Off",('Activity data'!AR10*EF!$H9)*kgtoGg,IF('Net zero activities &amp; levers'!$C$14="On",('Net zero Activity data'!AR10*EF!$H9)*kgtoGg,"ERROR"))</f>
        <v>40.815544941865276</v>
      </c>
      <c r="Z1072" s="100">
        <f>IF('Net zero activities &amp; levers'!$C$14="Off",('Activity data'!AS10*EF!$H9)*kgtoGg,IF('Net zero activities &amp; levers'!$C$14="On",('Net zero Activity data'!AS10*EF!$H9)*kgtoGg,"ERROR"))</f>
        <v>42.260436791465395</v>
      </c>
      <c r="AA1072" s="100">
        <f>IF('Net zero activities &amp; levers'!$C$14="Off",('Activity data'!AT10*EF!$H9)*kgtoGg,IF('Net zero activities &amp; levers'!$C$14="On",('Net zero Activity data'!AT10*EF!$H9)*kgtoGg,"ERROR"))</f>
        <v>43.482223039161575</v>
      </c>
      <c r="AB1072" s="100">
        <f>IF('Net zero activities &amp; levers'!$C$14="Off",('Activity data'!AU10*EF!$H9)*kgtoGg,IF('Net zero activities &amp; levers'!$C$14="On",('Net zero Activity data'!AU10*EF!$H9)*kgtoGg,"ERROR"))</f>
        <v>44.898095526830183</v>
      </c>
      <c r="AC1072" s="100">
        <f>IF('Net zero activities &amp; levers'!$C$14="Off",('Activity data'!AV10*EF!$H9)*kgtoGg,IF('Net zero activities &amp; levers'!$C$14="On",('Net zero Activity data'!AV10*EF!$H9)*kgtoGg,"ERROR"))</f>
        <v>46.555529106963192</v>
      </c>
      <c r="AD1072" s="100">
        <f>IF('Net zero activities &amp; levers'!$C$14="Off",('Activity data'!AW10*EF!$H9)*kgtoGg,IF('Net zero activities &amp; levers'!$C$14="On",('Net zero Activity data'!AW10*EF!$H9)*kgtoGg,"ERROR"))</f>
        <v>48.394800512669953</v>
      </c>
      <c r="AE1072" s="100">
        <f>IF('Net zero activities &amp; levers'!$C$14="Off",('Activity data'!AX10*EF!$H9)*kgtoGg,IF('Net zero activities &amp; levers'!$C$14="On",('Net zero Activity data'!AX10*EF!$H9)*kgtoGg,"ERROR"))</f>
        <v>50.306776644349213</v>
      </c>
      <c r="AF1072" s="100">
        <f>IF('Net zero activities &amp; levers'!$C$14="Off",('Activity data'!AY10*EF!$H9)*kgtoGg,IF('Net zero activities &amp; levers'!$C$14="On",('Net zero Activity data'!AY10*EF!$H9)*kgtoGg,"ERROR"))</f>
        <v>52.24662221054885</v>
      </c>
      <c r="AG1072" s="100">
        <f>IF('Net zero activities &amp; levers'!$C$14="Off",('Activity data'!AZ10*EF!$H9)*kgtoGg,IF('Net zero activities &amp; levers'!$C$14="On",('Net zero Activity data'!AZ10*EF!$H9)*kgtoGg,"ERROR"))</f>
        <v>54.402122519977191</v>
      </c>
      <c r="AH1072" s="100">
        <f>IF('Net zero activities &amp; levers'!$C$14="Off",('Activity data'!BA10*EF!$H9)*kgtoGg,IF('Net zero activities &amp; levers'!$C$14="On",('Net zero Activity data'!BA10*EF!$H9)*kgtoGg,"ERROR"))</f>
        <v>56.274767139331679</v>
      </c>
      <c r="AI1072" s="100">
        <f>IF('Net zero activities &amp; levers'!$C$14="Off",('Activity data'!BB10*EF!$H9)*kgtoGg,IF('Net zero activities &amp; levers'!$C$14="On",('Net zero Activity data'!BB10*EF!$H9)*kgtoGg,"ERROR"))</f>
        <v>58.246965185623765</v>
      </c>
      <c r="AJ1072" s="100">
        <f>IF('Net zero activities &amp; levers'!$C$14="Off",('Activity data'!BC10*EF!$H9)*kgtoGg,IF('Net zero activities &amp; levers'!$C$14="On",('Net zero Activity data'!BC10*EF!$H9)*kgtoGg,"ERROR"))</f>
        <v>60.235457231546185</v>
      </c>
      <c r="AK1072" s="100">
        <f>IF('Net zero activities &amp; levers'!$C$14="Off",('Activity data'!BD10*EF!$H9)*kgtoGg,IF('Net zero activities &amp; levers'!$C$14="On",('Net zero Activity data'!BD10*EF!$H9)*kgtoGg,"ERROR"))</f>
        <v>62.10552106392641</v>
      </c>
      <c r="AL1072" s="100">
        <f>IF('Net zero activities &amp; levers'!$C$14="Off",('Activity data'!BE10*EF!$H9)*kgtoGg,IF('Net zero activities &amp; levers'!$C$14="On",('Net zero Activity data'!BE10*EF!$H9)*kgtoGg,"ERROR"))</f>
        <v>63.946029919102472</v>
      </c>
      <c r="AM1072" s="100">
        <f>IF('Net zero activities &amp; levers'!$C$14="Off",('Activity data'!BF10*EF!$H9)*kgtoGg,IF('Net zero activities &amp; levers'!$C$14="On",('Net zero Activity data'!BF10*EF!$H9)*kgtoGg,"ERROR"))</f>
        <v>65.836412074860831</v>
      </c>
      <c r="AN1072" s="100">
        <f>IF('Net zero activities &amp; levers'!$C$14="Off",('Activity data'!BG10*EF!$H9)*kgtoGg,IF('Net zero activities &amp; levers'!$C$14="On",('Net zero Activity data'!BG10*EF!$H9)*kgtoGg,"ERROR"))</f>
        <v>68.220101328114737</v>
      </c>
      <c r="AO1072" s="100">
        <f>IF('Net zero activities &amp; levers'!$C$14="Off",('Activity data'!BH10*EF!$H9)*kgtoGg,IF('Net zero activities &amp; levers'!$C$14="On",('Net zero Activity data'!BH10*EF!$H9)*kgtoGg,"ERROR"))</f>
        <v>70.474265992352315</v>
      </c>
      <c r="AP1072" s="100">
        <f>IF('Net zero activities &amp; levers'!$C$14="Off",('Activity data'!BI10*EF!$H9)*kgtoGg,IF('Net zero activities &amp; levers'!$C$14="On",('Net zero Activity data'!BI10*EF!$H9)*kgtoGg,"ERROR"))</f>
        <v>72.760515700181472</v>
      </c>
      <c r="AQ1072" s="100">
        <f>IF('Net zero activities &amp; levers'!$C$14="Off",('Activity data'!BJ10*EF!$H9)*kgtoGg,IF('Net zero activities &amp; levers'!$C$14="On",('Net zero Activity data'!BJ10*EF!$H9)*kgtoGg,"ERROR"))</f>
        <v>75.082574842043257</v>
      </c>
      <c r="AR1072" s="100">
        <f>IF('Net zero activities &amp; levers'!$C$14="Off",('Activity data'!BK10*EF!$H9)*kgtoGg,IF('Net zero activities &amp; levers'!$C$14="On",('Net zero Activity data'!BK10*EF!$H9)*kgtoGg,"ERROR"))</f>
        <v>77.557051225224725</v>
      </c>
      <c r="AS1072" s="100">
        <f>IF('Net zero activities &amp; levers'!$C$14="Off",('Activity data'!BL10*EF!$H9)*kgtoGg,IF('Net zero activities &amp; levers'!$C$14="On",('Net zero Activity data'!BL10*EF!$H9)*kgtoGg,"ERROR"))</f>
        <v>80.089608497367124</v>
      </c>
      <c r="AT1072" s="100">
        <f>IF('Net zero activities &amp; levers'!$C$14="Off",('Activity data'!BM10*EF!$H9)*kgtoGg,IF('Net zero activities &amp; levers'!$C$14="On",('Net zero Activity data'!BM10*EF!$H9)*kgtoGg,"ERROR"))</f>
        <v>81.530277591774478</v>
      </c>
      <c r="AU1072" s="100">
        <f>IF('Net zero activities &amp; levers'!$C$14="Off",('Activity data'!BN10*EF!$H9)*kgtoGg,IF('Net zero activities &amp; levers'!$C$14="On",('Net zero Activity data'!BN10*EF!$H9)*kgtoGg,"ERROR"))</f>
        <v>82.890900928322495</v>
      </c>
      <c r="AV1072" s="100">
        <f>IF('Net zero activities &amp; levers'!$C$14="Off",('Activity data'!BO10*EF!$H9)*kgtoGg,IF('Net zero activities &amp; levers'!$C$14="On",('Net zero Activity data'!BO10*EF!$H9)*kgtoGg,"ERROR"))</f>
        <v>84.396143074361007</v>
      </c>
      <c r="AW1072" s="100">
        <f>IF('Net zero activities &amp; levers'!$C$14="Off",('Activity data'!BP10*EF!$H9)*kgtoGg,IF('Net zero activities &amp; levers'!$C$14="On",('Net zero Activity data'!BP10*EF!$H9)*kgtoGg,"ERROR"))</f>
        <v>85.833792209866019</v>
      </c>
      <c r="AY1072" s="85"/>
    </row>
    <row r="1073" spans="1:51" x14ac:dyDescent="0.25">
      <c r="A1073" s="102" t="str">
        <f t="shared" si="373"/>
        <v>CM Sheep</v>
      </c>
      <c r="B1073" s="102" t="s">
        <v>1323</v>
      </c>
      <c r="C1073" s="102" t="s">
        <v>152</v>
      </c>
      <c r="D1073" t="s">
        <v>15</v>
      </c>
      <c r="E1073" t="s">
        <v>16</v>
      </c>
      <c r="F1073" t="s">
        <v>18</v>
      </c>
      <c r="G1073" t="s">
        <v>122</v>
      </c>
      <c r="H1073" t="s">
        <v>1021</v>
      </c>
      <c r="I1073" t="s">
        <v>121</v>
      </c>
      <c r="J1073" t="s">
        <v>286</v>
      </c>
      <c r="K1073" s="100">
        <f>IF('Net zero activities &amp; levers'!$C$14="Off",('Activity data'!AD11*EF!$H10)*kgtoGg,IF('Net zero activities &amp; levers'!$C$14="On",('Net zero Activity data'!AD11*EF!$H10)*kgtoGg,"ERROR"))</f>
        <v>132.57119038642557</v>
      </c>
      <c r="L1073" s="100">
        <f>IF('Net zero activities &amp; levers'!$C$14="Off",('Activity data'!AE11*EF!$H10)*kgtoGg,IF('Net zero activities &amp; levers'!$C$14="On",('Net zero Activity data'!AE11*EF!$H10)*kgtoGg,"ERROR"))</f>
        <v>132.64273653065254</v>
      </c>
      <c r="M1073" s="100">
        <f>IF('Net zero activities &amp; levers'!$C$14="Off",('Activity data'!AF11*EF!$H10)*kgtoGg,IF('Net zero activities &amp; levers'!$C$14="On",('Net zero Activity data'!AF11*EF!$H10)*kgtoGg,"ERROR"))</f>
        <v>132.80721501621684</v>
      </c>
      <c r="N1073" s="100">
        <f>IF('Net zero activities &amp; levers'!$C$14="Off",('Activity data'!AG11*EF!$H10)*kgtoGg,IF('Net zero activities &amp; levers'!$C$14="On",('Net zero Activity data'!AG11*EF!$H10)*kgtoGg,"ERROR"))</f>
        <v>133.051398651531</v>
      </c>
      <c r="O1073" s="100">
        <f>IF('Net zero activities &amp; levers'!$C$14="Off",('Activity data'!AH11*EF!$H10)*kgtoGg,IF('Net zero activities &amp; levers'!$C$14="On",('Net zero Activity data'!AH11*EF!$H10)*kgtoGg,"ERROR"))</f>
        <v>133.38098001143086</v>
      </c>
      <c r="P1073" s="100">
        <f>IF('Net zero activities &amp; levers'!$C$14="Off",('Activity data'!AI11*EF!$H10)*kgtoGg,IF('Net zero activities &amp; levers'!$C$14="On",('Net zero Activity data'!AI11*EF!$H10)*kgtoGg,"ERROR"))</f>
        <v>133.80258277876908</v>
      </c>
      <c r="Q1073" s="100">
        <f>IF('Net zero activities &amp; levers'!$C$14="Off",('Activity data'!AJ11*EF!$H10)*kgtoGg,IF('Net zero activities &amp; levers'!$C$14="On",('Net zero Activity data'!AJ11*EF!$H10)*kgtoGg,"ERROR"))</f>
        <v>134.26714516921325</v>
      </c>
      <c r="R1073" s="100">
        <f>IF('Net zero activities &amp; levers'!$C$14="Off",('Activity data'!AK11*EF!$H10)*kgtoGg,IF('Net zero activities &amp; levers'!$C$14="On",('Net zero Activity data'!AK11*EF!$H10)*kgtoGg,"ERROR"))</f>
        <v>134.76745179695249</v>
      </c>
      <c r="S1073" s="100">
        <f>IF('Net zero activities &amp; levers'!$C$14="Off",('Activity data'!AL11*EF!$H10)*kgtoGg,IF('Net zero activities &amp; levers'!$C$14="On",('Net zero Activity data'!AL11*EF!$H10)*kgtoGg,"ERROR"))</f>
        <v>135.2631261954914</v>
      </c>
      <c r="T1073" s="100">
        <f>IF('Net zero activities &amp; levers'!$C$14="Off",('Activity data'!AM11*EF!$H10)*kgtoGg,IF('Net zero activities &amp; levers'!$C$14="On",('Net zero Activity data'!AM11*EF!$H10)*kgtoGg,"ERROR"))</f>
        <v>135.43888507816629</v>
      </c>
      <c r="U1073" s="100">
        <f>IF('Net zero activities &amp; levers'!$C$14="Off",('Activity data'!AN11*EF!$H10)*kgtoGg,IF('Net zero activities &amp; levers'!$C$14="On",('Net zero Activity data'!AN11*EF!$H10)*kgtoGg,"ERROR"))</f>
        <v>135.64204457759547</v>
      </c>
      <c r="V1073" s="100">
        <f>IF('Net zero activities &amp; levers'!$C$14="Off",('Activity data'!AO11*EF!$H10)*kgtoGg,IF('Net zero activities &amp; levers'!$C$14="On",('Net zero Activity data'!AO11*EF!$H10)*kgtoGg,"ERROR"))</f>
        <v>135.87525271782013</v>
      </c>
      <c r="W1073" s="100">
        <f>IF('Net zero activities &amp; levers'!$C$14="Off",('Activity data'!AP11*EF!$H10)*kgtoGg,IF('Net zero activities &amp; levers'!$C$14="On",('Net zero Activity data'!AP11*EF!$H10)*kgtoGg,"ERROR"))</f>
        <v>136.14037955612463</v>
      </c>
      <c r="X1073" s="100">
        <f>IF('Net zero activities &amp; levers'!$C$14="Off",('Activity data'!AQ11*EF!$H10)*kgtoGg,IF('Net zero activities &amp; levers'!$C$14="On",('Net zero Activity data'!AQ11*EF!$H10)*kgtoGg,"ERROR"))</f>
        <v>136.44153774716742</v>
      </c>
      <c r="Y1073" s="100">
        <f>IF('Net zero activities &amp; levers'!$C$14="Off",('Activity data'!AR11*EF!$H10)*kgtoGg,IF('Net zero activities &amp; levers'!$C$14="On",('Net zero Activity data'!AR11*EF!$H10)*kgtoGg,"ERROR"))</f>
        <v>136.62066947227879</v>
      </c>
      <c r="Z1073" s="100">
        <f>IF('Net zero activities &amp; levers'!$C$14="Off",('Activity data'!AS11*EF!$H10)*kgtoGg,IF('Net zero activities &amp; levers'!$C$14="On",('Net zero Activity data'!AS11*EF!$H10)*kgtoGg,"ERROR"))</f>
        <v>136.82573618421691</v>
      </c>
      <c r="AA1073" s="100">
        <f>IF('Net zero activities &amp; levers'!$C$14="Off",('Activity data'!AT11*EF!$H10)*kgtoGg,IF('Net zero activities &amp; levers'!$C$14="On",('Net zero Activity data'!AT11*EF!$H10)*kgtoGg,"ERROR"))</f>
        <v>137.0502548755789</v>
      </c>
      <c r="AB1073" s="100">
        <f>IF('Net zero activities &amp; levers'!$C$14="Off",('Activity data'!AU11*EF!$H10)*kgtoGg,IF('Net zero activities &amp; levers'!$C$14="On",('Net zero Activity data'!AU11*EF!$H10)*kgtoGg,"ERROR"))</f>
        <v>137.30011890256006</v>
      </c>
      <c r="AC1073" s="100">
        <f>IF('Net zero activities &amp; levers'!$C$14="Off",('Activity data'!AV11*EF!$H10)*kgtoGg,IF('Net zero activities &amp; levers'!$C$14="On",('Net zero Activity data'!AV11*EF!$H10)*kgtoGg,"ERROR"))</f>
        <v>137.57528122188762</v>
      </c>
      <c r="AD1073" s="100">
        <f>IF('Net zero activities &amp; levers'!$C$14="Off",('Activity data'!AW11*EF!$H10)*kgtoGg,IF('Net zero activities &amp; levers'!$C$14="On",('Net zero Activity data'!AW11*EF!$H10)*kgtoGg,"ERROR"))</f>
        <v>137.76180863624239</v>
      </c>
      <c r="AE1073" s="100">
        <f>IF('Net zero activities &amp; levers'!$C$14="Off",('Activity data'!AX11*EF!$H10)*kgtoGg,IF('Net zero activities &amp; levers'!$C$14="On",('Net zero Activity data'!AX11*EF!$H10)*kgtoGg,"ERROR"))</f>
        <v>137.96778320651916</v>
      </c>
      <c r="AF1073" s="100">
        <f>IF('Net zero activities &amp; levers'!$C$14="Off",('Activity data'!AY11*EF!$H10)*kgtoGg,IF('Net zero activities &amp; levers'!$C$14="On",('Net zero Activity data'!AY11*EF!$H10)*kgtoGg,"ERROR"))</f>
        <v>138.19172280755853</v>
      </c>
      <c r="AG1073" s="100">
        <f>IF('Net zero activities &amp; levers'!$C$14="Off",('Activity data'!AZ11*EF!$H10)*kgtoGg,IF('Net zero activities &amp; levers'!$C$14="On",('Net zero Activity data'!AZ11*EF!$H10)*kgtoGg,"ERROR"))</f>
        <v>138.43619560904446</v>
      </c>
      <c r="AH1073" s="100">
        <f>IF('Net zero activities &amp; levers'!$C$14="Off",('Activity data'!BA11*EF!$H10)*kgtoGg,IF('Net zero activities &amp; levers'!$C$14="On",('Net zero Activity data'!BA11*EF!$H10)*kgtoGg,"ERROR"))</f>
        <v>138.69205492913844</v>
      </c>
      <c r="AI1073" s="100">
        <f>IF('Net zero activities &amp; levers'!$C$14="Off",('Activity data'!BB11*EF!$H10)*kgtoGg,IF('Net zero activities &amp; levers'!$C$14="On",('Net zero Activity data'!BB11*EF!$H10)*kgtoGg,"ERROR"))</f>
        <v>138.85070361808542</v>
      </c>
      <c r="AJ1073" s="100">
        <f>IF('Net zero activities &amp; levers'!$C$14="Off",('Activity data'!BC11*EF!$H10)*kgtoGg,IF('Net zero activities &amp; levers'!$C$14="On",('Net zero Activity data'!BC11*EF!$H10)*kgtoGg,"ERROR"))</f>
        <v>139.02395380224971</v>
      </c>
      <c r="AK1073" s="100">
        <f>IF('Net zero activities &amp; levers'!$C$14="Off",('Activity data'!BD11*EF!$H10)*kgtoGg,IF('Net zero activities &amp; levers'!$C$14="On",('Net zero Activity data'!BD11*EF!$H10)*kgtoGg,"ERROR"))</f>
        <v>139.20896665938039</v>
      </c>
      <c r="AL1073" s="100">
        <f>IF('Net zero activities &amp; levers'!$C$14="Off",('Activity data'!BE11*EF!$H10)*kgtoGg,IF('Net zero activities &amp; levers'!$C$14="On",('Net zero Activity data'!BE11*EF!$H10)*kgtoGg,"ERROR"))</f>
        <v>139.40682760667147</v>
      </c>
      <c r="AM1073" s="100">
        <f>IF('Net zero activities &amp; levers'!$C$14="Off",('Activity data'!BF11*EF!$H10)*kgtoGg,IF('Net zero activities &amp; levers'!$C$14="On",('Net zero Activity data'!BF11*EF!$H10)*kgtoGg,"ERROR"))</f>
        <v>139.61852499423495</v>
      </c>
      <c r="AN1073" s="100">
        <f>IF('Net zero activities &amp; levers'!$C$14="Off",('Activity data'!BG11*EF!$H10)*kgtoGg,IF('Net zero activities &amp; levers'!$C$14="On",('Net zero Activity data'!BG11*EF!$H10)*kgtoGg,"ERROR"))</f>
        <v>139.73751960916408</v>
      </c>
      <c r="AO1073" s="100">
        <f>IF('Net zero activities &amp; levers'!$C$14="Off",('Activity data'!BH11*EF!$H10)*kgtoGg,IF('Net zero activities &amp; levers'!$C$14="On",('Net zero Activity data'!BH11*EF!$H10)*kgtoGg,"ERROR"))</f>
        <v>139.86520110579977</v>
      </c>
      <c r="AP1073" s="100">
        <f>IF('Net zero activities &amp; levers'!$C$14="Off",('Activity data'!BI11*EF!$H10)*kgtoGg,IF('Net zero activities &amp; levers'!$C$14="On",('Net zero Activity data'!BI11*EF!$H10)*kgtoGg,"ERROR"))</f>
        <v>140.004063692339</v>
      </c>
      <c r="AQ1073" s="100">
        <f>IF('Net zero activities &amp; levers'!$C$14="Off",('Activity data'!BJ11*EF!$H10)*kgtoGg,IF('Net zero activities &amp; levers'!$C$14="On",('Net zero Activity data'!BJ11*EF!$H10)*kgtoGg,"ERROR"))</f>
        <v>140.15383430609006</v>
      </c>
      <c r="AR1073" s="100">
        <f>IF('Net zero activities &amp; levers'!$C$14="Off",('Activity data'!BK11*EF!$H10)*kgtoGg,IF('Net zero activities &amp; levers'!$C$14="On",('Net zero Activity data'!BK11*EF!$H10)*kgtoGg,"ERROR"))</f>
        <v>140.31626829495895</v>
      </c>
      <c r="AS1073" s="100">
        <f>IF('Net zero activities &amp; levers'!$C$14="Off",('Activity data'!BL11*EF!$H10)*kgtoGg,IF('Net zero activities &amp; levers'!$C$14="On",('Net zero Activity data'!BL11*EF!$H10)*kgtoGg,"ERROR"))</f>
        <v>140.38172657418394</v>
      </c>
      <c r="AT1073" s="100">
        <f>IF('Net zero activities &amp; levers'!$C$14="Off",('Activity data'!BM11*EF!$H10)*kgtoGg,IF('Net zero activities &amp; levers'!$C$14="On",('Net zero Activity data'!BM11*EF!$H10)*kgtoGg,"ERROR"))</f>
        <v>140.43666976514496</v>
      </c>
      <c r="AU1073" s="100">
        <f>IF('Net zero activities &amp; levers'!$C$14="Off",('Activity data'!BN11*EF!$H10)*kgtoGg,IF('Net zero activities &amp; levers'!$C$14="On",('Net zero Activity data'!BN11*EF!$H10)*kgtoGg,"ERROR"))</f>
        <v>140.49877558884813</v>
      </c>
      <c r="AV1073" s="100">
        <f>IF('Net zero activities &amp; levers'!$C$14="Off",('Activity data'!BO11*EF!$H10)*kgtoGg,IF('Net zero activities &amp; levers'!$C$14="On",('Net zero Activity data'!BO11*EF!$H10)*kgtoGg,"ERROR"))</f>
        <v>140.57178254149377</v>
      </c>
      <c r="AW1073" s="100">
        <f>IF('Net zero activities &amp; levers'!$C$14="Off",('Activity data'!BP11*EF!$H10)*kgtoGg,IF('Net zero activities &amp; levers'!$C$14="On",('Net zero Activity data'!BP11*EF!$H10)*kgtoGg,"ERROR"))</f>
        <v>140.65166313677847</v>
      </c>
      <c r="AY1073" s="85"/>
    </row>
    <row r="1074" spans="1:51" x14ac:dyDescent="0.25">
      <c r="A1074" s="102" t="str">
        <f t="shared" si="373"/>
        <v>CM Sheep</v>
      </c>
      <c r="B1074" s="102" t="s">
        <v>1323</v>
      </c>
      <c r="C1074" s="102" t="s">
        <v>152</v>
      </c>
      <c r="D1074" t="s">
        <v>15</v>
      </c>
      <c r="E1074" t="s">
        <v>16</v>
      </c>
      <c r="F1074" t="s">
        <v>18</v>
      </c>
      <c r="G1074" t="s">
        <v>123</v>
      </c>
      <c r="H1074" t="s">
        <v>1021</v>
      </c>
      <c r="I1074" t="s">
        <v>121</v>
      </c>
      <c r="J1074" t="s">
        <v>286</v>
      </c>
      <c r="K1074" s="100">
        <f>IF('Net zero activities &amp; levers'!$C$14="Off",('Activity data'!AD12*EF!$H11)*kgtoGg,IF('Net zero activities &amp; levers'!$C$14="On",('Net zero Activity data'!AD12*EF!$H11)*kgtoGg,"ERROR"))</f>
        <v>14.367245816070934</v>
      </c>
      <c r="L1074" s="100">
        <f>IF('Net zero activities &amp; levers'!$C$14="Off",('Activity data'!AE12*EF!$H11)*kgtoGg,IF('Net zero activities &amp; levers'!$C$14="On",('Net zero Activity data'!AE12*EF!$H11)*kgtoGg,"ERROR"))</f>
        <v>14.374999544752898</v>
      </c>
      <c r="M1074" s="100">
        <f>IF('Net zero activities &amp; levers'!$C$14="Off",('Activity data'!AF12*EF!$H11)*kgtoGg,IF('Net zero activities &amp; levers'!$C$14="On",('Net zero Activity data'!AF12*EF!$H11)*kgtoGg,"ERROR"))</f>
        <v>14.392824705910984</v>
      </c>
      <c r="N1074" s="100">
        <f>IF('Net zero activities &amp; levers'!$C$14="Off",('Activity data'!AG12*EF!$H11)*kgtoGg,IF('Net zero activities &amp; levers'!$C$14="On",('Net zero Activity data'!AG12*EF!$H11)*kgtoGg,"ERROR"))</f>
        <v>14.419287818315681</v>
      </c>
      <c r="O1074" s="100">
        <f>IF('Net zero activities &amp; levers'!$C$14="Off",('Activity data'!AH12*EF!$H11)*kgtoGg,IF('Net zero activities &amp; levers'!$C$14="On",('Net zero Activity data'!AH12*EF!$H11)*kgtoGg,"ERROR"))</f>
        <v>14.455005808025765</v>
      </c>
      <c r="P1074" s="100">
        <f>IF('Net zero activities &amp; levers'!$C$14="Off",('Activity data'!AI12*EF!$H11)*kgtoGg,IF('Net zero activities &amp; levers'!$C$14="On",('Net zero Activity data'!AI12*EF!$H11)*kgtoGg,"ERROR"))</f>
        <v>14.500696508829069</v>
      </c>
      <c r="Q1074" s="100">
        <f>IF('Net zero activities &amp; levers'!$C$14="Off",('Activity data'!AJ12*EF!$H11)*kgtoGg,IF('Net zero activities &amp; levers'!$C$14="On",('Net zero Activity data'!AJ12*EF!$H11)*kgtoGg,"ERROR"))</f>
        <v>14.551042907929491</v>
      </c>
      <c r="R1074" s="100">
        <f>IF('Net zero activities &amp; levers'!$C$14="Off",('Activity data'!AK12*EF!$H11)*kgtoGg,IF('Net zero activities &amp; levers'!$C$14="On",('Net zero Activity data'!AK12*EF!$H11)*kgtoGg,"ERROR"))</f>
        <v>14.605263046431578</v>
      </c>
      <c r="S1074" s="100">
        <f>IF('Net zero activities &amp; levers'!$C$14="Off",('Activity data'!AL12*EF!$H11)*kgtoGg,IF('Net zero activities &amp; levers'!$C$14="On",('Net zero Activity data'!AL12*EF!$H11)*kgtoGg,"ERROR"))</f>
        <v>14.658981172577873</v>
      </c>
      <c r="T1074" s="100">
        <f>IF('Net zero activities &amp; levers'!$C$14="Off",('Activity data'!AM12*EF!$H11)*kgtoGg,IF('Net zero activities &amp; levers'!$C$14="On",('Net zero Activity data'!AM12*EF!$H11)*kgtoGg,"ERROR"))</f>
        <v>14.678028833418718</v>
      </c>
      <c r="U1074" s="100">
        <f>IF('Net zero activities &amp; levers'!$C$14="Off",('Activity data'!AN12*EF!$H11)*kgtoGg,IF('Net zero activities &amp; levers'!$C$14="On",('Net zero Activity data'!AN12*EF!$H11)*kgtoGg,"ERROR"))</f>
        <v>14.700046003662575</v>
      </c>
      <c r="V1074" s="100">
        <f>IF('Net zero activities &amp; levers'!$C$14="Off",('Activity data'!AO12*EF!$H11)*kgtoGg,IF('Net zero activities &amp; levers'!$C$14="On",('Net zero Activity data'!AO12*EF!$H11)*kgtoGg,"ERROR"))</f>
        <v>14.725319659780093</v>
      </c>
      <c r="W1074" s="100">
        <f>IF('Net zero activities &amp; levers'!$C$14="Off",('Activity data'!AP12*EF!$H11)*kgtoGg,IF('Net zero activities &amp; levers'!$C$14="On",('Net zero Activity data'!AP12*EF!$H11)*kgtoGg,"ERROR"))</f>
        <v>14.754052467015629</v>
      </c>
      <c r="X1074" s="100">
        <f>IF('Net zero activities &amp; levers'!$C$14="Off",('Activity data'!AQ12*EF!$H11)*kgtoGg,IF('Net zero activities &amp; levers'!$C$14="On",('Net zero Activity data'!AQ12*EF!$H11)*kgtoGg,"ERROR"))</f>
        <v>14.786690129449095</v>
      </c>
      <c r="Y1074" s="100">
        <f>IF('Net zero activities &amp; levers'!$C$14="Off",('Activity data'!AR12*EF!$H11)*kgtoGg,IF('Net zero activities &amp; levers'!$C$14="On",('Net zero Activity data'!AR12*EF!$H11)*kgtoGg,"ERROR"))</f>
        <v>14.806103318096119</v>
      </c>
      <c r="Z1074" s="100">
        <f>IF('Net zero activities &amp; levers'!$C$14="Off",('Activity data'!AS12*EF!$H11)*kgtoGg,IF('Net zero activities &amp; levers'!$C$14="On",('Net zero Activity data'!AS12*EF!$H11)*kgtoGg,"ERROR"))</f>
        <v>14.828327180237812</v>
      </c>
      <c r="AA1074" s="100">
        <f>IF('Net zero activities &amp; levers'!$C$14="Off",('Activity data'!AT12*EF!$H11)*kgtoGg,IF('Net zero activities &amp; levers'!$C$14="On",('Net zero Activity data'!AT12*EF!$H11)*kgtoGg,"ERROR"))</f>
        <v>14.852659127621687</v>
      </c>
      <c r="AB1074" s="100">
        <f>IF('Net zero activities &amp; levers'!$C$14="Off",('Activity data'!AU12*EF!$H11)*kgtoGg,IF('Net zero activities &amp; levers'!$C$14="On",('Net zero Activity data'!AU12*EF!$H11)*kgtoGg,"ERROR"))</f>
        <v>14.879737845748659</v>
      </c>
      <c r="AC1074" s="100">
        <f>IF('Net zero activities &amp; levers'!$C$14="Off",('Activity data'!AV12*EF!$H11)*kgtoGg,IF('Net zero activities &amp; levers'!$C$14="On",('Net zero Activity data'!AV12*EF!$H11)*kgtoGg,"ERROR"))</f>
        <v>14.909558236359745</v>
      </c>
      <c r="AD1074" s="100">
        <f>IF('Net zero activities &amp; levers'!$C$14="Off",('Activity data'!AW12*EF!$H11)*kgtoGg,IF('Net zero activities &amp; levers'!$C$14="On",('Net zero Activity data'!AW12*EF!$H11)*kgtoGg,"ERROR"))</f>
        <v>14.929772924073262</v>
      </c>
      <c r="AE1074" s="100">
        <f>IF('Net zero activities &amp; levers'!$C$14="Off",('Activity data'!AX12*EF!$H11)*kgtoGg,IF('Net zero activities &amp; levers'!$C$14="On",('Net zero Activity data'!AX12*EF!$H11)*kgtoGg,"ERROR"))</f>
        <v>14.952095174287658</v>
      </c>
      <c r="AF1074" s="100">
        <f>IF('Net zero activities &amp; levers'!$C$14="Off",('Activity data'!AY12*EF!$H11)*kgtoGg,IF('Net zero activities &amp; levers'!$C$14="On",('Net zero Activity data'!AY12*EF!$H11)*kgtoGg,"ERROR"))</f>
        <v>14.976364363443366</v>
      </c>
      <c r="AG1074" s="100">
        <f>IF('Net zero activities &amp; levers'!$C$14="Off",('Activity data'!AZ12*EF!$H11)*kgtoGg,IF('Net zero activities &amp; levers'!$C$14="On",('Net zero Activity data'!AZ12*EF!$H11)*kgtoGg,"ERROR"))</f>
        <v>15.002858813889603</v>
      </c>
      <c r="AH1074" s="100">
        <f>IF('Net zero activities &amp; levers'!$C$14="Off",('Activity data'!BA12*EF!$H11)*kgtoGg,IF('Net zero activities &amp; levers'!$C$14="On",('Net zero Activity data'!BA12*EF!$H11)*kgtoGg,"ERROR"))</f>
        <v>15.030587264810261</v>
      </c>
      <c r="AI1074" s="100">
        <f>IF('Net zero activities &amp; levers'!$C$14="Off",('Activity data'!BB12*EF!$H11)*kgtoGg,IF('Net zero activities &amp; levers'!$C$14="On",('Net zero Activity data'!BB12*EF!$H11)*kgtoGg,"ERROR"))</f>
        <v>15.047780628661446</v>
      </c>
      <c r="AJ1074" s="100">
        <f>IF('Net zero activities &amp; levers'!$C$14="Off",('Activity data'!BC12*EF!$H11)*kgtoGg,IF('Net zero activities &amp; levers'!$C$14="On",('Net zero Activity data'!BC12*EF!$H11)*kgtoGg,"ERROR"))</f>
        <v>15.066556412271085</v>
      </c>
      <c r="AK1074" s="100">
        <f>IF('Net zero activities &amp; levers'!$C$14="Off",('Activity data'!BD12*EF!$H11)*kgtoGg,IF('Net zero activities &amp; levers'!$C$14="On",('Net zero Activity data'!BD12*EF!$H11)*kgtoGg,"ERROR"))</f>
        <v>15.086606961638427</v>
      </c>
      <c r="AL1074" s="100">
        <f>IF('Net zero activities &amp; levers'!$C$14="Off",('Activity data'!BE12*EF!$H11)*kgtoGg,IF('Net zero activities &amp; levers'!$C$14="On",('Net zero Activity data'!BE12*EF!$H11)*kgtoGg,"ERROR"))</f>
        <v>15.108049907566919</v>
      </c>
      <c r="AM1074" s="100">
        <f>IF('Net zero activities &amp; levers'!$C$14="Off",('Activity data'!BF12*EF!$H11)*kgtoGg,IF('Net zero activities &amp; levers'!$C$14="On",('Net zero Activity data'!BF12*EF!$H11)*kgtoGg,"ERROR"))</f>
        <v>15.130992361329902</v>
      </c>
      <c r="AN1074" s="100">
        <f>IF('Net zero activities &amp; levers'!$C$14="Off",('Activity data'!BG12*EF!$H11)*kgtoGg,IF('Net zero activities &amp; levers'!$C$14="On",('Net zero Activity data'!BG12*EF!$H11)*kgtoGg,"ERROR"))</f>
        <v>15.143888261853176</v>
      </c>
      <c r="AO1074" s="100">
        <f>IF('Net zero activities &amp; levers'!$C$14="Off",('Activity data'!BH12*EF!$H11)*kgtoGg,IF('Net zero activities &amp; levers'!$C$14="On",('Net zero Activity data'!BH12*EF!$H11)*kgtoGg,"ERROR"))</f>
        <v>15.157725592897588</v>
      </c>
      <c r="AP1074" s="100">
        <f>IF('Net zero activities &amp; levers'!$C$14="Off",('Activity data'!BI12*EF!$H11)*kgtoGg,IF('Net zero activities &amp; levers'!$C$14="On",('Net zero Activity data'!BI12*EF!$H11)*kgtoGg,"ERROR"))</f>
        <v>15.172774661323762</v>
      </c>
      <c r="AQ1074" s="100">
        <f>IF('Net zero activities &amp; levers'!$C$14="Off",('Activity data'!BJ12*EF!$H11)*kgtoGg,IF('Net zero activities &amp; levers'!$C$14="On",('Net zero Activity data'!BJ12*EF!$H11)*kgtoGg,"ERROR"))</f>
        <v>15.189005874285739</v>
      </c>
      <c r="AR1074" s="100">
        <f>IF('Net zero activities &amp; levers'!$C$14="Off",('Activity data'!BK12*EF!$H11)*kgtoGg,IF('Net zero activities &amp; levers'!$C$14="On",('Net zero Activity data'!BK12*EF!$H11)*kgtoGg,"ERROR"))</f>
        <v>15.206609465534806</v>
      </c>
      <c r="AS1074" s="100">
        <f>IF('Net zero activities &amp; levers'!$C$14="Off",('Activity data'!BL12*EF!$H11)*kgtoGg,IF('Net zero activities &amp; levers'!$C$14="On",('Net zero Activity data'!BL12*EF!$H11)*kgtoGg,"ERROR"))</f>
        <v>15.213703429054187</v>
      </c>
      <c r="AT1074" s="100">
        <f>IF('Net zero activities &amp; levers'!$C$14="Off",('Activity data'!BM12*EF!$H11)*kgtoGg,IF('Net zero activities &amp; levers'!$C$14="On",('Net zero Activity data'!BM12*EF!$H11)*kgtoGg,"ERROR"))</f>
        <v>15.219657832331064</v>
      </c>
      <c r="AU1074" s="100">
        <f>IF('Net zero activities &amp; levers'!$C$14="Off",('Activity data'!BN12*EF!$H11)*kgtoGg,IF('Net zero activities &amp; levers'!$C$14="On",('Net zero Activity data'!BN12*EF!$H11)*kgtoGg,"ERROR"))</f>
        <v>15.226388477452012</v>
      </c>
      <c r="AV1074" s="100">
        <f>IF('Net zero activities &amp; levers'!$C$14="Off",('Activity data'!BO12*EF!$H11)*kgtoGg,IF('Net zero activities &amp; levers'!$C$14="On",('Net zero Activity data'!BO12*EF!$H11)*kgtoGg,"ERROR"))</f>
        <v>15.234300519516996</v>
      </c>
      <c r="AW1074" s="100">
        <f>IF('Net zero activities &amp; levers'!$C$14="Off",('Activity data'!BP12*EF!$H11)*kgtoGg,IF('Net zero activities &amp; levers'!$C$14="On",('Net zero Activity data'!BP12*EF!$H11)*kgtoGg,"ERROR"))</f>
        <v>15.242957484465748</v>
      </c>
      <c r="AY1074" s="85"/>
    </row>
    <row r="1075" spans="1:51" x14ac:dyDescent="0.25">
      <c r="A1075" s="102" t="str">
        <f t="shared" si="373"/>
        <v>CM Goats</v>
      </c>
      <c r="B1075" s="102" t="s">
        <v>1323</v>
      </c>
      <c r="C1075" s="102" t="s">
        <v>153</v>
      </c>
      <c r="D1075" t="s">
        <v>15</v>
      </c>
      <c r="E1075" t="s">
        <v>16</v>
      </c>
      <c r="F1075" t="s">
        <v>19</v>
      </c>
      <c r="G1075" t="s">
        <v>122</v>
      </c>
      <c r="H1075" t="s">
        <v>1021</v>
      </c>
      <c r="I1075" t="s">
        <v>121</v>
      </c>
      <c r="J1075" t="s">
        <v>286</v>
      </c>
      <c r="K1075" s="100">
        <f>IF('Net zero activities &amp; levers'!$C$14="Off",('Activity data'!AD13*EF!$H12)*kgtoGg,IF('Net zero activities &amp; levers'!$C$14="On",('Net zero Activity data'!AD13*EF!$H12)*kgtoGg,"ERROR"))</f>
        <v>15.11994504352057</v>
      </c>
      <c r="L1075" s="100">
        <f>IF('Net zero activities &amp; levers'!$C$14="Off",('Activity data'!AE13*EF!$H12)*kgtoGg,IF('Net zero activities &amp; levers'!$C$14="On",('Net zero Activity data'!AE13*EF!$H12)*kgtoGg,"ERROR"))</f>
        <v>15.159244294711982</v>
      </c>
      <c r="M1075" s="100">
        <f>IF('Net zero activities &amp; levers'!$C$14="Off",('Activity data'!AF13*EF!$H12)*kgtoGg,IF('Net zero activities &amp; levers'!$C$14="On",('Net zero Activity data'!AF13*EF!$H12)*kgtoGg,"ERROR"))</f>
        <v>15.212240101283504</v>
      </c>
      <c r="N1075" s="100">
        <f>IF('Net zero activities &amp; levers'!$C$14="Off",('Activity data'!AG13*EF!$H12)*kgtoGg,IF('Net zero activities &amp; levers'!$C$14="On",('Net zero Activity data'!AG13*EF!$H12)*kgtoGg,"ERROR"))</f>
        <v>15.276787648225215</v>
      </c>
      <c r="O1075" s="100">
        <f>IF('Net zero activities &amp; levers'!$C$14="Off",('Activity data'!AH13*EF!$H12)*kgtoGg,IF('Net zero activities &amp; levers'!$C$14="On",('Net zero Activity data'!AH13*EF!$H12)*kgtoGg,"ERROR"))</f>
        <v>15.354100038796439</v>
      </c>
      <c r="P1075" s="100">
        <f>IF('Net zero activities &amp; levers'!$C$14="Off",('Activity data'!AI13*EF!$H12)*kgtoGg,IF('Net zero activities &amp; levers'!$C$14="On",('Net zero Activity data'!AI13*EF!$H12)*kgtoGg,"ERROR"))</f>
        <v>15.445501132757192</v>
      </c>
      <c r="Q1075" s="100">
        <f>IF('Net zero activities &amp; levers'!$C$14="Off",('Activity data'!AJ13*EF!$H12)*kgtoGg,IF('Net zero activities &amp; levers'!$C$14="On",('Net zero Activity data'!AJ13*EF!$H12)*kgtoGg,"ERROR"))</f>
        <v>15.542368253787608</v>
      </c>
      <c r="R1075" s="100">
        <f>IF('Net zero activities &amp; levers'!$C$14="Off",('Activity data'!AK13*EF!$H12)*kgtoGg,IF('Net zero activities &amp; levers'!$C$14="On",('Net zero Activity data'!AK13*EF!$H12)*kgtoGg,"ERROR"))</f>
        <v>15.643567978967758</v>
      </c>
      <c r="S1075" s="100">
        <f>IF('Net zero activities &amp; levers'!$C$14="Off",('Activity data'!AL13*EF!$H12)*kgtoGg,IF('Net zero activities &amp; levers'!$C$14="On",('Net zero Activity data'!AL13*EF!$H12)*kgtoGg,"ERROR"))</f>
        <v>15.742091989223546</v>
      </c>
      <c r="T1075" s="100">
        <f>IF('Net zero activities &amp; levers'!$C$14="Off",('Activity data'!AM13*EF!$H12)*kgtoGg,IF('Net zero activities &amp; levers'!$C$14="On",('Net zero Activity data'!AM13*EF!$H12)*kgtoGg,"ERROR"))</f>
        <v>15.787280907558081</v>
      </c>
      <c r="U1075" s="100">
        <f>IF('Net zero activities &amp; levers'!$C$14="Off",('Activity data'!AN13*EF!$H12)*kgtoGg,IF('Net zero activities &amp; levers'!$C$14="On",('Net zero Activity data'!AN13*EF!$H12)*kgtoGg,"ERROR"))</f>
        <v>15.836012504856258</v>
      </c>
      <c r="V1075" s="100">
        <f>IF('Net zero activities &amp; levers'!$C$14="Off",('Activity data'!AO13*EF!$H12)*kgtoGg,IF('Net zero activities &amp; levers'!$C$14="On",('Net zero Activity data'!AO13*EF!$H12)*kgtoGg,"ERROR"))</f>
        <v>15.888829637337995</v>
      </c>
      <c r="W1075" s="100">
        <f>IF('Net zero activities &amp; levers'!$C$14="Off",('Activity data'!AP13*EF!$H12)*kgtoGg,IF('Net zero activities &amp; levers'!$C$14="On",('Net zero Activity data'!AP13*EF!$H12)*kgtoGg,"ERROR"))</f>
        <v>15.946123298566558</v>
      </c>
      <c r="X1075" s="100">
        <f>IF('Net zero activities &amp; levers'!$C$14="Off",('Activity data'!AQ13*EF!$H12)*kgtoGg,IF('Net zero activities &amp; levers'!$C$14="On",('Net zero Activity data'!AQ13*EF!$H12)*kgtoGg,"ERROR"))</f>
        <v>16.008664249775823</v>
      </c>
      <c r="Y1075" s="100">
        <f>IF('Net zero activities &amp; levers'!$C$14="Off",('Activity data'!AR13*EF!$H12)*kgtoGg,IF('Net zero activities &amp; levers'!$C$14="On",('Net zero Activity data'!AR13*EF!$H12)*kgtoGg,"ERROR"))</f>
        <v>16.048917749469023</v>
      </c>
      <c r="Z1075" s="100">
        <f>IF('Net zero activities &amp; levers'!$C$14="Off",('Activity data'!AS13*EF!$H12)*kgtoGg,IF('Net zero activities &amp; levers'!$C$14="On",('Net zero Activity data'!AS13*EF!$H12)*kgtoGg,"ERROR"))</f>
        <v>16.092845807842092</v>
      </c>
      <c r="AA1075" s="100">
        <f>IF('Net zero activities &amp; levers'!$C$14="Off",('Activity data'!AT13*EF!$H12)*kgtoGg,IF('Net zero activities &amp; levers'!$C$14="On",('Net zero Activity data'!AT13*EF!$H12)*kgtoGg,"ERROR"))</f>
        <v>16.139355719065712</v>
      </c>
      <c r="AB1075" s="100">
        <f>IF('Net zero activities &amp; levers'!$C$14="Off",('Activity data'!AU13*EF!$H12)*kgtoGg,IF('Net zero activities &amp; levers'!$C$14="On",('Net zero Activity data'!AU13*EF!$H12)*kgtoGg,"ERROR"))</f>
        <v>16.189504893539258</v>
      </c>
      <c r="AC1075" s="100">
        <f>IF('Net zero activities &amp; levers'!$C$14="Off",('Activity data'!AV13*EF!$H12)*kgtoGg,IF('Net zero activities &amp; levers'!$C$14="On",('Net zero Activity data'!AV13*EF!$H12)*kgtoGg,"ERROR"))</f>
        <v>16.243310237377745</v>
      </c>
      <c r="AD1075" s="100">
        <f>IF('Net zero activities &amp; levers'!$C$14="Off",('Activity data'!AW13*EF!$H12)*kgtoGg,IF('Net zero activities &amp; levers'!$C$14="On",('Net zero Activity data'!AW13*EF!$H12)*kgtoGg,"ERROR"))</f>
        <v>16.27872559654169</v>
      </c>
      <c r="AE1075" s="100">
        <f>IF('Net zero activities &amp; levers'!$C$14="Off",('Activity data'!AX13*EF!$H12)*kgtoGg,IF('Net zero activities &amp; levers'!$C$14="On",('Net zero Activity data'!AX13*EF!$H12)*kgtoGg,"ERROR"))</f>
        <v>16.316901231642056</v>
      </c>
      <c r="AF1075" s="100">
        <f>IF('Net zero activities &amp; levers'!$C$14="Off",('Activity data'!AY13*EF!$H12)*kgtoGg,IF('Net zero activities &amp; levers'!$C$14="On",('Net zero Activity data'!AY13*EF!$H12)*kgtoGg,"ERROR"))</f>
        <v>16.357599483637454</v>
      </c>
      <c r="AG1075" s="100">
        <f>IF('Net zero activities &amp; levers'!$C$14="Off",('Activity data'!AZ13*EF!$H12)*kgtoGg,IF('Net zero activities &amp; levers'!$C$14="On",('Net zero Activity data'!AZ13*EF!$H12)*kgtoGg,"ERROR"))</f>
        <v>16.401277791155717</v>
      </c>
      <c r="AH1075" s="100">
        <f>IF('Net zero activities &amp; levers'!$C$14="Off",('Activity data'!BA13*EF!$H12)*kgtoGg,IF('Net zero activities &amp; levers'!$C$14="On",('Net zero Activity data'!BA13*EF!$H12)*kgtoGg,"ERROR"))</f>
        <v>16.446379725356415</v>
      </c>
      <c r="AI1075" s="100">
        <f>IF('Net zero activities &amp; levers'!$C$14="Off",('Activity data'!BB13*EF!$H12)*kgtoGg,IF('Net zero activities &amp; levers'!$C$14="On",('Net zero Activity data'!BB13*EF!$H12)*kgtoGg,"ERROR"))</f>
        <v>16.474339061625695</v>
      </c>
      <c r="AJ1075" s="100">
        <f>IF('Net zero activities &amp; levers'!$C$14="Off",('Activity data'!BC13*EF!$H12)*kgtoGg,IF('Net zero activities &amp; levers'!$C$14="On",('Net zero Activity data'!BC13*EF!$H12)*kgtoGg,"ERROR"))</f>
        <v>16.504371743452488</v>
      </c>
      <c r="AK1075" s="100">
        <f>IF('Net zero activities &amp; levers'!$C$14="Off",('Activity data'!BD13*EF!$H12)*kgtoGg,IF('Net zero activities &amp; levers'!$C$14="On",('Net zero Activity data'!BD13*EF!$H12)*kgtoGg,"ERROR"))</f>
        <v>16.53600364177057</v>
      </c>
      <c r="AL1075" s="100">
        <f>IF('Net zero activities &amp; levers'!$C$14="Off",('Activity data'!BE13*EF!$H12)*kgtoGg,IF('Net zero activities &amp; levers'!$C$14="On",('Net zero Activity data'!BE13*EF!$H12)*kgtoGg,"ERROR"))</f>
        <v>16.569430654637483</v>
      </c>
      <c r="AM1075" s="100">
        <f>IF('Net zero activities &amp; levers'!$C$14="Off",('Activity data'!BF13*EF!$H12)*kgtoGg,IF('Net zero activities &amp; levers'!$C$14="On",('Net zero Activity data'!BF13*EF!$H12)*kgtoGg,"ERROR"))</f>
        <v>16.604829643343088</v>
      </c>
      <c r="AN1075" s="100">
        <f>IF('Net zero activities &amp; levers'!$C$14="Off",('Activity data'!BG13*EF!$H12)*kgtoGg,IF('Net zero activities &amp; levers'!$C$14="On",('Net zero Activity data'!BG13*EF!$H12)*kgtoGg,"ERROR"))</f>
        <v>16.624131223085882</v>
      </c>
      <c r="AO1075" s="100">
        <f>IF('Net zero activities &amp; levers'!$C$14="Off",('Activity data'!BH13*EF!$H12)*kgtoGg,IF('Net zero activities &amp; levers'!$C$14="On",('Net zero Activity data'!BH13*EF!$H12)*kgtoGg,"ERROR"))</f>
        <v>16.644604707274034</v>
      </c>
      <c r="AP1075" s="100">
        <f>IF('Net zero activities &amp; levers'!$C$14="Off",('Activity data'!BI13*EF!$H12)*kgtoGg,IF('Net zero activities &amp; levers'!$C$14="On",('Net zero Activity data'!BI13*EF!$H12)*kgtoGg,"ERROR"))</f>
        <v>16.66667981019215</v>
      </c>
      <c r="AQ1075" s="100">
        <f>IF('Net zero activities &amp; levers'!$C$14="Off",('Activity data'!BJ13*EF!$H12)*kgtoGg,IF('Net zero activities &amp; levers'!$C$14="On",('Net zero Activity data'!BJ13*EF!$H12)*kgtoGg,"ERROR"))</f>
        <v>16.690315463067741</v>
      </c>
      <c r="AR1075" s="100">
        <f>IF('Net zero activities &amp; levers'!$C$14="Off",('Activity data'!BK13*EF!$H12)*kgtoGg,IF('Net zero activities &amp; levers'!$C$14="On",('Net zero Activity data'!BK13*EF!$H12)*kgtoGg,"ERROR"))</f>
        <v>16.715812130640956</v>
      </c>
      <c r="AS1075" s="100">
        <f>IF('Net zero activities &amp; levers'!$C$14="Off",('Activity data'!BL13*EF!$H12)*kgtoGg,IF('Net zero activities &amp; levers'!$C$14="On",('Net zero Activity data'!BL13*EF!$H12)*kgtoGg,"ERROR"))</f>
        <v>16.724718125544612</v>
      </c>
      <c r="AT1075" s="100">
        <f>IF('Net zero activities &amp; levers'!$C$14="Off",('Activity data'!BM13*EF!$H12)*kgtoGg,IF('Net zero activities &amp; levers'!$C$14="On",('Net zero Activity data'!BM13*EF!$H12)*kgtoGg,"ERROR"))</f>
        <v>16.731650898864725</v>
      </c>
      <c r="AU1075" s="100">
        <f>IF('Net zero activities &amp; levers'!$C$14="Off",('Activity data'!BN13*EF!$H12)*kgtoGg,IF('Net zero activities &amp; levers'!$C$14="On",('Net zero Activity data'!BN13*EF!$H12)*kgtoGg,"ERROR"))</f>
        <v>16.739594865731469</v>
      </c>
      <c r="AV1075" s="100">
        <f>IF('Net zero activities &amp; levers'!$C$14="Off",('Activity data'!BO13*EF!$H12)*kgtoGg,IF('Net zero activities &amp; levers'!$C$14="On",('Net zero Activity data'!BO13*EF!$H12)*kgtoGg,"ERROR"))</f>
        <v>16.749180241295228</v>
      </c>
      <c r="AW1075" s="100">
        <f>IF('Net zero activities &amp; levers'!$C$14="Off",('Activity data'!BP13*EF!$H12)*kgtoGg,IF('Net zero activities &amp; levers'!$C$14="On",('Net zero Activity data'!BP13*EF!$H12)*kgtoGg,"ERROR"))</f>
        <v>16.759733790022693</v>
      </c>
      <c r="AY1075" s="85"/>
    </row>
    <row r="1076" spans="1:51" x14ac:dyDescent="0.25">
      <c r="A1076" s="102" t="str">
        <f t="shared" si="373"/>
        <v>CM Goats</v>
      </c>
      <c r="B1076" s="102" t="s">
        <v>1323</v>
      </c>
      <c r="C1076" s="102" t="s">
        <v>153</v>
      </c>
      <c r="D1076" t="s">
        <v>15</v>
      </c>
      <c r="E1076" t="s">
        <v>16</v>
      </c>
      <c r="F1076" t="s">
        <v>19</v>
      </c>
      <c r="G1076" t="s">
        <v>123</v>
      </c>
      <c r="H1076" t="s">
        <v>1021</v>
      </c>
      <c r="I1076" t="s">
        <v>121</v>
      </c>
      <c r="J1076" t="s">
        <v>286</v>
      </c>
      <c r="K1076" s="100">
        <f>IF('Net zero activities &amp; levers'!$C$14="Off",('Activity data'!AD14*EF!$H13)*kgtoGg,IF('Net zero activities &amp; levers'!$C$14="On",('Net zero Activity data'!AD14*EF!$H13)*kgtoGg,"ERROR"))</f>
        <v>22.375967695369447</v>
      </c>
      <c r="L1076" s="100">
        <f>IF('Net zero activities &amp; levers'!$C$14="Off",('Activity data'!AE14*EF!$H13)*kgtoGg,IF('Net zero activities &amp; levers'!$C$14="On",('Net zero Activity data'!AE14*EF!$H13)*kgtoGg,"ERROR"))</f>
        <v>22.434126555906317</v>
      </c>
      <c r="M1076" s="100">
        <f>IF('Net zero activities &amp; levers'!$C$14="Off",('Activity data'!AF14*EF!$H13)*kgtoGg,IF('Net zero activities &amp; levers'!$C$14="On",('Net zero Activity data'!AF14*EF!$H13)*kgtoGg,"ERROR"))</f>
        <v>22.512554913444735</v>
      </c>
      <c r="N1076" s="100">
        <f>IF('Net zero activities &amp; levers'!$C$14="Off",('Activity data'!AG14*EF!$H13)*kgtoGg,IF('Net zero activities &amp; levers'!$C$14="On",('Net zero Activity data'!AG14*EF!$H13)*kgtoGg,"ERROR"))</f>
        <v>22.60807866178018</v>
      </c>
      <c r="O1076" s="100">
        <f>IF('Net zero activities &amp; levers'!$C$14="Off",('Activity data'!AH14*EF!$H13)*kgtoGg,IF('Net zero activities &amp; levers'!$C$14="On",('Net zero Activity data'!AH14*EF!$H13)*kgtoGg,"ERROR"))</f>
        <v>22.722493069299134</v>
      </c>
      <c r="P1076" s="100">
        <f>IF('Net zero activities &amp; levers'!$C$14="Off",('Activity data'!AI14*EF!$H13)*kgtoGg,IF('Net zero activities &amp; levers'!$C$14="On",('Net zero Activity data'!AI14*EF!$H13)*kgtoGg,"ERROR"))</f>
        <v>22.85775731264793</v>
      </c>
      <c r="Q1076" s="100">
        <f>IF('Net zero activities &amp; levers'!$C$14="Off",('Activity data'!AJ14*EF!$H13)*kgtoGg,IF('Net zero activities &amp; levers'!$C$14="On",('Net zero Activity data'!AJ14*EF!$H13)*kgtoGg,"ERROR"))</f>
        <v>23.001110715367403</v>
      </c>
      <c r="R1076" s="100">
        <f>IF('Net zero activities &amp; levers'!$C$14="Off",('Activity data'!AK14*EF!$H13)*kgtoGg,IF('Net zero activities &amp; levers'!$C$14="On",('Net zero Activity data'!AK14*EF!$H13)*kgtoGg,"ERROR"))</f>
        <v>23.150875927799948</v>
      </c>
      <c r="S1076" s="100">
        <f>IF('Net zero activities &amp; levers'!$C$14="Off",('Activity data'!AL14*EF!$H13)*kgtoGg,IF('Net zero activities &amp; levers'!$C$14="On",('Net zero Activity data'!AL14*EF!$H13)*kgtoGg,"ERROR"))</f>
        <v>23.296681356613096</v>
      </c>
      <c r="T1076" s="100">
        <f>IF('Net zero activities &amp; levers'!$C$14="Off",('Activity data'!AM14*EF!$H13)*kgtoGg,IF('Net zero activities &amp; levers'!$C$14="On",('Net zero Activity data'!AM14*EF!$H13)*kgtoGg,"ERROR"))</f>
        <v>23.363556320373338</v>
      </c>
      <c r="U1076" s="100">
        <f>IF('Net zero activities &amp; levers'!$C$14="Off",('Activity data'!AN14*EF!$H13)*kgtoGg,IF('Net zero activities &amp; levers'!$C$14="On",('Net zero Activity data'!AN14*EF!$H13)*kgtoGg,"ERROR"))</f>
        <v>23.435674085599938</v>
      </c>
      <c r="V1076" s="100">
        <f>IF('Net zero activities &amp; levers'!$C$14="Off",('Activity data'!AO14*EF!$H13)*kgtoGg,IF('Net zero activities &amp; levers'!$C$14="On",('Net zero Activity data'!AO14*EF!$H13)*kgtoGg,"ERROR"))</f>
        <v>23.513838023813449</v>
      </c>
      <c r="W1076" s="100">
        <f>IF('Net zero activities &amp; levers'!$C$14="Off",('Activity data'!AP14*EF!$H13)*kgtoGg,IF('Net zero activities &amp; levers'!$C$14="On",('Net zero Activity data'!AP14*EF!$H13)*kgtoGg,"ERROR"))</f>
        <v>23.598626765380281</v>
      </c>
      <c r="X1076" s="100">
        <f>IF('Net zero activities &amp; levers'!$C$14="Off",('Activity data'!AQ14*EF!$H13)*kgtoGg,IF('Net zero activities &amp; levers'!$C$14="On",('Net zero Activity data'!AQ14*EF!$H13)*kgtoGg,"ERROR"))</f>
        <v>23.691180957863665</v>
      </c>
      <c r="Y1076" s="100">
        <f>IF('Net zero activities &amp; levers'!$C$14="Off",('Activity data'!AR14*EF!$H13)*kgtoGg,IF('Net zero activities &amp; levers'!$C$14="On",('Net zero Activity data'!AR14*EF!$H13)*kgtoGg,"ERROR"))</f>
        <v>23.750752008298576</v>
      </c>
      <c r="Z1076" s="100">
        <f>IF('Net zero activities &amp; levers'!$C$14="Off",('Activity data'!AS14*EF!$H13)*kgtoGg,IF('Net zero activities &amp; levers'!$C$14="On",('Net zero Activity data'!AS14*EF!$H13)*kgtoGg,"ERROR"))</f>
        <v>23.815761028651949</v>
      </c>
      <c r="AA1076" s="100">
        <f>IF('Net zero activities &amp; levers'!$C$14="Off",('Activity data'!AT14*EF!$H13)*kgtoGg,IF('Net zero activities &amp; levers'!$C$14="On",('Net zero Activity data'!AT14*EF!$H13)*kgtoGg,"ERROR"))</f>
        <v>23.884590926383627</v>
      </c>
      <c r="AB1076" s="100">
        <f>IF('Net zero activities &amp; levers'!$C$14="Off",('Activity data'!AU14*EF!$H13)*kgtoGg,IF('Net zero activities &amp; levers'!$C$14="On",('Net zero Activity data'!AU14*EF!$H13)*kgtoGg,"ERROR"))</f>
        <v>23.958806560417987</v>
      </c>
      <c r="AC1076" s="100">
        <f>IF('Net zero activities &amp; levers'!$C$14="Off",('Activity data'!AV14*EF!$H13)*kgtoGg,IF('Net zero activities &amp; levers'!$C$14="On",('Net zero Activity data'!AV14*EF!$H13)*kgtoGg,"ERROR"))</f>
        <v>24.038432950071041</v>
      </c>
      <c r="AD1076" s="100">
        <f>IF('Net zero activities &amp; levers'!$C$14="Off",('Activity data'!AW14*EF!$H13)*kgtoGg,IF('Net zero activities &amp; levers'!$C$14="On",('Net zero Activity data'!AW14*EF!$H13)*kgtoGg,"ERROR"))</f>
        <v>24.090844048807938</v>
      </c>
      <c r="AE1076" s="100">
        <f>IF('Net zero activities &amp; levers'!$C$14="Off",('Activity data'!AX14*EF!$H13)*kgtoGg,IF('Net zero activities &amp; levers'!$C$14="On",('Net zero Activity data'!AX14*EF!$H13)*kgtoGg,"ERROR"))</f>
        <v>24.147340072788001</v>
      </c>
      <c r="AF1076" s="100">
        <f>IF('Net zero activities &amp; levers'!$C$14="Off",('Activity data'!AY14*EF!$H13)*kgtoGg,IF('Net zero activities &amp; levers'!$C$14="On",('Net zero Activity data'!AY14*EF!$H13)*kgtoGg,"ERROR"))</f>
        <v>24.207569311008498</v>
      </c>
      <c r="AG1076" s="100">
        <f>IF('Net zero activities &amp; levers'!$C$14="Off",('Activity data'!AZ14*EF!$H13)*kgtoGg,IF('Net zero activities &amp; levers'!$C$14="On",('Net zero Activity data'!AZ14*EF!$H13)*kgtoGg,"ERROR"))</f>
        <v>24.272208725715629</v>
      </c>
      <c r="AH1076" s="100">
        <f>IF('Net zero activities &amp; levers'!$C$14="Off",('Activity data'!BA14*EF!$H13)*kgtoGg,IF('Net zero activities &amp; levers'!$C$14="On",('Net zero Activity data'!BA14*EF!$H13)*kgtoGg,"ERROR"))</f>
        <v>24.338954961880422</v>
      </c>
      <c r="AI1076" s="100">
        <f>IF('Net zero activities &amp; levers'!$C$14="Off",('Activity data'!BB14*EF!$H13)*kgtoGg,IF('Net zero activities &amp; levers'!$C$14="On",('Net zero Activity data'!BB14*EF!$H13)*kgtoGg,"ERROR"))</f>
        <v>24.380331911554812</v>
      </c>
      <c r="AJ1076" s="100">
        <f>IF('Net zero activities &amp; levers'!$C$14="Off",('Activity data'!BC14*EF!$H13)*kgtoGg,IF('Net zero activities &amp; levers'!$C$14="On",('Net zero Activity data'!BC14*EF!$H13)*kgtoGg,"ERROR"))</f>
        <v>24.424777199975328</v>
      </c>
      <c r="AK1076" s="100">
        <f>IF('Net zero activities &amp; levers'!$C$14="Off",('Activity data'!BD14*EF!$H13)*kgtoGg,IF('Net zero activities &amp; levers'!$C$14="On",('Net zero Activity data'!BD14*EF!$H13)*kgtoGg,"ERROR"))</f>
        <v>24.471589164759028</v>
      </c>
      <c r="AL1076" s="100">
        <f>IF('Net zero activities &amp; levers'!$C$14="Off",('Activity data'!BE14*EF!$H13)*kgtoGg,IF('Net zero activities &amp; levers'!$C$14="On",('Net zero Activity data'!BE14*EF!$H13)*kgtoGg,"ERROR"))</f>
        <v>24.521057714936269</v>
      </c>
      <c r="AM1076" s="100">
        <f>IF('Net zero activities &amp; levers'!$C$14="Off",('Activity data'!BF14*EF!$H13)*kgtoGg,IF('Net zero activities &amp; levers'!$C$14="On",('Net zero Activity data'!BF14*EF!$H13)*kgtoGg,"ERROR"))</f>
        <v>24.573444587074068</v>
      </c>
      <c r="AN1076" s="100">
        <f>IF('Net zero activities &amp; levers'!$C$14="Off",('Activity data'!BG14*EF!$H13)*kgtoGg,IF('Net zero activities &amp; levers'!$C$14="On",('Net zero Activity data'!BG14*EF!$H13)*kgtoGg,"ERROR"))</f>
        <v>24.602008945181939</v>
      </c>
      <c r="AO1076" s="100">
        <f>IF('Net zero activities &amp; levers'!$C$14="Off",('Activity data'!BH14*EF!$H13)*kgtoGg,IF('Net zero activities &amp; levers'!$C$14="On",('Net zero Activity data'!BH14*EF!$H13)*kgtoGg,"ERROR"))</f>
        <v>24.632307601657676</v>
      </c>
      <c r="AP1076" s="100">
        <f>IF('Net zero activities &amp; levers'!$C$14="Off",('Activity data'!BI14*EF!$H13)*kgtoGg,IF('Net zero activities &amp; levers'!$C$14="On",('Net zero Activity data'!BI14*EF!$H13)*kgtoGg,"ERROR"))</f>
        <v>24.664976489563418</v>
      </c>
      <c r="AQ1076" s="100">
        <f>IF('Net zero activities &amp; levers'!$C$14="Off",('Activity data'!BJ14*EF!$H13)*kgtoGg,IF('Net zero activities &amp; levers'!$C$14="On",('Net zero Activity data'!BJ14*EF!$H13)*kgtoGg,"ERROR"))</f>
        <v>24.699954831328611</v>
      </c>
      <c r="AR1076" s="100">
        <f>IF('Net zero activities &amp; levers'!$C$14="Off",('Activity data'!BK14*EF!$H13)*kgtoGg,IF('Net zero activities &amp; levers'!$C$14="On",('Net zero Activity data'!BK14*EF!$H13)*kgtoGg,"ERROR"))</f>
        <v>24.737687283947693</v>
      </c>
      <c r="AS1076" s="100">
        <f>IF('Net zero activities &amp; levers'!$C$14="Off",('Activity data'!BL14*EF!$H13)*kgtoGg,IF('Net zero activities &amp; levers'!$C$14="On",('Net zero Activity data'!BL14*EF!$H13)*kgtoGg,"ERROR"))</f>
        <v>24.75086724284872</v>
      </c>
      <c r="AT1076" s="100">
        <f>IF('Net zero activities &amp; levers'!$C$14="Off",('Activity data'!BM14*EF!$H13)*kgtoGg,IF('Net zero activities &amp; levers'!$C$14="On",('Net zero Activity data'!BM14*EF!$H13)*kgtoGg,"ERROR"))</f>
        <v>24.76112703621461</v>
      </c>
      <c r="AU1076" s="100">
        <f>IF('Net zero activities &amp; levers'!$C$14="Off",('Activity data'!BN14*EF!$H13)*kgtoGg,IF('Net zero activities &amp; levers'!$C$14="On",('Net zero Activity data'!BN14*EF!$H13)*kgtoGg,"ERROR"))</f>
        <v>24.772883292303622</v>
      </c>
      <c r="AV1076" s="100">
        <f>IF('Net zero activities &amp; levers'!$C$14="Off",('Activity data'!BO14*EF!$H13)*kgtoGg,IF('Net zero activities &amp; levers'!$C$14="On",('Net zero Activity data'!BO14*EF!$H13)*kgtoGg,"ERROR"))</f>
        <v>24.787068664892292</v>
      </c>
      <c r="AW1076" s="100">
        <f>IF('Net zero activities &amp; levers'!$C$14="Off",('Activity data'!BP14*EF!$H13)*kgtoGg,IF('Net zero activities &amp; levers'!$C$14="On",('Net zero Activity data'!BP14*EF!$H13)*kgtoGg,"ERROR"))</f>
        <v>24.802686834450295</v>
      </c>
      <c r="AY1076" s="85"/>
    </row>
    <row r="1077" spans="1:51" x14ac:dyDescent="0.25">
      <c r="A1077" s="102" t="str">
        <f t="shared" si="373"/>
        <v>CM Horses</v>
      </c>
      <c r="B1077" s="102" t="s">
        <v>1323</v>
      </c>
      <c r="C1077" s="102" t="s">
        <v>3</v>
      </c>
      <c r="D1077" t="s">
        <v>15</v>
      </c>
      <c r="E1077" t="s">
        <v>16</v>
      </c>
      <c r="F1077" t="s">
        <v>20</v>
      </c>
      <c r="G1077" t="s">
        <v>3</v>
      </c>
      <c r="H1077" t="s">
        <v>1021</v>
      </c>
      <c r="I1077" t="s">
        <v>121</v>
      </c>
      <c r="J1077" t="s">
        <v>286</v>
      </c>
      <c r="K1077" s="100">
        <f>IF('Net zero activities &amp; levers'!$C$14="Off",('Activity data'!AD15*EF!$H14)*kgtoGg,IF('Net zero activities &amp; levers'!$C$14="On",('Net zero Activity data'!AD15*EF!$H14)*kgtoGg,"ERROR"))</f>
        <v>5.5625078668475236</v>
      </c>
      <c r="L1077" s="100">
        <f>IF('Net zero activities &amp; levers'!$C$14="Off",('Activity data'!AE15*EF!$H14)*kgtoGg,IF('Net zero activities &amp; levers'!$C$14="On",('Net zero Activity data'!AE15*EF!$H14)*kgtoGg,"ERROR"))</f>
        <v>5.5999708339814545</v>
      </c>
      <c r="M1077" s="100">
        <f>IF('Net zero activities &amp; levers'!$C$14="Off",('Activity data'!AF15*EF!$H14)*kgtoGg,IF('Net zero activities &amp; levers'!$C$14="On",('Net zero Activity data'!AF15*EF!$H14)*kgtoGg,"ERROR"))</f>
        <v>5.6226370840776179</v>
      </c>
      <c r="N1077" s="100">
        <f>IF('Net zero activities &amp; levers'!$C$14="Off",('Activity data'!AG15*EF!$H14)*kgtoGg,IF('Net zero activities &amp; levers'!$C$14="On",('Net zero Activity data'!AG15*EF!$H14)*kgtoGg,"ERROR"))</f>
        <v>5.5928142970106265</v>
      </c>
      <c r="O1077" s="100">
        <f>IF('Net zero activities &amp; levers'!$C$14="Off",('Activity data'!AH15*EF!$H14)*kgtoGg,IF('Net zero activities &amp; levers'!$C$14="On",('Net zero Activity data'!AH15*EF!$H14)*kgtoGg,"ERROR"))</f>
        <v>5.5623376589201499</v>
      </c>
      <c r="P1077" s="100">
        <f>IF('Net zero activities &amp; levers'!$C$14="Off",('Activity data'!AI15*EF!$H14)*kgtoGg,IF('Net zero activities &amp; levers'!$C$14="On",('Net zero Activity data'!AI15*EF!$H14)*kgtoGg,"ERROR"))</f>
        <v>5.5812216853376206</v>
      </c>
      <c r="Q1077" s="100">
        <f>IF('Net zero activities &amp; levers'!$C$14="Off",('Activity data'!AJ15*EF!$H14)*kgtoGg,IF('Net zero activities &amp; levers'!$C$14="On",('Net zero Activity data'!AJ15*EF!$H14)*kgtoGg,"ERROR"))</f>
        <v>5.5836612172513842</v>
      </c>
      <c r="R1077" s="100">
        <f>IF('Net zero activities &amp; levers'!$C$14="Off",('Activity data'!AK15*EF!$H14)*kgtoGg,IF('Net zero activities &amp; levers'!$C$14="On",('Net zero Activity data'!AK15*EF!$H14)*kgtoGg,"ERROR"))</f>
        <v>5.5315877353552168</v>
      </c>
      <c r="S1077" s="100">
        <f>IF('Net zero activities &amp; levers'!$C$14="Off",('Activity data'!AL15*EF!$H14)*kgtoGg,IF('Net zero activities &amp; levers'!$C$14="On",('Net zero Activity data'!AL15*EF!$H14)*kgtoGg,"ERROR"))</f>
        <v>5.2455147526194601</v>
      </c>
      <c r="T1077" s="100">
        <f>IF('Net zero activities &amp; levers'!$C$14="Off",('Activity data'!AM15*EF!$H14)*kgtoGg,IF('Net zero activities &amp; levers'!$C$14="On",('Net zero Activity data'!AM15*EF!$H14)*kgtoGg,"ERROR"))</f>
        <v>5.332808287437901</v>
      </c>
      <c r="U1077" s="100">
        <f>IF('Net zero activities &amp; levers'!$C$14="Off",('Activity data'!AN15*EF!$H14)*kgtoGg,IF('Net zero activities &amp; levers'!$C$14="On",('Net zero Activity data'!AN15*EF!$H14)*kgtoGg,"ERROR"))</f>
        <v>5.3901753132609427</v>
      </c>
      <c r="V1077" s="100">
        <f>IF('Net zero activities &amp; levers'!$C$14="Off",('Activity data'!AO15*EF!$H14)*kgtoGg,IF('Net zero activities &amp; levers'!$C$14="On",('Net zero Activity data'!AO15*EF!$H14)*kgtoGg,"ERROR"))</f>
        <v>5.440230309739654</v>
      </c>
      <c r="W1077" s="100">
        <f>IF('Net zero activities &amp; levers'!$C$14="Off",('Activity data'!AP15*EF!$H14)*kgtoGg,IF('Net zero activities &amp; levers'!$C$14="On",('Net zero Activity data'!AP15*EF!$H14)*kgtoGg,"ERROR"))</f>
        <v>5.5003068027462358</v>
      </c>
      <c r="X1077" s="100">
        <f>IF('Net zero activities &amp; levers'!$C$14="Off",('Activity data'!AQ15*EF!$H14)*kgtoGg,IF('Net zero activities &amp; levers'!$C$14="On",('Net zero Activity data'!AQ15*EF!$H14)*kgtoGg,"ERROR"))</f>
        <v>5.5968430891840955</v>
      </c>
      <c r="Y1077" s="100">
        <f>IF('Net zero activities &amp; levers'!$C$14="Off",('Activity data'!AR15*EF!$H14)*kgtoGg,IF('Net zero activities &amp; levers'!$C$14="On",('Net zero Activity data'!AR15*EF!$H14)*kgtoGg,"ERROR"))</f>
        <v>5.7072120457799942</v>
      </c>
      <c r="Z1077" s="100">
        <f>IF('Net zero activities &amp; levers'!$C$14="Off",('Activity data'!AS15*EF!$H14)*kgtoGg,IF('Net zero activities &amp; levers'!$C$14="On",('Net zero Activity data'!AS15*EF!$H14)*kgtoGg,"ERROR"))</f>
        <v>5.8264820494807026</v>
      </c>
      <c r="AA1077" s="100">
        <f>IF('Net zero activities &amp; levers'!$C$14="Off",('Activity data'!AT15*EF!$H14)*kgtoGg,IF('Net zero activities &amp; levers'!$C$14="On",('Net zero Activity data'!AT15*EF!$H14)*kgtoGg,"ERROR"))</f>
        <v>5.9301104930204529</v>
      </c>
      <c r="AB1077" s="100">
        <f>IF('Net zero activities &amp; levers'!$C$14="Off",('Activity data'!AU15*EF!$H14)*kgtoGg,IF('Net zero activities &amp; levers'!$C$14="On",('Net zero Activity data'!AU15*EF!$H14)*kgtoGg,"ERROR"))</f>
        <v>6.0502396904604057</v>
      </c>
      <c r="AC1077" s="100">
        <f>IF('Net zero activities &amp; levers'!$C$14="Off",('Activity data'!AV15*EF!$H14)*kgtoGg,IF('Net zero activities &amp; levers'!$C$14="On",('Net zero Activity data'!AV15*EF!$H14)*kgtoGg,"ERROR"))</f>
        <v>6.1907930019013007</v>
      </c>
      <c r="AD1077" s="100">
        <f>IF('Net zero activities &amp; levers'!$C$14="Off",('Activity data'!AW15*EF!$H14)*kgtoGg,IF('Net zero activities &amp; levers'!$C$14="On",('Net zero Activity data'!AW15*EF!$H14)*kgtoGg,"ERROR"))</f>
        <v>6.3320471664105931</v>
      </c>
      <c r="AE1077" s="100">
        <f>IF('Net zero activities &amp; levers'!$C$14="Off",('Activity data'!AX15*EF!$H14)*kgtoGg,IF('Net zero activities &amp; levers'!$C$14="On",('Net zero Activity data'!AX15*EF!$H14)*kgtoGg,"ERROR"))</f>
        <v>6.4794646415598249</v>
      </c>
      <c r="AF1077" s="100">
        <f>IF('Net zero activities &amp; levers'!$C$14="Off",('Activity data'!AY15*EF!$H14)*kgtoGg,IF('Net zero activities &amp; levers'!$C$14="On",('Net zero Activity data'!AY15*EF!$H14)*kgtoGg,"ERROR"))</f>
        <v>6.6296689370175557</v>
      </c>
      <c r="AG1077" s="100">
        <f>IF('Net zero activities &amp; levers'!$C$14="Off",('Activity data'!AZ15*EF!$H14)*kgtoGg,IF('Net zero activities &amp; levers'!$C$14="On",('Net zero Activity data'!AZ15*EF!$H14)*kgtoGg,"ERROR"))</f>
        <v>6.7972348352901832</v>
      </c>
      <c r="AH1077" s="100">
        <f>IF('Net zero activities &amp; levers'!$C$14="Off",('Activity data'!BA15*EF!$H14)*kgtoGg,IF('Net zero activities &amp; levers'!$C$14="On",('Net zero Activity data'!BA15*EF!$H14)*kgtoGg,"ERROR"))</f>
        <v>6.9438088425470355</v>
      </c>
      <c r="AI1077" s="100">
        <f>IF('Net zero activities &amp; levers'!$C$14="Off",('Activity data'!BB15*EF!$H14)*kgtoGg,IF('Net zero activities &amp; levers'!$C$14="On",('Net zero Activity data'!BB15*EF!$H14)*kgtoGg,"ERROR"))</f>
        <v>7.1048815884414847</v>
      </c>
      <c r="AJ1077" s="100">
        <f>IF('Net zero activities &amp; levers'!$C$14="Off",('Activity data'!BC15*EF!$H14)*kgtoGg,IF('Net zero activities &amp; levers'!$C$14="On",('Net zero Activity data'!BC15*EF!$H14)*kgtoGg,"ERROR"))</f>
        <v>7.268627225560472</v>
      </c>
      <c r="AK1077" s="100">
        <f>IF('Net zero activities &amp; levers'!$C$14="Off",('Activity data'!BD15*EF!$H14)*kgtoGg,IF('Net zero activities &amp; levers'!$C$14="On",('Net zero Activity data'!BD15*EF!$H14)*kgtoGg,"ERROR"))</f>
        <v>7.42471904610154</v>
      </c>
      <c r="AL1077" s="100">
        <f>IF('Net zero activities &amp; levers'!$C$14="Off",('Activity data'!BE15*EF!$H14)*kgtoGg,IF('Net zero activities &amp; levers'!$C$14="On",('Net zero Activity data'!BE15*EF!$H14)*kgtoGg,"ERROR"))</f>
        <v>7.5801220888649867</v>
      </c>
      <c r="AM1077" s="100">
        <f>IF('Net zero activities &amp; levers'!$C$14="Off",('Activity data'!BF15*EF!$H14)*kgtoGg,IF('Net zero activities &amp; levers'!$C$14="On",('Net zero Activity data'!BF15*EF!$H14)*kgtoGg,"ERROR"))</f>
        <v>7.7411228012577773</v>
      </c>
      <c r="AN1077" s="100">
        <f>IF('Net zero activities &amp; levers'!$C$14="Off",('Activity data'!BG15*EF!$H14)*kgtoGg,IF('Net zero activities &amp; levers'!$C$14="On",('Net zero Activity data'!BG15*EF!$H14)*kgtoGg,"ERROR"))</f>
        <v>7.9163247577118536</v>
      </c>
      <c r="AO1077" s="100">
        <f>IF('Net zero activities &amp; levers'!$C$14="Off",('Activity data'!BH15*EF!$H14)*kgtoGg,IF('Net zero activities &amp; levers'!$C$14="On",('Net zero Activity data'!BH15*EF!$H14)*kgtoGg,"ERROR"))</f>
        <v>8.0810947340099517</v>
      </c>
      <c r="AP1077" s="100">
        <f>IF('Net zero activities &amp; levers'!$C$14="Off",('Activity data'!BI15*EF!$H14)*kgtoGg,IF('Net zero activities &amp; levers'!$C$14="On",('Net zero Activity data'!BI15*EF!$H14)*kgtoGg,"ERROR"))</f>
        <v>8.2480372843312519</v>
      </c>
      <c r="AQ1077" s="100">
        <f>IF('Net zero activities &amp; levers'!$C$14="Off",('Activity data'!BJ15*EF!$H14)*kgtoGg,IF('Net zero activities &amp; levers'!$C$14="On",('Net zero Activity data'!BJ15*EF!$H14)*kgtoGg,"ERROR"))</f>
        <v>8.4174605770969908</v>
      </c>
      <c r="AR1077" s="100">
        <f>IF('Net zero activities &amp; levers'!$C$14="Off",('Activity data'!BK15*EF!$H14)*kgtoGg,IF('Net zero activities &amp; levers'!$C$14="On",('Net zero Activity data'!BK15*EF!$H14)*kgtoGg,"ERROR"))</f>
        <v>8.5983802423376101</v>
      </c>
      <c r="AS1077" s="100">
        <f>IF('Net zero activities &amp; levers'!$C$14="Off",('Activity data'!BL15*EF!$H14)*kgtoGg,IF('Net zero activities &amp; levers'!$C$14="On",('Net zero Activity data'!BL15*EF!$H14)*kgtoGg,"ERROR"))</f>
        <v>8.7907471853609671</v>
      </c>
      <c r="AT1077" s="100">
        <f>IF('Net zero activities &amp; levers'!$C$14="Off",('Activity data'!BM15*EF!$H14)*kgtoGg,IF('Net zero activities &amp; levers'!$C$14="On",('Net zero Activity data'!BM15*EF!$H14)*kgtoGg,"ERROR"))</f>
        <v>8.8991507547228217</v>
      </c>
      <c r="AU1077" s="100">
        <f>IF('Net zero activities &amp; levers'!$C$14="Off",('Activity data'!BN15*EF!$H14)*kgtoGg,IF('Net zero activities &amp; levers'!$C$14="On",('Net zero Activity data'!BN15*EF!$H14)*kgtoGg,"ERROR"))</f>
        <v>9.0016825973480952</v>
      </c>
      <c r="AV1077" s="100">
        <f>IF('Net zero activities &amp; levers'!$C$14="Off",('Activity data'!BO15*EF!$H14)*kgtoGg,IF('Net zero activities &amp; levers'!$C$14="On",('Net zero Activity data'!BO15*EF!$H14)*kgtoGg,"ERROR"))</f>
        <v>9.1156705075973274</v>
      </c>
      <c r="AW1077" s="100">
        <f>IF('Net zero activities &amp; levers'!$C$14="Off",('Activity data'!BP15*EF!$H14)*kgtoGg,IF('Net zero activities &amp; levers'!$C$14="On",('Net zero Activity data'!BP15*EF!$H14)*kgtoGg,"ERROR"))</f>
        <v>9.2247946500114306</v>
      </c>
      <c r="AY1077" s="85"/>
    </row>
    <row r="1078" spans="1:51" x14ac:dyDescent="0.25">
      <c r="A1078" s="102" t="str">
        <f t="shared" si="373"/>
        <v>CM Mules&amp;Asses</v>
      </c>
      <c r="B1078" s="102" t="s">
        <v>1323</v>
      </c>
      <c r="C1078" s="102" t="s">
        <v>1324</v>
      </c>
      <c r="D1078" t="s">
        <v>15</v>
      </c>
      <c r="E1078" t="s">
        <v>16</v>
      </c>
      <c r="F1078" t="s">
        <v>140</v>
      </c>
      <c r="G1078" t="s">
        <v>124</v>
      </c>
      <c r="H1078" t="s">
        <v>1021</v>
      </c>
      <c r="I1078" t="s">
        <v>121</v>
      </c>
      <c r="J1078" t="s">
        <v>286</v>
      </c>
      <c r="K1078" s="100">
        <f>IF('Net zero activities &amp; levers'!$C$14="Off",('Activity data'!AD16*EF!$H15)*kgtoGg,IF('Net zero activities &amp; levers'!$C$14="On",('Net zero Activity data'!AD16*EF!$H15)*kgtoGg,"ERROR"))</f>
        <v>1.67</v>
      </c>
      <c r="L1078" s="100">
        <f>IF('Net zero activities &amp; levers'!$C$14="Off",('Activity data'!AE16*EF!$H15)*kgtoGg,IF('Net zero activities &amp; levers'!$C$14="On",('Net zero Activity data'!AE16*EF!$H15)*kgtoGg,"ERROR"))</f>
        <v>1.67</v>
      </c>
      <c r="M1078" s="100">
        <f>IF('Net zero activities &amp; levers'!$C$14="Off",('Activity data'!AF16*EF!$H15)*kgtoGg,IF('Net zero activities &amp; levers'!$C$14="On",('Net zero Activity data'!AF16*EF!$H15)*kgtoGg,"ERROR"))</f>
        <v>1.67</v>
      </c>
      <c r="N1078" s="100">
        <f>IF('Net zero activities &amp; levers'!$C$14="Off",('Activity data'!AG16*EF!$H15)*kgtoGg,IF('Net zero activities &amp; levers'!$C$14="On",('Net zero Activity data'!AG16*EF!$H15)*kgtoGg,"ERROR"))</f>
        <v>1.67</v>
      </c>
      <c r="O1078" s="100">
        <f>IF('Net zero activities &amp; levers'!$C$14="Off",('Activity data'!AH16*EF!$H15)*kgtoGg,IF('Net zero activities &amp; levers'!$C$14="On",('Net zero Activity data'!AH16*EF!$H15)*kgtoGg,"ERROR"))</f>
        <v>1.67</v>
      </c>
      <c r="P1078" s="100">
        <f>IF('Net zero activities &amp; levers'!$C$14="Off",('Activity data'!AI16*EF!$H15)*kgtoGg,IF('Net zero activities &amp; levers'!$C$14="On",('Net zero Activity data'!AI16*EF!$H15)*kgtoGg,"ERROR"))</f>
        <v>1.67</v>
      </c>
      <c r="Q1078" s="100">
        <f>IF('Net zero activities &amp; levers'!$C$14="Off",('Activity data'!AJ16*EF!$H15)*kgtoGg,IF('Net zero activities &amp; levers'!$C$14="On",('Net zero Activity data'!AJ16*EF!$H15)*kgtoGg,"ERROR"))</f>
        <v>1.67</v>
      </c>
      <c r="R1078" s="100">
        <f>IF('Net zero activities &amp; levers'!$C$14="Off",('Activity data'!AK16*EF!$H15)*kgtoGg,IF('Net zero activities &amp; levers'!$C$14="On",('Net zero Activity data'!AK16*EF!$H15)*kgtoGg,"ERROR"))</f>
        <v>1.67</v>
      </c>
      <c r="S1078" s="100">
        <f>IF('Net zero activities &amp; levers'!$C$14="Off",('Activity data'!AL16*EF!$H15)*kgtoGg,IF('Net zero activities &amp; levers'!$C$14="On",('Net zero Activity data'!AL16*EF!$H15)*kgtoGg,"ERROR"))</f>
        <v>1.67</v>
      </c>
      <c r="T1078" s="100">
        <f>IF('Net zero activities &amp; levers'!$C$14="Off",('Activity data'!AM16*EF!$H15)*kgtoGg,IF('Net zero activities &amp; levers'!$C$14="On",('Net zero Activity data'!AM16*EF!$H15)*kgtoGg,"ERROR"))</f>
        <v>1.67</v>
      </c>
      <c r="U1078" s="100">
        <f>IF('Net zero activities &amp; levers'!$C$14="Off",('Activity data'!AN16*EF!$H15)*kgtoGg,IF('Net zero activities &amp; levers'!$C$14="On",('Net zero Activity data'!AN16*EF!$H15)*kgtoGg,"ERROR"))</f>
        <v>1.67</v>
      </c>
      <c r="V1078" s="100">
        <f>IF('Net zero activities &amp; levers'!$C$14="Off",('Activity data'!AO16*EF!$H15)*kgtoGg,IF('Net zero activities &amp; levers'!$C$14="On",('Net zero Activity data'!AO16*EF!$H15)*kgtoGg,"ERROR"))</f>
        <v>1.67</v>
      </c>
      <c r="W1078" s="100">
        <f>IF('Net zero activities &amp; levers'!$C$14="Off",('Activity data'!AP16*EF!$H15)*kgtoGg,IF('Net zero activities &amp; levers'!$C$14="On",('Net zero Activity data'!AP16*EF!$H15)*kgtoGg,"ERROR"))</f>
        <v>1.67</v>
      </c>
      <c r="X1078" s="100">
        <f>IF('Net zero activities &amp; levers'!$C$14="Off",('Activity data'!AQ16*EF!$H15)*kgtoGg,IF('Net zero activities &amp; levers'!$C$14="On",('Net zero Activity data'!AQ16*EF!$H15)*kgtoGg,"ERROR"))</f>
        <v>1.67</v>
      </c>
      <c r="Y1078" s="100">
        <f>IF('Net zero activities &amp; levers'!$C$14="Off",('Activity data'!AR16*EF!$H15)*kgtoGg,IF('Net zero activities &amp; levers'!$C$14="On",('Net zero Activity data'!AR16*EF!$H15)*kgtoGg,"ERROR"))</f>
        <v>1.67</v>
      </c>
      <c r="Z1078" s="100">
        <f>IF('Net zero activities &amp; levers'!$C$14="Off",('Activity data'!AS16*EF!$H15)*kgtoGg,IF('Net zero activities &amp; levers'!$C$14="On",('Net zero Activity data'!AS16*EF!$H15)*kgtoGg,"ERROR"))</f>
        <v>1.67</v>
      </c>
      <c r="AA1078" s="100">
        <f>IF('Net zero activities &amp; levers'!$C$14="Off",('Activity data'!AT16*EF!$H15)*kgtoGg,IF('Net zero activities &amp; levers'!$C$14="On",('Net zero Activity data'!AT16*EF!$H15)*kgtoGg,"ERROR"))</f>
        <v>1.67</v>
      </c>
      <c r="AB1078" s="100">
        <f>IF('Net zero activities &amp; levers'!$C$14="Off",('Activity data'!AU16*EF!$H15)*kgtoGg,IF('Net zero activities &amp; levers'!$C$14="On",('Net zero Activity data'!AU16*EF!$H15)*kgtoGg,"ERROR"))</f>
        <v>1.67</v>
      </c>
      <c r="AC1078" s="100">
        <f>IF('Net zero activities &amp; levers'!$C$14="Off",('Activity data'!AV16*EF!$H15)*kgtoGg,IF('Net zero activities &amp; levers'!$C$14="On",('Net zero Activity data'!AV16*EF!$H15)*kgtoGg,"ERROR"))</f>
        <v>1.67</v>
      </c>
      <c r="AD1078" s="100">
        <f>IF('Net zero activities &amp; levers'!$C$14="Off",('Activity data'!AW16*EF!$H15)*kgtoGg,IF('Net zero activities &amp; levers'!$C$14="On",('Net zero Activity data'!AW16*EF!$H15)*kgtoGg,"ERROR"))</f>
        <v>1.67</v>
      </c>
      <c r="AE1078" s="100">
        <f>IF('Net zero activities &amp; levers'!$C$14="Off",('Activity data'!AX16*EF!$H15)*kgtoGg,IF('Net zero activities &amp; levers'!$C$14="On",('Net zero Activity data'!AX16*EF!$H15)*kgtoGg,"ERROR"))</f>
        <v>1.67</v>
      </c>
      <c r="AF1078" s="100">
        <f>IF('Net zero activities &amp; levers'!$C$14="Off",('Activity data'!AY16*EF!$H15)*kgtoGg,IF('Net zero activities &amp; levers'!$C$14="On",('Net zero Activity data'!AY16*EF!$H15)*kgtoGg,"ERROR"))</f>
        <v>1.67</v>
      </c>
      <c r="AG1078" s="100">
        <f>IF('Net zero activities &amp; levers'!$C$14="Off",('Activity data'!AZ16*EF!$H15)*kgtoGg,IF('Net zero activities &amp; levers'!$C$14="On",('Net zero Activity data'!AZ16*EF!$H15)*kgtoGg,"ERROR"))</f>
        <v>1.67</v>
      </c>
      <c r="AH1078" s="100">
        <f>IF('Net zero activities &amp; levers'!$C$14="Off",('Activity data'!BA16*EF!$H15)*kgtoGg,IF('Net zero activities &amp; levers'!$C$14="On",('Net zero Activity data'!BA16*EF!$H15)*kgtoGg,"ERROR"))</f>
        <v>1.67</v>
      </c>
      <c r="AI1078" s="100">
        <f>IF('Net zero activities &amp; levers'!$C$14="Off",('Activity data'!BB16*EF!$H15)*kgtoGg,IF('Net zero activities &amp; levers'!$C$14="On",('Net zero Activity data'!BB16*EF!$H15)*kgtoGg,"ERROR"))</f>
        <v>1.67</v>
      </c>
      <c r="AJ1078" s="100">
        <f>IF('Net zero activities &amp; levers'!$C$14="Off",('Activity data'!BC16*EF!$H15)*kgtoGg,IF('Net zero activities &amp; levers'!$C$14="On",('Net zero Activity data'!BC16*EF!$H15)*kgtoGg,"ERROR"))</f>
        <v>1.67</v>
      </c>
      <c r="AK1078" s="100">
        <f>IF('Net zero activities &amp; levers'!$C$14="Off",('Activity data'!BD16*EF!$H15)*kgtoGg,IF('Net zero activities &amp; levers'!$C$14="On",('Net zero Activity data'!BD16*EF!$H15)*kgtoGg,"ERROR"))</f>
        <v>1.67</v>
      </c>
      <c r="AL1078" s="100">
        <f>IF('Net zero activities &amp; levers'!$C$14="Off",('Activity data'!BE16*EF!$H15)*kgtoGg,IF('Net zero activities &amp; levers'!$C$14="On",('Net zero Activity data'!BE16*EF!$H15)*kgtoGg,"ERROR"))</f>
        <v>1.67</v>
      </c>
      <c r="AM1078" s="100">
        <f>IF('Net zero activities &amp; levers'!$C$14="Off",('Activity data'!BF16*EF!$H15)*kgtoGg,IF('Net zero activities &amp; levers'!$C$14="On",('Net zero Activity data'!BF16*EF!$H15)*kgtoGg,"ERROR"))</f>
        <v>1.67</v>
      </c>
      <c r="AN1078" s="100">
        <f>IF('Net zero activities &amp; levers'!$C$14="Off",('Activity data'!BG16*EF!$H15)*kgtoGg,IF('Net zero activities &amp; levers'!$C$14="On",('Net zero Activity data'!BG16*EF!$H15)*kgtoGg,"ERROR"))</f>
        <v>1.67</v>
      </c>
      <c r="AO1078" s="100">
        <f>IF('Net zero activities &amp; levers'!$C$14="Off",('Activity data'!BH16*EF!$H15)*kgtoGg,IF('Net zero activities &amp; levers'!$C$14="On",('Net zero Activity data'!BH16*EF!$H15)*kgtoGg,"ERROR"))</f>
        <v>1.67</v>
      </c>
      <c r="AP1078" s="100">
        <f>IF('Net zero activities &amp; levers'!$C$14="Off",('Activity data'!BI16*EF!$H15)*kgtoGg,IF('Net zero activities &amp; levers'!$C$14="On",('Net zero Activity data'!BI16*EF!$H15)*kgtoGg,"ERROR"))</f>
        <v>1.67</v>
      </c>
      <c r="AQ1078" s="100">
        <f>IF('Net zero activities &amp; levers'!$C$14="Off",('Activity data'!BJ16*EF!$H15)*kgtoGg,IF('Net zero activities &amp; levers'!$C$14="On",('Net zero Activity data'!BJ16*EF!$H15)*kgtoGg,"ERROR"))</f>
        <v>1.67</v>
      </c>
      <c r="AR1078" s="100">
        <f>IF('Net zero activities &amp; levers'!$C$14="Off",('Activity data'!BK16*EF!$H15)*kgtoGg,IF('Net zero activities &amp; levers'!$C$14="On",('Net zero Activity data'!BK16*EF!$H15)*kgtoGg,"ERROR"))</f>
        <v>1.67</v>
      </c>
      <c r="AS1078" s="100">
        <f>IF('Net zero activities &amp; levers'!$C$14="Off",('Activity data'!BL16*EF!$H15)*kgtoGg,IF('Net zero activities &amp; levers'!$C$14="On",('Net zero Activity data'!BL16*EF!$H15)*kgtoGg,"ERROR"))</f>
        <v>1.67</v>
      </c>
      <c r="AT1078" s="100">
        <f>IF('Net zero activities &amp; levers'!$C$14="Off",('Activity data'!BM16*EF!$H15)*kgtoGg,IF('Net zero activities &amp; levers'!$C$14="On",('Net zero Activity data'!BM16*EF!$H15)*kgtoGg,"ERROR"))</f>
        <v>1.67</v>
      </c>
      <c r="AU1078" s="100">
        <f>IF('Net zero activities &amp; levers'!$C$14="Off",('Activity data'!BN16*EF!$H15)*kgtoGg,IF('Net zero activities &amp; levers'!$C$14="On",('Net zero Activity data'!BN16*EF!$H15)*kgtoGg,"ERROR"))</f>
        <v>1.67</v>
      </c>
      <c r="AV1078" s="100">
        <f>IF('Net zero activities &amp; levers'!$C$14="Off",('Activity data'!BO16*EF!$H15)*kgtoGg,IF('Net zero activities &amp; levers'!$C$14="On",('Net zero Activity data'!BO16*EF!$H15)*kgtoGg,"ERROR"))</f>
        <v>1.67</v>
      </c>
      <c r="AW1078" s="100">
        <f>IF('Net zero activities &amp; levers'!$C$14="Off",('Activity data'!BP16*EF!$H15)*kgtoGg,IF('Net zero activities &amp; levers'!$C$14="On",('Net zero Activity data'!BP16*EF!$H15)*kgtoGg,"ERROR"))</f>
        <v>1.67</v>
      </c>
      <c r="AY1078" s="85"/>
    </row>
    <row r="1079" spans="1:51" x14ac:dyDescent="0.25">
      <c r="A1079" s="102" t="str">
        <f t="shared" si="373"/>
        <v>CM Swine</v>
      </c>
      <c r="B1079" s="102" t="s">
        <v>1323</v>
      </c>
      <c r="C1079" s="102" t="s">
        <v>155</v>
      </c>
      <c r="D1079" t="s">
        <v>15</v>
      </c>
      <c r="E1079" t="s">
        <v>16</v>
      </c>
      <c r="F1079" t="s">
        <v>21</v>
      </c>
      <c r="G1079" t="s">
        <v>122</v>
      </c>
      <c r="H1079" t="s">
        <v>1021</v>
      </c>
      <c r="I1079" t="s">
        <v>121</v>
      </c>
      <c r="J1079" t="s">
        <v>286</v>
      </c>
      <c r="K1079" s="100">
        <f>IF('Net zero activities &amp; levers'!$C$14="Off",('Activity data'!AD17*EF!$H16)*kgtoGg,IF('Net zero activities &amp; levers'!$C$14="On",('Net zero Activity data'!AD17*EF!$H16)*kgtoGg,"ERROR"))</f>
        <v>1.8474255451679995</v>
      </c>
      <c r="L1079" s="100">
        <f>IF('Net zero activities &amp; levers'!$C$14="Off",('Activity data'!AE17*EF!$H16)*kgtoGg,IF('Net zero activities &amp; levers'!$C$14="On",('Net zero Activity data'!AE17*EF!$H16)*kgtoGg,"ERROR"))</f>
        <v>1.8441604348292597</v>
      </c>
      <c r="M1079" s="100">
        <f>IF('Net zero activities &amp; levers'!$C$14="Off",('Activity data'!AF17*EF!$H16)*kgtoGg,IF('Net zero activities &amp; levers'!$C$14="On",('Net zero Activity data'!AF17*EF!$H16)*kgtoGg,"ERROR"))</f>
        <v>1.8338137298795358</v>
      </c>
      <c r="N1079" s="100">
        <f>IF('Net zero activities &amp; levers'!$C$14="Off",('Activity data'!AG17*EF!$H16)*kgtoGg,IF('Net zero activities &amp; levers'!$C$14="On",('Net zero Activity data'!AG17*EF!$H16)*kgtoGg,"ERROR"))</f>
        <v>1.7933482851133742</v>
      </c>
      <c r="O1079" s="100">
        <f>IF('Net zero activities &amp; levers'!$C$14="Off",('Activity data'!AH17*EF!$H16)*kgtoGg,IF('Net zero activities &amp; levers'!$C$14="On",('Net zero Activity data'!AH17*EF!$H16)*kgtoGg,"ERROR"))</f>
        <v>1.7550816658957487</v>
      </c>
      <c r="P1079" s="100">
        <f>IF('Net zero activities &amp; levers'!$C$14="Off",('Activity data'!AI17*EF!$H16)*kgtoGg,IF('Net zero activities &amp; levers'!$C$14="On",('Net zero Activity data'!AI17*EF!$H16)*kgtoGg,"ERROR"))</f>
        <v>1.7489053520701128</v>
      </c>
      <c r="Q1079" s="100">
        <f>IF('Net zero activities &amp; levers'!$C$14="Off",('Activity data'!AJ17*EF!$H16)*kgtoGg,IF('Net zero activities &amp; levers'!$C$14="On",('Net zero Activity data'!AJ17*EF!$H16)*kgtoGg,"ERROR"))</f>
        <v>1.7339122581424293</v>
      </c>
      <c r="R1079" s="100">
        <f>IF('Net zero activities &amp; levers'!$C$14="Off",('Activity data'!AK17*EF!$H16)*kgtoGg,IF('Net zero activities &amp; levers'!$C$14="On",('Net zero Activity data'!AK17*EF!$H16)*kgtoGg,"ERROR"))</f>
        <v>1.6877345539497199</v>
      </c>
      <c r="S1079" s="100">
        <f>IF('Net zero activities &amp; levers'!$C$14="Off",('Activity data'!AL17*EF!$H16)*kgtoGg,IF('Net zero activities &amp; levers'!$C$14="On",('Net zero Activity data'!AL17*EF!$H16)*kgtoGg,"ERROR"))</f>
        <v>1.5053811336602128</v>
      </c>
      <c r="T1079" s="100">
        <f>IF('Net zero activities &amp; levers'!$C$14="Off",('Activity data'!AM17*EF!$H16)*kgtoGg,IF('Net zero activities &amp; levers'!$C$14="On",('Net zero Activity data'!AM17*EF!$H16)*kgtoGg,"ERROR"))</f>
        <v>1.5374552512260542</v>
      </c>
      <c r="U1079" s="100">
        <f>IF('Net zero activities &amp; levers'!$C$14="Off",('Activity data'!AN17*EF!$H16)*kgtoGg,IF('Net zero activities &amp; levers'!$C$14="On",('Net zero Activity data'!AN17*EF!$H16)*kgtoGg,"ERROR"))</f>
        <v>1.5520529077001597</v>
      </c>
      <c r="V1079" s="100">
        <f>IF('Net zero activities &amp; levers'!$C$14="Off",('Activity data'!AO17*EF!$H16)*kgtoGg,IF('Net zero activities &amp; levers'!$C$14="On",('Net zero Activity data'!AO17*EF!$H16)*kgtoGg,"ERROR"))</f>
        <v>1.5625957904633574</v>
      </c>
      <c r="W1079" s="100">
        <f>IF('Net zero activities &amp; levers'!$C$14="Off",('Activity data'!AP17*EF!$H16)*kgtoGg,IF('Net zero activities &amp; levers'!$C$14="On",('Net zero Activity data'!AP17*EF!$H16)*kgtoGg,"ERROR"))</f>
        <v>1.5789426695572797</v>
      </c>
      <c r="X1079" s="100">
        <f>IF('Net zero activities &amp; levers'!$C$14="Off",('Activity data'!AQ17*EF!$H16)*kgtoGg,IF('Net zero activities &amp; levers'!$C$14="On",('Net zero Activity data'!AQ17*EF!$H16)*kgtoGg,"ERROR"))</f>
        <v>1.6156151336119193</v>
      </c>
      <c r="Y1079" s="100">
        <f>IF('Net zero activities &amp; levers'!$C$14="Off",('Activity data'!AR17*EF!$H16)*kgtoGg,IF('Net zero activities &amp; levers'!$C$14="On",('Net zero Activity data'!AR17*EF!$H16)*kgtoGg,"ERROR"))</f>
        <v>1.6569118552297739</v>
      </c>
      <c r="Z1079" s="100">
        <f>IF('Net zero activities &amp; levers'!$C$14="Off",('Activity data'!AS17*EF!$H16)*kgtoGg,IF('Net zero activities &amp; levers'!$C$14="On",('Net zero Activity data'!AS17*EF!$H16)*kgtoGg,"ERROR"))</f>
        <v>1.7023702525217213</v>
      </c>
      <c r="AA1079" s="100">
        <f>IF('Net zero activities &amp; levers'!$C$14="Off",('Activity data'!AT17*EF!$H16)*kgtoGg,IF('Net zero activities &amp; levers'!$C$14="On",('Net zero Activity data'!AT17*EF!$H16)*kgtoGg,"ERROR"))</f>
        <v>1.7386376356309281</v>
      </c>
      <c r="AB1079" s="100">
        <f>IF('Net zero activities &amp; levers'!$C$14="Off",('Activity data'!AU17*EF!$H16)*kgtoGg,IF('Net zero activities &amp; levers'!$C$14="On",('Net zero Activity data'!AU17*EF!$H16)*kgtoGg,"ERROR"))</f>
        <v>1.7831189947936608</v>
      </c>
      <c r="AC1079" s="100">
        <f>IF('Net zero activities &amp; levers'!$C$14="Off",('Activity data'!AV17*EF!$H16)*kgtoGg,IF('Net zero activities &amp; levers'!$C$14="On",('Net zero Activity data'!AV17*EF!$H16)*kgtoGg,"ERROR"))</f>
        <v>1.8376119105481905</v>
      </c>
      <c r="AD1079" s="100">
        <f>IF('Net zero activities &amp; levers'!$C$14="Off",('Activity data'!AW17*EF!$H16)*kgtoGg,IF('Net zero activities &amp; levers'!$C$14="On",('Net zero Activity data'!AW17*EF!$H16)*kgtoGg,"ERROR"))</f>
        <v>1.8893408854380913</v>
      </c>
      <c r="AE1079" s="100">
        <f>IF('Net zero activities &amp; levers'!$C$14="Off",('Activity data'!AX17*EF!$H16)*kgtoGg,IF('Net zero activities &amp; levers'!$C$14="On",('Net zero Activity data'!AX17*EF!$H16)*kgtoGg,"ERROR"))</f>
        <v>1.9431762249678213</v>
      </c>
      <c r="AF1079" s="100">
        <f>IF('Net zero activities &amp; levers'!$C$14="Off",('Activity data'!AY17*EF!$H16)*kgtoGg,IF('Net zero activities &amp; levers'!$C$14="On",('Net zero Activity data'!AY17*EF!$H16)*kgtoGg,"ERROR"))</f>
        <v>1.9973174789706905</v>
      </c>
      <c r="AG1079" s="100">
        <f>IF('Net zero activities &amp; levers'!$C$14="Off",('Activity data'!AZ17*EF!$H16)*kgtoGg,IF('Net zero activities &amp; levers'!$C$14="On",('Net zero Activity data'!AZ17*EF!$H16)*kgtoGg,"ERROR"))</f>
        <v>2.0590800500942197</v>
      </c>
      <c r="AH1079" s="100">
        <f>IF('Net zero activities &amp; levers'!$C$14="Off",('Activity data'!BA17*EF!$H16)*kgtoGg,IF('Net zero activities &amp; levers'!$C$14="On",('Net zero Activity data'!BA17*EF!$H16)*kgtoGg,"ERROR"))</f>
        <v>2.1091037173555063</v>
      </c>
      <c r="AI1079" s="100">
        <f>IF('Net zero activities &amp; levers'!$C$14="Off",('Activity data'!BB17*EF!$H16)*kgtoGg,IF('Net zero activities &amp; levers'!$C$14="On",('Net zero Activity data'!BB17*EF!$H16)*kgtoGg,"ERROR"))</f>
        <v>2.162710100755858</v>
      </c>
      <c r="AJ1079" s="100">
        <f>IF('Net zero activities &amp; levers'!$C$14="Off",('Activity data'!BC17*EF!$H16)*kgtoGg,IF('Net zero activities &amp; levers'!$C$14="On",('Net zero Activity data'!BC17*EF!$H16)*kgtoGg,"ERROR"))</f>
        <v>2.2163158594680743</v>
      </c>
      <c r="AK1079" s="100">
        <f>IF('Net zero activities &amp; levers'!$C$14="Off",('Activity data'!BD17*EF!$H16)*kgtoGg,IF('Net zero activities &amp; levers'!$C$14="On",('Net zero Activity data'!BD17*EF!$H16)*kgtoGg,"ERROR"))</f>
        <v>2.2649378298492557</v>
      </c>
      <c r="AL1079" s="100">
        <f>IF('Net zero activities &amp; levers'!$C$14="Off",('Activity data'!BE17*EF!$H16)*kgtoGg,IF('Net zero activities &amp; levers'!$C$14="On",('Net zero Activity data'!BE17*EF!$H16)*kgtoGg,"ERROR"))</f>
        <v>2.3120352205451793</v>
      </c>
      <c r="AM1079" s="100">
        <f>IF('Net zero activities &amp; levers'!$C$14="Off",('Activity data'!BF17*EF!$H16)*kgtoGg,IF('Net zero activities &amp; levers'!$C$14="On",('Net zero Activity data'!BF17*EF!$H16)*kgtoGg,"ERROR"))</f>
        <v>2.3605892857092416</v>
      </c>
      <c r="AN1079" s="100">
        <f>IF('Net zero activities &amp; levers'!$C$14="Off",('Activity data'!BG17*EF!$H16)*kgtoGg,IF('Net zero activities &amp; levers'!$C$14="On",('Net zero Activity data'!BG17*EF!$H16)*kgtoGg,"ERROR"))</f>
        <v>2.41192406642844</v>
      </c>
      <c r="AO1079" s="100">
        <f>IF('Net zero activities &amp; levers'!$C$14="Off",('Activity data'!BH17*EF!$H16)*kgtoGg,IF('Net zero activities &amp; levers'!$C$14="On",('Net zero Activity data'!BH17*EF!$H16)*kgtoGg,"ERROR"))</f>
        <v>2.4570192821148487</v>
      </c>
      <c r="AP1079" s="100">
        <f>IF('Net zero activities &amp; levers'!$C$14="Off",('Activity data'!BI17*EF!$H16)*kgtoGg,IF('Net zero activities &amp; levers'!$C$14="On",('Net zero Activity data'!BI17*EF!$H16)*kgtoGg,"ERROR"))</f>
        <v>2.5017750996510042</v>
      </c>
      <c r="AQ1079" s="100">
        <f>IF('Net zero activities &amp; levers'!$C$14="Off",('Activity data'!BJ17*EF!$H16)*kgtoGg,IF('Net zero activities &amp; levers'!$C$14="On",('Net zero Activity data'!BJ17*EF!$H16)*kgtoGg,"ERROR"))</f>
        <v>2.5463112612652603</v>
      </c>
      <c r="AR1079" s="100">
        <f>IF('Net zero activities &amp; levers'!$C$14="Off",('Activity data'!BK17*EF!$H16)*kgtoGg,IF('Net zero activities &amp; levers'!$C$14="On",('Net zero Activity data'!BK17*EF!$H16)*kgtoGg,"ERROR"))</f>
        <v>2.5945817162566742</v>
      </c>
      <c r="AS1079" s="100">
        <f>IF('Net zero activities &amp; levers'!$C$14="Off",('Activity data'!BL17*EF!$H16)*kgtoGg,IF('Net zero activities &amp; levers'!$C$14="On",('Net zero Activity data'!BL17*EF!$H16)*kgtoGg,"ERROR"))</f>
        <v>2.64354633457119</v>
      </c>
      <c r="AT1079" s="100">
        <f>IF('Net zero activities &amp; levers'!$C$14="Off",('Activity data'!BM17*EF!$H16)*kgtoGg,IF('Net zero activities &amp; levers'!$C$14="On",('Net zero Activity data'!BM17*EF!$H16)*kgtoGg,"ERROR"))</f>
        <v>2.6547893875800033</v>
      </c>
      <c r="AU1079" s="100">
        <f>IF('Net zero activities &amp; levers'!$C$14="Off",('Activity data'!BN17*EF!$H16)*kgtoGg,IF('Net zero activities &amp; levers'!$C$14="On",('Net zero Activity data'!BN17*EF!$H16)*kgtoGg,"ERROR"))</f>
        <v>2.662864406933811</v>
      </c>
      <c r="AV1079" s="100">
        <f>IF('Net zero activities &amp; levers'!$C$14="Off",('Activity data'!BO17*EF!$H16)*kgtoGg,IF('Net zero activities &amp; levers'!$C$14="On",('Net zero Activity data'!BO17*EF!$H16)*kgtoGg,"ERROR"))</f>
        <v>2.6751182835180614</v>
      </c>
      <c r="AW1079" s="100">
        <f>IF('Net zero activities &amp; levers'!$C$14="Off",('Activity data'!BP17*EF!$H16)*kgtoGg,IF('Net zero activities &amp; levers'!$C$14="On",('Net zero Activity data'!BP17*EF!$H16)*kgtoGg,"ERROR"))</f>
        <v>2.6846252978326444</v>
      </c>
      <c r="AY1079" s="85"/>
    </row>
    <row r="1080" spans="1:51" x14ac:dyDescent="0.25">
      <c r="A1080" s="102" t="str">
        <f t="shared" si="373"/>
        <v>CM Swine</v>
      </c>
      <c r="B1080" s="102" t="s">
        <v>1323</v>
      </c>
      <c r="C1080" s="102" t="s">
        <v>155</v>
      </c>
      <c r="D1080" t="s">
        <v>15</v>
      </c>
      <c r="E1080" t="s">
        <v>16</v>
      </c>
      <c r="F1080" t="s">
        <v>21</v>
      </c>
      <c r="G1080" t="s">
        <v>123</v>
      </c>
      <c r="H1080" t="s">
        <v>1021</v>
      </c>
      <c r="I1080" t="s">
        <v>121</v>
      </c>
      <c r="J1080" t="s">
        <v>286</v>
      </c>
      <c r="K1080" s="100">
        <f>IF('Net zero activities &amp; levers'!$C$14="Off",('Activity data'!AD18*EF!$H17)*kgtoGg,IF('Net zero activities &amp; levers'!$C$14="On",('Net zero Activity data'!AD18*EF!$H17)*kgtoGg,"ERROR"))</f>
        <v>0.25598228499623599</v>
      </c>
      <c r="L1080" s="100">
        <f>IF('Net zero activities &amp; levers'!$C$14="Off",('Activity data'!AE18*EF!$H17)*kgtoGg,IF('Net zero activities &amp; levers'!$C$14="On",('Net zero Activity data'!AE18*EF!$H17)*kgtoGg,"ERROR"))</f>
        <v>0.25552986600297178</v>
      </c>
      <c r="M1080" s="100">
        <f>IF('Net zero activities &amp; levers'!$C$14="Off",('Activity data'!AF18*EF!$H17)*kgtoGg,IF('Net zero activities &amp; levers'!$C$14="On",('Net zero Activity data'!AF18*EF!$H17)*kgtoGg,"ERROR"))</f>
        <v>0.2540962097551519</v>
      </c>
      <c r="N1080" s="100">
        <f>IF('Net zero activities &amp; levers'!$C$14="Off",('Activity data'!AG18*EF!$H17)*kgtoGg,IF('Net zero activities &amp; levers'!$C$14="On",('Net zero Activity data'!AG18*EF!$H17)*kgtoGg,"ERROR"))</f>
        <v>0.24848925198533875</v>
      </c>
      <c r="O1080" s="100">
        <f>IF('Net zero activities &amp; levers'!$C$14="Off",('Activity data'!AH18*EF!$H17)*kgtoGg,IF('Net zero activities &amp; levers'!$C$14="On",('Net zero Activity data'!AH18*EF!$H17)*kgtoGg,"ERROR"))</f>
        <v>0.24318696705589768</v>
      </c>
      <c r="P1080" s="100">
        <f>IF('Net zero activities &amp; levers'!$C$14="Off",('Activity data'!AI18*EF!$H17)*kgtoGg,IF('Net zero activities &amp; levers'!$C$14="On",('Net zero Activity data'!AI18*EF!$H17)*kgtoGg,"ERROR"))</f>
        <v>0.24233116697774282</v>
      </c>
      <c r="Q1080" s="100">
        <f>IF('Net zero activities &amp; levers'!$C$14="Off",('Activity data'!AJ18*EF!$H17)*kgtoGg,IF('Net zero activities &amp; levers'!$C$14="On",('Net zero Activity data'!AJ18*EF!$H17)*kgtoGg,"ERROR"))</f>
        <v>0.24025369952428582</v>
      </c>
      <c r="R1080" s="100">
        <f>IF('Net zero activities &amp; levers'!$C$14="Off",('Activity data'!AK18*EF!$H17)*kgtoGg,IF('Net zero activities &amp; levers'!$C$14="On",('Net zero Activity data'!AK18*EF!$H17)*kgtoGg,"ERROR"))</f>
        <v>0.23385524180779091</v>
      </c>
      <c r="S1080" s="100">
        <f>IF('Net zero activities &amp; levers'!$C$14="Off",('Activity data'!AL18*EF!$H17)*kgtoGg,IF('Net zero activities &amp; levers'!$C$14="On",('Net zero Activity data'!AL18*EF!$H17)*kgtoGg,"ERROR"))</f>
        <v>0.20858805562825686</v>
      </c>
      <c r="T1080" s="100">
        <f>IF('Net zero activities &amp; levers'!$C$14="Off",('Activity data'!AM18*EF!$H17)*kgtoGg,IF('Net zero activities &amp; levers'!$C$14="On",('Net zero Activity data'!AM18*EF!$H17)*kgtoGg,"ERROR"))</f>
        <v>0.21303229746805197</v>
      </c>
      <c r="U1080" s="100">
        <f>IF('Net zero activities &amp; levers'!$C$14="Off",('Activity data'!AN18*EF!$H17)*kgtoGg,IF('Net zero activities &amp; levers'!$C$14="On",('Net zero Activity data'!AN18*EF!$H17)*kgtoGg,"ERROR"))</f>
        <v>0.21505497246548572</v>
      </c>
      <c r="V1080" s="100">
        <f>IF('Net zero activities &amp; levers'!$C$14="Off",('Activity data'!AO18*EF!$H17)*kgtoGg,IF('Net zero activities &amp; levers'!$C$14="On",('Net zero Activity data'!AO18*EF!$H17)*kgtoGg,"ERROR"))</f>
        <v>0.21651581142986484</v>
      </c>
      <c r="W1080" s="100">
        <f>IF('Net zero activities &amp; levers'!$C$14="Off",('Activity data'!AP18*EF!$H17)*kgtoGg,IF('Net zero activities &amp; levers'!$C$14="On",('Net zero Activity data'!AP18*EF!$H17)*kgtoGg,"ERROR"))</f>
        <v>0.21878086155541068</v>
      </c>
      <c r="X1080" s="100">
        <f>IF('Net zero activities &amp; levers'!$C$14="Off",('Activity data'!AQ18*EF!$H17)*kgtoGg,IF('Net zero activities &amp; levers'!$C$14="On",('Net zero Activity data'!AQ18*EF!$H17)*kgtoGg,"ERROR"))</f>
        <v>0.22386225775549154</v>
      </c>
      <c r="Y1080" s="100">
        <f>IF('Net zero activities &amp; levers'!$C$14="Off",('Activity data'!AR18*EF!$H17)*kgtoGg,IF('Net zero activities &amp; levers'!$C$14="On",('Net zero Activity data'!AR18*EF!$H17)*kgtoGg,"ERROR"))</f>
        <v>0.22958439859642629</v>
      </c>
      <c r="Z1080" s="100">
        <f>IF('Net zero activities &amp; levers'!$C$14="Off",('Activity data'!AS18*EF!$H17)*kgtoGg,IF('Net zero activities &amp; levers'!$C$14="On",('Net zero Activity data'!AS18*EF!$H17)*kgtoGg,"ERROR"))</f>
        <v>0.23588318798011493</v>
      </c>
      <c r="AA1080" s="100">
        <f>IF('Net zero activities &amp; levers'!$C$14="Off",('Activity data'!AT18*EF!$H17)*kgtoGg,IF('Net zero activities &amp; levers'!$C$14="On",('Net zero Activity data'!AT18*EF!$H17)*kgtoGg,"ERROR"))</f>
        <v>0.24090845550627357</v>
      </c>
      <c r="AB1080" s="100">
        <f>IF('Net zero activities &amp; levers'!$C$14="Off",('Activity data'!AU18*EF!$H17)*kgtoGg,IF('Net zero activities &amp; levers'!$C$14="On",('Net zero Activity data'!AU18*EF!$H17)*kgtoGg,"ERROR"))</f>
        <v>0.24707186489941318</v>
      </c>
      <c r="AC1080" s="100">
        <f>IF('Net zero activities &amp; levers'!$C$14="Off",('Activity data'!AV18*EF!$H17)*kgtoGg,IF('Net zero activities &amp; levers'!$C$14="On",('Net zero Activity data'!AV18*EF!$H17)*kgtoGg,"ERROR"))</f>
        <v>0.25462249183939273</v>
      </c>
      <c r="AD1080" s="100">
        <f>IF('Net zero activities &amp; levers'!$C$14="Off",('Activity data'!AW18*EF!$H17)*kgtoGg,IF('Net zero activities &amp; levers'!$C$14="On",('Net zero Activity data'!AW18*EF!$H17)*kgtoGg,"ERROR"))</f>
        <v>0.26179014264267614</v>
      </c>
      <c r="AE1080" s="100">
        <f>IF('Net zero activities &amp; levers'!$C$14="Off",('Activity data'!AX18*EF!$H17)*kgtoGg,IF('Net zero activities &amp; levers'!$C$14="On",('Net zero Activity data'!AX18*EF!$H17)*kgtoGg,"ERROR"))</f>
        <v>0.26924965475260271</v>
      </c>
      <c r="AF1080" s="100">
        <f>IF('Net zero activities &amp; levers'!$C$14="Off",('Activity data'!AY18*EF!$H17)*kgtoGg,IF('Net zero activities &amp; levers'!$C$14="On",('Net zero Activity data'!AY18*EF!$H17)*kgtoGg,"ERROR"))</f>
        <v>0.27675155486893777</v>
      </c>
      <c r="AG1080" s="100">
        <f>IF('Net zero activities &amp; levers'!$C$14="Off",('Activity data'!AZ18*EF!$H17)*kgtoGg,IF('Net zero activities &amp; levers'!$C$14="On",('Net zero Activity data'!AZ18*EF!$H17)*kgtoGg,"ERROR"))</f>
        <v>0.28530947706764037</v>
      </c>
      <c r="AH1080" s="100">
        <f>IF('Net zero activities &amp; levers'!$C$14="Off",('Activity data'!BA18*EF!$H17)*kgtoGg,IF('Net zero activities &amp; levers'!$C$14="On",('Net zero Activity data'!BA18*EF!$H17)*kgtoGg,"ERROR"))</f>
        <v>0.29224083767534004</v>
      </c>
      <c r="AI1080" s="100">
        <f>IF('Net zero activities &amp; levers'!$C$14="Off",('Activity data'!BB18*EF!$H17)*kgtoGg,IF('Net zero activities &amp; levers'!$C$14="On",('Net zero Activity data'!BB18*EF!$H17)*kgtoGg,"ERROR"))</f>
        <v>0.29966862525200177</v>
      </c>
      <c r="AJ1080" s="100">
        <f>IF('Net zero activities &amp; levers'!$C$14="Off",('Activity data'!BC18*EF!$H17)*kgtoGg,IF('Net zero activities &amp; levers'!$C$14="On",('Net zero Activity data'!BC18*EF!$H17)*kgtoGg,"ERROR"))</f>
        <v>0.30709632627086053</v>
      </c>
      <c r="AK1080" s="100">
        <f>IF('Net zero activities &amp; levers'!$C$14="Off",('Activity data'!BD18*EF!$H17)*kgtoGg,IF('Net zero activities &amp; levers'!$C$14="On",('Net zero Activity data'!BD18*EF!$H17)*kgtoGg,"ERROR"))</f>
        <v>0.31383346548155716</v>
      </c>
      <c r="AL1080" s="100">
        <f>IF('Net zero activities &amp; levers'!$C$14="Off",('Activity data'!BE18*EF!$H17)*kgtoGg,IF('Net zero activities &amp; levers'!$C$14="On",('Net zero Activity data'!BE18*EF!$H17)*kgtoGg,"ERROR"))</f>
        <v>0.320359356454125</v>
      </c>
      <c r="AM1080" s="100">
        <f>IF('Net zero activities &amp; levers'!$C$14="Off",('Activity data'!BF18*EF!$H17)*kgtoGg,IF('Net zero activities &amp; levers'!$C$14="On",('Net zero Activity data'!BF18*EF!$H17)*kgtoGg,"ERROR"))</f>
        <v>0.32708708660761415</v>
      </c>
      <c r="AN1080" s="100">
        <f>IF('Net zero activities &amp; levers'!$C$14="Off",('Activity data'!BG18*EF!$H17)*kgtoGg,IF('Net zero activities &amp; levers'!$C$14="On",('Net zero Activity data'!BG18*EF!$H17)*kgtoGg,"ERROR"))</f>
        <v>0.33420011722616944</v>
      </c>
      <c r="AO1080" s="100">
        <f>IF('Net zero activities &amp; levers'!$C$14="Off",('Activity data'!BH18*EF!$H17)*kgtoGg,IF('Net zero activities &amp; levers'!$C$14="On",('Net zero Activity data'!BH18*EF!$H17)*kgtoGg,"ERROR"))</f>
        <v>0.34044858357654423</v>
      </c>
      <c r="AP1080" s="100">
        <f>IF('Net zero activities &amp; levers'!$C$14="Off",('Activity data'!BI18*EF!$H17)*kgtoGg,IF('Net zero activities &amp; levers'!$C$14="On",('Net zero Activity data'!BI18*EF!$H17)*kgtoGg,"ERROR"))</f>
        <v>0.34665002236780973</v>
      </c>
      <c r="AQ1080" s="100">
        <f>IF('Net zero activities &amp; levers'!$C$14="Off",('Activity data'!BJ18*EF!$H17)*kgtoGg,IF('Net zero activities &amp; levers'!$C$14="On",('Net zero Activity data'!BJ18*EF!$H17)*kgtoGg,"ERROR"))</f>
        <v>0.3528210252776684</v>
      </c>
      <c r="AR1080" s="100">
        <f>IF('Net zero activities &amp; levers'!$C$14="Off",('Activity data'!BK18*EF!$H17)*kgtoGg,IF('Net zero activities &amp; levers'!$C$14="On",('Net zero Activity data'!BK18*EF!$H17)*kgtoGg,"ERROR"))</f>
        <v>0.35950945794486222</v>
      </c>
      <c r="AS1080" s="100">
        <f>IF('Net zero activities &amp; levers'!$C$14="Off",('Activity data'!BL18*EF!$H17)*kgtoGg,IF('Net zero activities &amp; levers'!$C$14="On",('Net zero Activity data'!BL18*EF!$H17)*kgtoGg,"ERROR"))</f>
        <v>0.36629407500989175</v>
      </c>
      <c r="AT1080" s="100">
        <f>IF('Net zero activities &amp; levers'!$C$14="Off",('Activity data'!BM18*EF!$H17)*kgtoGg,IF('Net zero activities &amp; levers'!$C$14="On",('Net zero Activity data'!BM18*EF!$H17)*kgtoGg,"ERROR"))</f>
        <v>0.36785193070104932</v>
      </c>
      <c r="AU1080" s="100">
        <f>IF('Net zero activities &amp; levers'!$C$14="Off",('Activity data'!BN18*EF!$H17)*kgtoGg,IF('Net zero activities &amp; levers'!$C$14="On",('Net zero Activity data'!BN18*EF!$H17)*kgtoGg,"ERROR"))</f>
        <v>0.36897081850195851</v>
      </c>
      <c r="AV1080" s="100">
        <f>IF('Net zero activities &amp; levers'!$C$14="Off",('Activity data'!BO18*EF!$H17)*kgtoGg,IF('Net zero activities &amp; levers'!$C$14="On",('Net zero Activity data'!BO18*EF!$H17)*kgtoGg,"ERROR"))</f>
        <v>0.37066873554998397</v>
      </c>
      <c r="AW1080" s="100">
        <f>IF('Net zero activities &amp; levers'!$C$14="Off",('Activity data'!BP18*EF!$H17)*kgtoGg,IF('Net zero activities &amp; levers'!$C$14="On",('Net zero Activity data'!BP18*EF!$H17)*kgtoGg,"ERROR"))</f>
        <v>0.37198604289917808</v>
      </c>
      <c r="AY1080" s="85"/>
    </row>
    <row r="1081" spans="1:51" x14ac:dyDescent="0.25">
      <c r="A1081" s="102" t="str">
        <f t="shared" si="373"/>
        <v>CM Cattle MMCH4</v>
      </c>
      <c r="B1081" s="102" t="s">
        <v>1323</v>
      </c>
      <c r="C1081" s="102" t="s">
        <v>1230</v>
      </c>
      <c r="D1081" t="s">
        <v>15</v>
      </c>
      <c r="E1081" t="s">
        <v>22</v>
      </c>
      <c r="F1081" t="s">
        <v>6</v>
      </c>
      <c r="G1081" t="s">
        <v>136</v>
      </c>
      <c r="H1081" t="s">
        <v>1228</v>
      </c>
      <c r="I1081" t="s">
        <v>121</v>
      </c>
      <c r="J1081" t="s">
        <v>286</v>
      </c>
      <c r="K1081" s="100">
        <f>IF('Net zero activities &amp; levers'!$C$14="Off",('Activity data'!AD5*EF!$H18)*kgtoGg,IF('Net zero activities &amp; levers'!$C$14="On",('Net zero Activity data'!AD5*EF!$H18)*kgtoGg,"ERROR"))</f>
        <v>7.3588045650103595</v>
      </c>
      <c r="L1081" s="100">
        <f>IF('Net zero activities &amp; levers'!$C$14="Off",('Activity data'!AE5*EF!$H18)*kgtoGg,IF('Net zero activities &amp; levers'!$C$14="On",('Net zero Activity data'!AE5*EF!$H18)*kgtoGg,"ERROR"))</f>
        <v>7.4084916265932694</v>
      </c>
      <c r="M1081" s="100">
        <f>IF('Net zero activities &amp; levers'!$C$14="Off",('Activity data'!AF5*EF!$H18)*kgtoGg,IF('Net zero activities &amp; levers'!$C$14="On",('Net zero Activity data'!AF5*EF!$H18)*kgtoGg,"ERROR"))</f>
        <v>7.4519552194142697</v>
      </c>
      <c r="N1081" s="100">
        <f>IF('Net zero activities &amp; levers'!$C$14="Off",('Activity data'!AG5*EF!$H18)*kgtoGg,IF('Net zero activities &amp; levers'!$C$14="On",('Net zero Activity data'!AG5*EF!$H18)*kgtoGg,"ERROR"))</f>
        <v>7.4575773262508553</v>
      </c>
      <c r="O1081" s="100">
        <f>IF('Net zero activities &amp; levers'!$C$14="Off",('Activity data'!AH5*EF!$H18)*kgtoGg,IF('Net zero activities &amp; levers'!$C$14="On",('Net zero Activity data'!AH5*EF!$H18)*kgtoGg,"ERROR"))</f>
        <v>7.4672608540413012</v>
      </c>
      <c r="P1081" s="100">
        <f>IF('Net zero activities &amp; levers'!$C$14="Off",('Activity data'!AI5*EF!$H18)*kgtoGg,IF('Net zero activities &amp; levers'!$C$14="On",('Net zero Activity data'!AI5*EF!$H18)*kgtoGg,"ERROR"))</f>
        <v>7.5228231503520746</v>
      </c>
      <c r="Q1081" s="100">
        <f>IF('Net zero activities &amp; levers'!$C$14="Off",('Activity data'!AJ5*EF!$H18)*kgtoGg,IF('Net zero activities &amp; levers'!$C$14="On",('Net zero Activity data'!AJ5*EF!$H18)*kgtoGg,"ERROR"))</f>
        <v>7.5672526424513036</v>
      </c>
      <c r="R1081" s="100">
        <f>IF('Net zero activities &amp; levers'!$C$14="Off",('Activity data'!AK5*EF!$H18)*kgtoGg,IF('Net zero activities &amp; levers'!$C$14="On",('Net zero Activity data'!AK5*EF!$H18)*kgtoGg,"ERROR"))</f>
        <v>7.5676422029096111</v>
      </c>
      <c r="S1081" s="100">
        <f>IF('Net zero activities &amp; levers'!$C$14="Off",('Activity data'!AL5*EF!$H18)*kgtoGg,IF('Net zero activities &amp; levers'!$C$14="On",('Net zero Activity data'!AL5*EF!$H18)*kgtoGg,"ERROR"))</f>
        <v>7.3671469631707884</v>
      </c>
      <c r="T1081" s="100">
        <f>IF('Net zero activities &amp; levers'!$C$14="Off",('Activity data'!AM5*EF!$H18)*kgtoGg,IF('Net zero activities &amp; levers'!$C$14="On",('Net zero Activity data'!AM5*EF!$H18)*kgtoGg,"ERROR"))</f>
        <v>7.4042930626663566</v>
      </c>
      <c r="U1081" s="100">
        <f>IF('Net zero activities &amp; levers'!$C$14="Off",('Activity data'!AN5*EF!$H18)*kgtoGg,IF('Net zero activities &amp; levers'!$C$14="On",('Net zero Activity data'!AN5*EF!$H18)*kgtoGg,"ERROR"))</f>
        <v>7.4167278507339507</v>
      </c>
      <c r="V1081" s="100">
        <f>IF('Net zero activities &amp; levers'!$C$14="Off",('Activity data'!AO5*EF!$H18)*kgtoGg,IF('Net zero activities &amp; levers'!$C$14="On",('Net zero Activity data'!AO5*EF!$H18)*kgtoGg,"ERROR"))</f>
        <v>7.4239446710154056</v>
      </c>
      <c r="W1081" s="100">
        <f>IF('Net zero activities &amp; levers'!$C$14="Off",('Activity data'!AP5*EF!$H18)*kgtoGg,IF('Net zero activities &amp; levers'!$C$14="On",('Net zero Activity data'!AP5*EF!$H18)*kgtoGg,"ERROR"))</f>
        <v>7.4407370964460826</v>
      </c>
      <c r="X1081" s="100">
        <f>IF('Net zero activities &amp; levers'!$C$14="Off",('Activity data'!AQ5*EF!$H18)*kgtoGg,IF('Net zero activities &amp; levers'!$C$14="On",('Net zero Activity data'!AQ5*EF!$H18)*kgtoGg,"ERROR"))</f>
        <v>7.4895766693157491</v>
      </c>
      <c r="Y1081" s="100">
        <f>IF('Net zero activities &amp; levers'!$C$14="Off",('Activity data'!AR5*EF!$H18)*kgtoGg,IF('Net zero activities &amp; levers'!$C$14="On",('Net zero Activity data'!AR5*EF!$H18)*kgtoGg,"ERROR"))</f>
        <v>7.541076052269557</v>
      </c>
      <c r="Z1081" s="100">
        <f>IF('Net zero activities &amp; levers'!$C$14="Off",('Activity data'!AS5*EF!$H18)*kgtoGg,IF('Net zero activities &amp; levers'!$C$14="On",('Net zero Activity data'!AS5*EF!$H18)*kgtoGg,"ERROR"))</f>
        <v>7.60040059050419</v>
      </c>
      <c r="AA1081" s="100">
        <f>IF('Net zero activities &amp; levers'!$C$14="Off",('Activity data'!AT5*EF!$H18)*kgtoGg,IF('Net zero activities &amp; levers'!$C$14="On",('Net zero Activity data'!AT5*EF!$H18)*kgtoGg,"ERROR"))</f>
        <v>7.6466233304187634</v>
      </c>
      <c r="AB1081" s="100">
        <f>IF('Net zero activities &amp; levers'!$C$14="Off",('Activity data'!AU5*EF!$H18)*kgtoGg,IF('Net zero activities &amp; levers'!$C$14="On",('Net zero Activity data'!AU5*EF!$H18)*kgtoGg,"ERROR"))</f>
        <v>7.7069424987575799</v>
      </c>
      <c r="AC1081" s="100">
        <f>IF('Net zero activities &amp; levers'!$C$14="Off",('Activity data'!AV5*EF!$H18)*kgtoGg,IF('Net zero activities &amp; levers'!$C$14="On",('Net zero Activity data'!AV5*EF!$H18)*kgtoGg,"ERROR"))</f>
        <v>7.7844584555503218</v>
      </c>
      <c r="AD1081" s="100">
        <f>IF('Net zero activities &amp; levers'!$C$14="Off",('Activity data'!AW5*EF!$H18)*kgtoGg,IF('Net zero activities &amp; levers'!$C$14="On",('Net zero Activity data'!AW5*EF!$H18)*kgtoGg,"ERROR"))</f>
        <v>7.9101336033183056</v>
      </c>
      <c r="AE1081" s="100">
        <f>IF('Net zero activities &amp; levers'!$C$14="Off",('Activity data'!AX5*EF!$H18)*kgtoGg,IF('Net zero activities &amp; levers'!$C$14="On",('Net zero Activity data'!AX5*EF!$H18)*kgtoGg,"ERROR"))</f>
        <v>8.0425586675041654</v>
      </c>
      <c r="AF1081" s="100">
        <f>IF('Net zero activities &amp; levers'!$C$14="Off",('Activity data'!AY5*EF!$H18)*kgtoGg,IF('Net zero activities &amp; levers'!$C$14="On",('Net zero Activity data'!AY5*EF!$H18)*kgtoGg,"ERROR"))</f>
        <v>8.1789093767704681</v>
      </c>
      <c r="AG1081" s="100">
        <f>IF('Net zero activities &amp; levers'!$C$14="Off",('Activity data'!AZ5*EF!$H18)*kgtoGg,IF('Net zero activities &amp; levers'!$C$14="On",('Net zero Activity data'!AZ5*EF!$H18)*kgtoGg,"ERROR"))</f>
        <v>8.3315944467219563</v>
      </c>
      <c r="AH1081" s="100">
        <f>IF('Net zero activities &amp; levers'!$C$14="Off",('Activity data'!BA5*EF!$H18)*kgtoGg,IF('Net zero activities &amp; levers'!$C$14="On",('Net zero Activity data'!BA5*EF!$H18)*kgtoGg,"ERROR"))</f>
        <v>8.4680439698682779</v>
      </c>
      <c r="AI1081" s="100">
        <f>IF('Net zero activities &amp; levers'!$C$14="Off",('Activity data'!BB5*EF!$H18)*kgtoGg,IF('Net zero activities &amp; levers'!$C$14="On",('Net zero Activity data'!BB5*EF!$H18)*kgtoGg,"ERROR"))</f>
        <v>8.6098617626831562</v>
      </c>
      <c r="AJ1081" s="100">
        <f>IF('Net zero activities &amp; levers'!$C$14="Off",('Activity data'!BC5*EF!$H18)*kgtoGg,IF('Net zero activities &amp; levers'!$C$14="On",('Net zero Activity data'!BC5*EF!$H18)*kgtoGg,"ERROR"))</f>
        <v>8.7552306810055551</v>
      </c>
      <c r="AK1081" s="100">
        <f>IF('Net zero activities &amp; levers'!$C$14="Off",('Activity data'!BD5*EF!$H18)*kgtoGg,IF('Net zero activities &amp; levers'!$C$14="On",('Net zero Activity data'!BD5*EF!$H18)*kgtoGg,"ERROR"))</f>
        <v>8.8953119696906526</v>
      </c>
      <c r="AL1081" s="100">
        <f>IF('Net zero activities &amp; levers'!$C$14="Off",('Activity data'!BE5*EF!$H18)*kgtoGg,IF('Net zero activities &amp; levers'!$C$14="On",('Net zero Activity data'!BE5*EF!$H18)*kgtoGg,"ERROR"))</f>
        <v>9.0360519216351545</v>
      </c>
      <c r="AM1081" s="100">
        <f>IF('Net zero activities &amp; levers'!$C$14="Off",('Activity data'!BF5*EF!$H18)*kgtoGg,IF('Net zero activities &amp; levers'!$C$14="On",('Net zero Activity data'!BF5*EF!$H18)*kgtoGg,"ERROR"))</f>
        <v>9.1828600781720962</v>
      </c>
      <c r="AN1081" s="100">
        <f>IF('Net zero activities &amp; levers'!$C$14="Off",('Activity data'!BG5*EF!$H18)*kgtoGg,IF('Net zero activities &amp; levers'!$C$14="On",('Net zero Activity data'!BG5*EF!$H18)*kgtoGg,"ERROR"))</f>
        <v>9.334479199570648</v>
      </c>
      <c r="AO1081" s="100">
        <f>IF('Net zero activities &amp; levers'!$C$14="Off",('Activity data'!BH5*EF!$H18)*kgtoGg,IF('Net zero activities &amp; levers'!$C$14="On",('Net zero Activity data'!BH5*EF!$H18)*kgtoGg,"ERROR"))</f>
        <v>9.4780660977497355</v>
      </c>
      <c r="AP1081" s="100">
        <f>IF('Net zero activities &amp; levers'!$C$14="Off",('Activity data'!BI5*EF!$H18)*kgtoGg,IF('Net zero activities &amp; levers'!$C$14="On",('Net zero Activity data'!BI5*EF!$H18)*kgtoGg,"ERROR"))</f>
        <v>9.6244787960172999</v>
      </c>
      <c r="AQ1081" s="100">
        <f>IF('Net zero activities &amp; levers'!$C$14="Off",('Activity data'!BJ5*EF!$H18)*kgtoGg,IF('Net zero activities &amp; levers'!$C$14="On",('Net zero Activity data'!BJ5*EF!$H18)*kgtoGg,"ERROR"))</f>
        <v>9.7739923182653659</v>
      </c>
      <c r="AR1081" s="100">
        <f>IF('Net zero activities &amp; levers'!$C$14="Off",('Activity data'!BK5*EF!$H18)*kgtoGg,IF('Net zero activities &amp; levers'!$C$14="On",('Net zero Activity data'!BK5*EF!$H18)*kgtoGg,"ERROR"))</f>
        <v>9.9344234939089713</v>
      </c>
      <c r="AS1081" s="100">
        <f>IF('Net zero activities &amp; levers'!$C$14="Off",('Activity data'!BL5*EF!$H18)*kgtoGg,IF('Net zero activities &amp; levers'!$C$14="On",('Net zero Activity data'!BL5*EF!$H18)*kgtoGg,"ERROR"))</f>
        <v>10.09620580480631</v>
      </c>
      <c r="AT1081" s="100">
        <f>IF('Net zero activities &amp; levers'!$C$14="Off",('Activity data'!BM5*EF!$H18)*kgtoGg,IF('Net zero activities &amp; levers'!$C$14="On",('Net zero Activity data'!BM5*EF!$H18)*kgtoGg,"ERROR"))</f>
        <v>10.185890985599238</v>
      </c>
      <c r="AU1081" s="100">
        <f>IF('Net zero activities &amp; levers'!$C$14="Off",('Activity data'!BN5*EF!$H18)*kgtoGg,IF('Net zero activities &amp; levers'!$C$14="On",('Net zero Activity data'!BN5*EF!$H18)*kgtoGg,"ERROR"))</f>
        <v>10.271084487339298</v>
      </c>
      <c r="AV1081" s="100">
        <f>IF('Net zero activities &amp; levers'!$C$14="Off",('Activity data'!BO5*EF!$H18)*kgtoGg,IF('Net zero activities &amp; levers'!$C$14="On",('Net zero Activity data'!BO5*EF!$H18)*kgtoGg,"ERROR"))</f>
        <v>10.366796101786775</v>
      </c>
      <c r="AW1081" s="100">
        <f>IF('Net zero activities &amp; levers'!$C$14="Off",('Activity data'!BP5*EF!$H18)*kgtoGg,IF('Net zero activities &amp; levers'!$C$14="On",('Net zero Activity data'!BP5*EF!$H18)*kgtoGg,"ERROR"))</f>
        <v>10.458877397098558</v>
      </c>
      <c r="AY1081" s="85"/>
    </row>
    <row r="1082" spans="1:51" x14ac:dyDescent="0.25">
      <c r="A1082" s="102" t="str">
        <f t="shared" si="373"/>
        <v>CM Cattle MMCH4</v>
      </c>
      <c r="B1082" s="102" t="s">
        <v>1323</v>
      </c>
      <c r="C1082" s="102" t="s">
        <v>1230</v>
      </c>
      <c r="D1082" t="s">
        <v>15</v>
      </c>
      <c r="E1082" t="s">
        <v>22</v>
      </c>
      <c r="F1082" t="s">
        <v>6</v>
      </c>
      <c r="G1082" t="s">
        <v>137</v>
      </c>
      <c r="H1082" t="s">
        <v>1228</v>
      </c>
      <c r="I1082" t="s">
        <v>121</v>
      </c>
      <c r="J1082" t="s">
        <v>286</v>
      </c>
      <c r="K1082" s="100">
        <f>IF('Net zero activities &amp; levers'!$C$14="Off",('Activity data'!AD6*EF!$H19)*kgtoGg,IF('Net zero activities &amp; levers'!$C$14="On",('Net zero Activity data'!AD6*EF!$H19)*kgtoGg,"ERROR"))</f>
        <v>2.0965784624729791</v>
      </c>
      <c r="L1082" s="100">
        <f>IF('Net zero activities &amp; levers'!$C$14="Off",('Activity data'!AE6*EF!$H19)*kgtoGg,IF('Net zero activities &amp; levers'!$C$14="On",('Net zero Activity data'!AE6*EF!$H19)*kgtoGg,"ERROR"))</f>
        <v>2.11073467796396</v>
      </c>
      <c r="M1082" s="100">
        <f>IF('Net zero activities &amp; levers'!$C$14="Off",('Activity data'!AF6*EF!$H19)*kgtoGg,IF('Net zero activities &amp; levers'!$C$14="On",('Net zero Activity data'!AF6*EF!$H19)*kgtoGg,"ERROR"))</f>
        <v>2.123117780654781</v>
      </c>
      <c r="N1082" s="100">
        <f>IF('Net zero activities &amp; levers'!$C$14="Off",('Activity data'!AG6*EF!$H19)*kgtoGg,IF('Net zero activities &amp; levers'!$C$14="On",('Net zero Activity data'!AG6*EF!$H19)*kgtoGg,"ERROR"))</f>
        <v>2.1247195609443885</v>
      </c>
      <c r="O1082" s="100">
        <f>IF('Net zero activities &amp; levers'!$C$14="Off",('Activity data'!AH6*EF!$H19)*kgtoGg,IF('Net zero activities &amp; levers'!$C$14="On",('Net zero Activity data'!AH6*EF!$H19)*kgtoGg,"ERROR"))</f>
        <v>2.1274784704420999</v>
      </c>
      <c r="P1082" s="100">
        <f>IF('Net zero activities &amp; levers'!$C$14="Off",('Activity data'!AI6*EF!$H19)*kgtoGg,IF('Net zero activities &amp; levers'!$C$14="On",('Net zero Activity data'!AI6*EF!$H19)*kgtoGg,"ERROR"))</f>
        <v>2.1433085842522419</v>
      </c>
      <c r="Q1082" s="100">
        <f>IF('Net zero activities &amp; levers'!$C$14="Off",('Activity data'!AJ6*EF!$H19)*kgtoGg,IF('Net zero activities &amp; levers'!$C$14="On",('Net zero Activity data'!AJ6*EF!$H19)*kgtoGg,"ERROR"))</f>
        <v>2.1559668788721003</v>
      </c>
      <c r="R1082" s="100">
        <f>IF('Net zero activities &amp; levers'!$C$14="Off",('Activity data'!AK6*EF!$H19)*kgtoGg,IF('Net zero activities &amp; levers'!$C$14="On",('Net zero Activity data'!AK6*EF!$H19)*kgtoGg,"ERROR"))</f>
        <v>2.1560778675604801</v>
      </c>
      <c r="S1082" s="100">
        <f>IF('Net zero activities &amp; levers'!$C$14="Off",('Activity data'!AL6*EF!$H19)*kgtoGg,IF('Net zero activities &amp; levers'!$C$14="On",('Net zero Activity data'!AL6*EF!$H19)*kgtoGg,"ERROR"))</f>
        <v>2.0989552741078059</v>
      </c>
      <c r="T1082" s="100">
        <f>IF('Net zero activities &amp; levers'!$C$14="Off",('Activity data'!AM6*EF!$H19)*kgtoGg,IF('Net zero activities &amp; levers'!$C$14="On",('Net zero Activity data'!AM6*EF!$H19)*kgtoGg,"ERROR"))</f>
        <v>2.109538475697041</v>
      </c>
      <c r="U1082" s="100">
        <f>IF('Net zero activities &amp; levers'!$C$14="Off",('Activity data'!AN6*EF!$H19)*kgtoGg,IF('Net zero activities &amp; levers'!$C$14="On",('Net zero Activity data'!AN6*EF!$H19)*kgtoGg,"ERROR"))</f>
        <v>2.1130812398264069</v>
      </c>
      <c r="V1082" s="100">
        <f>IF('Net zero activities &amp; levers'!$C$14="Off",('Activity data'!AO6*EF!$H19)*kgtoGg,IF('Net zero activities &amp; levers'!$C$14="On",('Net zero Activity data'!AO6*EF!$H19)*kgtoGg,"ERROR"))</f>
        <v>2.1151373659044905</v>
      </c>
      <c r="W1082" s="100">
        <f>IF('Net zero activities &amp; levers'!$C$14="Off",('Activity data'!AP6*EF!$H19)*kgtoGg,IF('Net zero activities &amp; levers'!$C$14="On",('Net zero Activity data'!AP6*EF!$H19)*kgtoGg,"ERROR"))</f>
        <v>2.1199216535125673</v>
      </c>
      <c r="X1082" s="100">
        <f>IF('Net zero activities &amp; levers'!$C$14="Off",('Activity data'!AQ6*EF!$H19)*kgtoGg,IF('Net zero activities &amp; levers'!$C$14="On",('Net zero Activity data'!AQ6*EF!$H19)*kgtoGg,"ERROR"))</f>
        <v>2.1338364131301546</v>
      </c>
      <c r="Y1082" s="100">
        <f>IF('Net zero activities &amp; levers'!$C$14="Off",('Activity data'!AR6*EF!$H19)*kgtoGg,IF('Net zero activities &amp; levers'!$C$14="On",('Net zero Activity data'!AR6*EF!$H19)*kgtoGg,"ERROR"))</f>
        <v>2.1485089725353856</v>
      </c>
      <c r="Z1082" s="100">
        <f>IF('Net zero activities &amp; levers'!$C$14="Off",('Activity data'!AS6*EF!$H19)*kgtoGg,IF('Net zero activities &amp; levers'!$C$14="On",('Net zero Activity data'!AS6*EF!$H19)*kgtoGg,"ERROR"))</f>
        <v>2.1654109772102048</v>
      </c>
      <c r="AA1082" s="100">
        <f>IF('Net zero activities &amp; levers'!$C$14="Off",('Activity data'!AT6*EF!$H19)*kgtoGg,IF('Net zero activities &amp; levers'!$C$14="On",('Net zero Activity data'!AT6*EF!$H19)*kgtoGg,"ERROR"))</f>
        <v>2.1785801815456716</v>
      </c>
      <c r="AB1082" s="100">
        <f>IF('Net zero activities &amp; levers'!$C$14="Off",('Activity data'!AU6*EF!$H19)*kgtoGg,IF('Net zero activities &amp; levers'!$C$14="On",('Net zero Activity data'!AU6*EF!$H19)*kgtoGg,"ERROR"))</f>
        <v>2.195765563776741</v>
      </c>
      <c r="AC1082" s="100">
        <f>IF('Net zero activities &amp; levers'!$C$14="Off",('Activity data'!AV6*EF!$H19)*kgtoGg,IF('Net zero activities &amp; levers'!$C$14="On",('Net zero Activity data'!AV6*EF!$H19)*kgtoGg,"ERROR"))</f>
        <v>2.2178504396657401</v>
      </c>
      <c r="AD1082" s="100">
        <f>IF('Net zero activities &amp; levers'!$C$14="Off",('Activity data'!AW6*EF!$H19)*kgtoGg,IF('Net zero activities &amp; levers'!$C$14="On",('Net zero Activity data'!AW6*EF!$H19)*kgtoGg,"ERROR"))</f>
        <v>2.2536562292815279</v>
      </c>
      <c r="AE1082" s="100">
        <f>IF('Net zero activities &amp; levers'!$C$14="Off",('Activity data'!AX6*EF!$H19)*kgtoGg,IF('Net zero activities &amp; levers'!$C$14="On",('Net zero Activity data'!AX6*EF!$H19)*kgtoGg,"ERROR"))</f>
        <v>2.2913851205723494</v>
      </c>
      <c r="AF1082" s="100">
        <f>IF('Net zero activities &amp; levers'!$C$14="Off",('Activity data'!AY6*EF!$H19)*kgtoGg,IF('Net zero activities &amp; levers'!$C$14="On",('Net zero Activity data'!AY6*EF!$H19)*kgtoGg,"ERROR"))</f>
        <v>2.3302324575093705</v>
      </c>
      <c r="AG1082" s="100">
        <f>IF('Net zero activities &amp; levers'!$C$14="Off",('Activity data'!AZ6*EF!$H19)*kgtoGg,IF('Net zero activities &amp; levers'!$C$14="On",('Net zero Activity data'!AZ6*EF!$H19)*kgtoGg,"ERROR"))</f>
        <v>2.3737335759822753</v>
      </c>
      <c r="AH1082" s="100">
        <f>IF('Net zero activities &amp; levers'!$C$14="Off",('Activity data'!BA6*EF!$H19)*kgtoGg,IF('Net zero activities &amp; levers'!$C$14="On",('Net zero Activity data'!BA6*EF!$H19)*kgtoGg,"ERROR"))</f>
        <v>2.4126090657328159</v>
      </c>
      <c r="AI1082" s="100">
        <f>IF('Net zero activities &amp; levers'!$C$14="Off",('Activity data'!BB6*EF!$H19)*kgtoGg,IF('Net zero activities &amp; levers'!$C$14="On",('Net zero Activity data'!BB6*EF!$H19)*kgtoGg,"ERROR"))</f>
        <v>2.4530140156651563</v>
      </c>
      <c r="AJ1082" s="100">
        <f>IF('Net zero activities &amp; levers'!$C$14="Off",('Activity data'!BC6*EF!$H19)*kgtoGg,IF('Net zero activities &amp; levers'!$C$14="On",('Net zero Activity data'!BC6*EF!$H19)*kgtoGg,"ERROR"))</f>
        <v>2.4944307078160657</v>
      </c>
      <c r="AK1082" s="100">
        <f>IF('Net zero activities &amp; levers'!$C$14="Off",('Activity data'!BD6*EF!$H19)*kgtoGg,IF('Net zero activities &amp; levers'!$C$14="On",('Net zero Activity data'!BD6*EF!$H19)*kgtoGg,"ERROR"))</f>
        <v>2.5343409147332427</v>
      </c>
      <c r="AL1082" s="100">
        <f>IF('Net zero activities &amp; levers'!$C$14="Off",('Activity data'!BE6*EF!$H19)*kgtoGg,IF('Net zero activities &amp; levers'!$C$14="On",('Net zero Activity data'!BE6*EF!$H19)*kgtoGg,"ERROR"))</f>
        <v>2.5744387797396509</v>
      </c>
      <c r="AM1082" s="100">
        <f>IF('Net zero activities &amp; levers'!$C$14="Off",('Activity data'!BF6*EF!$H19)*kgtoGg,IF('Net zero activities &amp; levers'!$C$14="On",('Net zero Activity data'!BF6*EF!$H19)*kgtoGg,"ERROR"))</f>
        <v>2.6162655216230024</v>
      </c>
      <c r="AN1082" s="100">
        <f>IF('Net zero activities &amp; levers'!$C$14="Off",('Activity data'!BG6*EF!$H19)*kgtoGg,IF('Net zero activities &amp; levers'!$C$14="On",('Net zero Activity data'!BG6*EF!$H19)*kgtoGg,"ERROR"))</f>
        <v>2.6594629433801638</v>
      </c>
      <c r="AO1082" s="100">
        <f>IF('Net zero activities &amp; levers'!$C$14="Off",('Activity data'!BH6*EF!$H19)*kgtoGg,IF('Net zero activities &amp; levers'!$C$14="On",('Net zero Activity data'!BH6*EF!$H19)*kgtoGg,"ERROR"))</f>
        <v>2.7003719246632061</v>
      </c>
      <c r="AP1082" s="100">
        <f>IF('Net zero activities &amp; levers'!$C$14="Off",('Activity data'!BI6*EF!$H19)*kgtoGg,IF('Net zero activities &amp; levers'!$C$14="On",('Net zero Activity data'!BI6*EF!$H19)*kgtoGg,"ERROR"))</f>
        <v>2.7420859975276892</v>
      </c>
      <c r="AQ1082" s="100">
        <f>IF('Net zero activities &amp; levers'!$C$14="Off",('Activity data'!BJ6*EF!$H19)*kgtoGg,IF('Net zero activities &amp; levers'!$C$14="On",('Net zero Activity data'!BJ6*EF!$H19)*kgtoGg,"ERROR"))</f>
        <v>2.7846835183375558</v>
      </c>
      <c r="AR1082" s="100">
        <f>IF('Net zero activities &amp; levers'!$C$14="Off",('Activity data'!BK6*EF!$H19)*kgtoGg,IF('Net zero activities &amp; levers'!$C$14="On",('Net zero Activity data'!BK6*EF!$H19)*kgtoGg,"ERROR"))</f>
        <v>2.830391560260956</v>
      </c>
      <c r="AS1082" s="100">
        <f>IF('Net zero activities &amp; levers'!$C$14="Off",('Activity data'!BL6*EF!$H19)*kgtoGg,IF('Net zero activities &amp; levers'!$C$14="On",('Net zero Activity data'!BL6*EF!$H19)*kgtoGg,"ERROR"))</f>
        <v>2.8764845507242773</v>
      </c>
      <c r="AT1082" s="100">
        <f>IF('Net zero activities &amp; levers'!$C$14="Off",('Activity data'!BM6*EF!$H19)*kgtoGg,IF('Net zero activities &amp; levers'!$C$14="On",('Net zero Activity data'!BM6*EF!$H19)*kgtoGg,"ERROR"))</f>
        <v>2.9020365295534885</v>
      </c>
      <c r="AU1082" s="100">
        <f>IF('Net zero activities &amp; levers'!$C$14="Off",('Activity data'!BN6*EF!$H19)*kgtoGg,IF('Net zero activities &amp; levers'!$C$14="On",('Net zero Activity data'!BN6*EF!$H19)*kgtoGg,"ERROR"))</f>
        <v>2.926308795423973</v>
      </c>
      <c r="AV1082" s="100">
        <f>IF('Net zero activities &amp; levers'!$C$14="Off",('Activity data'!BO6*EF!$H19)*kgtoGg,IF('Net zero activities &amp; levers'!$C$14="On",('Net zero Activity data'!BO6*EF!$H19)*kgtoGg,"ERROR"))</f>
        <v>2.953577750277486</v>
      </c>
      <c r="AW1082" s="100">
        <f>IF('Net zero activities &amp; levers'!$C$14="Off",('Activity data'!BP6*EF!$H19)*kgtoGg,IF('Net zero activities &amp; levers'!$C$14="On",('Net zero Activity data'!BP6*EF!$H19)*kgtoGg,"ERROR"))</f>
        <v>2.979812400055418</v>
      </c>
      <c r="AY1082" s="85"/>
    </row>
    <row r="1083" spans="1:51" x14ac:dyDescent="0.25">
      <c r="A1083" s="102" t="str">
        <f t="shared" si="373"/>
        <v>CM Cattle MMCH4</v>
      </c>
      <c r="B1083" s="102" t="s">
        <v>1323</v>
      </c>
      <c r="C1083" s="102" t="s">
        <v>1230</v>
      </c>
      <c r="D1083" t="s">
        <v>15</v>
      </c>
      <c r="E1083" t="s">
        <v>22</v>
      </c>
      <c r="F1083" t="s">
        <v>67</v>
      </c>
      <c r="G1083" t="s">
        <v>307</v>
      </c>
      <c r="H1083" t="s">
        <v>1228</v>
      </c>
      <c r="I1083" t="s">
        <v>121</v>
      </c>
      <c r="J1083" t="s">
        <v>286</v>
      </c>
      <c r="K1083" s="100">
        <f>IF('Net zero activities &amp; levers'!$C$14="Off",('Activity data'!AD7*EF!$H20)*kgtoGg,IF('Net zero activities &amp; levers'!$C$14="On",('Net zero Activity data'!AD7*EF!$H20)*kgtoGg,"ERROR"))</f>
        <v>0.43302356896670435</v>
      </c>
      <c r="L1083" s="100">
        <f>IF('Net zero activities &amp; levers'!$C$14="Off",('Activity data'!AE7*EF!$H20)*kgtoGg,IF('Net zero activities &amp; levers'!$C$14="On",('Net zero Activity data'!AE7*EF!$H20)*kgtoGg,"ERROR"))</f>
        <v>0.43594736841646864</v>
      </c>
      <c r="M1083" s="100">
        <f>IF('Net zero activities &amp; levers'!$C$14="Off",('Activity data'!AF7*EF!$H20)*kgtoGg,IF('Net zero activities &amp; levers'!$C$14="On",('Net zero Activity data'!AF7*EF!$H20)*kgtoGg,"ERROR"))</f>
        <v>0.43850495231711395</v>
      </c>
      <c r="N1083" s="100">
        <f>IF('Net zero activities &amp; levers'!$C$14="Off",('Activity data'!AG7*EF!$H20)*kgtoGg,IF('Net zero activities &amp; levers'!$C$14="On",('Net zero Activity data'!AG7*EF!$H20)*kgtoGg,"ERROR"))</f>
        <v>0.43883578115568184</v>
      </c>
      <c r="O1083" s="100">
        <f>IF('Net zero activities &amp; levers'!$C$14="Off",('Activity data'!AH7*EF!$H20)*kgtoGg,IF('Net zero activities &amp; levers'!$C$14="On",('Net zero Activity data'!AH7*EF!$H20)*kgtoGg,"ERROR"))</f>
        <v>0.43940560139305368</v>
      </c>
      <c r="P1083" s="100">
        <f>IF('Net zero activities &amp; levers'!$C$14="Off",('Activity data'!AI7*EF!$H20)*kgtoGg,IF('Net zero activities &amp; levers'!$C$14="On",('Net zero Activity data'!AI7*EF!$H20)*kgtoGg,"ERROR"))</f>
        <v>0.44267512481033205</v>
      </c>
      <c r="Q1083" s="100">
        <f>IF('Net zero activities &amp; levers'!$C$14="Off",('Activity data'!AJ7*EF!$H20)*kgtoGg,IF('Net zero activities &amp; levers'!$C$14="On",('Net zero Activity data'!AJ7*EF!$H20)*kgtoGg,"ERROR"))</f>
        <v>0.44528954636022133</v>
      </c>
      <c r="R1083" s="100">
        <f>IF('Net zero activities &amp; levers'!$C$14="Off",('Activity data'!AK7*EF!$H20)*kgtoGg,IF('Net zero activities &amp; levers'!$C$14="On",('Net zero Activity data'!AK7*EF!$H20)*kgtoGg,"ERROR"))</f>
        <v>0.44531246976557798</v>
      </c>
      <c r="S1083" s="100">
        <f>IF('Net zero activities &amp; levers'!$C$14="Off",('Activity data'!AL7*EF!$H20)*kgtoGg,IF('Net zero activities &amp; levers'!$C$14="On",('Net zero Activity data'!AL7*EF!$H20)*kgtoGg,"ERROR"))</f>
        <v>0.43351447139430072</v>
      </c>
      <c r="T1083" s="100">
        <f>IF('Net zero activities &amp; levers'!$C$14="Off",('Activity data'!AM7*EF!$H20)*kgtoGg,IF('Net zero activities &amp; levers'!$C$14="On",('Net zero Activity data'!AM7*EF!$H20)*kgtoGg,"ERROR"))</f>
        <v>0.43570030693792217</v>
      </c>
      <c r="U1083" s="100">
        <f>IF('Net zero activities &amp; levers'!$C$14="Off",('Activity data'!AN7*EF!$H20)*kgtoGg,IF('Net zero activities &amp; levers'!$C$14="On",('Net zero Activity data'!AN7*EF!$H20)*kgtoGg,"ERROR"))</f>
        <v>0.4364320231101354</v>
      </c>
      <c r="V1083" s="100">
        <f>IF('Net zero activities &amp; levers'!$C$14="Off",('Activity data'!AO7*EF!$H20)*kgtoGg,IF('Net zero activities &amp; levers'!$C$14="On",('Net zero Activity data'!AO7*EF!$H20)*kgtoGg,"ERROR"))</f>
        <v>0.43685669171592034</v>
      </c>
      <c r="W1083" s="100">
        <f>IF('Net zero activities &amp; levers'!$C$14="Off",('Activity data'!AP7*EF!$H20)*kgtoGg,IF('Net zero activities &amp; levers'!$C$14="On",('Net zero Activity data'!AP7*EF!$H20)*kgtoGg,"ERROR"))</f>
        <v>0.43784482992877255</v>
      </c>
      <c r="X1083" s="100">
        <f>IF('Net zero activities &amp; levers'!$C$14="Off",('Activity data'!AQ7*EF!$H20)*kgtoGg,IF('Net zero activities &amp; levers'!$C$14="On",('Net zero Activity data'!AQ7*EF!$H20)*kgtoGg,"ERROR"))</f>
        <v>0.44071875951393796</v>
      </c>
      <c r="Y1083" s="100">
        <f>IF('Net zero activities &amp; levers'!$C$14="Off",('Activity data'!AR7*EF!$H20)*kgtoGg,IF('Net zero activities &amp; levers'!$C$14="On",('Net zero Activity data'!AR7*EF!$H20)*kgtoGg,"ERROR"))</f>
        <v>0.44374920371302357</v>
      </c>
      <c r="Z1083" s="100">
        <f>IF('Net zero activities &amp; levers'!$C$14="Off",('Activity data'!AS7*EF!$H20)*kgtoGg,IF('Net zero activities &amp; levers'!$C$14="On",('Net zero Activity data'!AS7*EF!$H20)*kgtoGg,"ERROR"))</f>
        <v>0.44724011355397897</v>
      </c>
      <c r="AA1083" s="100">
        <f>IF('Net zero activities &amp; levers'!$C$14="Off",('Activity data'!AT7*EF!$H20)*kgtoGg,IF('Net zero activities &amp; levers'!$C$14="On",('Net zero Activity data'!AT7*EF!$H20)*kgtoGg,"ERROR"))</f>
        <v>0.44996005748351314</v>
      </c>
      <c r="AB1083" s="100">
        <f>IF('Net zero activities &amp; levers'!$C$14="Off",('Activity data'!AU7*EF!$H20)*kgtoGg,IF('Net zero activities &amp; levers'!$C$14="On",('Net zero Activity data'!AU7*EF!$H20)*kgtoGg,"ERROR"))</f>
        <v>0.45350949561852921</v>
      </c>
      <c r="AC1083" s="100">
        <f>IF('Net zero activities &amp; levers'!$C$14="Off",('Activity data'!AV7*EF!$H20)*kgtoGg,IF('Net zero activities &amp; levers'!$C$14="On",('Net zero Activity data'!AV7*EF!$H20)*kgtoGg,"ERROR"))</f>
        <v>0.45807086641805594</v>
      </c>
      <c r="AD1083" s="100">
        <f>IF('Net zero activities &amp; levers'!$C$14="Off",('Activity data'!AW7*EF!$H20)*kgtoGg,IF('Net zero activities &amp; levers'!$C$14="On",('Net zero Activity data'!AW7*EF!$H20)*kgtoGg,"ERROR"))</f>
        <v>0.46546613021887312</v>
      </c>
      <c r="AE1083" s="100">
        <f>IF('Net zero activities &amp; levers'!$C$14="Off",('Activity data'!AX7*EF!$H20)*kgtoGg,IF('Net zero activities &amp; levers'!$C$14="On",('Net zero Activity data'!AX7*EF!$H20)*kgtoGg,"ERROR"))</f>
        <v>0.47325858800298959</v>
      </c>
      <c r="AF1083" s="100">
        <f>IF('Net zero activities &amp; levers'!$C$14="Off",('Activity data'!AY7*EF!$H20)*kgtoGg,IF('Net zero activities &amp; levers'!$C$14="On",('Net zero Activity data'!AY7*EF!$H20)*kgtoGg,"ERROR"))</f>
        <v>0.48128204755216331</v>
      </c>
      <c r="AG1083" s="100">
        <f>IF('Net zero activities &amp; levers'!$C$14="Off",('Activity data'!AZ7*EF!$H20)*kgtoGg,IF('Net zero activities &amp; levers'!$C$14="On",('Net zero Activity data'!AZ7*EF!$H20)*kgtoGg,"ERROR"))</f>
        <v>0.49026669082325847</v>
      </c>
      <c r="AH1083" s="100">
        <f>IF('Net zero activities &amp; levers'!$C$14="Off",('Activity data'!BA7*EF!$H20)*kgtoGg,IF('Net zero activities &amp; levers'!$C$14="On",('Net zero Activity data'!BA7*EF!$H20)*kgtoGg,"ERROR"))</f>
        <v>0.49829596500422624</v>
      </c>
      <c r="AI1083" s="100">
        <f>IF('Net zero activities &amp; levers'!$C$14="Off",('Activity data'!BB7*EF!$H20)*kgtoGg,IF('Net zero activities &amp; levers'!$C$14="On",('Net zero Activity data'!BB7*EF!$H20)*kgtoGg,"ERROR"))</f>
        <v>0.50664113115793452</v>
      </c>
      <c r="AJ1083" s="100">
        <f>IF('Net zero activities &amp; levers'!$C$14="Off",('Activity data'!BC7*EF!$H20)*kgtoGg,IF('Net zero activities &amp; levers'!$C$14="On",('Net zero Activity data'!BC7*EF!$H20)*kgtoGg,"ERROR"))</f>
        <v>0.51519526074144062</v>
      </c>
      <c r="AK1083" s="100">
        <f>IF('Net zero activities &amp; levers'!$C$14="Off",('Activity data'!BD7*EF!$H20)*kgtoGg,IF('Net zero activities &amp; levers'!$C$14="On",('Net zero Activity data'!BD7*EF!$H20)*kgtoGg,"ERROR"))</f>
        <v>0.52343824355692326</v>
      </c>
      <c r="AL1083" s="100">
        <f>IF('Net zero activities &amp; levers'!$C$14="Off",('Activity data'!BE7*EF!$H20)*kgtoGg,IF('Net zero activities &amp; levers'!$C$14="On",('Net zero Activity data'!BE7*EF!$H20)*kgtoGg,"ERROR"))</f>
        <v>0.5317199849388029</v>
      </c>
      <c r="AM1083" s="100">
        <f>IF('Net zero activities &amp; levers'!$C$14="Off",('Activity data'!BF7*EF!$H20)*kgtoGg,IF('Net zero activities &amp; levers'!$C$14="On",('Net zero Activity data'!BF7*EF!$H20)*kgtoGg,"ERROR"))</f>
        <v>0.5403588054612718</v>
      </c>
      <c r="AN1083" s="100">
        <f>IF('Net zero activities &amp; levers'!$C$14="Off",('Activity data'!BG7*EF!$H20)*kgtoGg,IF('Net zero activities &amp; levers'!$C$14="On",('Net zero Activity data'!BG7*EF!$H20)*kgtoGg,"ERROR"))</f>
        <v>0.54928072375541581</v>
      </c>
      <c r="AO1083" s="100">
        <f>IF('Net zero activities &amp; levers'!$C$14="Off",('Activity data'!BH7*EF!$H20)*kgtoGg,IF('Net zero activities &amp; levers'!$C$14="On",('Net zero Activity data'!BH7*EF!$H20)*kgtoGg,"ERROR"))</f>
        <v>0.55772999164357318</v>
      </c>
      <c r="AP1083" s="100">
        <f>IF('Net zero activities &amp; levers'!$C$14="Off",('Activity data'!BI7*EF!$H20)*kgtoGg,IF('Net zero activities &amp; levers'!$C$14="On",('Net zero Activity data'!BI7*EF!$H20)*kgtoGg,"ERROR"))</f>
        <v>0.56634554170822915</v>
      </c>
      <c r="AQ1083" s="100">
        <f>IF('Net zero activities &amp; levers'!$C$14="Off",('Activity data'!BJ7*EF!$H20)*kgtoGg,IF('Net zero activities &amp; levers'!$C$14="On",('Net zero Activity data'!BJ7*EF!$H20)*kgtoGg,"ERROR"))</f>
        <v>0.57514355753276669</v>
      </c>
      <c r="AR1083" s="100">
        <f>IF('Net zero activities &amp; levers'!$C$14="Off",('Activity data'!BK7*EF!$H20)*kgtoGg,IF('Net zero activities &amp; levers'!$C$14="On",('Net zero Activity data'!BK7*EF!$H20)*kgtoGg,"ERROR"))</f>
        <v>0.58458401482946365</v>
      </c>
      <c r="AS1083" s="100">
        <f>IF('Net zero activities &amp; levers'!$C$14="Off",('Activity data'!BL7*EF!$H20)*kgtoGg,IF('Net zero activities &amp; levers'!$C$14="On",('Net zero Activity data'!BL7*EF!$H20)*kgtoGg,"ERROR"))</f>
        <v>0.59410397870967679</v>
      </c>
      <c r="AT1083" s="100">
        <f>IF('Net zero activities &amp; levers'!$C$14="Off",('Activity data'!BM7*EF!$H20)*kgtoGg,IF('Net zero activities &amp; levers'!$C$14="On",('Net zero Activity data'!BM7*EF!$H20)*kgtoGg,"ERROR"))</f>
        <v>0.59938143875461858</v>
      </c>
      <c r="AU1083" s="100">
        <f>IF('Net zero activities &amp; levers'!$C$14="Off",('Activity data'!BN7*EF!$H20)*kgtoGg,IF('Net zero activities &amp; levers'!$C$14="On",('Net zero Activity data'!BN7*EF!$H20)*kgtoGg,"ERROR"))</f>
        <v>0.60439458917196498</v>
      </c>
      <c r="AV1083" s="100">
        <f>IF('Net zero activities &amp; levers'!$C$14="Off",('Activity data'!BO7*EF!$H20)*kgtoGg,IF('Net zero activities &amp; levers'!$C$14="On",('Net zero Activity data'!BO7*EF!$H20)*kgtoGg,"ERROR"))</f>
        <v>0.61002667037665903</v>
      </c>
      <c r="AW1083" s="100">
        <f>IF('Net zero activities &amp; levers'!$C$14="Off",('Activity data'!BP7*EF!$H20)*kgtoGg,IF('Net zero activities &amp; levers'!$C$14="On",('Net zero Activity data'!BP7*EF!$H20)*kgtoGg,"ERROR"))</f>
        <v>0.61544512805938845</v>
      </c>
      <c r="AY1083" s="85"/>
    </row>
    <row r="1084" spans="1:51" x14ac:dyDescent="0.25">
      <c r="A1084" s="102" t="str">
        <f t="shared" si="373"/>
        <v>CM Cattle MMCH4</v>
      </c>
      <c r="B1084" s="102" t="s">
        <v>1323</v>
      </c>
      <c r="C1084" s="102" t="s">
        <v>1230</v>
      </c>
      <c r="D1084" t="s">
        <v>15</v>
      </c>
      <c r="E1084" t="s">
        <v>22</v>
      </c>
      <c r="F1084" t="s">
        <v>67</v>
      </c>
      <c r="G1084" t="s">
        <v>122</v>
      </c>
      <c r="H1084" t="s">
        <v>1228</v>
      </c>
      <c r="I1084" t="s">
        <v>121</v>
      </c>
      <c r="J1084" t="s">
        <v>286</v>
      </c>
      <c r="K1084" s="100">
        <f>IF('Net zero activities &amp; levers'!$C$14="Off",('Activity data'!AD8*EF!$H21)*kgtoGg,IF('Net zero activities &amp; levers'!$C$14="On",('Net zero Activity data'!AD8*EF!$H21)*kgtoGg,"ERROR"))</f>
        <v>9.5339728940472587E-2</v>
      </c>
      <c r="L1084" s="100">
        <f>IF('Net zero activities &amp; levers'!$C$14="Off",('Activity data'!AE8*EF!$H21)*kgtoGg,IF('Net zero activities &amp; levers'!$C$14="On",('Net zero Activity data'!AE8*EF!$H21)*kgtoGg,"ERROR"))</f>
        <v>9.4854333679105063E-2</v>
      </c>
      <c r="M1084" s="100">
        <f>IF('Net zero activities &amp; levers'!$C$14="Off",('Activity data'!AF8*EF!$H21)*kgtoGg,IF('Net zero activities &amp; levers'!$C$14="On",('Net zero Activity data'!AF8*EF!$H21)*kgtoGg,"ERROR"))</f>
        <v>9.3968398426833952E-2</v>
      </c>
      <c r="N1084" s="100">
        <f>IF('Net zero activities &amp; levers'!$C$14="Off",('Activity data'!AG8*EF!$H21)*kgtoGg,IF('Net zero activities &amp; levers'!$C$14="On",('Net zero Activity data'!AG8*EF!$H21)*kgtoGg,"ERROR"))</f>
        <v>9.1543343324502313E-2</v>
      </c>
      <c r="O1084" s="100">
        <f>IF('Net zero activities &amp; levers'!$C$14="Off",('Activity data'!AH8*EF!$H21)*kgtoGg,IF('Net zero activities &amp; levers'!$C$14="On",('Net zero Activity data'!AH8*EF!$H21)*kgtoGg,"ERROR"))</f>
        <v>8.9215062552987667E-2</v>
      </c>
      <c r="P1084" s="100">
        <f>IF('Net zero activities &amp; levers'!$C$14="Off",('Activity data'!AI8*EF!$H21)*kgtoGg,IF('Net zero activities &amp; levers'!$C$14="On",('Net zero Activity data'!AI8*EF!$H21)*kgtoGg,"ERROR"))</f>
        <v>8.8452938660310093E-2</v>
      </c>
      <c r="Q1084" s="100">
        <f>IF('Net zero activities &amp; levers'!$C$14="Off",('Activity data'!AJ8*EF!$H21)*kgtoGg,IF('Net zero activities &amp; levers'!$C$14="On",('Net zero Activity data'!AJ8*EF!$H21)*kgtoGg,"ERROR"))</f>
        <v>8.7222027489186615E-2</v>
      </c>
      <c r="R1084" s="100">
        <f>IF('Net zero activities &amp; levers'!$C$14="Off",('Activity data'!AK8*EF!$H21)*kgtoGg,IF('Net zero activities &amp; levers'!$C$14="On",('Net zero Activity data'!AK8*EF!$H21)*kgtoGg,"ERROR"))</f>
        <v>8.4456409837201651E-2</v>
      </c>
      <c r="S1084" s="100">
        <f>IF('Net zero activities &amp; levers'!$C$14="Off",('Activity data'!AL8*EF!$H21)*kgtoGg,IF('Net zero activities &amp; levers'!$C$14="On",('Net zero Activity data'!AL8*EF!$H21)*kgtoGg,"ERROR"))</f>
        <v>7.5177478598092318E-2</v>
      </c>
      <c r="T1084" s="100">
        <f>IF('Net zero activities &amp; levers'!$C$14="Off",('Activity data'!AM8*EF!$H21)*kgtoGg,IF('Net zero activities &amp; levers'!$C$14="On",('Net zero Activity data'!AM8*EF!$H21)*kgtoGg,"ERROR"))</f>
        <v>7.506296394438422E-2</v>
      </c>
      <c r="U1084" s="100">
        <f>IF('Net zero activities &amp; levers'!$C$14="Off",('Activity data'!AN8*EF!$H21)*kgtoGg,IF('Net zero activities &amp; levers'!$C$14="On",('Net zero Activity data'!AN8*EF!$H21)*kgtoGg,"ERROR"))</f>
        <v>7.4086555504612156E-2</v>
      </c>
      <c r="V1084" s="100">
        <f>IF('Net zero activities &amp; levers'!$C$14="Off",('Activity data'!AO8*EF!$H21)*kgtoGg,IF('Net zero activities &amp; levers'!$C$14="On",('Net zero Activity data'!AO8*EF!$H21)*kgtoGg,"ERROR"))</f>
        <v>7.290383981565593E-2</v>
      </c>
      <c r="W1084" s="100">
        <f>IF('Net zero activities &amp; levers'!$C$14="Off",('Activity data'!AP8*EF!$H21)*kgtoGg,IF('Net zero activities &amp; levers'!$C$14="On",('Net zero Activity data'!AP8*EF!$H21)*kgtoGg,"ERROR"))</f>
        <v>7.1960094427839516E-2</v>
      </c>
      <c r="X1084" s="100">
        <f>IF('Net zero activities &amp; levers'!$C$14="Off",('Activity data'!AQ8*EF!$H21)*kgtoGg,IF('Net zero activities &amp; levers'!$C$14="On",('Net zero Activity data'!AQ8*EF!$H21)*kgtoGg,"ERROR"))</f>
        <v>7.1860657406057016E-2</v>
      </c>
      <c r="Y1084" s="100">
        <f>IF('Net zero activities &amp; levers'!$C$14="Off",('Activity data'!AR8*EF!$H21)*kgtoGg,IF('Net zero activities &amp; levers'!$C$14="On",('Net zero Activity data'!AR8*EF!$H21)*kgtoGg,"ERROR"))</f>
        <v>7.1865431374579292E-2</v>
      </c>
      <c r="Z1084" s="100">
        <f>IF('Net zero activities &amp; levers'!$C$14="Off",('Activity data'!AS8*EF!$H21)*kgtoGg,IF('Net zero activities &amp; levers'!$C$14="On",('Net zero Activity data'!AS8*EF!$H21)*kgtoGg,"ERROR"))</f>
        <v>7.1969223911570207E-2</v>
      </c>
      <c r="AA1084" s="100">
        <f>IF('Net zero activities &amp; levers'!$C$14="Off",('Activity data'!AT8*EF!$H21)*kgtoGg,IF('Net zero activities &amp; levers'!$C$14="On",('Net zero Activity data'!AT8*EF!$H21)*kgtoGg,"ERROR"))</f>
        <v>7.1629300024713155E-2</v>
      </c>
      <c r="AB1084" s="100">
        <f>IF('Net zero activities &amp; levers'!$C$14="Off",('Activity data'!AU8*EF!$H21)*kgtoGg,IF('Net zero activities &amp; levers'!$C$14="On",('Net zero Activity data'!AU8*EF!$H21)*kgtoGg,"ERROR"))</f>
        <v>7.1550619417570724E-2</v>
      </c>
      <c r="AC1084" s="100">
        <f>IF('Net zero activities &amp; levers'!$C$14="Off",('Activity data'!AV8*EF!$H21)*kgtoGg,IF('Net zero activities &amp; levers'!$C$14="On",('Net zero Activity data'!AV8*EF!$H21)*kgtoGg,"ERROR"))</f>
        <v>7.1778901850044874E-2</v>
      </c>
      <c r="AD1084" s="100">
        <f>IF('Net zero activities &amp; levers'!$C$14="Off",('Activity data'!AW8*EF!$H21)*kgtoGg,IF('Net zero activities &amp; levers'!$C$14="On",('Net zero Activity data'!AW8*EF!$H21)*kgtoGg,"ERROR"))</f>
        <v>7.2185433403667454E-2</v>
      </c>
      <c r="AE1084" s="100">
        <f>IF('Net zero activities &amp; levers'!$C$14="Off",('Activity data'!AX8*EF!$H21)*kgtoGg,IF('Net zero activities &amp; levers'!$C$14="On",('Net zero Activity data'!AX8*EF!$H21)*kgtoGg,"ERROR"))</f>
        <v>7.2589519694513438E-2</v>
      </c>
      <c r="AF1084" s="100">
        <f>IF('Net zero activities &amp; levers'!$C$14="Off",('Activity data'!AY8*EF!$H21)*kgtoGg,IF('Net zero activities &amp; levers'!$C$14="On",('Net zero Activity data'!AY8*EF!$H21)*kgtoGg,"ERROR"))</f>
        <v>7.2923002166356221E-2</v>
      </c>
      <c r="AG1084" s="100">
        <f>IF('Net zero activities &amp; levers'!$C$14="Off",('Activity data'!AZ8*EF!$H21)*kgtoGg,IF('Net zero activities &amp; levers'!$C$14="On",('Net zero Activity data'!AZ8*EF!$H21)*kgtoGg,"ERROR"))</f>
        <v>7.344032185822659E-2</v>
      </c>
      <c r="AH1084" s="100">
        <f>IF('Net zero activities &amp; levers'!$C$14="Off",('Activity data'!BA8*EF!$H21)*kgtoGg,IF('Net zero activities &amp; levers'!$C$14="On",('Net zero Activity data'!BA8*EF!$H21)*kgtoGg,"ERROR"))</f>
        <v>7.3466544265413616E-2</v>
      </c>
      <c r="AI1084" s="100">
        <f>IF('Net zero activities &amp; levers'!$C$14="Off",('Activity data'!BB8*EF!$H21)*kgtoGg,IF('Net zero activities &amp; levers'!$C$14="On",('Net zero Activity data'!BB8*EF!$H21)*kgtoGg,"ERROR"))</f>
        <v>7.3526252199328415E-2</v>
      </c>
      <c r="AJ1084" s="100">
        <f>IF('Net zero activities &amp; levers'!$C$14="Off",('Activity data'!BC8*EF!$H21)*kgtoGg,IF('Net zero activities &amp; levers'!$C$14="On",('Net zero Activity data'!BC8*EF!$H21)*kgtoGg,"ERROR"))</f>
        <v>7.3509224946999324E-2</v>
      </c>
      <c r="AK1084" s="100">
        <f>IF('Net zero activities &amp; levers'!$C$14="Off",('Activity data'!BD8*EF!$H21)*kgtoGg,IF('Net zero activities &amp; levers'!$C$14="On",('Net zero Activity data'!BD8*EF!$H21)*kgtoGg,"ERROR"))</f>
        <v>7.3258630093262E-2</v>
      </c>
      <c r="AL1084" s="100">
        <f>IF('Net zero activities &amp; levers'!$C$14="Off",('Activity data'!BE8*EF!$H21)*kgtoGg,IF('Net zero activities &amp; levers'!$C$14="On",('Net zero Activity data'!BE8*EF!$H21)*kgtoGg,"ERROR"))</f>
        <v>7.2893802606535815E-2</v>
      </c>
      <c r="AM1084" s="100">
        <f>IF('Net zero activities &amp; levers'!$C$14="Off",('Activity data'!BF8*EF!$H21)*kgtoGg,IF('Net zero activities &amp; levers'!$C$14="On",('Net zero Activity data'!BF8*EF!$H21)*kgtoGg,"ERROR"))</f>
        <v>7.2509008940567596E-2</v>
      </c>
      <c r="AN1084" s="100">
        <f>IF('Net zero activities &amp; levers'!$C$14="Off",('Activity data'!BG8*EF!$H21)*kgtoGg,IF('Net zero activities &amp; levers'!$C$14="On",('Net zero Activity data'!BG8*EF!$H21)*kgtoGg,"ERROR"))</f>
        <v>7.3034598351317356E-2</v>
      </c>
      <c r="AO1084" s="100">
        <f>IF('Net zero activities &amp; levers'!$C$14="Off",('Activity data'!BH8*EF!$H21)*kgtoGg,IF('Net zero activities &amp; levers'!$C$14="On",('Net zero Activity data'!BH8*EF!$H21)*kgtoGg,"ERROR"))</f>
        <v>7.333211984449696E-2</v>
      </c>
      <c r="AP1084" s="100">
        <f>IF('Net zero activities &amp; levers'!$C$14="Off",('Activity data'!BI8*EF!$H21)*kgtoGg,IF('Net zero activities &amp; levers'!$C$14="On",('Net zero Activity data'!BI8*EF!$H21)*kgtoGg,"ERROR"))</f>
        <v>7.3579764803726577E-2</v>
      </c>
      <c r="AQ1084" s="100">
        <f>IF('Net zero activities &amp; levers'!$C$14="Off",('Activity data'!BJ8*EF!$H21)*kgtoGg,IF('Net zero activities &amp; levers'!$C$14="On",('Net zero Activity data'!BJ8*EF!$H21)*kgtoGg,"ERROR"))</f>
        <v>7.3781402143592689E-2</v>
      </c>
      <c r="AR1084" s="100">
        <f>IF('Net zero activities &amp; levers'!$C$14="Off",('Activity data'!BK8*EF!$H21)*kgtoGg,IF('Net zero activities &amp; levers'!$C$14="On",('Net zero Activity data'!BK8*EF!$H21)*kgtoGg,"ERROR"))</f>
        <v>7.404826807795746E-2</v>
      </c>
      <c r="AS1084" s="100">
        <f>IF('Net zero activities &amp; levers'!$C$14="Off",('Activity data'!BL8*EF!$H21)*kgtoGg,IF('Net zero activities &amp; levers'!$C$14="On",('Net zero Activity data'!BL8*EF!$H21)*kgtoGg,"ERROR"))</f>
        <v>7.4283255601994599E-2</v>
      </c>
      <c r="AT1084" s="100">
        <f>IF('Net zero activities &amp; levers'!$C$14="Off",('Activity data'!BM8*EF!$H21)*kgtoGg,IF('Net zero activities &amp; levers'!$C$14="On",('Net zero Activity data'!BM8*EF!$H21)*kgtoGg,"ERROR"))</f>
        <v>7.344877177911624E-2</v>
      </c>
      <c r="AU1084" s="100">
        <f>IF('Net zero activities &amp; levers'!$C$14="Off",('Activity data'!BN8*EF!$H21)*kgtoGg,IF('Net zero activities &amp; levers'!$C$14="On",('Net zero Activity data'!BN8*EF!$H21)*kgtoGg,"ERROR"))</f>
        <v>7.2518264020228013E-2</v>
      </c>
      <c r="AV1084" s="100">
        <f>IF('Net zero activities &amp; levers'!$C$14="Off",('Activity data'!BO8*EF!$H21)*kgtoGg,IF('Net zero activities &amp; levers'!$C$14="On",('Net zero Activity data'!BO8*EF!$H21)*kgtoGg,"ERROR"))</f>
        <v>7.1689632771053391E-2</v>
      </c>
      <c r="AW1084" s="100">
        <f>IF('Net zero activities &amp; levers'!$C$14="Off",('Activity data'!BP8*EF!$H21)*kgtoGg,IF('Net zero activities &amp; levers'!$C$14="On",('Net zero Activity data'!BP8*EF!$H21)*kgtoGg,"ERROR"))</f>
        <v>7.0777897872392304E-2</v>
      </c>
      <c r="AY1084" s="85"/>
    </row>
    <row r="1085" spans="1:51" x14ac:dyDescent="0.25">
      <c r="A1085" s="102" t="str">
        <f t="shared" si="373"/>
        <v>CM Cattle MMCH4</v>
      </c>
      <c r="B1085" s="102" t="s">
        <v>1323</v>
      </c>
      <c r="C1085" s="102" t="s">
        <v>1230</v>
      </c>
      <c r="D1085" t="s">
        <v>15</v>
      </c>
      <c r="E1085" t="s">
        <v>22</v>
      </c>
      <c r="F1085" t="s">
        <v>67</v>
      </c>
      <c r="G1085" t="s">
        <v>123</v>
      </c>
      <c r="H1085" t="s">
        <v>1228</v>
      </c>
      <c r="I1085" t="s">
        <v>121</v>
      </c>
      <c r="J1085" t="s">
        <v>286</v>
      </c>
      <c r="K1085" s="100">
        <f>IF('Net zero activities &amp; levers'!$C$14="Off",('Activity data'!AD9*EF!$H22)*kgtoGg,IF('Net zero activities &amp; levers'!$C$14="On",('Net zero Activity data'!AD9*EF!$H22)*kgtoGg,"ERROR"))</f>
        <v>7.0033293869835936E-2</v>
      </c>
      <c r="L1085" s="100">
        <f>IF('Net zero activities &amp; levers'!$C$14="Off",('Activity data'!AE9*EF!$H22)*kgtoGg,IF('Net zero activities &amp; levers'!$C$14="On",('Net zero Activity data'!AE9*EF!$H22)*kgtoGg,"ERROR"))</f>
        <v>6.9676739164256679E-2</v>
      </c>
      <c r="M1085" s="100">
        <f>IF('Net zero activities &amp; levers'!$C$14="Off",('Activity data'!AF9*EF!$H22)*kgtoGg,IF('Net zero activities &amp; levers'!$C$14="On",('Net zero Activity data'!AF9*EF!$H22)*kgtoGg,"ERROR"))</f>
        <v>6.9025961523482296E-2</v>
      </c>
      <c r="N1085" s="100">
        <f>IF('Net zero activities &amp; levers'!$C$14="Off",('Activity data'!AG9*EF!$H22)*kgtoGg,IF('Net zero activities &amp; levers'!$C$14="On",('Net zero Activity data'!AG9*EF!$H22)*kgtoGg,"ERROR"))</f>
        <v>6.724459924650146E-2</v>
      </c>
      <c r="O1085" s="100">
        <f>IF('Net zero activities &amp; levers'!$C$14="Off",('Activity data'!AH9*EF!$H22)*kgtoGg,IF('Net zero activities &amp; levers'!$C$14="On",('Net zero Activity data'!AH9*EF!$H22)*kgtoGg,"ERROR"))</f>
        <v>6.5534324072709205E-2</v>
      </c>
      <c r="P1085" s="100">
        <f>IF('Net zero activities &amp; levers'!$C$14="Off",('Activity data'!AI9*EF!$H22)*kgtoGg,IF('Net zero activities &amp; levers'!$C$14="On",('Net zero Activity data'!AI9*EF!$H22)*kgtoGg,"ERROR"))</f>
        <v>6.4974494008849484E-2</v>
      </c>
      <c r="Q1085" s="100">
        <f>IF('Net zero activities &amp; levers'!$C$14="Off",('Activity data'!AJ9*EF!$H22)*kgtoGg,IF('Net zero activities &amp; levers'!$C$14="On",('Net zero Activity data'!AJ9*EF!$H22)*kgtoGg,"ERROR"))</f>
        <v>6.4070308893861602E-2</v>
      </c>
      <c r="R1085" s="100">
        <f>IF('Net zero activities &amp; levers'!$C$14="Off",('Activity data'!AK9*EF!$H22)*kgtoGg,IF('Net zero activities &amp; levers'!$C$14="On",('Net zero Activity data'!AK9*EF!$H22)*kgtoGg,"ERROR"))</f>
        <v>6.2038781052262654E-2</v>
      </c>
      <c r="S1085" s="100">
        <f>IF('Net zero activities &amp; levers'!$C$14="Off",('Activity data'!AL9*EF!$H22)*kgtoGg,IF('Net zero activities &amp; levers'!$C$14="On",('Net zero Activity data'!AL9*EF!$H22)*kgtoGg,"ERROR"))</f>
        <v>5.5222796514774769E-2</v>
      </c>
      <c r="T1085" s="100">
        <f>IF('Net zero activities &amp; levers'!$C$14="Off",('Activity data'!AM9*EF!$H22)*kgtoGg,IF('Net zero activities &amp; levers'!$C$14="On",('Net zero Activity data'!AM9*EF!$H22)*kgtoGg,"ERROR"))</f>
        <v>5.5138677979042941E-2</v>
      </c>
      <c r="U1085" s="100">
        <f>IF('Net zero activities &amp; levers'!$C$14="Off",('Activity data'!AN9*EF!$H22)*kgtoGg,IF('Net zero activities &amp; levers'!$C$14="On",('Net zero Activity data'!AN9*EF!$H22)*kgtoGg,"ERROR"))</f>
        <v>5.4421441838774086E-2</v>
      </c>
      <c r="V1085" s="100">
        <f>IF('Net zero activities &amp; levers'!$C$14="Off",('Activity data'!AO9*EF!$H22)*kgtoGg,IF('Net zero activities &amp; levers'!$C$14="On",('Net zero Activity data'!AO9*EF!$H22)*kgtoGg,"ERROR"))</f>
        <v>5.3552659471447925E-2</v>
      </c>
      <c r="W1085" s="100">
        <f>IF('Net zero activities &amp; levers'!$C$14="Off",('Activity data'!AP9*EF!$H22)*kgtoGg,IF('Net zero activities &amp; levers'!$C$14="On",('Net zero Activity data'!AP9*EF!$H22)*kgtoGg,"ERROR"))</f>
        <v>5.285941648850935E-2</v>
      </c>
      <c r="X1085" s="100">
        <f>IF('Net zero activities &amp; levers'!$C$14="Off",('Activity data'!AQ9*EF!$H22)*kgtoGg,IF('Net zero activities &amp; levers'!$C$14="On",('Net zero Activity data'!AQ9*EF!$H22)*kgtoGg,"ERROR"))</f>
        <v>5.2786373463891742E-2</v>
      </c>
      <c r="Y1085" s="100">
        <f>IF('Net zero activities &amp; levers'!$C$14="Off",('Activity data'!AR9*EF!$H22)*kgtoGg,IF('Net zero activities &amp; levers'!$C$14="On",('Net zero Activity data'!AR9*EF!$H22)*kgtoGg,"ERROR"))</f>
        <v>5.2789880257378172E-2</v>
      </c>
      <c r="Z1085" s="100">
        <f>IF('Net zero activities &amp; levers'!$C$14="Off",('Activity data'!AS9*EF!$H22)*kgtoGg,IF('Net zero activities &amp; levers'!$C$14="On",('Net zero Activity data'!AS9*EF!$H22)*kgtoGg,"ERROR"))</f>
        <v>5.2866122694034554E-2</v>
      </c>
      <c r="AA1085" s="100">
        <f>IF('Net zero activities &amp; levers'!$C$14="Off",('Activity data'!AT9*EF!$H22)*kgtoGg,IF('Net zero activities &amp; levers'!$C$14="On",('Net zero Activity data'!AT9*EF!$H22)*kgtoGg,"ERROR"))</f>
        <v>5.2616426269194688E-2</v>
      </c>
      <c r="AB1085" s="100">
        <f>IF('Net zero activities &amp; levers'!$C$14="Off",('Activity data'!AU9*EF!$H22)*kgtoGg,IF('Net zero activities &amp; levers'!$C$14="On",('Net zero Activity data'!AU9*EF!$H22)*kgtoGg,"ERROR"))</f>
        <v>5.2558630194640042E-2</v>
      </c>
      <c r="AC1085" s="100">
        <f>IF('Net zero activities &amp; levers'!$C$14="Off",('Activity data'!AV9*EF!$H22)*kgtoGg,IF('Net zero activities &amp; levers'!$C$14="On",('Net zero Activity data'!AV9*EF!$H22)*kgtoGg,"ERROR"))</f>
        <v>5.2726318637395797E-2</v>
      </c>
      <c r="AD1085" s="100">
        <f>IF('Net zero activities &amp; levers'!$C$14="Off",('Activity data'!AW9*EF!$H22)*kgtoGg,IF('Net zero activities &amp; levers'!$C$14="On",('Net zero Activity data'!AW9*EF!$H22)*kgtoGg,"ERROR"))</f>
        <v>5.3024942768999807E-2</v>
      </c>
      <c r="AE1085" s="100">
        <f>IF('Net zero activities &amp; levers'!$C$14="Off",('Activity data'!AX9*EF!$H22)*kgtoGg,IF('Net zero activities &amp; levers'!$C$14="On",('Net zero Activity data'!AX9*EF!$H22)*kgtoGg,"ERROR"))</f>
        <v>5.3321770694462645E-2</v>
      </c>
      <c r="AF1085" s="100">
        <f>IF('Net zero activities &amp; levers'!$C$14="Off",('Activity data'!AY9*EF!$H22)*kgtoGg,IF('Net zero activities &amp; levers'!$C$14="On",('Net zero Activity data'!AY9*EF!$H22)*kgtoGg,"ERROR"))</f>
        <v>5.356673547683146E-2</v>
      </c>
      <c r="AG1085" s="100">
        <f>IF('Net zero activities &amp; levers'!$C$14="Off",('Activity data'!AZ9*EF!$H22)*kgtoGg,IF('Net zero activities &amp; levers'!$C$14="On",('Net zero Activity data'!AZ9*EF!$H22)*kgtoGg,"ERROR"))</f>
        <v>5.3946740773763144E-2</v>
      </c>
      <c r="AH1085" s="100">
        <f>IF('Net zero activities &amp; levers'!$C$14="Off",('Activity data'!BA9*EF!$H22)*kgtoGg,IF('Net zero activities &amp; levers'!$C$14="On",('Net zero Activity data'!BA9*EF!$H22)*kgtoGg,"ERROR"))</f>
        <v>5.3966002854418417E-2</v>
      </c>
      <c r="AI1085" s="100">
        <f>IF('Net zero activities &amp; levers'!$C$14="Off",('Activity data'!BB9*EF!$H22)*kgtoGg,IF('Net zero activities &amp; levers'!$C$14="On",('Net zero Activity data'!BB9*EF!$H22)*kgtoGg,"ERROR"))</f>
        <v>5.4009862254153308E-2</v>
      </c>
      <c r="AJ1085" s="100">
        <f>IF('Net zero activities &amp; levers'!$C$14="Off",('Activity data'!BC9*EF!$H22)*kgtoGg,IF('Net zero activities &amp; levers'!$C$14="On",('Net zero Activity data'!BC9*EF!$H22)*kgtoGg,"ERROR"))</f>
        <v>5.3997354618780198E-2</v>
      </c>
      <c r="AK1085" s="100">
        <f>IF('Net zero activities &amp; levers'!$C$14="Off",('Activity data'!BD9*EF!$H22)*kgtoGg,IF('Net zero activities &amp; levers'!$C$14="On",('Net zero Activity data'!BD9*EF!$H22)*kgtoGg,"ERROR"))</f>
        <v>5.3813276236881161E-2</v>
      </c>
      <c r="AL1085" s="100">
        <f>IF('Net zero activities &amp; levers'!$C$14="Off",('Activity data'!BE9*EF!$H22)*kgtoGg,IF('Net zero activities &amp; levers'!$C$14="On",('Net zero Activity data'!BE9*EF!$H22)*kgtoGg,"ERROR"))</f>
        <v>5.354528648199481E-2</v>
      </c>
      <c r="AM1085" s="100">
        <f>IF('Net zero activities &amp; levers'!$C$14="Off",('Activity data'!BF9*EF!$H22)*kgtoGg,IF('Net zero activities &amp; levers'!$C$14="On",('Net zero Activity data'!BF9*EF!$H22)*kgtoGg,"ERROR"))</f>
        <v>5.3262630256856708E-2</v>
      </c>
      <c r="AN1085" s="100">
        <f>IF('Net zero activities &amp; levers'!$C$14="Off",('Activity data'!BG9*EF!$H22)*kgtoGg,IF('Net zero activities &amp; levers'!$C$14="On",('Net zero Activity data'!BG9*EF!$H22)*kgtoGg,"ERROR"))</f>
        <v>5.3648710205551495E-2</v>
      </c>
      <c r="AO1085" s="100">
        <f>IF('Net zero activities &amp; levers'!$C$14="Off",('Activity data'!BH9*EF!$H22)*kgtoGg,IF('Net zero activities &amp; levers'!$C$14="On",('Net zero Activity data'!BH9*EF!$H22)*kgtoGg,"ERROR"))</f>
        <v>5.3867259286779205E-2</v>
      </c>
      <c r="AP1085" s="100">
        <f>IF('Net zero activities &amp; levers'!$C$14="Off",('Activity data'!BI9*EF!$H22)*kgtoGg,IF('Net zero activities &amp; levers'!$C$14="On",('Net zero Activity data'!BI9*EF!$H22)*kgtoGg,"ERROR"))</f>
        <v>5.4049170777380771E-2</v>
      </c>
      <c r="AQ1085" s="100">
        <f>IF('Net zero activities &amp; levers'!$C$14="Off",('Activity data'!BJ9*EF!$H22)*kgtoGg,IF('Net zero activities &amp; levers'!$C$14="On",('Net zero Activity data'!BJ9*EF!$H22)*kgtoGg,"ERROR"))</f>
        <v>5.4197286649272883E-2</v>
      </c>
      <c r="AR1085" s="100">
        <f>IF('Net zero activities &amp; levers'!$C$14="Off",('Activity data'!BK9*EF!$H22)*kgtoGg,IF('Net zero activities &amp; levers'!$C$14="On",('Net zero Activity data'!BK9*EF!$H22)*kgtoGg,"ERROR"))</f>
        <v>5.4393317208756488E-2</v>
      </c>
      <c r="AS1085" s="100">
        <f>IF('Net zero activities &amp; levers'!$C$14="Off",('Activity data'!BL9*EF!$H22)*kgtoGg,IF('Net zero activities &amp; levers'!$C$14="On",('Net zero Activity data'!BL9*EF!$H22)*kgtoGg,"ERROR"))</f>
        <v>5.4565930981729495E-2</v>
      </c>
      <c r="AT1085" s="100">
        <f>IF('Net zero activities &amp; levers'!$C$14="Off",('Activity data'!BM9*EF!$H22)*kgtoGg,IF('Net zero activities &amp; levers'!$C$14="On",('Net zero Activity data'!BM9*EF!$H22)*kgtoGg,"ERROR"))</f>
        <v>5.3952947795740426E-2</v>
      </c>
      <c r="AU1085" s="100">
        <f>IF('Net zero activities &amp; levers'!$C$14="Off",('Activity data'!BN9*EF!$H22)*kgtoGg,IF('Net zero activities &amp; levers'!$C$14="On",('Net zero Activity data'!BN9*EF!$H22)*kgtoGg,"ERROR"))</f>
        <v>5.3269428720842817E-2</v>
      </c>
      <c r="AV1085" s="100">
        <f>IF('Net zero activities &amp; levers'!$C$14="Off",('Activity data'!BO9*EF!$H22)*kgtoGg,IF('Net zero activities &amp; levers'!$C$14="On",('Net zero Activity data'!BO9*EF!$H22)*kgtoGg,"ERROR"))</f>
        <v>5.2660744634700614E-2</v>
      </c>
      <c r="AW1085" s="100">
        <f>IF('Net zero activities &amp; levers'!$C$14="Off",('Activity data'!BP9*EF!$H22)*kgtoGg,IF('Net zero activities &amp; levers'!$C$14="On",('Net zero Activity data'!BP9*EF!$H22)*kgtoGg,"ERROR"))</f>
        <v>5.1991015458847975E-2</v>
      </c>
      <c r="AY1085" s="85"/>
    </row>
    <row r="1086" spans="1:51" x14ac:dyDescent="0.25">
      <c r="A1086" s="102" t="str">
        <f t="shared" si="373"/>
        <v>CM Cattle MMCH4</v>
      </c>
      <c r="B1086" s="102" t="s">
        <v>1323</v>
      </c>
      <c r="C1086" s="102" t="s">
        <v>1230</v>
      </c>
      <c r="D1086" t="s">
        <v>15</v>
      </c>
      <c r="E1086" t="s">
        <v>22</v>
      </c>
      <c r="F1086" t="s">
        <v>67</v>
      </c>
      <c r="G1086" t="s">
        <v>135</v>
      </c>
      <c r="H1086" t="s">
        <v>1228</v>
      </c>
      <c r="I1086" t="s">
        <v>121</v>
      </c>
      <c r="J1086" t="s">
        <v>286</v>
      </c>
      <c r="K1086" s="100">
        <f>IF('Net zero activities &amp; levers'!$C$14="Off",('Activity data'!AD10*EF!$H23)*kgtoGg,IF('Net zero activities &amp; levers'!$C$14="On",('Net zero Activity data'!AD10*EF!$H23)*kgtoGg,"ERROR"))</f>
        <v>0.47241651785764616</v>
      </c>
      <c r="L1086" s="100">
        <f>IF('Net zero activities &amp; levers'!$C$14="Off",('Activity data'!AE10*EF!$H23)*kgtoGg,IF('Net zero activities &amp; levers'!$C$14="On",('Net zero Activity data'!AE10*EF!$H23)*kgtoGg,"ERROR"))</f>
        <v>0.49004050540543137</v>
      </c>
      <c r="M1086" s="100">
        <f>IF('Net zero activities &amp; levers'!$C$14="Off",('Activity data'!AF10*EF!$H23)*kgtoGg,IF('Net zero activities &amp; levers'!$C$14="On",('Net zero Activity data'!AF10*EF!$H23)*kgtoGg,"ERROR"))</f>
        <v>0.50587338709485186</v>
      </c>
      <c r="N1086" s="100">
        <f>IF('Net zero activities &amp; levers'!$C$14="Off",('Activity data'!AG10*EF!$H23)*kgtoGg,IF('Net zero activities &amp; levers'!$C$14="On",('Net zero Activity data'!AG10*EF!$H23)*kgtoGg,"ERROR"))</f>
        <v>0.51330333017852303</v>
      </c>
      <c r="O1086" s="100">
        <f>IF('Net zero activities &amp; levers'!$C$14="Off",('Activity data'!AH10*EF!$H23)*kgtoGg,IF('Net zero activities &amp; levers'!$C$14="On",('Net zero Activity data'!AH10*EF!$H23)*kgtoGg,"ERROR"))</f>
        <v>0.52084695794290625</v>
      </c>
      <c r="P1086" s="100">
        <f>IF('Net zero activities &amp; levers'!$C$14="Off",('Activity data'!AI10*EF!$H23)*kgtoGg,IF('Net zero activities &amp; levers'!$C$14="On",('Net zero Activity data'!AI10*EF!$H23)*kgtoGg,"ERROR"))</f>
        <v>0.53749845878988001</v>
      </c>
      <c r="Q1086" s="100">
        <f>IF('Net zero activities &amp; levers'!$C$14="Off",('Activity data'!AJ10*EF!$H23)*kgtoGg,IF('Net zero activities &amp; levers'!$C$14="On",('Net zero Activity data'!AJ10*EF!$H23)*kgtoGg,"ERROR"))</f>
        <v>0.55154407690171303</v>
      </c>
      <c r="R1086" s="100">
        <f>IF('Net zero activities &amp; levers'!$C$14="Off",('Activity data'!AK10*EF!$H23)*kgtoGg,IF('Net zero activities &amp; levers'!$C$14="On",('Net zero Activity data'!AK10*EF!$H23)*kgtoGg,"ERROR"))</f>
        <v>0.55564430469746628</v>
      </c>
      <c r="S1086" s="100">
        <f>IF('Net zero activities &amp; levers'!$C$14="Off",('Activity data'!AL10*EF!$H23)*kgtoGg,IF('Net zero activities &amp; levers'!$C$14="On",('Net zero Activity data'!AL10*EF!$H23)*kgtoGg,"ERROR"))</f>
        <v>0.51452468218759118</v>
      </c>
      <c r="T1086" s="100">
        <f>IF('Net zero activities &amp; levers'!$C$14="Off",('Activity data'!AM10*EF!$H23)*kgtoGg,IF('Net zero activities &amp; levers'!$C$14="On",('Net zero Activity data'!AM10*EF!$H23)*kgtoGg,"ERROR"))</f>
        <v>0.531749349221176</v>
      </c>
      <c r="U1086" s="100">
        <f>IF('Net zero activities &amp; levers'!$C$14="Off",('Activity data'!AN10*EF!$H23)*kgtoGg,IF('Net zero activities &amp; levers'!$C$14="On",('Net zero Activity data'!AN10*EF!$H23)*kgtoGg,"ERROR"))</f>
        <v>0.54309453051607681</v>
      </c>
      <c r="V1086" s="100">
        <f>IF('Net zero activities &amp; levers'!$C$14="Off",('Activity data'!AO10*EF!$H23)*kgtoGg,IF('Net zero activities &amp; levers'!$C$14="On",('Net zero Activity data'!AO10*EF!$H23)*kgtoGg,"ERROR"))</f>
        <v>0.55289895846329906</v>
      </c>
      <c r="W1086" s="100">
        <f>IF('Net zero activities &amp; levers'!$C$14="Off",('Activity data'!AP10*EF!$H23)*kgtoGg,IF('Net zero activities &amp; levers'!$C$14="On",('Net zero Activity data'!AP10*EF!$H23)*kgtoGg,"ERROR"))</f>
        <v>0.5644979797682359</v>
      </c>
      <c r="X1086" s="100">
        <f>IF('Net zero activities &amp; levers'!$C$14="Off",('Activity data'!AQ10*EF!$H23)*kgtoGg,IF('Net zero activities &amp; levers'!$C$14="On",('Net zero Activity data'!AQ10*EF!$H23)*kgtoGg,"ERROR"))</f>
        <v>0.58299312311276574</v>
      </c>
      <c r="Y1086" s="100">
        <f>IF('Net zero activities &amp; levers'!$C$14="Off",('Activity data'!AR10*EF!$H23)*kgtoGg,IF('Net zero activities &amp; levers'!$C$14="On",('Net zero Activity data'!AR10*EF!$H23)*kgtoGg,"ERROR"))</f>
        <v>0.60287816807169425</v>
      </c>
      <c r="Z1086" s="100">
        <f>IF('Net zero activities &amp; levers'!$C$14="Off",('Activity data'!AS10*EF!$H23)*kgtoGg,IF('Net zero activities &amp; levers'!$C$14="On",('Net zero Activity data'!AS10*EF!$H23)*kgtoGg,"ERROR"))</f>
        <v>0.62422037366001515</v>
      </c>
      <c r="AA1086" s="100">
        <f>IF('Net zero activities &amp; levers'!$C$14="Off",('Activity data'!AT10*EF!$H23)*kgtoGg,IF('Net zero activities &amp; levers'!$C$14="On",('Net zero Activity data'!AT10*EF!$H23)*kgtoGg,"ERROR"))</f>
        <v>0.64226713147827807</v>
      </c>
      <c r="AB1086" s="100">
        <f>IF('Net zero activities &amp; levers'!$C$14="Off",('Activity data'!AU10*EF!$H23)*kgtoGg,IF('Net zero activities &amp; levers'!$C$14="On",('Net zero Activity data'!AU10*EF!$H23)*kgtoGg,"ERROR"))</f>
        <v>0.66318069793450352</v>
      </c>
      <c r="AC1086" s="100">
        <f>IF('Net zero activities &amp; levers'!$C$14="Off",('Activity data'!AV10*EF!$H23)*kgtoGg,IF('Net zero activities &amp; levers'!$C$14="On",('Net zero Activity data'!AV10*EF!$H23)*kgtoGg,"ERROR"))</f>
        <v>0.68766231448315751</v>
      </c>
      <c r="AD1086" s="100">
        <f>IF('Net zero activities &amp; levers'!$C$14="Off",('Activity data'!AW10*EF!$H23)*kgtoGg,IF('Net zero activities &amp; levers'!$C$14="On",('Net zero Activity data'!AW10*EF!$H23)*kgtoGg,"ERROR"))</f>
        <v>0.71482982081532875</v>
      </c>
      <c r="AE1086" s="100">
        <f>IF('Net zero activities &amp; levers'!$C$14="Off",('Activity data'!AX10*EF!$H23)*kgtoGg,IF('Net zero activities &amp; levers'!$C$14="On",('Net zero Activity data'!AX10*EF!$H23)*kgtoGg,"ERROR"))</f>
        <v>0.74307123396576935</v>
      </c>
      <c r="AF1086" s="100">
        <f>IF('Net zero activities &amp; levers'!$C$14="Off",('Activity data'!AY10*EF!$H23)*kgtoGg,IF('Net zero activities &amp; levers'!$C$14="On",('Net zero Activity data'!AY10*EF!$H23)*kgtoGg,"ERROR"))</f>
        <v>0.77172430090284394</v>
      </c>
      <c r="AG1086" s="100">
        <f>IF('Net zero activities &amp; levers'!$C$14="Off",('Activity data'!AZ10*EF!$H23)*kgtoGg,IF('Net zero activities &amp; levers'!$C$14="On",('Net zero Activity data'!AZ10*EF!$H23)*kgtoGg,"ERROR"))</f>
        <v>0.80356276048183628</v>
      </c>
      <c r="AH1086" s="100">
        <f>IF('Net zero activities &amp; levers'!$C$14="Off",('Activity data'!BA10*EF!$H23)*kgtoGg,IF('Net zero activities &amp; levers'!$C$14="On",('Net zero Activity data'!BA10*EF!$H23)*kgtoGg,"ERROR"))</f>
        <v>0.83122321581016234</v>
      </c>
      <c r="AI1086" s="100">
        <f>IF('Net zero activities &amp; levers'!$C$14="Off",('Activity data'!BB10*EF!$H23)*kgtoGg,IF('Net zero activities &amp; levers'!$C$14="On",('Net zero Activity data'!BB10*EF!$H23)*kgtoGg,"ERROR"))</f>
        <v>0.8603541546942729</v>
      </c>
      <c r="AJ1086" s="100">
        <f>IF('Net zero activities &amp; levers'!$C$14="Off",('Activity data'!BC10*EF!$H23)*kgtoGg,IF('Net zero activities &amp; levers'!$C$14="On",('Net zero Activity data'!BC10*EF!$H23)*kgtoGg,"ERROR"))</f>
        <v>0.88972576895492672</v>
      </c>
      <c r="AK1086" s="100">
        <f>IF('Net zero activities &amp; levers'!$C$14="Off",('Activity data'!BD10*EF!$H23)*kgtoGg,IF('Net zero activities &amp; levers'!$C$14="On",('Net zero Activity data'!BD10*EF!$H23)*kgtoGg,"ERROR"))</f>
        <v>0.91734810400027123</v>
      </c>
      <c r="AL1086" s="100">
        <f>IF('Net zero activities &amp; levers'!$C$14="Off",('Activity data'!BE10*EF!$H23)*kgtoGg,IF('Net zero activities &amp; levers'!$C$14="On",('Net zero Activity data'!BE10*EF!$H23)*kgtoGg,"ERROR"))</f>
        <v>0.94453388844854247</v>
      </c>
      <c r="AM1086" s="100">
        <f>IF('Net zero activities &amp; levers'!$C$14="Off",('Activity data'!BF10*EF!$H23)*kgtoGg,IF('Net zero activities &amp; levers'!$C$14="On",('Net zero Activity data'!BF10*EF!$H23)*kgtoGg,"ERROR"))</f>
        <v>0.97245634134344516</v>
      </c>
      <c r="AN1086" s="100">
        <f>IF('Net zero activities &amp; levers'!$C$14="Off",('Activity data'!BG10*EF!$H23)*kgtoGg,IF('Net zero activities &amp; levers'!$C$14="On",('Net zero Activity data'!BG10*EF!$H23)*kgtoGg,"ERROR"))</f>
        <v>1.0076653337089951</v>
      </c>
      <c r="AO1086" s="100">
        <f>IF('Net zero activities &amp; levers'!$C$14="Off",('Activity data'!BH10*EF!$H23)*kgtoGg,IF('Net zero activities &amp; levers'!$C$14="On",('Net zero Activity data'!BH10*EF!$H23)*kgtoGg,"ERROR"))</f>
        <v>1.0409611445389901</v>
      </c>
      <c r="AP1086" s="100">
        <f>IF('Net zero activities &amp; levers'!$C$14="Off",('Activity data'!BI10*EF!$H23)*kgtoGg,IF('Net zero activities &amp; levers'!$C$14="On",('Net zero Activity data'!BI10*EF!$H23)*kgtoGg,"ERROR"))</f>
        <v>1.0747308770654986</v>
      </c>
      <c r="AQ1086" s="100">
        <f>IF('Net zero activities &amp; levers'!$C$14="Off",('Activity data'!BJ10*EF!$H23)*kgtoGg,IF('Net zero activities &amp; levers'!$C$14="On",('Net zero Activity data'!BJ10*EF!$H23)*kgtoGg,"ERROR"))</f>
        <v>1.1090295435072604</v>
      </c>
      <c r="AR1086" s="100">
        <f>IF('Net zero activities &amp; levers'!$C$14="Off",('Activity data'!BK10*EF!$H23)*kgtoGg,IF('Net zero activities &amp; levers'!$C$14="On",('Net zero Activity data'!BK10*EF!$H23)*kgtoGg,"ERROR"))</f>
        <v>1.1455795342265791</v>
      </c>
      <c r="AS1086" s="100">
        <f>IF('Net zero activities &amp; levers'!$C$14="Off",('Activity data'!BL10*EF!$H23)*kgtoGg,IF('Net zero activities &amp; levers'!$C$14="On",('Net zero Activity data'!BL10*EF!$H23)*kgtoGg,"ERROR"))</f>
        <v>1.1829874260222308</v>
      </c>
      <c r="AT1086" s="100">
        <f>IF('Net zero activities &amp; levers'!$C$14="Off",('Activity data'!BM10*EF!$H23)*kgtoGg,IF('Net zero activities &amp; levers'!$C$14="On",('Net zero Activity data'!BM10*EF!$H23)*kgtoGg,"ERROR"))</f>
        <v>1.2042672581467537</v>
      </c>
      <c r="AU1086" s="100">
        <f>IF('Net zero activities &amp; levers'!$C$14="Off",('Activity data'!BN10*EF!$H23)*kgtoGg,IF('Net zero activities &amp; levers'!$C$14="On",('Net zero Activity data'!BN10*EF!$H23)*kgtoGg,"ERROR"))</f>
        <v>1.2243647505541693</v>
      </c>
      <c r="AV1086" s="100">
        <f>IF('Net zero activities &amp; levers'!$C$14="Off",('Activity data'!BO10*EF!$H23)*kgtoGg,IF('Net zero activities &amp; levers'!$C$14="On",('Net zero Activity data'!BO10*EF!$H23)*kgtoGg,"ERROR"))</f>
        <v>1.2465983781781678</v>
      </c>
      <c r="AW1086" s="100">
        <f>IF('Net zero activities &amp; levers'!$C$14="Off",('Activity data'!BP10*EF!$H23)*kgtoGg,IF('Net zero activities &amp; levers'!$C$14="On",('Net zero Activity data'!BP10*EF!$H23)*kgtoGg,"ERROR"))</f>
        <v>1.2678336030998885</v>
      </c>
      <c r="AY1086" s="85"/>
    </row>
    <row r="1087" spans="1:51" x14ac:dyDescent="0.25">
      <c r="A1087" s="102" t="str">
        <f t="shared" si="373"/>
        <v>CM Sheep MMCH4</v>
      </c>
      <c r="B1087" s="102" t="s">
        <v>1323</v>
      </c>
      <c r="C1087" s="102" t="s">
        <v>1325</v>
      </c>
      <c r="D1087" t="s">
        <v>15</v>
      </c>
      <c r="E1087" t="s">
        <v>22</v>
      </c>
      <c r="F1087" t="s">
        <v>18</v>
      </c>
      <c r="G1087" t="s">
        <v>122</v>
      </c>
      <c r="H1087" t="s">
        <v>1228</v>
      </c>
      <c r="I1087" t="s">
        <v>121</v>
      </c>
      <c r="J1087" t="s">
        <v>286</v>
      </c>
      <c r="K1087" s="100">
        <f>IF('Net zero activities &amp; levers'!$C$14="Off",('Activity data'!AD11*EF!$H24)*kgtoGg,IF('Net zero activities &amp; levers'!$C$14="On",('Net zero Activity data'!AD11*EF!$H24)*kgtoGg,"ERROR"))</f>
        <v>3.6049467288640238E-2</v>
      </c>
      <c r="L1087" s="100">
        <f>IF('Net zero activities &amp; levers'!$C$14="Off",('Activity data'!AE11*EF!$H24)*kgtoGg,IF('Net zero activities &amp; levers'!$C$14="On",('Net zero Activity data'!AE11*EF!$H24)*kgtoGg,"ERROR"))</f>
        <v>3.6068922498919492E-2</v>
      </c>
      <c r="M1087" s="100">
        <f>IF('Net zero activities &amp; levers'!$C$14="Off",('Activity data'!AF11*EF!$H24)*kgtoGg,IF('Net zero activities &amp; levers'!$C$14="On",('Net zero Activity data'!AF11*EF!$H24)*kgtoGg,"ERROR"))</f>
        <v>3.6113648368603188E-2</v>
      </c>
      <c r="N1087" s="100">
        <f>IF('Net zero activities &amp; levers'!$C$14="Off",('Activity data'!AG11*EF!$H24)*kgtoGg,IF('Net zero activities &amp; levers'!$C$14="On",('Net zero Activity data'!AG11*EF!$H24)*kgtoGg,"ERROR"))</f>
        <v>3.6180048088995075E-2</v>
      </c>
      <c r="O1087" s="100">
        <f>IF('Net zero activities &amp; levers'!$C$14="Off",('Activity data'!AH11*EF!$H24)*kgtoGg,IF('Net zero activities &amp; levers'!$C$14="On",('Net zero Activity data'!AH11*EF!$H24)*kgtoGg,"ERROR"))</f>
        <v>3.6269669615497352E-2</v>
      </c>
      <c r="P1087" s="100">
        <f>IF('Net zero activities &amp; levers'!$C$14="Off",('Activity data'!AI11*EF!$H24)*kgtoGg,IF('Net zero activities &amp; levers'!$C$14="On",('Net zero Activity data'!AI11*EF!$H24)*kgtoGg,"ERROR"))</f>
        <v>3.6384314095385159E-2</v>
      </c>
      <c r="Q1087" s="100">
        <f>IF('Net zero activities &amp; levers'!$C$14="Off",('Activity data'!AJ11*EF!$H24)*kgtoGg,IF('Net zero activities &amp; levers'!$C$14="On",('Net zero Activity data'!AJ11*EF!$H24)*kgtoGg,"ERROR"))</f>
        <v>3.6510640385803414E-2</v>
      </c>
      <c r="R1087" s="100">
        <f>IF('Net zero activities &amp; levers'!$C$14="Off",('Activity data'!AK11*EF!$H24)*kgtoGg,IF('Net zero activities &amp; levers'!$C$14="On",('Net zero Activity data'!AK11*EF!$H24)*kgtoGg,"ERROR"))</f>
        <v>3.6646686440443228E-2</v>
      </c>
      <c r="S1087" s="100">
        <f>IF('Net zero activities &amp; levers'!$C$14="Off",('Activity data'!AL11*EF!$H24)*kgtoGg,IF('Net zero activities &amp; levers'!$C$14="On",('Net zero Activity data'!AL11*EF!$H24)*kgtoGg,"ERROR"))</f>
        <v>3.6781472874538444E-2</v>
      </c>
      <c r="T1087" s="100">
        <f>IF('Net zero activities &amp; levers'!$C$14="Off",('Activity data'!AM11*EF!$H24)*kgtoGg,IF('Net zero activities &amp; levers'!$C$14="On",('Net zero Activity data'!AM11*EF!$H24)*kgtoGg,"ERROR"))</f>
        <v>3.682926617014972E-2</v>
      </c>
      <c r="U1087" s="100">
        <f>IF('Net zero activities &amp; levers'!$C$14="Off",('Activity data'!AN11*EF!$H24)*kgtoGg,IF('Net zero activities &amp; levers'!$C$14="On",('Net zero Activity data'!AN11*EF!$H24)*kgtoGg,"ERROR"))</f>
        <v>3.6884510388050309E-2</v>
      </c>
      <c r="V1087" s="100">
        <f>IF('Net zero activities &amp; levers'!$C$14="Off",('Activity data'!AO11*EF!$H24)*kgtoGg,IF('Net zero activities &amp; levers'!$C$14="On",('Net zero Activity data'!AO11*EF!$H24)*kgtoGg,"ERROR"))</f>
        <v>3.6947925593103295E-2</v>
      </c>
      <c r="W1087" s="100">
        <f>IF('Net zero activities &amp; levers'!$C$14="Off",('Activity data'!AP11*EF!$H24)*kgtoGg,IF('Net zero activities &amp; levers'!$C$14="On",('Net zero Activity data'!AP11*EF!$H24)*kgtoGg,"ERROR"))</f>
        <v>3.7020020301289432E-2</v>
      </c>
      <c r="X1087" s="100">
        <f>IF('Net zero activities &amp; levers'!$C$14="Off",('Activity data'!AQ11*EF!$H24)*kgtoGg,IF('Net zero activities &amp; levers'!$C$14="On",('Net zero Activity data'!AQ11*EF!$H24)*kgtoGg,"ERROR"))</f>
        <v>3.7101912847664391E-2</v>
      </c>
      <c r="Y1087" s="100">
        <f>IF('Net zero activities &amp; levers'!$C$14="Off",('Activity data'!AR11*EF!$H24)*kgtoGg,IF('Net zero activities &amp; levers'!$C$14="On",('Net zero Activity data'!AR11*EF!$H24)*kgtoGg,"ERROR"))</f>
        <v>3.7150623304634242E-2</v>
      </c>
      <c r="Z1087" s="100">
        <f>IF('Net zero activities &amp; levers'!$C$14="Off",('Activity data'!AS11*EF!$H24)*kgtoGg,IF('Net zero activities &amp; levers'!$C$14="On",('Net zero Activity data'!AS11*EF!$H24)*kgtoGg,"ERROR"))</f>
        <v>3.7206386141963026E-2</v>
      </c>
      <c r="AA1087" s="100">
        <f>IF('Net zero activities &amp; levers'!$C$14="Off",('Activity data'!AT11*EF!$H24)*kgtoGg,IF('Net zero activities &amp; levers'!$C$14="On",('Net zero Activity data'!AT11*EF!$H24)*kgtoGg,"ERROR"))</f>
        <v>3.7267438465596464E-2</v>
      </c>
      <c r="AB1087" s="100">
        <f>IF('Net zero activities &amp; levers'!$C$14="Off",('Activity data'!AU11*EF!$H24)*kgtoGg,IF('Net zero activities &amp; levers'!$C$14="On",('Net zero Activity data'!AU11*EF!$H24)*kgtoGg,"ERROR"))</f>
        <v>3.7335382828478099E-2</v>
      </c>
      <c r="AC1087" s="100">
        <f>IF('Net zero activities &amp; levers'!$C$14="Off",('Activity data'!AV11*EF!$H24)*kgtoGg,IF('Net zero activities &amp; levers'!$C$14="On",('Net zero Activity data'!AV11*EF!$H24)*kgtoGg,"ERROR"))</f>
        <v>3.7410206438349539E-2</v>
      </c>
      <c r="AD1087" s="100">
        <f>IF('Net zero activities &amp; levers'!$C$14="Off",('Activity data'!AW11*EF!$H24)*kgtoGg,IF('Net zero activities &amp; levers'!$C$14="On",('Net zero Activity data'!AW11*EF!$H24)*kgtoGg,"ERROR"))</f>
        <v>3.7460927970702197E-2</v>
      </c>
      <c r="AE1087" s="100">
        <f>IF('Net zero activities &amp; levers'!$C$14="Off",('Activity data'!AX11*EF!$H24)*kgtoGg,IF('Net zero activities &amp; levers'!$C$14="On",('Net zero Activity data'!AX11*EF!$H24)*kgtoGg,"ERROR"))</f>
        <v>3.7516937677727083E-2</v>
      </c>
      <c r="AF1087" s="100">
        <f>IF('Net zero activities &amp; levers'!$C$14="Off",('Activity data'!AY11*EF!$H24)*kgtoGg,IF('Net zero activities &amp; levers'!$C$14="On",('Net zero Activity data'!AY11*EF!$H24)*kgtoGg,"ERROR"))</f>
        <v>3.7577832532022119E-2</v>
      </c>
      <c r="AG1087" s="100">
        <f>IF('Net zero activities &amp; levers'!$C$14="Off",('Activity data'!AZ11*EF!$H24)*kgtoGg,IF('Net zero activities &amp; levers'!$C$14="On",('Net zero Activity data'!AZ11*EF!$H24)*kgtoGg,"ERROR"))</f>
        <v>3.7644310884026352E-2</v>
      </c>
      <c r="AH1087" s="100">
        <f>IF('Net zero activities &amp; levers'!$C$14="Off",('Activity data'!BA11*EF!$H24)*kgtoGg,IF('Net zero activities &amp; levers'!$C$14="On",('Net zero Activity data'!BA11*EF!$H24)*kgtoGg,"ERROR"))</f>
        <v>3.7713885519083466E-2</v>
      </c>
      <c r="AI1087" s="100">
        <f>IF('Net zero activities &amp; levers'!$C$14="Off",('Activity data'!BB11*EF!$H24)*kgtoGg,IF('Net zero activities &amp; levers'!$C$14="On",('Net zero Activity data'!BB11*EF!$H24)*kgtoGg,"ERROR"))</f>
        <v>3.7757026119284068E-2</v>
      </c>
      <c r="AJ1087" s="100">
        <f>IF('Net zero activities &amp; levers'!$C$14="Off",('Activity data'!BC11*EF!$H24)*kgtoGg,IF('Net zero activities &amp; levers'!$C$14="On",('Net zero Activity data'!BC11*EF!$H24)*kgtoGg,"ERROR"))</f>
        <v>3.7804137236175879E-2</v>
      </c>
      <c r="AK1087" s="100">
        <f>IF('Net zero activities &amp; levers'!$C$14="Off",('Activity data'!BD11*EF!$H24)*kgtoGg,IF('Net zero activities &amp; levers'!$C$14="On",('Net zero Activity data'!BD11*EF!$H24)*kgtoGg,"ERROR"))</f>
        <v>3.7854446922025949E-2</v>
      </c>
      <c r="AL1087" s="100">
        <f>IF('Net zero activities &amp; levers'!$C$14="Off",('Activity data'!BE11*EF!$H24)*kgtoGg,IF('Net zero activities &amp; levers'!$C$14="On",('Net zero Activity data'!BE11*EF!$H24)*kgtoGg,"ERROR"))</f>
        <v>3.7908250329284181E-2</v>
      </c>
      <c r="AM1087" s="100">
        <f>IF('Net zero activities &amp; levers'!$C$14="Off",('Activity data'!BF11*EF!$H24)*kgtoGg,IF('Net zero activities &amp; levers'!$C$14="On",('Net zero Activity data'!BF11*EF!$H24)*kgtoGg,"ERROR"))</f>
        <v>3.7965816215400267E-2</v>
      </c>
      <c r="AN1087" s="100">
        <f>IF('Net zero activities &amp; levers'!$C$14="Off",('Activity data'!BG11*EF!$H24)*kgtoGg,IF('Net zero activities &amp; levers'!$C$14="On",('Net zero Activity data'!BG11*EF!$H24)*kgtoGg,"ERROR"))</f>
        <v>3.7998173867661737E-2</v>
      </c>
      <c r="AO1087" s="100">
        <f>IF('Net zero activities &amp; levers'!$C$14="Off",('Activity data'!BH11*EF!$H24)*kgtoGg,IF('Net zero activities &amp; levers'!$C$14="On",('Net zero Activity data'!BH11*EF!$H24)*kgtoGg,"ERROR"))</f>
        <v>3.8032893703267914E-2</v>
      </c>
      <c r="AP1087" s="100">
        <f>IF('Net zero activities &amp; levers'!$C$14="Off",('Activity data'!BI11*EF!$H24)*kgtoGg,IF('Net zero activities &amp; levers'!$C$14="On",('Net zero Activity data'!BI11*EF!$H24)*kgtoGg,"ERROR"))</f>
        <v>3.8070653960654684E-2</v>
      </c>
      <c r="AQ1087" s="100">
        <f>IF('Net zero activities &amp; levers'!$C$14="Off",('Activity data'!BJ11*EF!$H24)*kgtoGg,IF('Net zero activities &amp; levers'!$C$14="On",('Net zero Activity data'!BJ11*EF!$H24)*kgtoGg,"ERROR"))</f>
        <v>3.8111380387154142E-2</v>
      </c>
      <c r="AR1087" s="100">
        <f>IF('Net zero activities &amp; levers'!$C$14="Off",('Activity data'!BK11*EF!$H24)*kgtoGg,IF('Net zero activities &amp; levers'!$C$14="On",('Net zero Activity data'!BK11*EF!$H24)*kgtoGg,"ERROR"))</f>
        <v>3.8155550306359247E-2</v>
      </c>
      <c r="AS1087" s="100">
        <f>IF('Net zero activities &amp; levers'!$C$14="Off",('Activity data'!BL11*EF!$H24)*kgtoGg,IF('Net zero activities &amp; levers'!$C$14="On",('Net zero Activity data'!BL11*EF!$H24)*kgtoGg,"ERROR"))</f>
        <v>3.8173350071819712E-2</v>
      </c>
      <c r="AT1087" s="100">
        <f>IF('Net zero activities &amp; levers'!$C$14="Off",('Activity data'!BM11*EF!$H24)*kgtoGg,IF('Net zero activities &amp; levers'!$C$14="On",('Net zero Activity data'!BM11*EF!$H24)*kgtoGg,"ERROR"))</f>
        <v>3.8188290518228231E-2</v>
      </c>
      <c r="AU1087" s="100">
        <f>IF('Net zero activities &amp; levers'!$C$14="Off",('Activity data'!BN11*EF!$H24)*kgtoGg,IF('Net zero activities &amp; levers'!$C$14="On",('Net zero Activity data'!BN11*EF!$H24)*kgtoGg,"ERROR"))</f>
        <v>3.8205178666049E-2</v>
      </c>
      <c r="AV1087" s="100">
        <f>IF('Net zero activities &amp; levers'!$C$14="Off",('Activity data'!BO11*EF!$H24)*kgtoGg,IF('Net zero activities &amp; levers'!$C$14="On",('Net zero Activity data'!BO11*EF!$H24)*kgtoGg,"ERROR"))</f>
        <v>3.8225031107168156E-2</v>
      </c>
      <c r="AW1087" s="100">
        <f>IF('Net zero activities &amp; levers'!$C$14="Off",('Activity data'!BP11*EF!$H24)*kgtoGg,IF('Net zero activities &amp; levers'!$C$14="On",('Net zero Activity data'!BP11*EF!$H24)*kgtoGg,"ERROR"))</f>
        <v>3.8246752665964737E-2</v>
      </c>
      <c r="AY1087" s="85"/>
    </row>
    <row r="1088" spans="1:51" x14ac:dyDescent="0.25">
      <c r="A1088" s="102" t="str">
        <f t="shared" si="373"/>
        <v>CM Sheep MMCH4</v>
      </c>
      <c r="B1088" s="102" t="s">
        <v>1323</v>
      </c>
      <c r="C1088" s="102" t="s">
        <v>1325</v>
      </c>
      <c r="D1088" t="s">
        <v>15</v>
      </c>
      <c r="E1088" t="s">
        <v>22</v>
      </c>
      <c r="F1088" t="s">
        <v>18</v>
      </c>
      <c r="G1088" t="s">
        <v>123</v>
      </c>
      <c r="H1088" t="s">
        <v>1228</v>
      </c>
      <c r="I1088" t="s">
        <v>121</v>
      </c>
      <c r="J1088" t="s">
        <v>286</v>
      </c>
      <c r="K1088" s="100">
        <f>IF('Net zero activities &amp; levers'!$C$14="Off",('Activity data'!AD12*EF!$H25)*kgtoGg,IF('Net zero activities &amp; levers'!$C$14="On",('Net zero Activity data'!AD12*EF!$H25)*kgtoGg,"ERROR"))</f>
        <v>4.1170209951421942E-3</v>
      </c>
      <c r="L1088" s="100">
        <f>IF('Net zero activities &amp; levers'!$C$14="Off",('Activity data'!AE12*EF!$H25)*kgtoGg,IF('Net zero activities &amp; levers'!$C$14="On",('Net zero Activity data'!AE12*EF!$H25)*kgtoGg,"ERROR"))</f>
        <v>4.1192428728898823E-3</v>
      </c>
      <c r="M1088" s="100">
        <f>IF('Net zero activities &amp; levers'!$C$14="Off",('Activity data'!AF12*EF!$H25)*kgtoGg,IF('Net zero activities &amp; levers'!$C$14="On",('Net zero Activity data'!AF12*EF!$H25)*kgtoGg,"ERROR"))</f>
        <v>4.12435078039485E-3</v>
      </c>
      <c r="N1088" s="100">
        <f>IF('Net zero activities &amp; levers'!$C$14="Off",('Activity data'!AG12*EF!$H25)*kgtoGg,IF('Net zero activities &amp; levers'!$C$14="On",('Net zero Activity data'!AG12*EF!$H25)*kgtoGg,"ERROR"))</f>
        <v>4.1319339449597016E-3</v>
      </c>
      <c r="O1088" s="100">
        <f>IF('Net zero activities &amp; levers'!$C$14="Off",('Activity data'!AH12*EF!$H25)*kgtoGg,IF('Net zero activities &amp; levers'!$C$14="On",('Net zero Activity data'!AH12*EF!$H25)*kgtoGg,"ERROR"))</f>
        <v>4.1421691504697385E-3</v>
      </c>
      <c r="P1088" s="100">
        <f>IF('Net zero activities &amp; levers'!$C$14="Off",('Activity data'!AI12*EF!$H25)*kgtoGg,IF('Net zero activities &amp; levers'!$C$14="On",('Net zero Activity data'!AI12*EF!$H25)*kgtoGg,"ERROR"))</f>
        <v>4.1552620965289999E-3</v>
      </c>
      <c r="Q1088" s="100">
        <f>IF('Net zero activities &amp; levers'!$C$14="Off",('Activity data'!AJ12*EF!$H25)*kgtoGg,IF('Net zero activities &amp; levers'!$C$14="On",('Net zero Activity data'!AJ12*EF!$H25)*kgtoGg,"ERROR"))</f>
        <v>4.1696891610325101E-3</v>
      </c>
      <c r="R1088" s="100">
        <f>IF('Net zero activities &amp; levers'!$C$14="Off",('Activity data'!AK12*EF!$H25)*kgtoGg,IF('Net zero activities &amp; levers'!$C$14="On",('Net zero Activity data'!AK12*EF!$H25)*kgtoGg,"ERROR"))</f>
        <v>4.1852262689396433E-3</v>
      </c>
      <c r="S1088" s="100">
        <f>IF('Net zero activities &amp; levers'!$C$14="Off",('Activity data'!AL12*EF!$H25)*kgtoGg,IF('Net zero activities &amp; levers'!$C$14="On",('Net zero Activity data'!AL12*EF!$H25)*kgtoGg,"ERROR"))</f>
        <v>4.2006195221765729E-3</v>
      </c>
      <c r="T1088" s="100">
        <f>IF('Net zero activities &amp; levers'!$C$14="Off",('Activity data'!AM12*EF!$H25)*kgtoGg,IF('Net zero activities &amp; levers'!$C$14="On",('Net zero Activity data'!AM12*EF!$H25)*kgtoGg,"ERROR"))</f>
        <v>4.2060777443434401E-3</v>
      </c>
      <c r="U1088" s="100">
        <f>IF('Net zero activities &amp; levers'!$C$14="Off",('Activity data'!AN12*EF!$H25)*kgtoGg,IF('Net zero activities &amp; levers'!$C$14="On",('Net zero Activity data'!AN12*EF!$H25)*kgtoGg,"ERROR"))</f>
        <v>4.2123868973507738E-3</v>
      </c>
      <c r="V1088" s="100">
        <f>IF('Net zero activities &amp; levers'!$C$14="Off",('Activity data'!AO12*EF!$H25)*kgtoGg,IF('Net zero activities &amp; levers'!$C$14="On",('Net zero Activity data'!AO12*EF!$H25)*kgtoGg,"ERROR"))</f>
        <v>4.2196292160381482E-3</v>
      </c>
      <c r="W1088" s="100">
        <f>IF('Net zero activities &amp; levers'!$C$14="Off",('Activity data'!AP12*EF!$H25)*kgtoGg,IF('Net zero activities &amp; levers'!$C$14="On",('Net zero Activity data'!AP12*EF!$H25)*kgtoGg,"ERROR"))</f>
        <v>4.2278627753544202E-3</v>
      </c>
      <c r="X1088" s="100">
        <f>IF('Net zero activities &amp; levers'!$C$14="Off",('Activity data'!AQ12*EF!$H25)*kgtoGg,IF('Net zero activities &amp; levers'!$C$14="On",('Net zero Activity data'!AQ12*EF!$H25)*kgtoGg,"ERROR"))</f>
        <v>4.2372152944935189E-3</v>
      </c>
      <c r="Y1088" s="100">
        <f>IF('Net zero activities &amp; levers'!$C$14="Off",('Activity data'!AR12*EF!$H25)*kgtoGg,IF('Net zero activities &amp; levers'!$C$14="On",('Net zero Activity data'!AR12*EF!$H25)*kgtoGg,"ERROR"))</f>
        <v>4.2427782608592118E-3</v>
      </c>
      <c r="Z1088" s="100">
        <f>IF('Net zero activities &amp; levers'!$C$14="Off",('Activity data'!AS12*EF!$H25)*kgtoGg,IF('Net zero activities &amp; levers'!$C$14="On",('Net zero Activity data'!AS12*EF!$H25)*kgtoGg,"ERROR"))</f>
        <v>4.2491466426772609E-3</v>
      </c>
      <c r="AA1088" s="100">
        <f>IF('Net zero activities &amp; levers'!$C$14="Off",('Activity data'!AT12*EF!$H25)*kgtoGg,IF('Net zero activities &amp; levers'!$C$14="On",('Net zero Activity data'!AT12*EF!$H25)*kgtoGg,"ERROR"))</f>
        <v>4.2561191090437827E-3</v>
      </c>
      <c r="AB1088" s="100">
        <f>IF('Net zero activities &amp; levers'!$C$14="Off",('Activity data'!AU12*EF!$H25)*kgtoGg,IF('Net zero activities &amp; levers'!$C$14="On",('Net zero Activity data'!AU12*EF!$H25)*kgtoGg,"ERROR"))</f>
        <v>4.2638786791435431E-3</v>
      </c>
      <c r="AC1088" s="100">
        <f>IF('Net zero activities &amp; levers'!$C$14="Off",('Activity data'!AV12*EF!$H25)*kgtoGg,IF('Net zero activities &amp; levers'!$C$14="On",('Net zero Activity data'!AV12*EF!$H25)*kgtoGg,"ERROR"))</f>
        <v>4.27242389203966E-3</v>
      </c>
      <c r="AD1088" s="100">
        <f>IF('Net zero activities &amp; levers'!$C$14="Off",('Activity data'!AW12*EF!$H25)*kgtoGg,IF('Net zero activities &amp; levers'!$C$14="On",('Net zero Activity data'!AW12*EF!$H25)*kgtoGg,"ERROR"))</f>
        <v>4.2782165327999166E-3</v>
      </c>
      <c r="AE1088" s="100">
        <f>IF('Net zero activities &amp; levers'!$C$14="Off",('Activity data'!AX12*EF!$H25)*kgtoGg,IF('Net zero activities &amp; levers'!$C$14="On",('Net zero Activity data'!AX12*EF!$H25)*kgtoGg,"ERROR"))</f>
        <v>4.2846131083139703E-3</v>
      </c>
      <c r="AF1088" s="100">
        <f>IF('Net zero activities &amp; levers'!$C$14="Off",('Activity data'!AY12*EF!$H25)*kgtoGg,IF('Net zero activities &amp; levers'!$C$14="On",('Net zero Activity data'!AY12*EF!$H25)*kgtoGg,"ERROR"))</f>
        <v>4.2915675909314648E-3</v>
      </c>
      <c r="AG1088" s="100">
        <f>IF('Net zero activities &amp; levers'!$C$14="Off",('Activity data'!AZ12*EF!$H25)*kgtoGg,IF('Net zero activities &amp; levers'!$C$14="On",('Net zero Activity data'!AZ12*EF!$H25)*kgtoGg,"ERROR"))</f>
        <v>4.299159735601246E-3</v>
      </c>
      <c r="AH1088" s="100">
        <f>IF('Net zero activities &amp; levers'!$C$14="Off",('Activity data'!BA12*EF!$H25)*kgtoGg,IF('Net zero activities &amp; levers'!$C$14="On",('Net zero Activity data'!BA12*EF!$H25)*kgtoGg,"ERROR"))</f>
        <v>4.3071054905541827E-3</v>
      </c>
      <c r="AI1088" s="100">
        <f>IF('Net zero activities &amp; levers'!$C$14="Off",('Activity data'!BB12*EF!$H25)*kgtoGg,IF('Net zero activities &amp; levers'!$C$14="On",('Net zero Activity data'!BB12*EF!$H25)*kgtoGg,"ERROR"))</f>
        <v>4.3120323527279522E-3</v>
      </c>
      <c r="AJ1088" s="100">
        <f>IF('Net zero activities &amp; levers'!$C$14="Off",('Activity data'!BC12*EF!$H25)*kgtoGg,IF('Net zero activities &amp; levers'!$C$14="On",('Net zero Activity data'!BC12*EF!$H25)*kgtoGg,"ERROR"))</f>
        <v>4.3174126668334345E-3</v>
      </c>
      <c r="AK1088" s="100">
        <f>IF('Net zero activities &amp; levers'!$C$14="Off",('Activity data'!BD12*EF!$H25)*kgtoGg,IF('Net zero activities &amp; levers'!$C$14="On",('Net zero Activity data'!BD12*EF!$H25)*kgtoGg,"ERROR"))</f>
        <v>4.3231582727600165E-3</v>
      </c>
      <c r="AL1088" s="100">
        <f>IF('Net zero activities &amp; levers'!$C$14="Off",('Activity data'!BE12*EF!$H25)*kgtoGg,IF('Net zero activities &amp; levers'!$C$14="On",('Net zero Activity data'!BE12*EF!$H25)*kgtoGg,"ERROR"))</f>
        <v>4.3293028783243318E-3</v>
      </c>
      <c r="AM1088" s="100">
        <f>IF('Net zero activities &amp; levers'!$C$14="Off",('Activity data'!BF12*EF!$H25)*kgtoGg,IF('Net zero activities &amp; levers'!$C$14="On",('Net zero Activity data'!BF12*EF!$H25)*kgtoGg,"ERROR"))</f>
        <v>4.3358771769081714E-3</v>
      </c>
      <c r="AN1088" s="100">
        <f>IF('Net zero activities &amp; levers'!$C$14="Off",('Activity data'!BG12*EF!$H25)*kgtoGg,IF('Net zero activities &amp; levers'!$C$14="On",('Net zero Activity data'!BG12*EF!$H25)*kgtoGg,"ERROR"))</f>
        <v>4.3395725750300712E-3</v>
      </c>
      <c r="AO1088" s="100">
        <f>IF('Net zero activities &amp; levers'!$C$14="Off",('Activity data'!BH12*EF!$H25)*kgtoGg,IF('Net zero activities &amp; levers'!$C$14="On",('Net zero Activity data'!BH12*EF!$H25)*kgtoGg,"ERROR"))</f>
        <v>4.3435377457493509E-3</v>
      </c>
      <c r="AP1088" s="100">
        <f>IF('Net zero activities &amp; levers'!$C$14="Off",('Activity data'!BI12*EF!$H25)*kgtoGg,IF('Net zero activities &amp; levers'!$C$14="On",('Net zero Activity data'!BI12*EF!$H25)*kgtoGg,"ERROR"))</f>
        <v>4.3478501471282283E-3</v>
      </c>
      <c r="AQ1088" s="100">
        <f>IF('Net zero activities &amp; levers'!$C$14="Off",('Activity data'!BJ12*EF!$H25)*kgtoGg,IF('Net zero activities &amp; levers'!$C$14="On",('Net zero Activity data'!BJ12*EF!$H25)*kgtoGg,"ERROR"))</f>
        <v>4.3525012991580993E-3</v>
      </c>
      <c r="AR1088" s="100">
        <f>IF('Net zero activities &amp; levers'!$C$14="Off",('Activity data'!BK12*EF!$H25)*kgtoGg,IF('Net zero activities &amp; levers'!$C$14="On",('Net zero Activity data'!BK12*EF!$H25)*kgtoGg,"ERROR"))</f>
        <v>4.3575457144684601E-3</v>
      </c>
      <c r="AS1088" s="100">
        <f>IF('Net zero activities &amp; levers'!$C$14="Off",('Activity data'!BL12*EF!$H25)*kgtoGg,IF('Net zero activities &amp; levers'!$C$14="On",('Net zero Activity data'!BL12*EF!$H25)*kgtoGg,"ERROR"))</f>
        <v>4.3595785325271173E-3</v>
      </c>
      <c r="AT1088" s="100">
        <f>IF('Net zero activities &amp; levers'!$C$14="Off",('Activity data'!BM12*EF!$H25)*kgtoGg,IF('Net zero activities &amp; levers'!$C$14="On",('Net zero Activity data'!BM12*EF!$H25)*kgtoGg,"ERROR"))</f>
        <v>4.3612848027210207E-3</v>
      </c>
      <c r="AU1088" s="100">
        <f>IF('Net zero activities &amp; levers'!$C$14="Off",('Activity data'!BN12*EF!$H25)*kgtoGg,IF('Net zero activities &amp; levers'!$C$14="On",('Net zero Activity data'!BN12*EF!$H25)*kgtoGg,"ERROR"))</f>
        <v>4.3632135096999744E-3</v>
      </c>
      <c r="AV1088" s="100">
        <f>IF('Net zero activities &amp; levers'!$C$14="Off",('Activity data'!BO12*EF!$H25)*kgtoGg,IF('Net zero activities &amp; levers'!$C$14="On",('Net zero Activity data'!BO12*EF!$H25)*kgtoGg,"ERROR"))</f>
        <v>4.3654807531029903E-3</v>
      </c>
      <c r="AW1088" s="100">
        <f>IF('Net zero activities &amp; levers'!$C$14="Off",('Activity data'!BP12*EF!$H25)*kgtoGg,IF('Net zero activities &amp; levers'!$C$14="On",('Net zero Activity data'!BP12*EF!$H25)*kgtoGg,"ERROR"))</f>
        <v>4.367961458653969E-3</v>
      </c>
      <c r="AY1088" s="85"/>
    </row>
    <row r="1089" spans="1:51" x14ac:dyDescent="0.25">
      <c r="A1089" s="102" t="str">
        <f t="shared" si="373"/>
        <v>CM Goats MMCH4</v>
      </c>
      <c r="B1089" s="102" t="s">
        <v>1323</v>
      </c>
      <c r="C1089" s="102" t="s">
        <v>1326</v>
      </c>
      <c r="D1089" t="s">
        <v>15</v>
      </c>
      <c r="E1089" t="s">
        <v>22</v>
      </c>
      <c r="F1089" t="s">
        <v>19</v>
      </c>
      <c r="G1089" t="s">
        <v>122</v>
      </c>
      <c r="H1089" t="s">
        <v>1228</v>
      </c>
      <c r="I1089" t="s">
        <v>121</v>
      </c>
      <c r="J1089" t="s">
        <v>286</v>
      </c>
      <c r="K1089" s="100">
        <f>IF('Net zero activities &amp; levers'!$C$14="Off",('Activity data'!AD13*EF!$H26)*kgtoGg,IF('Net zero activities &amp; levers'!$C$14="On",('Net zero Activity data'!AD13*EF!$H26)*kgtoGg,"ERROR"))</f>
        <v>1.5786050776084536E-2</v>
      </c>
      <c r="L1089" s="100">
        <f>IF('Net zero activities &amp; levers'!$C$14="Off",('Activity data'!AE13*EF!$H26)*kgtoGg,IF('Net zero activities &amp; levers'!$C$14="On",('Net zero Activity data'!AE13*EF!$H26)*kgtoGg,"ERROR"))</f>
        <v>1.5827081346829606E-2</v>
      </c>
      <c r="M1089" s="100">
        <f>IF('Net zero activities &amp; levers'!$C$14="Off",('Activity data'!AF13*EF!$H26)*kgtoGg,IF('Net zero activities &amp; levers'!$C$14="On",('Net zero Activity data'!AF13*EF!$H26)*kgtoGg,"ERROR"))</f>
        <v>1.5882411871580165E-2</v>
      </c>
      <c r="N1089" s="100">
        <f>IF('Net zero activities &amp; levers'!$C$14="Off",('Activity data'!AG13*EF!$H26)*kgtoGg,IF('Net zero activities &amp; levers'!$C$14="On",('Net zero Activity data'!AG13*EF!$H26)*kgtoGg,"ERROR"))</f>
        <v>1.5949803045989901E-2</v>
      </c>
      <c r="O1089" s="100">
        <f>IF('Net zero activities &amp; levers'!$C$14="Off",('Activity data'!AH13*EF!$H26)*kgtoGg,IF('Net zero activities &amp; levers'!$C$14="On",('Net zero Activity data'!AH13*EF!$H26)*kgtoGg,"ERROR"))</f>
        <v>1.6030521416305728E-2</v>
      </c>
      <c r="P1089" s="100">
        <f>IF('Net zero activities &amp; levers'!$C$14="Off",('Activity data'!AI13*EF!$H26)*kgtoGg,IF('Net zero activities &amp; levers'!$C$14="On",('Net zero Activity data'!AI13*EF!$H26)*kgtoGg,"ERROR"))</f>
        <v>1.6125949164627635E-2</v>
      </c>
      <c r="Q1089" s="100">
        <f>IF('Net zero activities &amp; levers'!$C$14="Off",('Activity data'!AJ13*EF!$H26)*kgtoGg,IF('Net zero activities &amp; levers'!$C$14="On",('Net zero Activity data'!AJ13*EF!$H26)*kgtoGg,"ERROR"))</f>
        <v>1.6227083744595871E-2</v>
      </c>
      <c r="R1089" s="100">
        <f>IF('Net zero activities &amp; levers'!$C$14="Off",('Activity data'!AK13*EF!$H26)*kgtoGg,IF('Net zero activities &amp; levers'!$C$14="On",('Net zero Activity data'!AK13*EF!$H26)*kgtoGg,"ERROR"))</f>
        <v>1.6332741800602117E-2</v>
      </c>
      <c r="S1089" s="100">
        <f>IF('Net zero activities &amp; levers'!$C$14="Off",('Activity data'!AL13*EF!$H26)*kgtoGg,IF('Net zero activities &amp; levers'!$C$14="On",('Net zero Activity data'!AL13*EF!$H26)*kgtoGg,"ERROR"))</f>
        <v>1.6435606263672888E-2</v>
      </c>
      <c r="T1089" s="100">
        <f>IF('Net zero activities &amp; levers'!$C$14="Off",('Activity data'!AM13*EF!$H26)*kgtoGg,IF('Net zero activities &amp; levers'!$C$14="On",('Net zero Activity data'!AM13*EF!$H26)*kgtoGg,"ERROR"))</f>
        <v>1.6482785969504622E-2</v>
      </c>
      <c r="U1089" s="100">
        <f>IF('Net zero activities &amp; levers'!$C$14="Off",('Activity data'!AN13*EF!$H26)*kgtoGg,IF('Net zero activities &amp; levers'!$C$14="On",('Net zero Activity data'!AN13*EF!$H26)*kgtoGg,"ERROR"))</f>
        <v>1.6533664426214255E-2</v>
      </c>
      <c r="V1089" s="100">
        <f>IF('Net zero activities &amp; levers'!$C$14="Off",('Activity data'!AO13*EF!$H26)*kgtoGg,IF('Net zero activities &amp; levers'!$C$14="On",('Net zero Activity data'!AO13*EF!$H26)*kgtoGg,"ERROR"))</f>
        <v>1.6588808405428729E-2</v>
      </c>
      <c r="W1089" s="100">
        <f>IF('Net zero activities &amp; levers'!$C$14="Off",('Activity data'!AP13*EF!$H26)*kgtoGg,IF('Net zero activities &amp; levers'!$C$14="On",('Net zero Activity data'!AP13*EF!$H26)*kgtoGg,"ERROR"))</f>
        <v>1.6648626125843623E-2</v>
      </c>
      <c r="X1089" s="100">
        <f>IF('Net zero activities &amp; levers'!$C$14="Off",('Activity data'!AQ13*EF!$H26)*kgtoGg,IF('Net zero activities &amp; levers'!$C$14="On",('Net zero Activity data'!AQ13*EF!$H26)*kgtoGg,"ERROR"))</f>
        <v>1.671392230440329E-2</v>
      </c>
      <c r="Y1089" s="100">
        <f>IF('Net zero activities &amp; levers'!$C$14="Off",('Activity data'!AR13*EF!$H26)*kgtoGg,IF('Net zero activities &amp; levers'!$C$14="On",('Net zero Activity data'!AR13*EF!$H26)*kgtoGg,"ERROR"))</f>
        <v>1.6755949162850392E-2</v>
      </c>
      <c r="Z1089" s="100">
        <f>IF('Net zero activities &amp; levers'!$C$14="Off",('Activity data'!AS13*EF!$H26)*kgtoGg,IF('Net zero activities &amp; levers'!$C$14="On",('Net zero Activity data'!AS13*EF!$H26)*kgtoGg,"ERROR"))</f>
        <v>1.6801812461822448E-2</v>
      </c>
      <c r="AA1089" s="100">
        <f>IF('Net zero activities &amp; levers'!$C$14="Off",('Activity data'!AT13*EF!$H26)*kgtoGg,IF('Net zero activities &amp; levers'!$C$14="On",('Net zero Activity data'!AT13*EF!$H26)*kgtoGg,"ERROR"))</f>
        <v>1.6850371356583897E-2</v>
      </c>
      <c r="AB1089" s="100">
        <f>IF('Net zero activities &amp; levers'!$C$14="Off",('Activity data'!AU13*EF!$H26)*kgtoGg,IF('Net zero activities &amp; levers'!$C$14="On",('Net zero Activity data'!AU13*EF!$H26)*kgtoGg,"ERROR"))</f>
        <v>1.6902729841508243E-2</v>
      </c>
      <c r="AC1089" s="100">
        <f>IF('Net zero activities &amp; levers'!$C$14="Off",('Activity data'!AV13*EF!$H26)*kgtoGg,IF('Net zero activities &amp; levers'!$C$14="On",('Net zero Activity data'!AV13*EF!$H26)*kgtoGg,"ERROR"))</f>
        <v>1.6958905567505546E-2</v>
      </c>
      <c r="AD1089" s="100">
        <f>IF('Net zero activities &amp; levers'!$C$14="Off",('Activity data'!AW13*EF!$H26)*kgtoGg,IF('Net zero activities &amp; levers'!$C$14="On",('Net zero Activity data'!AW13*EF!$H26)*kgtoGg,"ERROR"))</f>
        <v>1.6995881142245144E-2</v>
      </c>
      <c r="AE1089" s="100">
        <f>IF('Net zero activities &amp; levers'!$C$14="Off",('Activity data'!AX13*EF!$H26)*kgtoGg,IF('Net zero activities &amp; levers'!$C$14="On",('Net zero Activity data'!AX13*EF!$H26)*kgtoGg,"ERROR"))</f>
        <v>1.7035738596248386E-2</v>
      </c>
      <c r="AF1089" s="100">
        <f>IF('Net zero activities &amp; levers'!$C$14="Off",('Activity data'!AY13*EF!$H26)*kgtoGg,IF('Net zero activities &amp; levers'!$C$14="On",('Net zero Activity data'!AY13*EF!$H26)*kgtoGg,"ERROR"))</f>
        <v>1.7078229800458981E-2</v>
      </c>
      <c r="AG1089" s="100">
        <f>IF('Net zero activities &amp; levers'!$C$14="Off",('Activity data'!AZ13*EF!$H26)*kgtoGg,IF('Net zero activities &amp; levers'!$C$14="On",('Net zero Activity data'!AZ13*EF!$H26)*kgtoGg,"ERROR"))</f>
        <v>1.7123832345859253E-2</v>
      </c>
      <c r="AH1089" s="100">
        <f>IF('Net zero activities &amp; levers'!$C$14="Off",('Activity data'!BA13*EF!$H26)*kgtoGg,IF('Net zero activities &amp; levers'!$C$14="On",('Net zero Activity data'!BA13*EF!$H26)*kgtoGg,"ERROR"))</f>
        <v>1.7170921235490962E-2</v>
      </c>
      <c r="AI1089" s="100">
        <f>IF('Net zero activities &amp; levers'!$C$14="Off",('Activity data'!BB13*EF!$H26)*kgtoGg,IF('Net zero activities &amp; levers'!$C$14="On",('Net zero Activity data'!BB13*EF!$H26)*kgtoGg,"ERROR"))</f>
        <v>1.720011231394674E-2</v>
      </c>
      <c r="AJ1089" s="100">
        <f>IF('Net zero activities &amp; levers'!$C$14="Off",('Activity data'!BC13*EF!$H26)*kgtoGg,IF('Net zero activities &amp; levers'!$C$14="On",('Net zero Activity data'!BC13*EF!$H26)*kgtoGg,"ERROR"))</f>
        <v>1.7231468078725984E-2</v>
      </c>
      <c r="AK1089" s="100">
        <f>IF('Net zero activities &amp; levers'!$C$14="Off",('Activity data'!BD13*EF!$H26)*kgtoGg,IF('Net zero activities &amp; levers'!$C$14="On",('Net zero Activity data'!BD13*EF!$H26)*kgtoGg,"ERROR"))</f>
        <v>1.7264493513114532E-2</v>
      </c>
      <c r="AL1089" s="100">
        <f>IF('Net zero activities &amp; levers'!$C$14="Off",('Activity data'!BE13*EF!$H26)*kgtoGg,IF('Net zero activities &amp; levers'!$C$14="On",('Net zero Activity data'!BE13*EF!$H26)*kgtoGg,"ERROR"))</f>
        <v>1.7299393145414187E-2</v>
      </c>
      <c r="AM1089" s="100">
        <f>IF('Net zero activities &amp; levers'!$C$14="Off",('Activity data'!BF13*EF!$H26)*kgtoGg,IF('Net zero activities &amp; levers'!$C$14="On",('Net zero Activity data'!BF13*EF!$H26)*kgtoGg,"ERROR"))</f>
        <v>1.7336351628498631E-2</v>
      </c>
      <c r="AN1089" s="100">
        <f>IF('Net zero activities &amp; levers'!$C$14="Off",('Activity data'!BG13*EF!$H26)*kgtoGg,IF('Net zero activities &amp; levers'!$C$14="On",('Net zero Activity data'!BG13*EF!$H26)*kgtoGg,"ERROR"))</f>
        <v>1.7356503534937538E-2</v>
      </c>
      <c r="AO1089" s="100">
        <f>IF('Net zero activities &amp; levers'!$C$14="Off",('Activity data'!BH13*EF!$H26)*kgtoGg,IF('Net zero activities &amp; levers'!$C$14="On",('Net zero Activity data'!BH13*EF!$H26)*kgtoGg,"ERROR"))</f>
        <v>1.7377878973805026E-2</v>
      </c>
      <c r="AP1089" s="100">
        <f>IF('Net zero activities &amp; levers'!$C$14="Off",('Activity data'!BI13*EF!$H26)*kgtoGg,IF('Net zero activities &amp; levers'!$C$14="On",('Net zero Activity data'!BI13*EF!$H26)*kgtoGg,"ERROR"))</f>
        <v>1.7400926590350561E-2</v>
      </c>
      <c r="AQ1089" s="100">
        <f>IF('Net zero activities &amp; levers'!$C$14="Off",('Activity data'!BJ13*EF!$H26)*kgtoGg,IF('Net zero activities &amp; levers'!$C$14="On",('Net zero Activity data'!BJ13*EF!$H26)*kgtoGg,"ERROR"))</f>
        <v>1.7425603506526253E-2</v>
      </c>
      <c r="AR1089" s="100">
        <f>IF('Net zero activities &amp; levers'!$C$14="Off",('Activity data'!BK13*EF!$H26)*kgtoGg,IF('Net zero activities &amp; levers'!$C$14="On",('Net zero Activity data'!BK13*EF!$H26)*kgtoGg,"ERROR"))</f>
        <v>1.7452223423977883E-2</v>
      </c>
      <c r="AS1089" s="100">
        <f>IF('Net zero activities &amp; levers'!$C$14="Off",('Activity data'!BL13*EF!$H26)*kgtoGg,IF('Net zero activities &amp; levers'!$C$14="On",('Net zero Activity data'!BL13*EF!$H26)*kgtoGg,"ERROR"))</f>
        <v>1.7461521770457056E-2</v>
      </c>
      <c r="AT1089" s="100">
        <f>IF('Net zero activities &amp; levers'!$C$14="Off",('Activity data'!BM13*EF!$H26)*kgtoGg,IF('Net zero activities &amp; levers'!$C$14="On",('Net zero Activity data'!BM13*EF!$H26)*kgtoGg,"ERROR"))</f>
        <v>1.7468759965525583E-2</v>
      </c>
      <c r="AU1089" s="100">
        <f>IF('Net zero activities &amp; levers'!$C$14="Off",('Activity data'!BN13*EF!$H26)*kgtoGg,IF('Net zero activities &amp; levers'!$C$14="On",('Net zero Activity data'!BN13*EF!$H26)*kgtoGg,"ERROR"))</f>
        <v>1.7477053902041951E-2</v>
      </c>
      <c r="AV1089" s="100">
        <f>IF('Net zero activities &amp; levers'!$C$14="Off",('Activity data'!BO13*EF!$H26)*kgtoGg,IF('Net zero activities &amp; levers'!$C$14="On",('Net zero Activity data'!BO13*EF!$H26)*kgtoGg,"ERROR"))</f>
        <v>1.7487061559141349E-2</v>
      </c>
      <c r="AW1089" s="100">
        <f>IF('Net zero activities &amp; levers'!$C$14="Off",('Activity data'!BP13*EF!$H26)*kgtoGg,IF('Net zero activities &amp; levers'!$C$14="On",('Net zero Activity data'!BP13*EF!$H26)*kgtoGg,"ERROR"))</f>
        <v>1.7498080042052506E-2</v>
      </c>
      <c r="AY1089" s="85"/>
    </row>
    <row r="1090" spans="1:51" x14ac:dyDescent="0.25">
      <c r="A1090" s="102" t="str">
        <f t="shared" ref="A1090:A1167" si="374">B1090&amp;" "&amp;C1090</f>
        <v>CM Goats MMCH4</v>
      </c>
      <c r="B1090" s="102" t="s">
        <v>1323</v>
      </c>
      <c r="C1090" s="102" t="s">
        <v>1326</v>
      </c>
      <c r="D1090" t="s">
        <v>15</v>
      </c>
      <c r="E1090" t="s">
        <v>22</v>
      </c>
      <c r="F1090" t="s">
        <v>19</v>
      </c>
      <c r="G1090" t="s">
        <v>123</v>
      </c>
      <c r="H1090" t="s">
        <v>1228</v>
      </c>
      <c r="I1090" t="s">
        <v>121</v>
      </c>
      <c r="J1090" t="s">
        <v>286</v>
      </c>
      <c r="K1090" s="100">
        <f>IF('Net zero activities &amp; levers'!$C$14="Off",('Activity data'!AD14*EF!$H27)*kgtoGg,IF('Net zero activities &amp; levers'!$C$14="On",('Net zero Activity data'!AD14*EF!$H27)*kgtoGg,"ERROR"))</f>
        <v>2.6586118821625565E-2</v>
      </c>
      <c r="L1090" s="100">
        <f>IF('Net zero activities &amp; levers'!$C$14="Off",('Activity data'!AE14*EF!$H27)*kgtoGg,IF('Net zero activities &amp; levers'!$C$14="On",('Net zero Activity data'!AE14*EF!$H27)*kgtoGg,"ERROR"))</f>
        <v>2.6655220564969766E-2</v>
      </c>
      <c r="M1090" s="100">
        <f>IF('Net zero activities &amp; levers'!$C$14="Off",('Activity data'!AF14*EF!$H27)*kgtoGg,IF('Net zero activities &amp; levers'!$C$14="On",('Net zero Activity data'!AF14*EF!$H27)*kgtoGg,"ERROR"))</f>
        <v>2.674840561336134E-2</v>
      </c>
      <c r="N1090" s="100">
        <f>IF('Net zero activities &amp; levers'!$C$14="Off",('Activity data'!AG14*EF!$H27)*kgtoGg,IF('Net zero activities &amp; levers'!$C$14="On",('Net zero Activity data'!AG14*EF!$H27)*kgtoGg,"ERROR"))</f>
        <v>2.6861902636511708E-2</v>
      </c>
      <c r="O1090" s="100">
        <f>IF('Net zero activities &amp; levers'!$C$14="Off",('Activity data'!AH14*EF!$H27)*kgtoGg,IF('Net zero activities &amp; levers'!$C$14="On",('Net zero Activity data'!AH14*EF!$H27)*kgtoGg,"ERROR"))</f>
        <v>2.6997844691604787E-2</v>
      </c>
      <c r="P1090" s="100">
        <f>IF('Net zero activities &amp; levers'!$C$14="Off",('Activity data'!AI14*EF!$H27)*kgtoGg,IF('Net zero activities &amp; levers'!$C$14="On",('Net zero Activity data'!AI14*EF!$H27)*kgtoGg,"ERROR"))</f>
        <v>2.7158559584249745E-2</v>
      </c>
      <c r="Q1090" s="100">
        <f>IF('Net zero activities &amp; levers'!$C$14="Off",('Activity data'!AJ14*EF!$H27)*kgtoGg,IF('Net zero activities &amp; levers'!$C$14="On",('Net zero Activity data'!AJ14*EF!$H27)*kgtoGg,"ERROR"))</f>
        <v>2.7328885652380994E-2</v>
      </c>
      <c r="R1090" s="100">
        <f>IF('Net zero activities &amp; levers'!$C$14="Off",('Activity data'!AK14*EF!$H27)*kgtoGg,IF('Net zero activities &amp; levers'!$C$14="On",('Net zero Activity data'!AK14*EF!$H27)*kgtoGg,"ERROR"))</f>
        <v>2.7506829944546809E-2</v>
      </c>
      <c r="S1090" s="100">
        <f>IF('Net zero activities &amp; levers'!$C$14="Off",('Activity data'!AL14*EF!$H27)*kgtoGg,IF('Net zero activities &amp; levers'!$C$14="On",('Net zero Activity data'!AL14*EF!$H27)*kgtoGg,"ERROR"))</f>
        <v>2.7680069399842709E-2</v>
      </c>
      <c r="T1090" s="100">
        <f>IF('Net zero activities &amp; levers'!$C$14="Off",('Activity data'!AM14*EF!$H27)*kgtoGg,IF('Net zero activities &amp; levers'!$C$14="On",('Net zero Activity data'!AM14*EF!$H27)*kgtoGg,"ERROR"))</f>
        <v>2.7759527225172408E-2</v>
      </c>
      <c r="U1090" s="100">
        <f>IF('Net zero activities &amp; levers'!$C$14="Off",('Activity data'!AN14*EF!$H27)*kgtoGg,IF('Net zero activities &amp; levers'!$C$14="On",('Net zero Activity data'!AN14*EF!$H27)*kgtoGg,"ERROR"))</f>
        <v>2.7845214311494997E-2</v>
      </c>
      <c r="V1090" s="100">
        <f>IF('Net zero activities &amp; levers'!$C$14="Off",('Activity data'!AO14*EF!$H27)*kgtoGg,IF('Net zero activities &amp; levers'!$C$14="On",('Net zero Activity data'!AO14*EF!$H27)*kgtoGg,"ERROR"))</f>
        <v>2.7938085188732656E-2</v>
      </c>
      <c r="W1090" s="100">
        <f>IF('Net zero activities &amp; levers'!$C$14="Off",('Activity data'!AP14*EF!$H27)*kgtoGg,IF('Net zero activities &amp; levers'!$C$14="On",('Net zero Activity data'!AP14*EF!$H27)*kgtoGg,"ERROR"))</f>
        <v>2.8038827359472312E-2</v>
      </c>
      <c r="X1090" s="100">
        <f>IF('Net zero activities &amp; levers'!$C$14="Off",('Activity data'!AQ14*EF!$H27)*kgtoGg,IF('Net zero activities &amp; levers'!$C$14="On",('Net zero Activity data'!AQ14*EF!$H27)*kgtoGg,"ERROR"))</f>
        <v>2.814879608986658E-2</v>
      </c>
      <c r="Y1090" s="100">
        <f>IF('Net zero activities &amp; levers'!$C$14="Off",('Activity data'!AR14*EF!$H27)*kgtoGg,IF('Net zero activities &amp; levers'!$C$14="On",('Net zero Activity data'!AR14*EF!$H27)*kgtoGg,"ERROR"))</f>
        <v>2.821957573375743E-2</v>
      </c>
      <c r="Z1090" s="100">
        <f>IF('Net zero activities &amp; levers'!$C$14="Off",('Activity data'!AS14*EF!$H27)*kgtoGg,IF('Net zero activities &amp; levers'!$C$14="On",('Net zero Activity data'!AS14*EF!$H27)*kgtoGg,"ERROR"))</f>
        <v>2.8296816529021451E-2</v>
      </c>
      <c r="AA1090" s="100">
        <f>IF('Net zero activities &amp; levers'!$C$14="Off",('Activity data'!AT14*EF!$H27)*kgtoGg,IF('Net zero activities &amp; levers'!$C$14="On",('Net zero Activity data'!AT14*EF!$H27)*kgtoGg,"ERROR"))</f>
        <v>2.8378597119004759E-2</v>
      </c>
      <c r="AB1090" s="100">
        <f>IF('Net zero activities &amp; levers'!$C$14="Off",('Activity data'!AU14*EF!$H27)*kgtoGg,IF('Net zero activities &amp; levers'!$C$14="On",('Net zero Activity data'!AU14*EF!$H27)*kgtoGg,"ERROR"))</f>
        <v>2.8466776798727306E-2</v>
      </c>
      <c r="AC1090" s="100">
        <f>IF('Net zero activities &amp; levers'!$C$14="Off",('Activity data'!AV14*EF!$H27)*kgtoGg,IF('Net zero activities &amp; levers'!$C$14="On",('Net zero Activity data'!AV14*EF!$H27)*kgtoGg,"ERROR"))</f>
        <v>2.8561385295015548E-2</v>
      </c>
      <c r="AD1090" s="100">
        <f>IF('Net zero activities &amp; levers'!$C$14="Off",('Activity data'!AW14*EF!$H27)*kgtoGg,IF('Net zero activities &amp; levers'!$C$14="On",('Net zero Activity data'!AW14*EF!$H27)*kgtoGg,"ERROR"))</f>
        <v>2.8623657806200815E-2</v>
      </c>
      <c r="AE1090" s="100">
        <f>IF('Net zero activities &amp; levers'!$C$14="Off",('Activity data'!AX14*EF!$H27)*kgtoGg,IF('Net zero activities &amp; levers'!$C$14="On",('Net zero Activity data'!AX14*EF!$H27)*kgtoGg,"ERROR"))</f>
        <v>2.8690783841907163E-2</v>
      </c>
      <c r="AF1090" s="100">
        <f>IF('Net zero activities &amp; levers'!$C$14="Off",('Activity data'!AY14*EF!$H27)*kgtoGg,IF('Net zero activities &amp; levers'!$C$14="On",('Net zero Activity data'!AY14*EF!$H27)*kgtoGg,"ERROR"))</f>
        <v>2.876234551493359E-2</v>
      </c>
      <c r="AG1090" s="100">
        <f>IF('Net zero activities &amp; levers'!$C$14="Off",('Activity data'!AZ14*EF!$H27)*kgtoGg,IF('Net zero activities &amp; levers'!$C$14="On",('Net zero Activity data'!AZ14*EF!$H27)*kgtoGg,"ERROR"))</f>
        <v>2.8839147161385727E-2</v>
      </c>
      <c r="AH1090" s="100">
        <f>IF('Net zero activities &amp; levers'!$C$14="Off",('Activity data'!BA14*EF!$H27)*kgtoGg,IF('Net zero activities &amp; levers'!$C$14="On",('Net zero Activity data'!BA14*EF!$H27)*kgtoGg,"ERROR"))</f>
        <v>2.891845203837394E-2</v>
      </c>
      <c r="AI1090" s="100">
        <f>IF('Net zero activities &amp; levers'!$C$14="Off",('Activity data'!BB14*EF!$H27)*kgtoGg,IF('Net zero activities &amp; levers'!$C$14="On",('Net zero Activity data'!BB14*EF!$H27)*kgtoGg,"ERROR"))</f>
        <v>2.8967614269723933E-2</v>
      </c>
      <c r="AJ1090" s="100">
        <f>IF('Net zero activities &amp; levers'!$C$14="Off",('Activity data'!BC14*EF!$H27)*kgtoGg,IF('Net zero activities &amp; levers'!$C$14="On",('Net zero Activity data'!BC14*EF!$H27)*kgtoGg,"ERROR"))</f>
        <v>2.9020422163223609E-2</v>
      </c>
      <c r="AK1090" s="100">
        <f>IF('Net zero activities &amp; levers'!$C$14="Off",('Activity data'!BD14*EF!$H27)*kgtoGg,IF('Net zero activities &amp; levers'!$C$14="On",('Net zero Activity data'!BD14*EF!$H27)*kgtoGg,"ERROR"))</f>
        <v>2.9076042035175369E-2</v>
      </c>
      <c r="AL1090" s="100">
        <f>IF('Net zero activities &amp; levers'!$C$14="Off",('Activity data'!BE14*EF!$H27)*kgtoGg,IF('Net zero activities &amp; levers'!$C$14="On",('Net zero Activity data'!BE14*EF!$H27)*kgtoGg,"ERROR"))</f>
        <v>2.9134818342455165E-2</v>
      </c>
      <c r="AM1090" s="100">
        <f>IF('Net zero activities &amp; levers'!$C$14="Off",('Activity data'!BF14*EF!$H27)*kgtoGg,IF('Net zero activities &amp; levers'!$C$14="On",('Net zero Activity data'!BF14*EF!$H27)*kgtoGg,"ERROR"))</f>
        <v>2.9197062068684575E-2</v>
      </c>
      <c r="AN1090" s="100">
        <f>IF('Net zero activities &amp; levers'!$C$14="Off",('Activity data'!BG14*EF!$H27)*kgtoGg,IF('Net zero activities &amp; levers'!$C$14="On",('Net zero Activity data'!BG14*EF!$H27)*kgtoGg,"ERROR"))</f>
        <v>2.9231000954772463E-2</v>
      </c>
      <c r="AO1090" s="100">
        <f>IF('Net zero activities &amp; levers'!$C$14="Off",('Activity data'!BH14*EF!$H27)*kgtoGg,IF('Net zero activities &amp; levers'!$C$14="On",('Net zero Activity data'!BH14*EF!$H27)*kgtoGg,"ERROR"))</f>
        <v>2.926700045620928E-2</v>
      </c>
      <c r="AP1090" s="100">
        <f>IF('Net zero activities &amp; levers'!$C$14="Off",('Activity data'!BI14*EF!$H27)*kgtoGg,IF('Net zero activities &amp; levers'!$C$14="On",('Net zero Activity data'!BI14*EF!$H27)*kgtoGg,"ERROR"))</f>
        <v>2.9305816160068741E-2</v>
      </c>
      <c r="AQ1090" s="100">
        <f>IF('Net zero activities &amp; levers'!$C$14="Off",('Activity data'!BJ14*EF!$H27)*kgtoGg,IF('Net zero activities &amp; levers'!$C$14="On",('Net zero Activity data'!BJ14*EF!$H27)*kgtoGg,"ERROR"))</f>
        <v>2.9347375853174006E-2</v>
      </c>
      <c r="AR1090" s="100">
        <f>IF('Net zero activities &amp; levers'!$C$14="Off",('Activity data'!BK14*EF!$H27)*kgtoGg,IF('Net zero activities &amp; levers'!$C$14="On",('Net zero Activity data'!BK14*EF!$H27)*kgtoGg,"ERROR"))</f>
        <v>2.9392207856974665E-2</v>
      </c>
      <c r="AS1090" s="100">
        <f>IF('Net zero activities &amp; levers'!$C$14="Off",('Activity data'!BL14*EF!$H27)*kgtoGg,IF('Net zero activities &amp; levers'!$C$14="On",('Net zero Activity data'!BL14*EF!$H27)*kgtoGg,"ERROR"))</f>
        <v>2.9407867691587285E-2</v>
      </c>
      <c r="AT1090" s="100">
        <f>IF('Net zero activities &amp; levers'!$C$14="Off",('Activity data'!BM14*EF!$H27)*kgtoGg,IF('Net zero activities &amp; levers'!$C$14="On",('Net zero Activity data'!BM14*EF!$H27)*kgtoGg,"ERROR"))</f>
        <v>2.9420057916797852E-2</v>
      </c>
      <c r="AU1090" s="100">
        <f>IF('Net zero activities &amp; levers'!$C$14="Off",('Activity data'!BN14*EF!$H27)*kgtoGg,IF('Net zero activities &amp; levers'!$C$14="On",('Net zero Activity data'!BN14*EF!$H27)*kgtoGg,"ERROR"))</f>
        <v>2.9434026171737036E-2</v>
      </c>
      <c r="AV1090" s="100">
        <f>IF('Net zero activities &amp; levers'!$C$14="Off",('Activity data'!BO14*EF!$H27)*kgtoGg,IF('Net zero activities &amp; levers'!$C$14="On",('Net zero Activity data'!BO14*EF!$H27)*kgtoGg,"ERROR"))</f>
        <v>2.9450880593691244E-2</v>
      </c>
      <c r="AW1090" s="100">
        <f>IF('Net zero activities &amp; levers'!$C$14="Off",('Activity data'!BP14*EF!$H27)*kgtoGg,IF('Net zero activities &amp; levers'!$C$14="On",('Net zero Activity data'!BP14*EF!$H27)*kgtoGg,"ERROR"))</f>
        <v>2.9469437400587745E-2</v>
      </c>
      <c r="AY1090" s="85"/>
    </row>
    <row r="1091" spans="1:51" x14ac:dyDescent="0.25">
      <c r="A1091" s="102" t="str">
        <f t="shared" si="374"/>
        <v>CM Horses MMCH4</v>
      </c>
      <c r="B1091" s="102" t="s">
        <v>1323</v>
      </c>
      <c r="C1091" s="102" t="s">
        <v>1327</v>
      </c>
      <c r="D1091" t="s">
        <v>15</v>
      </c>
      <c r="E1091" t="s">
        <v>22</v>
      </c>
      <c r="F1091" t="s">
        <v>20</v>
      </c>
      <c r="G1091" t="s">
        <v>3</v>
      </c>
      <c r="H1091" t="s">
        <v>1228</v>
      </c>
      <c r="I1091" t="s">
        <v>121</v>
      </c>
      <c r="J1091" t="s">
        <v>286</v>
      </c>
      <c r="K1091" s="100">
        <f>IF('Net zero activities &amp; levers'!$C$14="Off",('Activity data'!AD15*EF!$H28)*kgtoGg,IF('Net zero activities &amp; levers'!$C$14="On",('Net zero Activity data'!AD15*EF!$H28)*kgtoGg,"ERROR"))</f>
        <v>4.1409780786531561E-3</v>
      </c>
      <c r="L1091" s="100">
        <f>IF('Net zero activities &amp; levers'!$C$14="Off",('Activity data'!AE15*EF!$H28)*kgtoGg,IF('Net zero activities &amp; levers'!$C$14="On",('Net zero Activity data'!AE15*EF!$H28)*kgtoGg,"ERROR"))</f>
        <v>4.1688671764084162E-3</v>
      </c>
      <c r="M1091" s="100">
        <f>IF('Net zero activities &amp; levers'!$C$14="Off",('Activity data'!AF15*EF!$H28)*kgtoGg,IF('Net zero activities &amp; levers'!$C$14="On",('Net zero Activity data'!AF15*EF!$H28)*kgtoGg,"ERROR"))</f>
        <v>4.1857409403688933E-3</v>
      </c>
      <c r="N1091" s="100">
        <f>IF('Net zero activities &amp; levers'!$C$14="Off",('Activity data'!AG15*EF!$H28)*kgtoGg,IF('Net zero activities &amp; levers'!$C$14="On",('Net zero Activity data'!AG15*EF!$H28)*kgtoGg,"ERROR"))</f>
        <v>4.1635395322190223E-3</v>
      </c>
      <c r="O1091" s="100">
        <f>IF('Net zero activities &amp; levers'!$C$14="Off",('Activity data'!AH15*EF!$H28)*kgtoGg,IF('Net zero activities &amp; levers'!$C$14="On",('Net zero Activity data'!AH15*EF!$H28)*kgtoGg,"ERROR"))</f>
        <v>4.1408513683072233E-3</v>
      </c>
      <c r="P1091" s="100">
        <f>IF('Net zero activities &amp; levers'!$C$14="Off",('Activity data'!AI15*EF!$H28)*kgtoGg,IF('Net zero activities &amp; levers'!$C$14="On",('Net zero Activity data'!AI15*EF!$H28)*kgtoGg,"ERROR"))</f>
        <v>4.1549094768624506E-3</v>
      </c>
      <c r="Q1091" s="100">
        <f>IF('Net zero activities &amp; levers'!$C$14="Off",('Activity data'!AJ15*EF!$H28)*kgtoGg,IF('Net zero activities &amp; levers'!$C$14="On",('Net zero Activity data'!AJ15*EF!$H28)*kgtoGg,"ERROR"))</f>
        <v>4.1567255728426969E-3</v>
      </c>
      <c r="R1091" s="100">
        <f>IF('Net zero activities &amp; levers'!$C$14="Off",('Activity data'!AK15*EF!$H28)*kgtoGg,IF('Net zero activities &amp; levers'!$C$14="On",('Net zero Activity data'!AK15*EF!$H28)*kgtoGg,"ERROR"))</f>
        <v>4.1179597585422178E-3</v>
      </c>
      <c r="S1091" s="100">
        <f>IF('Net zero activities &amp; levers'!$C$14="Off",('Activity data'!AL15*EF!$H28)*kgtoGg,IF('Net zero activities &amp; levers'!$C$14="On",('Net zero Activity data'!AL15*EF!$H28)*kgtoGg,"ERROR"))</f>
        <v>3.9049943158389311E-3</v>
      </c>
      <c r="T1091" s="100">
        <f>IF('Net zero activities &amp; levers'!$C$14="Off",('Activity data'!AM15*EF!$H28)*kgtoGg,IF('Net zero activities &amp; levers'!$C$14="On",('Net zero Activity data'!AM15*EF!$H28)*kgtoGg,"ERROR"))</f>
        <v>3.9699795028704365E-3</v>
      </c>
      <c r="U1091" s="100">
        <f>IF('Net zero activities &amp; levers'!$C$14="Off",('Activity data'!AN15*EF!$H28)*kgtoGg,IF('Net zero activities &amp; levers'!$C$14="On",('Net zero Activity data'!AN15*EF!$H28)*kgtoGg,"ERROR"))</f>
        <v>4.0126860665387013E-3</v>
      </c>
      <c r="V1091" s="100">
        <f>IF('Net zero activities &amp; levers'!$C$14="Off",('Activity data'!AO15*EF!$H28)*kgtoGg,IF('Net zero activities &amp; levers'!$C$14="On",('Net zero Activity data'!AO15*EF!$H28)*kgtoGg,"ERROR"))</f>
        <v>4.0499492305839649E-3</v>
      </c>
      <c r="W1091" s="100">
        <f>IF('Net zero activities &amp; levers'!$C$14="Off",('Activity data'!AP15*EF!$H28)*kgtoGg,IF('Net zero activities &amp; levers'!$C$14="On",('Net zero Activity data'!AP15*EF!$H28)*kgtoGg,"ERROR"))</f>
        <v>4.09467284204442E-3</v>
      </c>
      <c r="X1091" s="100">
        <f>IF('Net zero activities &amp; levers'!$C$14="Off",('Activity data'!AQ15*EF!$H28)*kgtoGg,IF('Net zero activities &amp; levers'!$C$14="On",('Net zero Activity data'!AQ15*EF!$H28)*kgtoGg,"ERROR"))</f>
        <v>4.1665387441703824E-3</v>
      </c>
      <c r="Y1091" s="100">
        <f>IF('Net zero activities &amp; levers'!$C$14="Off",('Activity data'!AR15*EF!$H28)*kgtoGg,IF('Net zero activities &amp; levers'!$C$14="On",('Net zero Activity data'!AR15*EF!$H28)*kgtoGg,"ERROR"))</f>
        <v>4.248702300747329E-3</v>
      </c>
      <c r="Z1091" s="100">
        <f>IF('Net zero activities &amp; levers'!$C$14="Off",('Activity data'!AS15*EF!$H28)*kgtoGg,IF('Net zero activities &amp; levers'!$C$14="On",('Net zero Activity data'!AS15*EF!$H28)*kgtoGg,"ERROR"))</f>
        <v>4.3374921923911899E-3</v>
      </c>
      <c r="AA1091" s="100">
        <f>IF('Net zero activities &amp; levers'!$C$14="Off",('Activity data'!AT15*EF!$H28)*kgtoGg,IF('Net zero activities &amp; levers'!$C$14="On",('Net zero Activity data'!AT15*EF!$H28)*kgtoGg,"ERROR"))</f>
        <v>4.414637811470782E-3</v>
      </c>
      <c r="AB1091" s="100">
        <f>IF('Net zero activities &amp; levers'!$C$14="Off",('Activity data'!AU15*EF!$H28)*kgtoGg,IF('Net zero activities &amp; levers'!$C$14="On",('Net zero Activity data'!AU15*EF!$H28)*kgtoGg,"ERROR"))</f>
        <v>4.5040673251205239E-3</v>
      </c>
      <c r="AC1091" s="100">
        <f>IF('Net zero activities &amp; levers'!$C$14="Off",('Activity data'!AV15*EF!$H28)*kgtoGg,IF('Net zero activities &amp; levers'!$C$14="On",('Net zero Activity data'!AV15*EF!$H28)*kgtoGg,"ERROR"))</f>
        <v>4.6087014569709678E-3</v>
      </c>
      <c r="AD1091" s="100">
        <f>IF('Net zero activities &amp; levers'!$C$14="Off",('Activity data'!AW15*EF!$H28)*kgtoGg,IF('Net zero activities &amp; levers'!$C$14="On",('Net zero Activity data'!AW15*EF!$H28)*kgtoGg,"ERROR"))</f>
        <v>4.7138573349945522E-3</v>
      </c>
      <c r="AE1091" s="100">
        <f>IF('Net zero activities &amp; levers'!$C$14="Off",('Activity data'!AX15*EF!$H28)*kgtoGg,IF('Net zero activities &amp; levers'!$C$14="On",('Net zero Activity data'!AX15*EF!$H28)*kgtoGg,"ERROR"))</f>
        <v>4.8236014553834257E-3</v>
      </c>
      <c r="AF1091" s="100">
        <f>IF('Net zero activities &amp; levers'!$C$14="Off",('Activity data'!AY15*EF!$H28)*kgtoGg,IF('Net zero activities &amp; levers'!$C$14="On",('Net zero Activity data'!AY15*EF!$H28)*kgtoGg,"ERROR"))</f>
        <v>4.9354202086686252E-3</v>
      </c>
      <c r="AG1091" s="100">
        <f>IF('Net zero activities &amp; levers'!$C$14="Off",('Activity data'!AZ15*EF!$H28)*kgtoGg,IF('Net zero activities &amp; levers'!$C$14="On",('Net zero Activity data'!AZ15*EF!$H28)*kgtoGg,"ERROR"))</f>
        <v>5.0601637107160246E-3</v>
      </c>
      <c r="AH1091" s="100">
        <f>IF('Net zero activities &amp; levers'!$C$14="Off",('Activity data'!BA15*EF!$H28)*kgtoGg,IF('Net zero activities &amp; levers'!$C$14="On",('Net zero Activity data'!BA15*EF!$H28)*kgtoGg,"ERROR"))</f>
        <v>5.1692799161183493E-3</v>
      </c>
      <c r="AI1091" s="100">
        <f>IF('Net zero activities &amp; levers'!$C$14="Off",('Activity data'!BB15*EF!$H28)*kgtoGg,IF('Net zero activities &amp; levers'!$C$14="On",('Net zero Activity data'!BB15*EF!$H28)*kgtoGg,"ERROR"))</f>
        <v>5.2891896269508833E-3</v>
      </c>
      <c r="AJ1091" s="100">
        <f>IF('Net zero activities &amp; levers'!$C$14="Off",('Activity data'!BC15*EF!$H28)*kgtoGg,IF('Net zero activities &amp; levers'!$C$14="On",('Net zero Activity data'!BC15*EF!$H28)*kgtoGg,"ERROR"))</f>
        <v>5.4110891568061297E-3</v>
      </c>
      <c r="AK1091" s="100">
        <f>IF('Net zero activities &amp; levers'!$C$14="Off",('Activity data'!BD15*EF!$H28)*kgtoGg,IF('Net zero activities &amp; levers'!$C$14="On",('Net zero Activity data'!BD15*EF!$H28)*kgtoGg,"ERROR"))</f>
        <v>5.5272908454311459E-3</v>
      </c>
      <c r="AL1091" s="100">
        <f>IF('Net zero activities &amp; levers'!$C$14="Off",('Activity data'!BE15*EF!$H28)*kgtoGg,IF('Net zero activities &amp; levers'!$C$14="On",('Net zero Activity data'!BE15*EF!$H28)*kgtoGg,"ERROR"))</f>
        <v>5.6429797772661562E-3</v>
      </c>
      <c r="AM1091" s="100">
        <f>IF('Net zero activities &amp; levers'!$C$14="Off",('Activity data'!BF15*EF!$H28)*kgtoGg,IF('Net zero activities &amp; levers'!$C$14="On",('Net zero Activity data'!BF15*EF!$H28)*kgtoGg,"ERROR"))</f>
        <v>5.7628358631585681E-3</v>
      </c>
      <c r="AN1091" s="100">
        <f>IF('Net zero activities &amp; levers'!$C$14="Off",('Activity data'!BG15*EF!$H28)*kgtoGg,IF('Net zero activities &amp; levers'!$C$14="On",('Net zero Activity data'!BG15*EF!$H28)*kgtoGg,"ERROR"))</f>
        <v>5.8932639862966018E-3</v>
      </c>
      <c r="AO1091" s="100">
        <f>IF('Net zero activities &amp; levers'!$C$14="Off",('Activity data'!BH15*EF!$H28)*kgtoGg,IF('Net zero activities &amp; levers'!$C$14="On",('Net zero Activity data'!BH15*EF!$H28)*kgtoGg,"ERROR"))</f>
        <v>6.015926079762964E-3</v>
      </c>
      <c r="AP1091" s="100">
        <f>IF('Net zero activities &amp; levers'!$C$14="Off",('Activity data'!BI15*EF!$H28)*kgtoGg,IF('Net zero activities &amp; levers'!$C$14="On",('Net zero Activity data'!BI15*EF!$H28)*kgtoGg,"ERROR"))</f>
        <v>6.1402055338910435E-3</v>
      </c>
      <c r="AQ1091" s="100">
        <f>IF('Net zero activities &amp; levers'!$C$14="Off",('Activity data'!BJ15*EF!$H28)*kgtoGg,IF('Net zero activities &amp; levers'!$C$14="On",('Net zero Activity data'!BJ15*EF!$H28)*kgtoGg,"ERROR"))</f>
        <v>6.266331762949981E-3</v>
      </c>
      <c r="AR1091" s="100">
        <f>IF('Net zero activities &amp; levers'!$C$14="Off",('Activity data'!BK15*EF!$H28)*kgtoGg,IF('Net zero activities &amp; levers'!$C$14="On",('Net zero Activity data'!BK15*EF!$H28)*kgtoGg,"ERROR"))</f>
        <v>6.4010164026291104E-3</v>
      </c>
      <c r="AS1091" s="100">
        <f>IF('Net zero activities &amp; levers'!$C$14="Off",('Activity data'!BL15*EF!$H28)*kgtoGg,IF('Net zero activities &amp; levers'!$C$14="On",('Net zero Activity data'!BL15*EF!$H28)*kgtoGg,"ERROR"))</f>
        <v>6.544222904657609E-3</v>
      </c>
      <c r="AT1091" s="100">
        <f>IF('Net zero activities &amp; levers'!$C$14="Off",('Activity data'!BM15*EF!$H28)*kgtoGg,IF('Net zero activities &amp; levers'!$C$14="On",('Net zero Activity data'!BM15*EF!$H28)*kgtoGg,"ERROR"))</f>
        <v>6.6249233396269902E-3</v>
      </c>
      <c r="AU1091" s="100">
        <f>IF('Net zero activities &amp; levers'!$C$14="Off",('Activity data'!BN15*EF!$H28)*kgtoGg,IF('Net zero activities &amp; levers'!$C$14="On",('Net zero Activity data'!BN15*EF!$H28)*kgtoGg,"ERROR"))</f>
        <v>6.7012526002480271E-3</v>
      </c>
      <c r="AV1091" s="100">
        <f>IF('Net zero activities &amp; levers'!$C$14="Off",('Activity data'!BO15*EF!$H28)*kgtoGg,IF('Net zero activities &amp; levers'!$C$14="On",('Net zero Activity data'!BO15*EF!$H28)*kgtoGg,"ERROR"))</f>
        <v>6.7861102667668991E-3</v>
      </c>
      <c r="AW1091" s="100">
        <f>IF('Net zero activities &amp; levers'!$C$14="Off",('Activity data'!BP15*EF!$H28)*kgtoGg,IF('Net zero activities &amp; levers'!$C$14="On",('Net zero Activity data'!BP15*EF!$H28)*kgtoGg,"ERROR"))</f>
        <v>6.8673471283418426E-3</v>
      </c>
      <c r="AY1091" s="85"/>
    </row>
    <row r="1092" spans="1:51" x14ac:dyDescent="0.25">
      <c r="A1092" s="102" t="str">
        <f t="shared" si="374"/>
        <v>CM Mules MMCH4</v>
      </c>
      <c r="B1092" s="102" t="s">
        <v>1323</v>
      </c>
      <c r="C1092" s="102" t="s">
        <v>1328</v>
      </c>
      <c r="D1092" t="s">
        <v>15</v>
      </c>
      <c r="E1092" t="s">
        <v>22</v>
      </c>
      <c r="F1092" t="s">
        <v>140</v>
      </c>
      <c r="G1092" t="s">
        <v>124</v>
      </c>
      <c r="H1092" t="s">
        <v>1228</v>
      </c>
      <c r="I1092" t="s">
        <v>121</v>
      </c>
      <c r="J1092" t="s">
        <v>286</v>
      </c>
      <c r="K1092" s="100">
        <f>IF('Net zero activities &amp; levers'!$C$14="Off",('Activity data'!AD16*EF!$H29)*kgtoGg,IF('Net zero activities &amp; levers'!$C$14="On",('Net zero Activity data'!AD16*EF!$H29)*kgtoGg,"ERROR"))</f>
        <v>7.515E-4</v>
      </c>
      <c r="L1092" s="100">
        <f>IF('Net zero activities &amp; levers'!$C$14="Off",('Activity data'!AE16*EF!$H29)*kgtoGg,IF('Net zero activities &amp; levers'!$C$14="On",('Net zero Activity data'!AE16*EF!$H29)*kgtoGg,"ERROR"))</f>
        <v>7.515E-4</v>
      </c>
      <c r="M1092" s="100">
        <f>IF('Net zero activities &amp; levers'!$C$14="Off",('Activity data'!AF16*EF!$H29)*kgtoGg,IF('Net zero activities &amp; levers'!$C$14="On",('Net zero Activity data'!AF16*EF!$H29)*kgtoGg,"ERROR"))</f>
        <v>7.515E-4</v>
      </c>
      <c r="N1092" s="100">
        <f>IF('Net zero activities &amp; levers'!$C$14="Off",('Activity data'!AG16*EF!$H29)*kgtoGg,IF('Net zero activities &amp; levers'!$C$14="On",('Net zero Activity data'!AG16*EF!$H29)*kgtoGg,"ERROR"))</f>
        <v>7.515E-4</v>
      </c>
      <c r="O1092" s="100">
        <f>IF('Net zero activities &amp; levers'!$C$14="Off",('Activity data'!AH16*EF!$H29)*kgtoGg,IF('Net zero activities &amp; levers'!$C$14="On",('Net zero Activity data'!AH16*EF!$H29)*kgtoGg,"ERROR"))</f>
        <v>7.515E-4</v>
      </c>
      <c r="P1092" s="100">
        <f>IF('Net zero activities &amp; levers'!$C$14="Off",('Activity data'!AI16*EF!$H29)*kgtoGg,IF('Net zero activities &amp; levers'!$C$14="On",('Net zero Activity data'!AI16*EF!$H29)*kgtoGg,"ERROR"))</f>
        <v>7.515E-4</v>
      </c>
      <c r="Q1092" s="100">
        <f>IF('Net zero activities &amp; levers'!$C$14="Off",('Activity data'!AJ16*EF!$H29)*kgtoGg,IF('Net zero activities &amp; levers'!$C$14="On",('Net zero Activity data'!AJ16*EF!$H29)*kgtoGg,"ERROR"))</f>
        <v>7.515E-4</v>
      </c>
      <c r="R1092" s="100">
        <f>IF('Net zero activities &amp; levers'!$C$14="Off",('Activity data'!AK16*EF!$H29)*kgtoGg,IF('Net zero activities &amp; levers'!$C$14="On",('Net zero Activity data'!AK16*EF!$H29)*kgtoGg,"ERROR"))</f>
        <v>7.515E-4</v>
      </c>
      <c r="S1092" s="100">
        <f>IF('Net zero activities &amp; levers'!$C$14="Off",('Activity data'!AL16*EF!$H29)*kgtoGg,IF('Net zero activities &amp; levers'!$C$14="On",('Net zero Activity data'!AL16*EF!$H29)*kgtoGg,"ERROR"))</f>
        <v>7.515E-4</v>
      </c>
      <c r="T1092" s="100">
        <f>IF('Net zero activities &amp; levers'!$C$14="Off",('Activity data'!AM16*EF!$H29)*kgtoGg,IF('Net zero activities &amp; levers'!$C$14="On",('Net zero Activity data'!AM16*EF!$H29)*kgtoGg,"ERROR"))</f>
        <v>7.515E-4</v>
      </c>
      <c r="U1092" s="100">
        <f>IF('Net zero activities &amp; levers'!$C$14="Off",('Activity data'!AN16*EF!$H29)*kgtoGg,IF('Net zero activities &amp; levers'!$C$14="On",('Net zero Activity data'!AN16*EF!$H29)*kgtoGg,"ERROR"))</f>
        <v>7.515E-4</v>
      </c>
      <c r="V1092" s="100">
        <f>IF('Net zero activities &amp; levers'!$C$14="Off",('Activity data'!AO16*EF!$H29)*kgtoGg,IF('Net zero activities &amp; levers'!$C$14="On",('Net zero Activity data'!AO16*EF!$H29)*kgtoGg,"ERROR"))</f>
        <v>7.515E-4</v>
      </c>
      <c r="W1092" s="100">
        <f>IF('Net zero activities &amp; levers'!$C$14="Off",('Activity data'!AP16*EF!$H29)*kgtoGg,IF('Net zero activities &amp; levers'!$C$14="On",('Net zero Activity data'!AP16*EF!$H29)*kgtoGg,"ERROR"))</f>
        <v>7.515E-4</v>
      </c>
      <c r="X1092" s="100">
        <f>IF('Net zero activities &amp; levers'!$C$14="Off",('Activity data'!AQ16*EF!$H29)*kgtoGg,IF('Net zero activities &amp; levers'!$C$14="On",('Net zero Activity data'!AQ16*EF!$H29)*kgtoGg,"ERROR"))</f>
        <v>7.515E-4</v>
      </c>
      <c r="Y1092" s="100">
        <f>IF('Net zero activities &amp; levers'!$C$14="Off",('Activity data'!AR16*EF!$H29)*kgtoGg,IF('Net zero activities &amp; levers'!$C$14="On",('Net zero Activity data'!AR16*EF!$H29)*kgtoGg,"ERROR"))</f>
        <v>7.515E-4</v>
      </c>
      <c r="Z1092" s="100">
        <f>IF('Net zero activities &amp; levers'!$C$14="Off",('Activity data'!AS16*EF!$H29)*kgtoGg,IF('Net zero activities &amp; levers'!$C$14="On",('Net zero Activity data'!AS16*EF!$H29)*kgtoGg,"ERROR"))</f>
        <v>7.515E-4</v>
      </c>
      <c r="AA1092" s="100">
        <f>IF('Net zero activities &amp; levers'!$C$14="Off",('Activity data'!AT16*EF!$H29)*kgtoGg,IF('Net zero activities &amp; levers'!$C$14="On",('Net zero Activity data'!AT16*EF!$H29)*kgtoGg,"ERROR"))</f>
        <v>7.515E-4</v>
      </c>
      <c r="AB1092" s="100">
        <f>IF('Net zero activities &amp; levers'!$C$14="Off",('Activity data'!AU16*EF!$H29)*kgtoGg,IF('Net zero activities &amp; levers'!$C$14="On",('Net zero Activity data'!AU16*EF!$H29)*kgtoGg,"ERROR"))</f>
        <v>7.515E-4</v>
      </c>
      <c r="AC1092" s="100">
        <f>IF('Net zero activities &amp; levers'!$C$14="Off",('Activity data'!AV16*EF!$H29)*kgtoGg,IF('Net zero activities &amp; levers'!$C$14="On",('Net zero Activity data'!AV16*EF!$H29)*kgtoGg,"ERROR"))</f>
        <v>7.515E-4</v>
      </c>
      <c r="AD1092" s="100">
        <f>IF('Net zero activities &amp; levers'!$C$14="Off",('Activity data'!AW16*EF!$H29)*kgtoGg,IF('Net zero activities &amp; levers'!$C$14="On",('Net zero Activity data'!AW16*EF!$H29)*kgtoGg,"ERROR"))</f>
        <v>7.515E-4</v>
      </c>
      <c r="AE1092" s="100">
        <f>IF('Net zero activities &amp; levers'!$C$14="Off",('Activity data'!AX16*EF!$H29)*kgtoGg,IF('Net zero activities &amp; levers'!$C$14="On",('Net zero Activity data'!AX16*EF!$H29)*kgtoGg,"ERROR"))</f>
        <v>7.515E-4</v>
      </c>
      <c r="AF1092" s="100">
        <f>IF('Net zero activities &amp; levers'!$C$14="Off",('Activity data'!AY16*EF!$H29)*kgtoGg,IF('Net zero activities &amp; levers'!$C$14="On",('Net zero Activity data'!AY16*EF!$H29)*kgtoGg,"ERROR"))</f>
        <v>7.515E-4</v>
      </c>
      <c r="AG1092" s="100">
        <f>IF('Net zero activities &amp; levers'!$C$14="Off",('Activity data'!AZ16*EF!$H29)*kgtoGg,IF('Net zero activities &amp; levers'!$C$14="On",('Net zero Activity data'!AZ16*EF!$H29)*kgtoGg,"ERROR"))</f>
        <v>7.515E-4</v>
      </c>
      <c r="AH1092" s="100">
        <f>IF('Net zero activities &amp; levers'!$C$14="Off",('Activity data'!BA16*EF!$H29)*kgtoGg,IF('Net zero activities &amp; levers'!$C$14="On",('Net zero Activity data'!BA16*EF!$H29)*kgtoGg,"ERROR"))</f>
        <v>7.515E-4</v>
      </c>
      <c r="AI1092" s="100">
        <f>IF('Net zero activities &amp; levers'!$C$14="Off",('Activity data'!BB16*EF!$H29)*kgtoGg,IF('Net zero activities &amp; levers'!$C$14="On",('Net zero Activity data'!BB16*EF!$H29)*kgtoGg,"ERROR"))</f>
        <v>7.515E-4</v>
      </c>
      <c r="AJ1092" s="100">
        <f>IF('Net zero activities &amp; levers'!$C$14="Off",('Activity data'!BC16*EF!$H29)*kgtoGg,IF('Net zero activities &amp; levers'!$C$14="On",('Net zero Activity data'!BC16*EF!$H29)*kgtoGg,"ERROR"))</f>
        <v>7.515E-4</v>
      </c>
      <c r="AK1092" s="100">
        <f>IF('Net zero activities &amp; levers'!$C$14="Off",('Activity data'!BD16*EF!$H29)*kgtoGg,IF('Net zero activities &amp; levers'!$C$14="On",('Net zero Activity data'!BD16*EF!$H29)*kgtoGg,"ERROR"))</f>
        <v>7.515E-4</v>
      </c>
      <c r="AL1092" s="100">
        <f>IF('Net zero activities &amp; levers'!$C$14="Off",('Activity data'!BE16*EF!$H29)*kgtoGg,IF('Net zero activities &amp; levers'!$C$14="On",('Net zero Activity data'!BE16*EF!$H29)*kgtoGg,"ERROR"))</f>
        <v>7.515E-4</v>
      </c>
      <c r="AM1092" s="100">
        <f>IF('Net zero activities &amp; levers'!$C$14="Off",('Activity data'!BF16*EF!$H29)*kgtoGg,IF('Net zero activities &amp; levers'!$C$14="On",('Net zero Activity data'!BF16*EF!$H29)*kgtoGg,"ERROR"))</f>
        <v>7.515E-4</v>
      </c>
      <c r="AN1092" s="100">
        <f>IF('Net zero activities &amp; levers'!$C$14="Off",('Activity data'!BG16*EF!$H29)*kgtoGg,IF('Net zero activities &amp; levers'!$C$14="On",('Net zero Activity data'!BG16*EF!$H29)*kgtoGg,"ERROR"))</f>
        <v>7.515E-4</v>
      </c>
      <c r="AO1092" s="100">
        <f>IF('Net zero activities &amp; levers'!$C$14="Off",('Activity data'!BH16*EF!$H29)*kgtoGg,IF('Net zero activities &amp; levers'!$C$14="On",('Net zero Activity data'!BH16*EF!$H29)*kgtoGg,"ERROR"))</f>
        <v>7.515E-4</v>
      </c>
      <c r="AP1092" s="100">
        <f>IF('Net zero activities &amp; levers'!$C$14="Off",('Activity data'!BI16*EF!$H29)*kgtoGg,IF('Net zero activities &amp; levers'!$C$14="On",('Net zero Activity data'!BI16*EF!$H29)*kgtoGg,"ERROR"))</f>
        <v>7.515E-4</v>
      </c>
      <c r="AQ1092" s="100">
        <f>IF('Net zero activities &amp; levers'!$C$14="Off",('Activity data'!BJ16*EF!$H29)*kgtoGg,IF('Net zero activities &amp; levers'!$C$14="On",('Net zero Activity data'!BJ16*EF!$H29)*kgtoGg,"ERROR"))</f>
        <v>7.515E-4</v>
      </c>
      <c r="AR1092" s="100">
        <f>IF('Net zero activities &amp; levers'!$C$14="Off",('Activity data'!BK16*EF!$H29)*kgtoGg,IF('Net zero activities &amp; levers'!$C$14="On",('Net zero Activity data'!BK16*EF!$H29)*kgtoGg,"ERROR"))</f>
        <v>7.515E-4</v>
      </c>
      <c r="AS1092" s="100">
        <f>IF('Net zero activities &amp; levers'!$C$14="Off",('Activity data'!BL16*EF!$H29)*kgtoGg,IF('Net zero activities &amp; levers'!$C$14="On",('Net zero Activity data'!BL16*EF!$H29)*kgtoGg,"ERROR"))</f>
        <v>7.515E-4</v>
      </c>
      <c r="AT1092" s="100">
        <f>IF('Net zero activities &amp; levers'!$C$14="Off",('Activity data'!BM16*EF!$H29)*kgtoGg,IF('Net zero activities &amp; levers'!$C$14="On",('Net zero Activity data'!BM16*EF!$H29)*kgtoGg,"ERROR"))</f>
        <v>7.515E-4</v>
      </c>
      <c r="AU1092" s="100">
        <f>IF('Net zero activities &amp; levers'!$C$14="Off",('Activity data'!BN16*EF!$H29)*kgtoGg,IF('Net zero activities &amp; levers'!$C$14="On",('Net zero Activity data'!BN16*EF!$H29)*kgtoGg,"ERROR"))</f>
        <v>7.515E-4</v>
      </c>
      <c r="AV1092" s="100">
        <f>IF('Net zero activities &amp; levers'!$C$14="Off",('Activity data'!BO16*EF!$H29)*kgtoGg,IF('Net zero activities &amp; levers'!$C$14="On",('Net zero Activity data'!BO16*EF!$H29)*kgtoGg,"ERROR"))</f>
        <v>7.515E-4</v>
      </c>
      <c r="AW1092" s="100">
        <f>IF('Net zero activities &amp; levers'!$C$14="Off",('Activity data'!BP16*EF!$H29)*kgtoGg,IF('Net zero activities &amp; levers'!$C$14="On",('Net zero Activity data'!BP16*EF!$H29)*kgtoGg,"ERROR"))</f>
        <v>7.515E-4</v>
      </c>
      <c r="AY1092" s="85"/>
    </row>
    <row r="1093" spans="1:51" x14ac:dyDescent="0.25">
      <c r="A1093" s="102" t="str">
        <f t="shared" si="374"/>
        <v>CM Swine MMCH4</v>
      </c>
      <c r="B1093" s="102" t="s">
        <v>1323</v>
      </c>
      <c r="C1093" s="102" t="s">
        <v>1231</v>
      </c>
      <c r="D1093" t="s">
        <v>15</v>
      </c>
      <c r="E1093" t="s">
        <v>22</v>
      </c>
      <c r="F1093" t="s">
        <v>21</v>
      </c>
      <c r="G1093" t="s">
        <v>122</v>
      </c>
      <c r="H1093" t="s">
        <v>1228</v>
      </c>
      <c r="I1093" t="s">
        <v>121</v>
      </c>
      <c r="J1093" t="s">
        <v>286</v>
      </c>
      <c r="K1093" s="100">
        <f>IF('Net zero activities &amp; levers'!$C$14="Off",('Activity data'!AD17*EF!$H30)*kgtoGg,IF('Net zero activities &amp; levers'!$C$14="On",('Net zero Activity data'!AD17*EF!$H30)*kgtoGg,"ERROR"))</f>
        <v>23.371743761076022</v>
      </c>
      <c r="L1093" s="100">
        <f>IF('Net zero activities &amp; levers'!$C$14="Off",('Activity data'!AE17*EF!$H30)*kgtoGg,IF('Net zero activities &amp; levers'!$C$14="On",('Net zero Activity data'!AE17*EF!$H30)*kgtoGg,"ERROR"))</f>
        <v>23.330436915239524</v>
      </c>
      <c r="M1093" s="100">
        <f>IF('Net zero activities &amp; levers'!$C$14="Off",('Activity data'!AF17*EF!$H30)*kgtoGg,IF('Net zero activities &amp; levers'!$C$14="On",('Net zero Activity data'!AF17*EF!$H30)*kgtoGg,"ERROR"))</f>
        <v>23.199540957083649</v>
      </c>
      <c r="N1093" s="100">
        <f>IF('Net zero activities &amp; levers'!$C$14="Off",('Activity data'!AG17*EF!$H30)*kgtoGg,IF('Net zero activities &amp; levers'!$C$14="On",('Net zero Activity data'!AG17*EF!$H30)*kgtoGg,"ERROR"))</f>
        <v>22.687613421640428</v>
      </c>
      <c r="O1093" s="100">
        <f>IF('Net zero activities &amp; levers'!$C$14="Off",('Activity data'!AH17*EF!$H30)*kgtoGg,IF('Net zero activities &amp; levers'!$C$14="On",('Net zero Activity data'!AH17*EF!$H30)*kgtoGg,"ERROR"))</f>
        <v>22.203503184399075</v>
      </c>
      <c r="P1093" s="100">
        <f>IF('Net zero activities &amp; levers'!$C$14="Off",('Activity data'!AI17*EF!$H30)*kgtoGg,IF('Net zero activities &amp; levers'!$C$14="On",('Net zero Activity data'!AI17*EF!$H30)*kgtoGg,"ERROR"))</f>
        <v>22.125366761256988</v>
      </c>
      <c r="Q1093" s="100">
        <f>IF('Net zero activities &amp; levers'!$C$14="Off",('Activity data'!AJ17*EF!$H30)*kgtoGg,IF('Net zero activities &amp; levers'!$C$14="On",('Net zero Activity data'!AJ17*EF!$H30)*kgtoGg,"ERROR"))</f>
        <v>21.935689428722483</v>
      </c>
      <c r="R1093" s="100">
        <f>IF('Net zero activities &amp; levers'!$C$14="Off",('Activity data'!AK17*EF!$H30)*kgtoGg,IF('Net zero activities &amp; levers'!$C$14="On",('Net zero Activity data'!AK17*EF!$H30)*kgtoGg,"ERROR"))</f>
        <v>21.35149621309353</v>
      </c>
      <c r="S1093" s="100">
        <f>IF('Net zero activities &amp; levers'!$C$14="Off",('Activity data'!AL17*EF!$H30)*kgtoGg,IF('Net zero activities &amp; levers'!$C$14="On",('Net zero Activity data'!AL17*EF!$H30)*kgtoGg,"ERROR"))</f>
        <v>19.044546726490758</v>
      </c>
      <c r="T1093" s="100">
        <f>IF('Net zero activities &amp; levers'!$C$14="Off",('Activity data'!AM17*EF!$H30)*kgtoGg,IF('Net zero activities &amp; levers'!$C$14="On",('Net zero Activity data'!AM17*EF!$H30)*kgtoGg,"ERROR"))</f>
        <v>19.450315748723963</v>
      </c>
      <c r="U1093" s="100">
        <f>IF('Net zero activities &amp; levers'!$C$14="Off",('Activity data'!AN17*EF!$H30)*kgtoGg,IF('Net zero activities &amp; levers'!$C$14="On",('Net zero Activity data'!AN17*EF!$H30)*kgtoGg,"ERROR"))</f>
        <v>19.634990409912536</v>
      </c>
      <c r="V1093" s="100">
        <f>IF('Net zero activities &amp; levers'!$C$14="Off",('Activity data'!AO17*EF!$H30)*kgtoGg,IF('Net zero activities &amp; levers'!$C$14="On",('Net zero Activity data'!AO17*EF!$H30)*kgtoGg,"ERROR"))</f>
        <v>19.768368209677728</v>
      </c>
      <c r="W1093" s="100">
        <f>IF('Net zero activities &amp; levers'!$C$14="Off",('Activity data'!AP17*EF!$H30)*kgtoGg,IF('Net zero activities &amp; levers'!$C$14="On",('Net zero Activity data'!AP17*EF!$H30)*kgtoGg,"ERROR"))</f>
        <v>19.975172251375497</v>
      </c>
      <c r="X1093" s="100">
        <f>IF('Net zero activities &amp; levers'!$C$14="Off",('Activity data'!AQ17*EF!$H30)*kgtoGg,IF('Net zero activities &amp; levers'!$C$14="On",('Net zero Activity data'!AQ17*EF!$H30)*kgtoGg,"ERROR"))</f>
        <v>20.439114863414222</v>
      </c>
      <c r="Y1093" s="100">
        <f>IF('Net zero activities &amp; levers'!$C$14="Off",('Activity data'!AR17*EF!$H30)*kgtoGg,IF('Net zero activities &amp; levers'!$C$14="On",('Net zero Activity data'!AR17*EF!$H30)*kgtoGg,"ERROR"))</f>
        <v>20.961558865744621</v>
      </c>
      <c r="Z1093" s="100">
        <f>IF('Net zero activities &amp; levers'!$C$14="Off",('Activity data'!AS17*EF!$H30)*kgtoGg,IF('Net zero activities &amp; levers'!$C$14="On",('Net zero Activity data'!AS17*EF!$H30)*kgtoGg,"ERROR"))</f>
        <v>21.536652144104572</v>
      </c>
      <c r="AA1093" s="100">
        <f>IF('Net zero activities &amp; levers'!$C$14="Off",('Activity data'!AT17*EF!$H30)*kgtoGg,IF('Net zero activities &amp; levers'!$C$14="On",('Net zero Activity data'!AT17*EF!$H30)*kgtoGg,"ERROR"))</f>
        <v>21.995470085174059</v>
      </c>
      <c r="AB1093" s="100">
        <f>IF('Net zero activities &amp; levers'!$C$14="Off",('Activity data'!AU17*EF!$H30)*kgtoGg,IF('Net zero activities &amp; levers'!$C$14="On",('Net zero Activity data'!AU17*EF!$H30)*kgtoGg,"ERROR"))</f>
        <v>22.55820287362927</v>
      </c>
      <c r="AC1093" s="100">
        <f>IF('Net zero activities &amp; levers'!$C$14="Off",('Activity data'!AV17*EF!$H30)*kgtoGg,IF('Net zero activities &amp; levers'!$C$14="On",('Net zero Activity data'!AV17*EF!$H30)*kgtoGg,"ERROR"))</f>
        <v>23.247591665042222</v>
      </c>
      <c r="AD1093" s="100">
        <f>IF('Net zero activities &amp; levers'!$C$14="Off",('Activity data'!AW17*EF!$H30)*kgtoGg,IF('Net zero activities &amp; levers'!$C$14="On",('Net zero Activity data'!AW17*EF!$H30)*kgtoGg,"ERROR"))</f>
        <v>23.902013895649599</v>
      </c>
      <c r="AE1093" s="100">
        <f>IF('Net zero activities &amp; levers'!$C$14="Off",('Activity data'!AX17*EF!$H30)*kgtoGg,IF('Net zero activities &amp; levers'!$C$14="On",('Net zero Activity data'!AX17*EF!$H30)*kgtoGg,"ERROR"))</f>
        <v>24.583083703345125</v>
      </c>
      <c r="AF1093" s="100">
        <f>IF('Net zero activities &amp; levers'!$C$14="Off",('Activity data'!AY17*EF!$H30)*kgtoGg,IF('Net zero activities &amp; levers'!$C$14="On",('Net zero Activity data'!AY17*EF!$H30)*kgtoGg,"ERROR"))</f>
        <v>25.268023628944846</v>
      </c>
      <c r="AG1093" s="100">
        <f>IF('Net zero activities &amp; levers'!$C$14="Off",('Activity data'!AZ17*EF!$H30)*kgtoGg,IF('Net zero activities &amp; levers'!$C$14="On",('Net zero Activity data'!AZ17*EF!$H30)*kgtoGg,"ERROR"))</f>
        <v>26.049380685579621</v>
      </c>
      <c r="AH1093" s="100">
        <f>IF('Net zero activities &amp; levers'!$C$14="Off",('Activity data'!BA17*EF!$H30)*kgtoGg,IF('Net zero activities &amp; levers'!$C$14="On",('Net zero Activity data'!BA17*EF!$H30)*kgtoGg,"ERROR"))</f>
        <v>26.682229103356477</v>
      </c>
      <c r="AI1093" s="100">
        <f>IF('Net zero activities &amp; levers'!$C$14="Off",('Activity data'!BB17*EF!$H30)*kgtoGg,IF('Net zero activities &amp; levers'!$C$14="On",('Net zero Activity data'!BB17*EF!$H30)*kgtoGg,"ERROR"))</f>
        <v>27.360402391621303</v>
      </c>
      <c r="AJ1093" s="100">
        <f>IF('Net zero activities &amp; levers'!$C$14="Off",('Activity data'!BC17*EF!$H30)*kgtoGg,IF('Net zero activities &amp; levers'!$C$14="On",('Net zero Activity data'!BC17*EF!$H30)*kgtoGg,"ERROR"))</f>
        <v>28.038567776968979</v>
      </c>
      <c r="AK1093" s="100">
        <f>IF('Net zero activities &amp; levers'!$C$14="Off",('Activity data'!BD17*EF!$H30)*kgtoGg,IF('Net zero activities &amp; levers'!$C$14="On",('Net zero Activity data'!BD17*EF!$H30)*kgtoGg,"ERROR"))</f>
        <v>28.653683355445104</v>
      </c>
      <c r="AL1093" s="100">
        <f>IF('Net zero activities &amp; levers'!$C$14="Off",('Activity data'!BE17*EF!$H30)*kgtoGg,IF('Net zero activities &amp; levers'!$C$14="On",('Net zero Activity data'!BE17*EF!$H30)*kgtoGg,"ERROR"))</f>
        <v>29.249511506701026</v>
      </c>
      <c r="AM1093" s="100">
        <f>IF('Net zero activities &amp; levers'!$C$14="Off",('Activity data'!BF17*EF!$H30)*kgtoGg,IF('Net zero activities &amp; levers'!$C$14="On",('Net zero Activity data'!BF17*EF!$H30)*kgtoGg,"ERROR"))</f>
        <v>29.863768017628434</v>
      </c>
      <c r="AN1093" s="100">
        <f>IF('Net zero activities &amp; levers'!$C$14="Off",('Activity data'!BG17*EF!$H30)*kgtoGg,IF('Net zero activities &amp; levers'!$C$14="On",('Net zero Activity data'!BG17*EF!$H30)*kgtoGg,"ERROR"))</f>
        <v>30.513203305636765</v>
      </c>
      <c r="AO1093" s="100">
        <f>IF('Net zero activities &amp; levers'!$C$14="Off",('Activity data'!BH17*EF!$H30)*kgtoGg,IF('Net zero activities &amp; levers'!$C$14="On",('Net zero Activity data'!BH17*EF!$H30)*kgtoGg,"ERROR"))</f>
        <v>31.083701980741619</v>
      </c>
      <c r="AP1093" s="100">
        <f>IF('Net zero activities &amp; levers'!$C$14="Off",('Activity data'!BI17*EF!$H30)*kgtoGg,IF('Net zero activities &amp; levers'!$C$14="On",('Net zero Activity data'!BI17*EF!$H30)*kgtoGg,"ERROR"))</f>
        <v>31.649906936610282</v>
      </c>
      <c r="AQ1093" s="100">
        <f>IF('Net zero activities &amp; levers'!$C$14="Off",('Activity data'!BJ17*EF!$H30)*kgtoGg,IF('Net zero activities &amp; levers'!$C$14="On",('Net zero Activity data'!BJ17*EF!$H30)*kgtoGg,"ERROR"))</f>
        <v>32.213333029787762</v>
      </c>
      <c r="AR1093" s="100">
        <f>IF('Net zero activities &amp; levers'!$C$14="Off",('Activity data'!BK17*EF!$H30)*kgtoGg,IF('Net zero activities &amp; levers'!$C$14="On",('Net zero Activity data'!BK17*EF!$H30)*kgtoGg,"ERROR"))</f>
        <v>32.824001594072051</v>
      </c>
      <c r="AS1093" s="100">
        <f>IF('Net zero activities &amp; levers'!$C$14="Off",('Activity data'!BL17*EF!$H30)*kgtoGg,IF('Net zero activities &amp; levers'!$C$14="On",('Net zero Activity data'!BL17*EF!$H30)*kgtoGg,"ERROR"))</f>
        <v>33.44345200472538</v>
      </c>
      <c r="AT1093" s="100">
        <f>IF('Net zero activities &amp; levers'!$C$14="Off",('Activity data'!BM17*EF!$H30)*kgtoGg,IF('Net zero activities &amp; levers'!$C$14="On",('Net zero Activity data'!BM17*EF!$H30)*kgtoGg,"ERROR"))</f>
        <v>33.585687644316621</v>
      </c>
      <c r="AU1093" s="100">
        <f>IF('Net zero activities &amp; levers'!$C$14="Off",('Activity data'!BN17*EF!$H30)*kgtoGg,IF('Net zero activities &amp; levers'!$C$14="On",('Net zero Activity data'!BN17*EF!$H30)*kgtoGg,"ERROR"))</f>
        <v>33.687844553262984</v>
      </c>
      <c r="AV1093" s="100">
        <f>IF('Net zero activities &amp; levers'!$C$14="Off",('Activity data'!BO17*EF!$H30)*kgtoGg,IF('Net zero activities &amp; levers'!$C$14="On",('Net zero Activity data'!BO17*EF!$H30)*kgtoGg,"ERROR"))</f>
        <v>33.842868101765944</v>
      </c>
      <c r="AW1093" s="100">
        <f>IF('Net zero activities &amp; levers'!$C$14="Off",('Activity data'!BP17*EF!$H30)*kgtoGg,IF('Net zero activities &amp; levers'!$C$14="On",('Net zero Activity data'!BP17*EF!$H30)*kgtoGg,"ERROR"))</f>
        <v>33.963141150427894</v>
      </c>
      <c r="AY1093" s="85"/>
    </row>
    <row r="1094" spans="1:51" x14ac:dyDescent="0.25">
      <c r="A1094" s="102" t="str">
        <f t="shared" si="374"/>
        <v>CM Swine MMCH4</v>
      </c>
      <c r="B1094" s="102" t="s">
        <v>1323</v>
      </c>
      <c r="C1094" s="102" t="s">
        <v>1231</v>
      </c>
      <c r="D1094" t="s">
        <v>15</v>
      </c>
      <c r="E1094" t="s">
        <v>22</v>
      </c>
      <c r="F1094" t="s">
        <v>21</v>
      </c>
      <c r="G1094" t="s">
        <v>123</v>
      </c>
      <c r="H1094" t="s">
        <v>1228</v>
      </c>
      <c r="I1094" t="s">
        <v>121</v>
      </c>
      <c r="J1094" t="s">
        <v>286</v>
      </c>
      <c r="K1094" s="100">
        <f>IF('Net zero activities &amp; levers'!$C$14="Off",('Activity data'!AD18*EF!$H31)*kgtoGg,IF('Net zero activities &amp; levers'!$C$14="On",('Net zero Activity data'!AD18*EF!$H31)*kgtoGg,"ERROR"))</f>
        <v>7.8242315709845453E-2</v>
      </c>
      <c r="L1094" s="100">
        <f>IF('Net zero activities &amp; levers'!$C$14="Off",('Activity data'!AE18*EF!$H31)*kgtoGg,IF('Net zero activities &amp; levers'!$C$14="On",('Net zero Activity data'!AE18*EF!$H31)*kgtoGg,"ERROR"))</f>
        <v>7.8104031493402004E-2</v>
      </c>
      <c r="M1094" s="100">
        <f>IF('Net zero activities &amp; levers'!$C$14="Off",('Activity data'!AF18*EF!$H31)*kgtoGg,IF('Net zero activities &amp; levers'!$C$14="On",('Net zero Activity data'!AF18*EF!$H31)*kgtoGg,"ERROR"))</f>
        <v>7.7665827010763841E-2</v>
      </c>
      <c r="N1094" s="100">
        <f>IF('Net zero activities &amp; levers'!$C$14="Off",('Activity data'!AG18*EF!$H31)*kgtoGg,IF('Net zero activities &amp; levers'!$C$14="On",('Net zero Activity data'!AG18*EF!$H31)*kgtoGg,"ERROR"))</f>
        <v>7.5952031229919295E-2</v>
      </c>
      <c r="O1094" s="100">
        <f>IF('Net zero activities &amp; levers'!$C$14="Off",('Activity data'!AH18*EF!$H31)*kgtoGg,IF('Net zero activities &amp; levers'!$C$14="On",('Net zero Activity data'!AH18*EF!$H31)*kgtoGg,"ERROR"))</f>
        <v>7.4331360286072609E-2</v>
      </c>
      <c r="P1094" s="100">
        <f>IF('Net zero activities &amp; levers'!$C$14="Off",('Activity data'!AI18*EF!$H31)*kgtoGg,IF('Net zero activities &amp; levers'!$C$14="On",('Net zero Activity data'!AI18*EF!$H31)*kgtoGg,"ERROR"))</f>
        <v>7.4069780544722574E-2</v>
      </c>
      <c r="Q1094" s="100">
        <f>IF('Net zero activities &amp; levers'!$C$14="Off",('Activity data'!AJ18*EF!$H31)*kgtoGg,IF('Net zero activities &amp; levers'!$C$14="On",('Net zero Activity data'!AJ18*EF!$H31)*kgtoGg,"ERROR"))</f>
        <v>7.343479182129313E-2</v>
      </c>
      <c r="R1094" s="100">
        <f>IF('Net zero activities &amp; levers'!$C$14="Off",('Activity data'!AK18*EF!$H31)*kgtoGg,IF('Net zero activities &amp; levers'!$C$14="On",('Net zero Activity data'!AK18*EF!$H31)*kgtoGg,"ERROR"))</f>
        <v>7.1479069968441278E-2</v>
      </c>
      <c r="S1094" s="100">
        <f>IF('Net zero activities &amp; levers'!$C$14="Off",('Activity data'!AL18*EF!$H31)*kgtoGg,IF('Net zero activities &amp; levers'!$C$14="On",('Net zero Activity data'!AL18*EF!$H31)*kgtoGg,"ERROR"))</f>
        <v>6.3756023202968359E-2</v>
      </c>
      <c r="T1094" s="100">
        <f>IF('Net zero activities &amp; levers'!$C$14="Off",('Activity data'!AM18*EF!$H31)*kgtoGg,IF('Net zero activities &amp; levers'!$C$14="On",('Net zero Activity data'!AM18*EF!$H31)*kgtoGg,"ERROR"))</f>
        <v>6.5114428817346193E-2</v>
      </c>
      <c r="U1094" s="100">
        <f>IF('Net zero activities &amp; levers'!$C$14="Off",('Activity data'!AN18*EF!$H31)*kgtoGg,IF('Net zero activities &amp; levers'!$C$14="On",('Net zero Activity data'!AN18*EF!$H31)*kgtoGg,"ERROR"))</f>
        <v>6.573266994184411E-2</v>
      </c>
      <c r="V1094" s="100">
        <f>IF('Net zero activities &amp; levers'!$C$14="Off",('Activity data'!AO18*EF!$H31)*kgtoGg,IF('Net zero activities &amp; levers'!$C$14="On",('Net zero Activity data'!AO18*EF!$H31)*kgtoGg,"ERROR"))</f>
        <v>6.6179182963063049E-2</v>
      </c>
      <c r="W1094" s="100">
        <f>IF('Net zero activities &amp; levers'!$C$14="Off",('Activity data'!AP18*EF!$H31)*kgtoGg,IF('Net zero activities &amp; levers'!$C$14="On",('Net zero Activity data'!AP18*EF!$H31)*kgtoGg,"ERROR"))</f>
        <v>6.6871507305054881E-2</v>
      </c>
      <c r="X1094" s="100">
        <f>IF('Net zero activities &amp; levers'!$C$14="Off",('Activity data'!AQ18*EF!$H31)*kgtoGg,IF('Net zero activities &amp; levers'!$C$14="On",('Net zero Activity data'!AQ18*EF!$H31)*kgtoGg,"ERROR"))</f>
        <v>6.8424662460847732E-2</v>
      </c>
      <c r="Y1094" s="100">
        <f>IF('Net zero activities &amp; levers'!$C$14="Off",('Activity data'!AR18*EF!$H31)*kgtoGg,IF('Net zero activities &amp; levers'!$C$14="On",('Net zero Activity data'!AR18*EF!$H31)*kgtoGg,"ERROR"))</f>
        <v>7.017366454596935E-2</v>
      </c>
      <c r="Z1094" s="100">
        <f>IF('Net zero activities &amp; levers'!$C$14="Off",('Activity data'!AS18*EF!$H31)*kgtoGg,IF('Net zero activities &amp; levers'!$C$14="On",('Net zero Activity data'!AS18*EF!$H31)*kgtoGg,"ERROR"))</f>
        <v>7.2098922254937914E-2</v>
      </c>
      <c r="AA1094" s="100">
        <f>IF('Net zero activities &amp; levers'!$C$14="Off",('Activity data'!AT18*EF!$H31)*kgtoGg,IF('Net zero activities &amp; levers'!$C$14="On",('Net zero Activity data'!AT18*EF!$H31)*kgtoGg,"ERROR"))</f>
        <v>7.3634921389854294E-2</v>
      </c>
      <c r="AB1094" s="100">
        <f>IF('Net zero activities &amp; levers'!$C$14="Off",('Activity data'!AU18*EF!$H31)*kgtoGg,IF('Net zero activities &amp; levers'!$C$14="On",('Net zero Activity data'!AU18*EF!$H31)*kgtoGg,"ERROR"))</f>
        <v>7.5518799501162456E-2</v>
      </c>
      <c r="AC1094" s="100">
        <f>IF('Net zero activities &amp; levers'!$C$14="Off",('Activity data'!AV18*EF!$H31)*kgtoGg,IF('Net zero activities &amp; levers'!$C$14="On",('Net zero Activity data'!AV18*EF!$H31)*kgtoGg,"ERROR"))</f>
        <v>7.7826687864819472E-2</v>
      </c>
      <c r="AD1094" s="100">
        <f>IF('Net zero activities &amp; levers'!$C$14="Off",('Activity data'!AW18*EF!$H31)*kgtoGg,IF('Net zero activities &amp; levers'!$C$14="On",('Net zero Activity data'!AW18*EF!$H31)*kgtoGg,"ERROR"))</f>
        <v>8.0017517582026951E-2</v>
      </c>
      <c r="AE1094" s="100">
        <f>IF('Net zero activities &amp; levers'!$C$14="Off",('Activity data'!AX18*EF!$H31)*kgtoGg,IF('Net zero activities &amp; levers'!$C$14="On",('Net zero Activity data'!AX18*EF!$H31)*kgtoGg,"ERROR"))</f>
        <v>8.2297556224368434E-2</v>
      </c>
      <c r="AF1094" s="100">
        <f>IF('Net zero activities &amp; levers'!$C$14="Off",('Activity data'!AY18*EF!$H31)*kgtoGg,IF('Net zero activities &amp; levers'!$C$14="On",('Net zero Activity data'!AY18*EF!$H31)*kgtoGg,"ERROR"))</f>
        <v>8.459055098115266E-2</v>
      </c>
      <c r="AG1094" s="100">
        <f>IF('Net zero activities &amp; levers'!$C$14="Off",('Activity data'!AZ18*EF!$H31)*kgtoGg,IF('Net zero activities &amp; levers'!$C$14="On",('Net zero Activity data'!AZ18*EF!$H31)*kgtoGg,"ERROR"))</f>
        <v>8.7206324375397604E-2</v>
      </c>
      <c r="AH1094" s="100">
        <f>IF('Net zero activities &amp; levers'!$C$14="Off",('Activity data'!BA18*EF!$H31)*kgtoGg,IF('Net zero activities &amp; levers'!$C$14="On",('Net zero Activity data'!BA18*EF!$H31)*kgtoGg,"ERROR"))</f>
        <v>8.9324930766360944E-2</v>
      </c>
      <c r="AI1094" s="100">
        <f>IF('Net zero activities &amp; levers'!$C$14="Off",('Activity data'!BB18*EF!$H31)*kgtoGg,IF('Net zero activities &amp; levers'!$C$14="On",('Net zero Activity data'!BB18*EF!$H31)*kgtoGg,"ERROR"))</f>
        <v>9.1595272640242503E-2</v>
      </c>
      <c r="AJ1094" s="100">
        <f>IF('Net zero activities &amp; levers'!$C$14="Off",('Activity data'!BC18*EF!$H31)*kgtoGg,IF('Net zero activities &amp; levers'!$C$14="On",('Net zero Activity data'!BC18*EF!$H31)*kgtoGg,"ERROR"))</f>
        <v>9.3865588057281749E-2</v>
      </c>
      <c r="AK1094" s="100">
        <f>IF('Net zero activities &amp; levers'!$C$14="Off",('Activity data'!BD18*EF!$H31)*kgtoGg,IF('Net zero activities &amp; levers'!$C$14="On",('Net zero Activity data'!BD18*EF!$H31)*kgtoGg,"ERROR"))</f>
        <v>9.5924829668912234E-2</v>
      </c>
      <c r="AL1094" s="100">
        <f>IF('Net zero activities &amp; levers'!$C$14="Off",('Activity data'!BE18*EF!$H31)*kgtoGg,IF('Net zero activities &amp; levers'!$C$14="On",('Net zero Activity data'!BE18*EF!$H31)*kgtoGg,"ERROR"))</f>
        <v>9.7919502158733907E-2</v>
      </c>
      <c r="AM1094" s="100">
        <f>IF('Net zero activities &amp; levers'!$C$14="Off",('Activity data'!BF18*EF!$H31)*kgtoGg,IF('Net zero activities &amp; levers'!$C$14="On",('Net zero Activity data'!BF18*EF!$H31)*kgtoGg,"ERROR"))</f>
        <v>9.9975867843131505E-2</v>
      </c>
      <c r="AN1094" s="100">
        <f>IF('Net zero activities &amp; levers'!$C$14="Off",('Activity data'!BG18*EF!$H31)*kgtoGg,IF('Net zero activities &amp; levers'!$C$14="On",('Net zero Activity data'!BG18*EF!$H31)*kgtoGg,"ERROR"))</f>
        <v>0.1021500026170241</v>
      </c>
      <c r="AO1094" s="100">
        <f>IF('Net zero activities &amp; levers'!$C$14="Off",('Activity data'!BH18*EF!$H31)*kgtoGg,IF('Net zero activities &amp; levers'!$C$14="On",('Net zero Activity data'!BH18*EF!$H31)*kgtoGg,"ERROR"))</f>
        <v>0.10405987882933916</v>
      </c>
      <c r="AP1094" s="100">
        <f>IF('Net zero activities &amp; levers'!$C$14="Off",('Activity data'!BI18*EF!$H31)*kgtoGg,IF('Net zero activities &amp; levers'!$C$14="On",('Net zero Activity data'!BI18*EF!$H31)*kgtoGg,"ERROR"))</f>
        <v>0.10595538082381746</v>
      </c>
      <c r="AQ1094" s="100">
        <f>IF('Net zero activities &amp; levers'!$C$14="Off",('Activity data'!BJ18*EF!$H31)*kgtoGg,IF('Net zero activities &amp; levers'!$C$14="On",('Net zero Activity data'!BJ18*EF!$H31)*kgtoGg,"ERROR"))</f>
        <v>0.10784157993297315</v>
      </c>
      <c r="AR1094" s="100">
        <f>IF('Net zero activities &amp; levers'!$C$14="Off",('Activity data'!BK18*EF!$H31)*kgtoGg,IF('Net zero activities &amp; levers'!$C$14="On",('Net zero Activity data'!BK18*EF!$H31)*kgtoGg,"ERROR"))</f>
        <v>0.10988593413646158</v>
      </c>
      <c r="AS1094" s="100">
        <f>IF('Net zero activities &amp; levers'!$C$14="Off",('Activity data'!BL18*EF!$H31)*kgtoGg,IF('Net zero activities &amp; levers'!$C$14="On",('Net zero Activity data'!BL18*EF!$H31)*kgtoGg,"ERROR"))</f>
        <v>0.11195968760100405</v>
      </c>
      <c r="AT1094" s="100">
        <f>IF('Net zero activities &amp; levers'!$C$14="Off",('Activity data'!BM18*EF!$H31)*kgtoGg,IF('Net zero activities &amp; levers'!$C$14="On",('Net zero Activity data'!BM18*EF!$H31)*kgtoGg,"ERROR"))</f>
        <v>0.11243585428894388</v>
      </c>
      <c r="AU1094" s="100">
        <f>IF('Net zero activities &amp; levers'!$C$14="Off",('Activity data'!BN18*EF!$H31)*kgtoGg,IF('Net zero activities &amp; levers'!$C$14="On",('Net zero Activity data'!BN18*EF!$H31)*kgtoGg,"ERROR"))</f>
        <v>0.11277784815998038</v>
      </c>
      <c r="AV1094" s="100">
        <f>IF('Net zero activities &amp; levers'!$C$14="Off",('Activity data'!BO18*EF!$H31)*kgtoGg,IF('Net zero activities &amp; levers'!$C$14="On",('Net zero Activity data'!BO18*EF!$H31)*kgtoGg,"ERROR"))</f>
        <v>0.11329682532952431</v>
      </c>
      <c r="AW1094" s="100">
        <f>IF('Net zero activities &amp; levers'!$C$14="Off",('Activity data'!BP18*EF!$H31)*kgtoGg,IF('Net zero activities &amp; levers'!$C$14="On",('Net zero Activity data'!BP18*EF!$H31)*kgtoGg,"ERROR"))</f>
        <v>0.11369946716665012</v>
      </c>
      <c r="AY1094" s="85"/>
    </row>
    <row r="1095" spans="1:51" x14ac:dyDescent="0.25">
      <c r="A1095" s="102" t="str">
        <f t="shared" si="374"/>
        <v>CM Poultry MMCH4</v>
      </c>
      <c r="B1095" s="102" t="s">
        <v>1323</v>
      </c>
      <c r="C1095" s="102" t="s">
        <v>1232</v>
      </c>
      <c r="D1095" t="s">
        <v>15</v>
      </c>
      <c r="E1095" t="s">
        <v>22</v>
      </c>
      <c r="F1095" t="s">
        <v>28</v>
      </c>
      <c r="G1095" t="s">
        <v>131</v>
      </c>
      <c r="H1095" t="s">
        <v>1228</v>
      </c>
      <c r="I1095" t="s">
        <v>121</v>
      </c>
      <c r="J1095" t="s">
        <v>286</v>
      </c>
      <c r="K1095" s="100">
        <f>IF('Net zero activities &amp; levers'!$C$14="Off",('Activity data'!AD19*EF!$H32)*kgtoGg,IF('Net zero activities &amp; levers'!$C$14="On",('Net zero Activity data'!AD19*EF!$H32)*kgtoGg,"ERROR"))</f>
        <v>0.55747442882718667</v>
      </c>
      <c r="L1095" s="100">
        <f>IF('Net zero activities &amp; levers'!$C$14="Off",('Activity data'!AE19*EF!$H32)*kgtoGg,IF('Net zero activities &amp; levers'!$C$14="On",('Net zero Activity data'!AE19*EF!$H32)*kgtoGg,"ERROR"))</f>
        <v>0.57000466235661118</v>
      </c>
      <c r="M1095" s="100">
        <f>IF('Net zero activities &amp; levers'!$C$14="Off",('Activity data'!AF19*EF!$H32)*kgtoGg,IF('Net zero activities &amp; levers'!$C$14="On",('Net zero Activity data'!AF19*EF!$H32)*kgtoGg,"ERROR"))</f>
        <v>0.58133812133078289</v>
      </c>
      <c r="N1095" s="100">
        <f>IF('Net zero activities &amp; levers'!$C$14="Off",('Activity data'!AG19*EF!$H32)*kgtoGg,IF('Net zero activities &amp; levers'!$C$14="On",('Net zero Activity data'!AG19*EF!$H32)*kgtoGg,"ERROR"))</f>
        <v>0.58718909348293968</v>
      </c>
      <c r="O1095" s="100">
        <f>IF('Net zero activities &amp; levers'!$C$14="Off",('Activity data'!AH19*EF!$H32)*kgtoGg,IF('Net zero activities &amp; levers'!$C$14="On",('Net zero Activity data'!AH19*EF!$H32)*kgtoGg,"ERROR"))</f>
        <v>0.59320136752099994</v>
      </c>
      <c r="P1095" s="100">
        <f>IF('Net zero activities &amp; levers'!$C$14="Off",('Activity data'!AI19*EF!$H32)*kgtoGg,IF('Net zero activities &amp; levers'!$C$14="On",('Net zero Activity data'!AI19*EF!$H32)*kgtoGg,"ERROR"))</f>
        <v>0.60517178839490071</v>
      </c>
      <c r="Q1095" s="100">
        <f>IF('Net zero activities &amp; levers'!$C$14="Off",('Activity data'!AJ19*EF!$H32)*kgtoGg,IF('Net zero activities &amp; levers'!$C$14="On",('Net zero Activity data'!AJ19*EF!$H32)*kgtoGg,"ERROR"))</f>
        <v>0.61540759790167998</v>
      </c>
      <c r="R1095" s="100">
        <f>IF('Net zero activities &amp; levers'!$C$14="Off",('Activity data'!AK19*EF!$H32)*kgtoGg,IF('Net zero activities &amp; levers'!$C$14="On",('Net zero Activity data'!AK19*EF!$H32)*kgtoGg,"ERROR"))</f>
        <v>0.61929285714109983</v>
      </c>
      <c r="S1095" s="100">
        <f>IF('Net zero activities &amp; levers'!$C$14="Off",('Activity data'!AL19*EF!$H32)*kgtoGg,IF('Net zero activities &amp; levers'!$C$14="On",('Net zero Activity data'!AL19*EF!$H32)*kgtoGg,"ERROR"))</f>
        <v>0.59469792033381752</v>
      </c>
      <c r="T1095" s="100">
        <f>IF('Net zero activities &amp; levers'!$C$14="Off",('Activity data'!AM19*EF!$H32)*kgtoGg,IF('Net zero activities &amp; levers'!$C$14="On",('Net zero Activity data'!AM19*EF!$H32)*kgtoGg,"ERROR"))</f>
        <v>0.6123961678050206</v>
      </c>
      <c r="U1095" s="100">
        <f>IF('Net zero activities &amp; levers'!$C$14="Off",('Activity data'!AN19*EF!$H32)*kgtoGg,IF('Net zero activities &amp; levers'!$C$14="On",('Net zero Activity data'!AN19*EF!$H32)*kgtoGg,"ERROR"))</f>
        <v>0.62670000214524924</v>
      </c>
      <c r="V1095" s="100">
        <f>IF('Net zero activities &amp; levers'!$C$14="Off",('Activity data'!AO19*EF!$H32)*kgtoGg,IF('Net zero activities &amp; levers'!$C$14="On",('Net zero Activity data'!AO19*EF!$H32)*kgtoGg,"ERROR"))</f>
        <v>0.64033072034628857</v>
      </c>
      <c r="W1095" s="100">
        <f>IF('Net zero activities &amp; levers'!$C$14="Off",('Activity data'!AP19*EF!$H32)*kgtoGg,IF('Net zero activities &amp; levers'!$C$14="On",('Net zero Activity data'!AP19*EF!$H32)*kgtoGg,"ERROR"))</f>
        <v>0.65546604439463374</v>
      </c>
      <c r="X1095" s="100">
        <f>IF('Net zero activities &amp; levers'!$C$14="Off",('Activity data'!AQ19*EF!$H32)*kgtoGg,IF('Net zero activities &amp; levers'!$C$14="On",('Net zero Activity data'!AQ19*EF!$H32)*kgtoGg,"ERROR"))</f>
        <v>0.67555681395741984</v>
      </c>
      <c r="Y1095" s="100">
        <f>IF('Net zero activities &amp; levers'!$C$14="Off",('Activity data'!AR19*EF!$H32)*kgtoGg,IF('Net zero activities &amp; levers'!$C$14="On",('Net zero Activity data'!AR19*EF!$H32)*kgtoGg,"ERROR"))</f>
        <v>0.69665833659280063</v>
      </c>
      <c r="Z1095" s="100">
        <f>IF('Net zero activities &amp; levers'!$C$14="Off",('Activity data'!AS19*EF!$H32)*kgtoGg,IF('Net zero activities &amp; levers'!$C$14="On",('Net zero Activity data'!AS19*EF!$H32)*kgtoGg,"ERROR"))</f>
        <v>0.7192776675745407</v>
      </c>
      <c r="AA1095" s="100">
        <f>IF('Net zero activities &amp; levers'!$C$14="Off",('Activity data'!AT19*EF!$H32)*kgtoGg,IF('Net zero activities &amp; levers'!$C$14="On",('Net zero Activity data'!AT19*EF!$H32)*kgtoGg,"ERROR"))</f>
        <v>0.74020059701318874</v>
      </c>
      <c r="AB1095" s="100">
        <f>IF('Net zero activities &amp; levers'!$C$14="Off",('Activity data'!AU19*EF!$H32)*kgtoGg,IF('Net zero activities &amp; levers'!$C$14="On",('Net zero Activity data'!AU19*EF!$H32)*kgtoGg,"ERROR"))</f>
        <v>0.7636741686553643</v>
      </c>
      <c r="AC1095" s="100">
        <f>IF('Net zero activities &amp; levers'!$C$14="Off",('Activity data'!AV19*EF!$H32)*kgtoGg,IF('Net zero activities &amp; levers'!$C$14="On",('Net zero Activity data'!AV19*EF!$H32)*kgtoGg,"ERROR"))</f>
        <v>0.79029892011866243</v>
      </c>
      <c r="AD1095" s="100">
        <f>IF('Net zero activities &amp; levers'!$C$14="Off",('Activity data'!AW19*EF!$H32)*kgtoGg,IF('Net zero activities &amp; levers'!$C$14="On",('Net zero Activity data'!AW19*EF!$H32)*kgtoGg,"ERROR"))</f>
        <v>0.81639549054517768</v>
      </c>
      <c r="AE1095" s="100">
        <f>IF('Net zero activities &amp; levers'!$C$14="Off",('Activity data'!AX19*EF!$H32)*kgtoGg,IF('Net zero activities &amp; levers'!$C$14="On",('Net zero Activity data'!AX19*EF!$H32)*kgtoGg,"ERROR"))</f>
        <v>0.84372718721281392</v>
      </c>
      <c r="AF1095" s="100">
        <f>IF('Net zero activities &amp; levers'!$C$14="Off",('Activity data'!AY19*EF!$H32)*kgtoGg,IF('Net zero activities &amp; levers'!$C$14="On",('Net zero Activity data'!AY19*EF!$H32)*kgtoGg,"ERROR"))</f>
        <v>0.87185215188264154</v>
      </c>
      <c r="AG1095" s="100">
        <f>IF('Net zero activities &amp; levers'!$C$14="Off",('Activity data'!AZ19*EF!$H32)*kgtoGg,IF('Net zero activities &amp; levers'!$C$14="On",('Net zero Activity data'!AZ19*EF!$H32)*kgtoGg,"ERROR"))</f>
        <v>0.90282405951998446</v>
      </c>
      <c r="AH1095" s="100">
        <f>IF('Net zero activities &amp; levers'!$C$14="Off",('Activity data'!BA19*EF!$H32)*kgtoGg,IF('Net zero activities &amp; levers'!$C$14="On",('Net zero Activity data'!BA19*EF!$H32)*kgtoGg,"ERROR"))</f>
        <v>0.93129930364506475</v>
      </c>
      <c r="AI1095" s="100">
        <f>IF('Net zero activities &amp; levers'!$C$14="Off",('Activity data'!BB19*EF!$H32)*kgtoGg,IF('Net zero activities &amp; levers'!$C$14="On",('Net zero Activity data'!BB19*EF!$H32)*kgtoGg,"ERROR"))</f>
        <v>0.96108950462978437</v>
      </c>
      <c r="AJ1095" s="100">
        <f>IF('Net zero activities &amp; levers'!$C$14="Off",('Activity data'!BC19*EF!$H32)*kgtoGg,IF('Net zero activities &amp; levers'!$C$14="On",('Net zero Activity data'!BC19*EF!$H32)*kgtoGg,"ERROR"))</f>
        <v>0.99164854163197635</v>
      </c>
      <c r="AK1095" s="100">
        <f>IF('Net zero activities &amp; levers'!$C$14="Off",('Activity data'!BD19*EF!$H32)*kgtoGg,IF('Net zero activities &amp; levers'!$C$14="On",('Net zero Activity data'!BD19*EF!$H32)*kgtoGg,"ERROR"))</f>
        <v>1.0214996622641284</v>
      </c>
      <c r="AL1095" s="100">
        <f>IF('Net zero activities &amp; levers'!$C$14="Off",('Activity data'!BE19*EF!$H32)*kgtoGg,IF('Net zero activities &amp; levers'!$C$14="On",('Net zero Activity data'!BE19*EF!$H32)*kgtoGg,"ERROR"))</f>
        <v>1.0516345292230644</v>
      </c>
      <c r="AM1095" s="100">
        <f>IF('Net zero activities &amp; levers'!$C$14="Off",('Activity data'!BF19*EF!$H32)*kgtoGg,IF('Net zero activities &amp; levers'!$C$14="On",('Net zero Activity data'!BF19*EF!$H32)*kgtoGg,"ERROR"))</f>
        <v>1.0829748845958596</v>
      </c>
      <c r="AN1095" s="100">
        <f>IF('Net zero activities &amp; levers'!$C$14="Off",('Activity data'!BG19*EF!$H32)*kgtoGg,IF('Net zero activities &amp; levers'!$C$14="On",('Net zero Activity data'!BG19*EF!$H32)*kgtoGg,"ERROR"))</f>
        <v>1.1155704742631816</v>
      </c>
      <c r="AO1095" s="100">
        <f>IF('Net zero activities &amp; levers'!$C$14="Off",('Activity data'!BH19*EF!$H32)*kgtoGg,IF('Net zero activities &amp; levers'!$C$14="On",('Net zero Activity data'!BH19*EF!$H32)*kgtoGg,"ERROR"))</f>
        <v>1.1469836186626363</v>
      </c>
      <c r="AP1095" s="100">
        <f>IF('Net zero activities &amp; levers'!$C$14="Off",('Activity data'!BI19*EF!$H32)*kgtoGg,IF('Net zero activities &amp; levers'!$C$14="On",('Net zero Activity data'!BI19*EF!$H32)*kgtoGg,"ERROR"))</f>
        <v>1.1790678557525369</v>
      </c>
      <c r="AQ1095" s="100">
        <f>IF('Net zero activities &amp; levers'!$C$14="Off",('Activity data'!BJ19*EF!$H32)*kgtoGg,IF('Net zero activities &amp; levers'!$C$14="On",('Net zero Activity data'!BJ19*EF!$H32)*kgtoGg,"ERROR"))</f>
        <v>1.2118785602379014</v>
      </c>
      <c r="AR1095" s="100">
        <f>IF('Net zero activities &amp; levers'!$C$14="Off",('Activity data'!BK19*EF!$H32)*kgtoGg,IF('Net zero activities &amp; levers'!$C$14="On",('Net zero Activity data'!BK19*EF!$H32)*kgtoGg,"ERROR"))</f>
        <v>1.246786730113024</v>
      </c>
      <c r="AS1095" s="100">
        <f>IF('Net zero activities &amp; levers'!$C$14="Off",('Activity data'!BL19*EF!$H32)*kgtoGg,IF('Net zero activities &amp; levers'!$C$14="On",('Net zero Activity data'!BL19*EF!$H32)*kgtoGg,"ERROR"))</f>
        <v>1.2823996493212451</v>
      </c>
      <c r="AT1095" s="100">
        <f>IF('Net zero activities &amp; levers'!$C$14="Off",('Activity data'!BM19*EF!$H32)*kgtoGg,IF('Net zero activities &amp; levers'!$C$14="On",('Net zero Activity data'!BM19*EF!$H32)*kgtoGg,"ERROR"))</f>
        <v>1.3055397260898673</v>
      </c>
      <c r="AU1095" s="100">
        <f>IF('Net zero activities &amp; levers'!$C$14="Off",('Activity data'!BN19*EF!$H32)*kgtoGg,IF('Net zero activities &amp; levers'!$C$14="On",('Net zero Activity data'!BN19*EF!$H32)*kgtoGg,"ERROR"))</f>
        <v>1.3279825002684047</v>
      </c>
      <c r="AV1095" s="100">
        <f>IF('Net zero activities &amp; levers'!$C$14="Off",('Activity data'!BO19*EF!$H32)*kgtoGg,IF('Net zero activities &amp; levers'!$C$14="On",('Net zero Activity data'!BO19*EF!$H32)*kgtoGg,"ERROR"))</f>
        <v>1.3523851767933999</v>
      </c>
      <c r="AW1095" s="100">
        <f>IF('Net zero activities &amp; levers'!$C$14="Off",('Activity data'!BP19*EF!$H32)*kgtoGg,IF('Net zero activities &amp; levers'!$C$14="On",('Net zero Activity data'!BP19*EF!$H32)*kgtoGg,"ERROR"))</f>
        <v>1.3762491253290834</v>
      </c>
      <c r="AY1095" s="85"/>
    </row>
    <row r="1096" spans="1:51" x14ac:dyDescent="0.25">
      <c r="A1096" s="102" t="str">
        <f t="shared" si="374"/>
        <v>CM Poultry MMCH4</v>
      </c>
      <c r="B1096" s="102" t="s">
        <v>1323</v>
      </c>
      <c r="C1096" s="102" t="s">
        <v>1232</v>
      </c>
      <c r="D1096" t="s">
        <v>15</v>
      </c>
      <c r="E1096" t="s">
        <v>22</v>
      </c>
      <c r="F1096" t="s">
        <v>28</v>
      </c>
      <c r="G1096" t="s">
        <v>132</v>
      </c>
      <c r="H1096" t="s">
        <v>1228</v>
      </c>
      <c r="I1096" t="s">
        <v>121</v>
      </c>
      <c r="J1096" t="s">
        <v>286</v>
      </c>
      <c r="K1096" s="100">
        <f>IF('Net zero activities &amp; levers'!$C$14="Off",('Activity data'!AD20*EF!$H33)*kgtoGg,IF('Net zero activities &amp; levers'!$C$14="On",('Net zero Activity data'!AD20*EF!$H33)*kgtoGg,"ERROR"))</f>
        <v>2.2247786627421906</v>
      </c>
      <c r="L1096" s="100">
        <f>IF('Net zero activities &amp; levers'!$C$14="Off",('Activity data'!AE20*EF!$H33)*kgtoGg,IF('Net zero activities &amp; levers'!$C$14="On",('Net zero Activity data'!AE20*EF!$H33)*kgtoGg,"ERROR"))</f>
        <v>2.2660704090846675</v>
      </c>
      <c r="M1096" s="100">
        <f>IF('Net zero activities &amp; levers'!$C$14="Off",('Activity data'!AF20*EF!$H33)*kgtoGg,IF('Net zero activities &amp; levers'!$C$14="On",('Net zero Activity data'!AF20*EF!$H33)*kgtoGg,"ERROR"))</f>
        <v>2.2931151480493956</v>
      </c>
      <c r="N1096" s="100">
        <f>IF('Net zero activities &amp; levers'!$C$14="Off",('Activity data'!AG20*EF!$H33)*kgtoGg,IF('Net zero activities &amp; levers'!$C$14="On",('Net zero Activity data'!AG20*EF!$H33)*kgtoGg,"ERROR"))</f>
        <v>2.263369089113628</v>
      </c>
      <c r="O1096" s="100">
        <f>IF('Net zero activities &amp; levers'!$C$14="Off",('Activity data'!AH20*EF!$H33)*kgtoGg,IF('Net zero activities &amp; levers'!$C$14="On",('Net zero Activity data'!AH20*EF!$H33)*kgtoGg,"ERROR"))</f>
        <v>2.2345214699411633</v>
      </c>
      <c r="P1096" s="100">
        <f>IF('Net zero activities &amp; levers'!$C$14="Off",('Activity data'!AI20*EF!$H33)*kgtoGg,IF('Net zero activities &amp; levers'!$C$14="On",('Net zero Activity data'!AI20*EF!$H33)*kgtoGg,"ERROR"))</f>
        <v>2.2631068961220624</v>
      </c>
      <c r="Q1096" s="100">
        <f>IF('Net zero activities &amp; levers'!$C$14="Off",('Activity data'!AJ20*EF!$H33)*kgtoGg,IF('Net zero activities &amp; levers'!$C$14="On",('Net zero Activity data'!AJ20*EF!$H33)*kgtoGg,"ERROR"))</f>
        <v>2.2741216722530595</v>
      </c>
      <c r="R1096" s="100">
        <f>IF('Net zero activities &amp; levers'!$C$14="Off",('Activity data'!AK20*EF!$H33)*kgtoGg,IF('Net zero activities &amp; levers'!$C$14="On",('Net zero Activity data'!AK20*EF!$H33)*kgtoGg,"ERROR"))</f>
        <v>2.2236230251769533</v>
      </c>
      <c r="S1096" s="100">
        <f>IF('Net zero activities &amp; levers'!$C$14="Off",('Activity data'!AL20*EF!$H33)*kgtoGg,IF('Net zero activities &amp; levers'!$C$14="On",('Net zero Activity data'!AL20*EF!$H33)*kgtoGg,"ERROR"))</f>
        <v>1.9032751826814061</v>
      </c>
      <c r="T1096" s="100">
        <f>IF('Net zero activities &amp; levers'!$C$14="Off",('Activity data'!AM20*EF!$H33)*kgtoGg,IF('Net zero activities &amp; levers'!$C$14="On",('Net zero Activity data'!AM20*EF!$H33)*kgtoGg,"ERROR"))</f>
        <v>2.0046035785493506</v>
      </c>
      <c r="U1096" s="100">
        <f>IF('Net zero activities &amp; levers'!$C$14="Off",('Activity data'!AN20*EF!$H33)*kgtoGg,IF('Net zero activities &amp; levers'!$C$14="On",('Net zero Activity data'!AN20*EF!$H33)*kgtoGg,"ERROR"))</f>
        <v>2.0722805335533998</v>
      </c>
      <c r="V1096" s="100">
        <f>IF('Net zero activities &amp; levers'!$C$14="Off",('Activity data'!AO20*EF!$H33)*kgtoGg,IF('Net zero activities &amp; levers'!$C$14="On",('Net zero Activity data'!AO20*EF!$H33)*kgtoGg,"ERROR"))</f>
        <v>2.1323664222766392</v>
      </c>
      <c r="W1096" s="100">
        <f>IF('Net zero activities &amp; levers'!$C$14="Off",('Activity data'!AP20*EF!$H33)*kgtoGg,IF('Net zero activities &amp; levers'!$C$14="On",('Net zero Activity data'!AP20*EF!$H33)*kgtoGg,"ERROR"))</f>
        <v>2.2049850036219838</v>
      </c>
      <c r="X1096" s="100">
        <f>IF('Net zero activities &amp; levers'!$C$14="Off",('Activity data'!AQ20*EF!$H33)*kgtoGg,IF('Net zero activities &amp; levers'!$C$14="On",('Net zero Activity data'!AQ20*EF!$H33)*kgtoGg,"ERROR"))</f>
        <v>2.3210987370699616</v>
      </c>
      <c r="Y1096" s="100">
        <f>IF('Net zero activities &amp; levers'!$C$14="Off",('Activity data'!AR20*EF!$H33)*kgtoGg,IF('Net zero activities &amp; levers'!$C$14="On",('Net zero Activity data'!AR20*EF!$H33)*kgtoGg,"ERROR"))</f>
        <v>2.450961924931216</v>
      </c>
      <c r="Z1096" s="100">
        <f>IF('Net zero activities &amp; levers'!$C$14="Off",('Activity data'!AS20*EF!$H33)*kgtoGg,IF('Net zero activities &amp; levers'!$C$14="On",('Net zero Activity data'!AS20*EF!$H33)*kgtoGg,"ERROR"))</f>
        <v>2.5921702619941325</v>
      </c>
      <c r="AA1096" s="100">
        <f>IF('Net zero activities &amp; levers'!$C$14="Off",('Activity data'!AT20*EF!$H33)*kgtoGg,IF('Net zero activities &amp; levers'!$C$14="On",('Net zero Activity data'!AT20*EF!$H33)*kgtoGg,"ERROR"))</f>
        <v>2.7160503961597109</v>
      </c>
      <c r="AB1096" s="100">
        <f>IF('Net zero activities &amp; levers'!$C$14="Off",('Activity data'!AU20*EF!$H33)*kgtoGg,IF('Net zero activities &amp; levers'!$C$14="On",('Net zero Activity data'!AU20*EF!$H33)*kgtoGg,"ERROR"))</f>
        <v>2.8603117309837756</v>
      </c>
      <c r="AC1096" s="100">
        <f>IF('Net zero activities &amp; levers'!$C$14="Off",('Activity data'!AV20*EF!$H33)*kgtoGg,IF('Net zero activities &amp; levers'!$C$14="On",('Net zero Activity data'!AV20*EF!$H33)*kgtoGg,"ERROR"))</f>
        <v>3.029739535035842</v>
      </c>
      <c r="AD1096" s="100">
        <f>IF('Net zero activities &amp; levers'!$C$14="Off",('Activity data'!AW20*EF!$H33)*kgtoGg,IF('Net zero activities &amp; levers'!$C$14="On",('Net zero Activity data'!AW20*EF!$H33)*kgtoGg,"ERROR"))</f>
        <v>3.1977253746200947</v>
      </c>
      <c r="AE1096" s="100">
        <f>IF('Net zero activities &amp; levers'!$C$14="Off",('Activity data'!AX20*EF!$H33)*kgtoGg,IF('Net zero activities &amp; levers'!$C$14="On",('Net zero Activity data'!AX20*EF!$H33)*kgtoGg,"ERROR"))</f>
        <v>3.3739128374251997</v>
      </c>
      <c r="AF1096" s="100">
        <f>IF('Net zero activities &amp; levers'!$C$14="Off",('Activity data'!AY20*EF!$H33)*kgtoGg,IF('Net zero activities &amp; levers'!$C$14="On",('Net zero Activity data'!AY20*EF!$H33)*kgtoGg,"ERROR"))</f>
        <v>3.554394745932111</v>
      </c>
      <c r="AG1096" s="100">
        <f>IF('Net zero activities &amp; levers'!$C$14="Off",('Activity data'!AZ20*EF!$H33)*kgtoGg,IF('Net zero activities &amp; levers'!$C$14="On",('Net zero Activity data'!AZ20*EF!$H33)*kgtoGg,"ERROR"))</f>
        <v>3.7564939615925526</v>
      </c>
      <c r="AH1096" s="100">
        <f>IF('Net zero activities &amp; levers'!$C$14="Off",('Activity data'!BA20*EF!$H33)*kgtoGg,IF('Net zero activities &amp; levers'!$C$14="On",('Net zero Activity data'!BA20*EF!$H33)*kgtoGg,"ERROR"))</f>
        <v>3.9348861208192654</v>
      </c>
      <c r="AI1096" s="100">
        <f>IF('Net zero activities &amp; levers'!$C$14="Off",('Activity data'!BB20*EF!$H33)*kgtoGg,IF('Net zero activities &amp; levers'!$C$14="On",('Net zero Activity data'!BB20*EF!$H33)*kgtoGg,"ERROR"))</f>
        <v>4.1269471497897161</v>
      </c>
      <c r="AJ1096" s="100">
        <f>IF('Net zero activities &amp; levers'!$C$14="Off",('Activity data'!BC20*EF!$H33)*kgtoGg,IF('Net zero activities &amp; levers'!$C$14="On",('Net zero Activity data'!BC20*EF!$H33)*kgtoGg,"ERROR"))</f>
        <v>4.3229748797392453</v>
      </c>
      <c r="AK1096" s="100">
        <f>IF('Net zero activities &amp; levers'!$C$14="Off",('Activity data'!BD20*EF!$H33)*kgtoGg,IF('Net zero activities &amp; levers'!$C$14="On",('Net zero Activity data'!BD20*EF!$H33)*kgtoGg,"ERROR"))</f>
        <v>4.5107503932379895</v>
      </c>
      <c r="AL1096" s="100">
        <f>IF('Net zero activities &amp; levers'!$C$14="Off",('Activity data'!BE20*EF!$H33)*kgtoGg,IF('Net zero activities &amp; levers'!$C$14="On",('Net zero Activity data'!BE20*EF!$H33)*kgtoGg,"ERROR"))</f>
        <v>4.6985789719729816</v>
      </c>
      <c r="AM1096" s="100">
        <f>IF('Net zero activities &amp; levers'!$C$14="Off",('Activity data'!BF20*EF!$H33)*kgtoGg,IF('Net zero activities &amp; levers'!$C$14="On",('Net zero Activity data'!BF20*EF!$H33)*kgtoGg,"ERROR"))</f>
        <v>4.893986284165579</v>
      </c>
      <c r="AN1096" s="100">
        <f>IF('Net zero activities &amp; levers'!$C$14="Off",('Activity data'!BG20*EF!$H33)*kgtoGg,IF('Net zero activities &amp; levers'!$C$14="On",('Net zero Activity data'!BG20*EF!$H33)*kgtoGg,"ERROR"))</f>
        <v>5.1018976665121256</v>
      </c>
      <c r="AO1096" s="100">
        <f>IF('Net zero activities &amp; levers'!$C$14="Off",('Activity data'!BH20*EF!$H33)*kgtoGg,IF('Net zero activities &amp; levers'!$C$14="On",('Net zero Activity data'!BH20*EF!$H33)*kgtoGg,"ERROR"))</f>
        <v>5.2979610077610504</v>
      </c>
      <c r="AP1096" s="100">
        <f>IF('Net zero activities &amp; levers'!$C$14="Off",('Activity data'!BI20*EF!$H33)*kgtoGg,IF('Net zero activities &amp; levers'!$C$14="On",('Net zero Activity data'!BI20*EF!$H33)*kgtoGg,"ERROR"))</f>
        <v>5.4972273866019377</v>
      </c>
      <c r="AQ1096" s="100">
        <f>IF('Net zero activities &amp; levers'!$C$14="Off",('Activity data'!BJ20*EF!$H33)*kgtoGg,IF('Net zero activities &amp; levers'!$C$14="On",('Net zero Activity data'!BJ20*EF!$H33)*kgtoGg,"ERROR"))</f>
        <v>5.7001022471339153</v>
      </c>
      <c r="AR1096" s="100">
        <f>IF('Net zero activities &amp; levers'!$C$14="Off",('Activity data'!BK20*EF!$H33)*kgtoGg,IF('Net zero activities &amp; levers'!$C$14="On",('Net zero Activity data'!BK20*EF!$H33)*kgtoGg,"ERROR"))</f>
        <v>5.9173783346930424</v>
      </c>
      <c r="AS1096" s="100">
        <f>IF('Net zero activities &amp; levers'!$C$14="Off",('Activity data'!BL20*EF!$H33)*kgtoGg,IF('Net zero activities &amp; levers'!$C$14="On",('Net zero Activity data'!BL20*EF!$H33)*kgtoGg,"ERROR"))</f>
        <v>6.1425188266778008</v>
      </c>
      <c r="AT1096" s="100">
        <f>IF('Net zero activities &amp; levers'!$C$14="Off",('Activity data'!BM20*EF!$H33)*kgtoGg,IF('Net zero activities &amp; levers'!$C$14="On",('Net zero Activity data'!BM20*EF!$H33)*kgtoGg,"ERROR"))</f>
        <v>6.2678872195245621</v>
      </c>
      <c r="AU1096" s="100">
        <f>IF('Net zero activities &amp; levers'!$C$14="Off",('Activity data'!BN20*EF!$H33)*kgtoGg,IF('Net zero activities &amp; levers'!$C$14="On",('Net zero Activity data'!BN20*EF!$H33)*kgtoGg,"ERROR"))</f>
        <v>6.3866560184025367</v>
      </c>
      <c r="AV1096" s="100">
        <f>IF('Net zero activities &amp; levers'!$C$14="Off",('Activity data'!BO20*EF!$H33)*kgtoGg,IF('Net zero activities &amp; levers'!$C$14="On",('Net zero Activity data'!BO20*EF!$H33)*kgtoGg,"ERROR"))</f>
        <v>6.5194780753357007</v>
      </c>
      <c r="AW1096" s="100">
        <f>IF('Net zero activities &amp; levers'!$C$14="Off",('Activity data'!BP20*EF!$H33)*kgtoGg,IF('Net zero activities &amp; levers'!$C$14="On",('Net zero Activity data'!BP20*EF!$H33)*kgtoGg,"ERROR"))</f>
        <v>6.6469233903355809</v>
      </c>
      <c r="AY1096" s="85"/>
    </row>
    <row r="1097" spans="1:51" x14ac:dyDescent="0.25">
      <c r="A1097" s="102" t="str">
        <f t="shared" si="374"/>
        <v>CM Poultry MMCH4</v>
      </c>
      <c r="B1097" s="102" t="s">
        <v>1323</v>
      </c>
      <c r="C1097" s="102" t="s">
        <v>1232</v>
      </c>
      <c r="D1097" t="s">
        <v>15</v>
      </c>
      <c r="E1097" t="s">
        <v>22</v>
      </c>
      <c r="F1097" t="s">
        <v>28</v>
      </c>
      <c r="G1097" t="s">
        <v>134</v>
      </c>
      <c r="H1097" t="s">
        <v>1228</v>
      </c>
      <c r="I1097" t="s">
        <v>121</v>
      </c>
      <c r="J1097" t="s">
        <v>286</v>
      </c>
      <c r="K1097" s="100">
        <f>IF('Net zero activities &amp; levers'!$C$14="Off",('Activity data'!AD21*EF!$H34)*kgtoGg,IF('Net zero activities &amp; levers'!$C$14="On",('Net zero Activity data'!AD21*EF!$H34)*kgtoGg,"ERROR"))</f>
        <v>2.3228101201132799E-2</v>
      </c>
      <c r="L1097" s="100">
        <f>IF('Net zero activities &amp; levers'!$C$14="Off",('Activity data'!AE21*EF!$H34)*kgtoGg,IF('Net zero activities &amp; levers'!$C$14="On",('Net zero Activity data'!AE21*EF!$H34)*kgtoGg,"ERROR"))</f>
        <v>2.3750194264858821E-2</v>
      </c>
      <c r="M1097" s="100">
        <f>IF('Net zero activities &amp; levers'!$C$14="Off",('Activity data'!AF21*EF!$H34)*kgtoGg,IF('Net zero activities &amp; levers'!$C$14="On",('Net zero Activity data'!AF21*EF!$H34)*kgtoGg,"ERROR"))</f>
        <v>2.4222421722115972E-2</v>
      </c>
      <c r="N1097" s="100">
        <f>IF('Net zero activities &amp; levers'!$C$14="Off",('Activity data'!AG21*EF!$H34)*kgtoGg,IF('Net zero activities &amp; levers'!$C$14="On",('Net zero Activity data'!AG21*EF!$H34)*kgtoGg,"ERROR"))</f>
        <v>2.4466212228455842E-2</v>
      </c>
      <c r="O1097" s="100">
        <f>IF('Net zero activities &amp; levers'!$C$14="Off",('Activity data'!AH21*EF!$H34)*kgtoGg,IF('Net zero activities &amp; levers'!$C$14="On",('Net zero Activity data'!AH21*EF!$H34)*kgtoGg,"ERROR"))</f>
        <v>2.4716723646708353E-2</v>
      </c>
      <c r="P1097" s="100">
        <f>IF('Net zero activities &amp; levers'!$C$14="Off",('Activity data'!AI21*EF!$H34)*kgtoGg,IF('Net zero activities &amp; levers'!$C$14="On",('Net zero Activity data'!AI21*EF!$H34)*kgtoGg,"ERROR"))</f>
        <v>2.5215491183120883E-2</v>
      </c>
      <c r="Q1097" s="100">
        <f>IF('Net zero activities &amp; levers'!$C$14="Off",('Activity data'!AJ21*EF!$H34)*kgtoGg,IF('Net zero activities &amp; levers'!$C$14="On",('Net zero Activity data'!AJ21*EF!$H34)*kgtoGg,"ERROR"))</f>
        <v>2.564198324590336E-2</v>
      </c>
      <c r="R1097" s="100">
        <f>IF('Net zero activities &amp; levers'!$C$14="Off",('Activity data'!AK21*EF!$H34)*kgtoGg,IF('Net zero activities &amp; levers'!$C$14="On",('Net zero Activity data'!AK21*EF!$H34)*kgtoGg,"ERROR"))</f>
        <v>2.5803869047545849E-2</v>
      </c>
      <c r="S1097" s="100">
        <f>IF('Net zero activities &amp; levers'!$C$14="Off",('Activity data'!AL21*EF!$H34)*kgtoGg,IF('Net zero activities &amp; levers'!$C$14="On",('Net zero Activity data'!AL21*EF!$H34)*kgtoGg,"ERROR"))</f>
        <v>2.4779080013909088E-2</v>
      </c>
      <c r="T1097" s="100">
        <f>IF('Net zero activities &amp; levers'!$C$14="Off",('Activity data'!AM21*EF!$H34)*kgtoGg,IF('Net zero activities &amp; levers'!$C$14="On",('Net zero Activity data'!AM21*EF!$H34)*kgtoGg,"ERROR"))</f>
        <v>2.5516506991875881E-2</v>
      </c>
      <c r="U1097" s="100">
        <f>IF('Net zero activities &amp; levers'!$C$14="Off",('Activity data'!AN21*EF!$H34)*kgtoGg,IF('Net zero activities &amp; levers'!$C$14="On",('Net zero Activity data'!AN21*EF!$H34)*kgtoGg,"ERROR"))</f>
        <v>2.6112500089385413E-2</v>
      </c>
      <c r="V1097" s="100">
        <f>IF('Net zero activities &amp; levers'!$C$14="Off",('Activity data'!AO21*EF!$H34)*kgtoGg,IF('Net zero activities &amp; levers'!$C$14="On",('Net zero Activity data'!AO21*EF!$H34)*kgtoGg,"ERROR"))</f>
        <v>2.6680446681095382E-2</v>
      </c>
      <c r="W1097" s="100">
        <f>IF('Net zero activities &amp; levers'!$C$14="Off",('Activity data'!AP21*EF!$H34)*kgtoGg,IF('Net zero activities &amp; levers'!$C$14="On",('Net zero Activity data'!AP21*EF!$H34)*kgtoGg,"ERROR"))</f>
        <v>2.7311085183109759E-2</v>
      </c>
      <c r="X1097" s="100">
        <f>IF('Net zero activities &amp; levers'!$C$14="Off",('Activity data'!AQ21*EF!$H34)*kgtoGg,IF('Net zero activities &amp; levers'!$C$14="On",('Net zero Activity data'!AQ21*EF!$H34)*kgtoGg,"ERROR"))</f>
        <v>2.8148200581559191E-2</v>
      </c>
      <c r="Y1097" s="100">
        <f>IF('Net zero activities &amp; levers'!$C$14="Off",('Activity data'!AR21*EF!$H34)*kgtoGg,IF('Net zero activities &amp; levers'!$C$14="On",('Net zero Activity data'!AR21*EF!$H34)*kgtoGg,"ERROR"))</f>
        <v>2.9027430691366724E-2</v>
      </c>
      <c r="Z1097" s="100">
        <f>IF('Net zero activities &amp; levers'!$C$14="Off",('Activity data'!AS21*EF!$H34)*kgtoGg,IF('Net zero activities &amp; levers'!$C$14="On",('Net zero Activity data'!AS21*EF!$H34)*kgtoGg,"ERROR"))</f>
        <v>2.9969902815605892E-2</v>
      </c>
      <c r="AA1097" s="100">
        <f>IF('Net zero activities &amp; levers'!$C$14="Off",('Activity data'!AT21*EF!$H34)*kgtoGg,IF('Net zero activities &amp; levers'!$C$14="On",('Net zero Activity data'!AT21*EF!$H34)*kgtoGg,"ERROR"))</f>
        <v>3.0841691542216221E-2</v>
      </c>
      <c r="AB1097" s="100">
        <f>IF('Net zero activities &amp; levers'!$C$14="Off",('Activity data'!AU21*EF!$H34)*kgtoGg,IF('Net zero activities &amp; levers'!$C$14="On",('Net zero Activity data'!AU21*EF!$H34)*kgtoGg,"ERROR"))</f>
        <v>3.1819757027306869E-2</v>
      </c>
      <c r="AC1097" s="100">
        <f>IF('Net zero activities &amp; levers'!$C$14="Off",('Activity data'!AV21*EF!$H34)*kgtoGg,IF('Net zero activities &amp; levers'!$C$14="On",('Net zero Activity data'!AV21*EF!$H34)*kgtoGg,"ERROR"))</f>
        <v>3.292912167161096E-2</v>
      </c>
      <c r="AD1097" s="100">
        <f>IF('Net zero activities &amp; levers'!$C$14="Off",('Activity data'!AW21*EF!$H34)*kgtoGg,IF('Net zero activities &amp; levers'!$C$14="On",('Net zero Activity data'!AW21*EF!$H34)*kgtoGg,"ERROR"))</f>
        <v>3.4016478772715769E-2</v>
      </c>
      <c r="AE1097" s="100">
        <f>IF('Net zero activities &amp; levers'!$C$14="Off",('Activity data'!AX21*EF!$H34)*kgtoGg,IF('Net zero activities &amp; levers'!$C$14="On",('Net zero Activity data'!AX21*EF!$H34)*kgtoGg,"ERROR"))</f>
        <v>3.5155299467200612E-2</v>
      </c>
      <c r="AF1097" s="100">
        <f>IF('Net zero activities &amp; levers'!$C$14="Off",('Activity data'!AY21*EF!$H34)*kgtoGg,IF('Net zero activities &amp; levers'!$C$14="On",('Net zero Activity data'!AY21*EF!$H34)*kgtoGg,"ERROR"))</f>
        <v>3.6327172995110089E-2</v>
      </c>
      <c r="AG1097" s="100">
        <f>IF('Net zero activities &amp; levers'!$C$14="Off",('Activity data'!AZ21*EF!$H34)*kgtoGg,IF('Net zero activities &amp; levers'!$C$14="On",('Net zero Activity data'!AZ21*EF!$H34)*kgtoGg,"ERROR"))</f>
        <v>3.7617669146666054E-2</v>
      </c>
      <c r="AH1097" s="100">
        <f>IF('Net zero activities &amp; levers'!$C$14="Off",('Activity data'!BA21*EF!$H34)*kgtoGg,IF('Net zero activities &amp; levers'!$C$14="On",('Net zero Activity data'!BA21*EF!$H34)*kgtoGg,"ERROR"))</f>
        <v>3.8804137651877735E-2</v>
      </c>
      <c r="AI1097" s="100">
        <f>IF('Net zero activities &amp; levers'!$C$14="Off",('Activity data'!BB21*EF!$H34)*kgtoGg,IF('Net zero activities &amp; levers'!$C$14="On",('Net zero Activity data'!BB21*EF!$H34)*kgtoGg,"ERROR"))</f>
        <v>4.0045396026241048E-2</v>
      </c>
      <c r="AJ1097" s="100">
        <f>IF('Net zero activities &amp; levers'!$C$14="Off",('Activity data'!BC21*EF!$H34)*kgtoGg,IF('Net zero activities &amp; levers'!$C$14="On",('Net zero Activity data'!BC21*EF!$H34)*kgtoGg,"ERROR"))</f>
        <v>4.1318689234665709E-2</v>
      </c>
      <c r="AK1097" s="100">
        <f>IF('Net zero activities &amp; levers'!$C$14="Off",('Activity data'!BD21*EF!$H34)*kgtoGg,IF('Net zero activities &amp; levers'!$C$14="On",('Net zero Activity data'!BD21*EF!$H34)*kgtoGg,"ERROR"))</f>
        <v>4.2562485927672068E-2</v>
      </c>
      <c r="AL1097" s="100">
        <f>IF('Net zero activities &amp; levers'!$C$14="Off",('Activity data'!BE21*EF!$H34)*kgtoGg,IF('Net zero activities &amp; levers'!$C$14="On",('Net zero Activity data'!BE21*EF!$H34)*kgtoGg,"ERROR"))</f>
        <v>4.3818105384294391E-2</v>
      </c>
      <c r="AM1097" s="100">
        <f>IF('Net zero activities &amp; levers'!$C$14="Off",('Activity data'!BF21*EF!$H34)*kgtoGg,IF('Net zero activities &amp; levers'!$C$14="On",('Net zero Activity data'!BF21*EF!$H34)*kgtoGg,"ERROR"))</f>
        <v>4.5123953524827516E-2</v>
      </c>
      <c r="AN1097" s="100">
        <f>IF('Net zero activities &amp; levers'!$C$14="Off",('Activity data'!BG21*EF!$H34)*kgtoGg,IF('Net zero activities &amp; levers'!$C$14="On",('Net zero Activity data'!BG21*EF!$H34)*kgtoGg,"ERROR"))</f>
        <v>4.6482103094299274E-2</v>
      </c>
      <c r="AO1097" s="100">
        <f>IF('Net zero activities &amp; levers'!$C$14="Off",('Activity data'!BH21*EF!$H34)*kgtoGg,IF('Net zero activities &amp; levers'!$C$14="On",('Net zero Activity data'!BH21*EF!$H34)*kgtoGg,"ERROR"))</f>
        <v>4.7790984110943228E-2</v>
      </c>
      <c r="AP1097" s="100">
        <f>IF('Net zero activities &amp; levers'!$C$14="Off",('Activity data'!BI21*EF!$H34)*kgtoGg,IF('Net zero activities &amp; levers'!$C$14="On",('Net zero Activity data'!BI21*EF!$H34)*kgtoGg,"ERROR"))</f>
        <v>4.912782732302242E-2</v>
      </c>
      <c r="AQ1097" s="100">
        <f>IF('Net zero activities &amp; levers'!$C$14="Off",('Activity data'!BJ21*EF!$H34)*kgtoGg,IF('Net zero activities &amp; levers'!$C$14="On",('Net zero Activity data'!BJ21*EF!$H34)*kgtoGg,"ERROR"))</f>
        <v>5.0494940009912614E-2</v>
      </c>
      <c r="AR1097" s="100">
        <f>IF('Net zero activities &amp; levers'!$C$14="Off",('Activity data'!BK21*EF!$H34)*kgtoGg,IF('Net zero activities &amp; levers'!$C$14="On",('Net zero Activity data'!BK21*EF!$H34)*kgtoGg,"ERROR"))</f>
        <v>5.1949447088042722E-2</v>
      </c>
      <c r="AS1097" s="100">
        <f>IF('Net zero activities &amp; levers'!$C$14="Off",('Activity data'!BL21*EF!$H34)*kgtoGg,IF('Net zero activities &amp; levers'!$C$14="On",('Net zero Activity data'!BL21*EF!$H34)*kgtoGg,"ERROR"))</f>
        <v>5.3433318721718588E-2</v>
      </c>
      <c r="AT1097" s="100">
        <f>IF('Net zero activities &amp; levers'!$C$14="Off",('Activity data'!BM21*EF!$H34)*kgtoGg,IF('Net zero activities &amp; levers'!$C$14="On",('Net zero Activity data'!BM21*EF!$H34)*kgtoGg,"ERROR"))</f>
        <v>5.4397488587077859E-2</v>
      </c>
      <c r="AU1097" s="100">
        <f>IF('Net zero activities &amp; levers'!$C$14="Off",('Activity data'!BN21*EF!$H34)*kgtoGg,IF('Net zero activities &amp; levers'!$C$14="On",('Net zero Activity data'!BN21*EF!$H34)*kgtoGg,"ERROR"))</f>
        <v>5.5332604177850256E-2</v>
      </c>
      <c r="AV1097" s="100">
        <f>IF('Net zero activities &amp; levers'!$C$14="Off",('Activity data'!BO21*EF!$H34)*kgtoGg,IF('Net zero activities &amp; levers'!$C$14="On",('Net zero Activity data'!BO21*EF!$H34)*kgtoGg,"ERROR"))</f>
        <v>5.6349382366391719E-2</v>
      </c>
      <c r="AW1097" s="100">
        <f>IF('Net zero activities &amp; levers'!$C$14="Off",('Activity data'!BP21*EF!$H34)*kgtoGg,IF('Net zero activities &amp; levers'!$C$14="On",('Net zero Activity data'!BP21*EF!$H34)*kgtoGg,"ERROR"))</f>
        <v>5.7343713555378532E-2</v>
      </c>
      <c r="AY1097" s="85"/>
    </row>
    <row r="1098" spans="1:51" x14ac:dyDescent="0.25">
      <c r="A1098" s="102" t="str">
        <f t="shared" si="374"/>
        <v>CM Poultry MMCH4</v>
      </c>
      <c r="B1098" s="102" t="s">
        <v>1323</v>
      </c>
      <c r="C1098" s="102" t="s">
        <v>1232</v>
      </c>
      <c r="D1098" t="s">
        <v>15</v>
      </c>
      <c r="E1098" t="s">
        <v>22</v>
      </c>
      <c r="F1098" t="s">
        <v>28</v>
      </c>
      <c r="G1098" t="s">
        <v>133</v>
      </c>
      <c r="H1098" t="s">
        <v>1228</v>
      </c>
      <c r="I1098" t="s">
        <v>121</v>
      </c>
      <c r="J1098" t="s">
        <v>286</v>
      </c>
      <c r="K1098" s="100">
        <f>IF('Net zero activities &amp; levers'!$C$14="Off",('Activity data'!AD22*EF!$H35)*kgtoGg,IF('Net zero activities &amp; levers'!$C$14="On",('Net zero Activity data'!AD22*EF!$H35)*kgtoGg,"ERROR"))</f>
        <v>9.2699110947591354E-2</v>
      </c>
      <c r="L1098" s="100">
        <f>IF('Net zero activities &amp; levers'!$C$14="Off",('Activity data'!AE22*EF!$H35)*kgtoGg,IF('Net zero activities &amp; levers'!$C$14="On",('Net zero Activity data'!AE22*EF!$H35)*kgtoGg,"ERROR"))</f>
        <v>9.4419600378527896E-2</v>
      </c>
      <c r="M1098" s="100">
        <f>IF('Net zero activities &amp; levers'!$C$14="Off",('Activity data'!AF22*EF!$H35)*kgtoGg,IF('Net zero activities &amp; levers'!$C$14="On",('Net zero Activity data'!AF22*EF!$H35)*kgtoGg,"ERROR"))</f>
        <v>9.554646450205824E-2</v>
      </c>
      <c r="N1098" s="100">
        <f>IF('Net zero activities &amp; levers'!$C$14="Off",('Activity data'!AG22*EF!$H35)*kgtoGg,IF('Net zero activities &amp; levers'!$C$14="On",('Net zero Activity data'!AG22*EF!$H35)*kgtoGg,"ERROR"))</f>
        <v>9.4307045379734583E-2</v>
      </c>
      <c r="O1098" s="100">
        <f>IF('Net zero activities &amp; levers'!$C$14="Off",('Activity data'!AH22*EF!$H35)*kgtoGg,IF('Net zero activities &amp; levers'!$C$14="On",('Net zero Activity data'!AH22*EF!$H35)*kgtoGg,"ERROR"))</f>
        <v>9.3105061247548568E-2</v>
      </c>
      <c r="P1098" s="100">
        <f>IF('Net zero activities &amp; levers'!$C$14="Off",('Activity data'!AI22*EF!$H35)*kgtoGg,IF('Net zero activities &amp; levers'!$C$14="On",('Net zero Activity data'!AI22*EF!$H35)*kgtoGg,"ERROR"))</f>
        <v>9.4296120671752692E-2</v>
      </c>
      <c r="Q1098" s="100">
        <f>IF('Net zero activities &amp; levers'!$C$14="Off",('Activity data'!AJ22*EF!$H35)*kgtoGg,IF('Net zero activities &amp; levers'!$C$14="On",('Net zero Activity data'!AJ22*EF!$H35)*kgtoGg,"ERROR"))</f>
        <v>9.4755069677210882E-2</v>
      </c>
      <c r="R1098" s="100">
        <f>IF('Net zero activities &amp; levers'!$C$14="Off",('Activity data'!AK22*EF!$H35)*kgtoGg,IF('Net zero activities &amp; levers'!$C$14="On",('Net zero Activity data'!AK22*EF!$H35)*kgtoGg,"ERROR"))</f>
        <v>9.2650959382373138E-2</v>
      </c>
      <c r="S1098" s="100">
        <f>IF('Net zero activities &amp; levers'!$C$14="Off",('Activity data'!AL22*EF!$H35)*kgtoGg,IF('Net zero activities &amp; levers'!$C$14="On",('Net zero Activity data'!AL22*EF!$H35)*kgtoGg,"ERROR"))</f>
        <v>7.9303132611725335E-2</v>
      </c>
      <c r="T1098" s="100">
        <f>IF('Net zero activities &amp; levers'!$C$14="Off",('Activity data'!AM22*EF!$H35)*kgtoGg,IF('Net zero activities &amp; levers'!$C$14="On",('Net zero Activity data'!AM22*EF!$H35)*kgtoGg,"ERROR"))</f>
        <v>8.3525149106223009E-2</v>
      </c>
      <c r="U1098" s="100">
        <f>IF('Net zero activities &amp; levers'!$C$14="Off",('Activity data'!AN22*EF!$H35)*kgtoGg,IF('Net zero activities &amp; levers'!$C$14="On",('Net zero Activity data'!AN22*EF!$H35)*kgtoGg,"ERROR"))</f>
        <v>8.6345022231391746E-2</v>
      </c>
      <c r="V1098" s="100">
        <f>IF('Net zero activities &amp; levers'!$C$14="Off",('Activity data'!AO22*EF!$H35)*kgtoGg,IF('Net zero activities &amp; levers'!$C$14="On",('Net zero Activity data'!AO22*EF!$H35)*kgtoGg,"ERROR"))</f>
        <v>8.8848600928193383E-2</v>
      </c>
      <c r="W1098" s="100">
        <f>IF('Net zero activities &amp; levers'!$C$14="Off",('Activity data'!AP22*EF!$H35)*kgtoGg,IF('Net zero activities &amp; levers'!$C$14="On",('Net zero Activity data'!AP22*EF!$H35)*kgtoGg,"ERROR"))</f>
        <v>9.1874375150916066E-2</v>
      </c>
      <c r="X1098" s="100">
        <f>IF('Net zero activities &amp; levers'!$C$14="Off",('Activity data'!AQ22*EF!$H35)*kgtoGg,IF('Net zero activities &amp; levers'!$C$14="On",('Net zero Activity data'!AQ22*EF!$H35)*kgtoGg,"ERROR"))</f>
        <v>9.6712447377915137E-2</v>
      </c>
      <c r="Y1098" s="100">
        <f>IF('Net zero activities &amp; levers'!$C$14="Off",('Activity data'!AR22*EF!$H35)*kgtoGg,IF('Net zero activities &amp; levers'!$C$14="On",('Net zero Activity data'!AR22*EF!$H35)*kgtoGg,"ERROR"))</f>
        <v>0.10212341353880076</v>
      </c>
      <c r="Z1098" s="100">
        <f>IF('Net zero activities &amp; levers'!$C$14="Off",('Activity data'!AS22*EF!$H35)*kgtoGg,IF('Net zero activities &amp; levers'!$C$14="On",('Net zero Activity data'!AS22*EF!$H35)*kgtoGg,"ERROR"))</f>
        <v>0.10800709424975563</v>
      </c>
      <c r="AA1098" s="100">
        <f>IF('Net zero activities &amp; levers'!$C$14="Off",('Activity data'!AT22*EF!$H35)*kgtoGg,IF('Net zero activities &amp; levers'!$C$14="On",('Net zero Activity data'!AT22*EF!$H35)*kgtoGg,"ERROR"))</f>
        <v>0.11316876650665471</v>
      </c>
      <c r="AB1098" s="100">
        <f>IF('Net zero activities &amp; levers'!$C$14="Off",('Activity data'!AU22*EF!$H35)*kgtoGg,IF('Net zero activities &amp; levers'!$C$14="On",('Net zero Activity data'!AU22*EF!$H35)*kgtoGg,"ERROR"))</f>
        <v>0.11917965545765741</v>
      </c>
      <c r="AC1098" s="100">
        <f>IF('Net zero activities &amp; levers'!$C$14="Off",('Activity data'!AV22*EF!$H35)*kgtoGg,IF('Net zero activities &amp; levers'!$C$14="On",('Net zero Activity data'!AV22*EF!$H35)*kgtoGg,"ERROR"))</f>
        <v>0.12623914729316019</v>
      </c>
      <c r="AD1098" s="100">
        <f>IF('Net zero activities &amp; levers'!$C$14="Off",('Activity data'!AW22*EF!$H35)*kgtoGg,IF('Net zero activities &amp; levers'!$C$14="On",('Net zero Activity data'!AW22*EF!$H35)*kgtoGg,"ERROR"))</f>
        <v>0.13323855727583739</v>
      </c>
      <c r="AE1098" s="100">
        <f>IF('Net zero activities &amp; levers'!$C$14="Off",('Activity data'!AX22*EF!$H35)*kgtoGg,IF('Net zero activities &amp; levers'!$C$14="On",('Net zero Activity data'!AX22*EF!$H35)*kgtoGg,"ERROR"))</f>
        <v>0.14057970155938346</v>
      </c>
      <c r="AF1098" s="100">
        <f>IF('Net zero activities &amp; levers'!$C$14="Off",('Activity data'!AY22*EF!$H35)*kgtoGg,IF('Net zero activities &amp; levers'!$C$14="On",('Net zero Activity data'!AY22*EF!$H35)*kgtoGg,"ERROR"))</f>
        <v>0.14809978108050476</v>
      </c>
      <c r="AG1098" s="100">
        <f>IF('Net zero activities &amp; levers'!$C$14="Off",('Activity data'!AZ22*EF!$H35)*kgtoGg,IF('Net zero activities &amp; levers'!$C$14="On",('Net zero Activity data'!AZ22*EF!$H35)*kgtoGg,"ERROR"))</f>
        <v>0.15652058173302319</v>
      </c>
      <c r="AH1098" s="100">
        <f>IF('Net zero activities &amp; levers'!$C$14="Off",('Activity data'!BA22*EF!$H35)*kgtoGg,IF('Net zero activities &amp; levers'!$C$14="On",('Net zero Activity data'!BA22*EF!$H35)*kgtoGg,"ERROR"))</f>
        <v>0.16395358836746954</v>
      </c>
      <c r="AI1098" s="100">
        <f>IF('Net zero activities &amp; levers'!$C$14="Off",('Activity data'!BB22*EF!$H35)*kgtoGg,IF('Net zero activities &amp; levers'!$C$14="On",('Net zero Activity data'!BB22*EF!$H35)*kgtoGg,"ERROR"))</f>
        <v>0.17195613124123832</v>
      </c>
      <c r="AJ1098" s="100">
        <f>IF('Net zero activities &amp; levers'!$C$14="Off",('Activity data'!BC22*EF!$H35)*kgtoGg,IF('Net zero activities &amp; levers'!$C$14="On",('Net zero Activity data'!BC22*EF!$H35)*kgtoGg,"ERROR"))</f>
        <v>0.18012395332246872</v>
      </c>
      <c r="AK1098" s="100">
        <f>IF('Net zero activities &amp; levers'!$C$14="Off",('Activity data'!BD22*EF!$H35)*kgtoGg,IF('Net zero activities &amp; levers'!$C$14="On",('Net zero Activity data'!BD22*EF!$H35)*kgtoGg,"ERROR"))</f>
        <v>0.18794793305158305</v>
      </c>
      <c r="AL1098" s="100">
        <f>IF('Net zero activities &amp; levers'!$C$14="Off",('Activity data'!BE22*EF!$H35)*kgtoGg,IF('Net zero activities &amp; levers'!$C$14="On",('Net zero Activity data'!BE22*EF!$H35)*kgtoGg,"ERROR"))</f>
        <v>0.19577412383220771</v>
      </c>
      <c r="AM1098" s="100">
        <f>IF('Net zero activities &amp; levers'!$C$14="Off",('Activity data'!BF22*EF!$H35)*kgtoGg,IF('Net zero activities &amp; levers'!$C$14="On",('Net zero Activity data'!BF22*EF!$H35)*kgtoGg,"ERROR"))</f>
        <v>0.20391609517356599</v>
      </c>
      <c r="AN1098" s="100">
        <f>IF('Net zero activities &amp; levers'!$C$14="Off",('Activity data'!BG22*EF!$H35)*kgtoGg,IF('Net zero activities &amp; levers'!$C$14="On",('Net zero Activity data'!BG22*EF!$H35)*kgtoGg,"ERROR"))</f>
        <v>0.21257906943800542</v>
      </c>
      <c r="AO1098" s="100">
        <f>IF('Net zero activities &amp; levers'!$C$14="Off",('Activity data'!BH22*EF!$H35)*kgtoGg,IF('Net zero activities &amp; levers'!$C$14="On",('Net zero Activity data'!BH22*EF!$H35)*kgtoGg,"ERROR"))</f>
        <v>0.22074837532337729</v>
      </c>
      <c r="AP1098" s="100">
        <f>IF('Net zero activities &amp; levers'!$C$14="Off",('Activity data'!BI22*EF!$H35)*kgtoGg,IF('Net zero activities &amp; levers'!$C$14="On",('Net zero Activity data'!BI22*EF!$H35)*kgtoGg,"ERROR"))</f>
        <v>0.22905114110841426</v>
      </c>
      <c r="AQ1098" s="100">
        <f>IF('Net zero activities &amp; levers'!$C$14="Off",('Activity data'!BJ22*EF!$H35)*kgtoGg,IF('Net zero activities &amp; levers'!$C$14="On",('Net zero Activity data'!BJ22*EF!$H35)*kgtoGg,"ERROR"))</f>
        <v>0.23750426029724669</v>
      </c>
      <c r="AR1098" s="100">
        <f>IF('Net zero activities &amp; levers'!$C$14="Off",('Activity data'!BK22*EF!$H35)*kgtoGg,IF('Net zero activities &amp; levers'!$C$14="On",('Net zero Activity data'!BK22*EF!$H35)*kgtoGg,"ERROR"))</f>
        <v>0.24655743061221036</v>
      </c>
      <c r="AS1098" s="100">
        <f>IF('Net zero activities &amp; levers'!$C$14="Off",('Activity data'!BL22*EF!$H35)*kgtoGg,IF('Net zero activities &amp; levers'!$C$14="On",('Net zero Activity data'!BL22*EF!$H35)*kgtoGg,"ERROR"))</f>
        <v>0.25593828444490863</v>
      </c>
      <c r="AT1098" s="100">
        <f>IF('Net zero activities &amp; levers'!$C$14="Off",('Activity data'!BM22*EF!$H35)*kgtoGg,IF('Net zero activities &amp; levers'!$C$14="On",('Net zero Activity data'!BM22*EF!$H35)*kgtoGg,"ERROR"))</f>
        <v>0.26116196748019033</v>
      </c>
      <c r="AU1098" s="100">
        <f>IF('Net zero activities &amp; levers'!$C$14="Off",('Activity data'!BN22*EF!$H35)*kgtoGg,IF('Net zero activities &amp; levers'!$C$14="On",('Net zero Activity data'!BN22*EF!$H35)*kgtoGg,"ERROR"))</f>
        <v>0.26611066743343925</v>
      </c>
      <c r="AV1098" s="100">
        <f>IF('Net zero activities &amp; levers'!$C$14="Off",('Activity data'!BO22*EF!$H35)*kgtoGg,IF('Net zero activities &amp; levers'!$C$14="On",('Net zero Activity data'!BO22*EF!$H35)*kgtoGg,"ERROR"))</f>
        <v>0.27164491980565447</v>
      </c>
      <c r="AW1098" s="100">
        <f>IF('Net zero activities &amp; levers'!$C$14="Off",('Activity data'!BP22*EF!$H35)*kgtoGg,IF('Net zero activities &amp; levers'!$C$14="On",('Net zero Activity data'!BP22*EF!$H35)*kgtoGg,"ERROR"))</f>
        <v>0.2769551412639828</v>
      </c>
      <c r="AY1098" s="85"/>
    </row>
    <row r="1099" spans="1:51" x14ac:dyDescent="0.25">
      <c r="A1099" s="102" t="str">
        <f t="shared" si="374"/>
        <v>CM Cattle MMN2O</v>
      </c>
      <c r="B1099" s="102" t="s">
        <v>1323</v>
      </c>
      <c r="C1099" s="102" t="s">
        <v>1233</v>
      </c>
      <c r="D1099" t="s">
        <v>15</v>
      </c>
      <c r="E1099" t="s">
        <v>657</v>
      </c>
      <c r="F1099" t="s">
        <v>6</v>
      </c>
      <c r="G1099" t="s">
        <v>136</v>
      </c>
      <c r="H1099" t="s">
        <v>1228</v>
      </c>
      <c r="I1099" t="s">
        <v>139</v>
      </c>
      <c r="J1099" t="s">
        <v>287</v>
      </c>
      <c r="K1099" s="100">
        <f>IF('Net zero activities &amp; levers'!$C$14="Off",('Activity data'!AD5*EF!$H36*EF!$H54)*NtoN2O*kgtoGg,IF('Net zero activities &amp; levers'!$C$14="On",('Net zero Activity data'!AD5*EF!$H36*EF!$H54)*NtoN2O*kgtoGg,"ERROR"))</f>
        <v>5.9534544879771355E-2</v>
      </c>
      <c r="L1099" s="100">
        <f>IF('Net zero activities &amp; levers'!$C$14="Off",('Activity data'!AE5*EF!$H36*EF!$H54)*NtoN2O*kgtoGg,IF('Net zero activities &amp; levers'!$C$14="On",('Net zero Activity data'!AE5*EF!$H36*EF!$H54)*NtoN2O*kgtoGg,"ERROR"))</f>
        <v>5.9936525469365599E-2</v>
      </c>
      <c r="M1099" s="100">
        <f>IF('Net zero activities &amp; levers'!$C$14="Off",('Activity data'!AF5*EF!$H36*EF!$H54)*NtoN2O*kgtoGg,IF('Net zero activities &amp; levers'!$C$14="On",('Net zero Activity data'!AF5*EF!$H36*EF!$H54)*NtoN2O*kgtoGg,"ERROR"))</f>
        <v>6.0288156660896548E-2</v>
      </c>
      <c r="N1099" s="100">
        <f>IF('Net zero activities &amp; levers'!$C$14="Off",('Activity data'!AG5*EF!$H36*EF!$H54)*NtoN2O*kgtoGg,IF('Net zero activities &amp; levers'!$C$14="On",('Net zero Activity data'!AG5*EF!$H36*EF!$H54)*NtoN2O*kgtoGg,"ERROR"))</f>
        <v>6.0333640892584528E-2</v>
      </c>
      <c r="O1099" s="100">
        <f>IF('Net zero activities &amp; levers'!$C$14="Off",('Activity data'!AH5*EF!$H36*EF!$H54)*NtoN2O*kgtoGg,IF('Net zero activities &amp; levers'!$C$14="On",('Net zero Activity data'!AH5*EF!$H36*EF!$H54)*NtoN2O*kgtoGg,"ERROR"))</f>
        <v>6.0411983022035293E-2</v>
      </c>
      <c r="P1099" s="100">
        <f>IF('Net zero activities &amp; levers'!$C$14="Off",('Activity data'!AI5*EF!$H36*EF!$H54)*NtoN2O*kgtoGg,IF('Net zero activities &amp; levers'!$C$14="On",('Net zero Activity data'!AI5*EF!$H36*EF!$H54)*NtoN2O*kgtoGg,"ERROR"))</f>
        <v>6.086149571042291E-2</v>
      </c>
      <c r="Q1099" s="100">
        <f>IF('Net zero activities &amp; levers'!$C$14="Off",('Activity data'!AJ5*EF!$H36*EF!$H54)*NtoN2O*kgtoGg,IF('Net zero activities &amp; levers'!$C$14="On",('Net zero Activity data'!AJ5*EF!$H36*EF!$H54)*NtoN2O*kgtoGg,"ERROR"))</f>
        <v>6.1220941265471868E-2</v>
      </c>
      <c r="R1099" s="100">
        <f>IF('Net zero activities &amp; levers'!$C$14="Off",('Activity data'!AK5*EF!$H36*EF!$H54)*NtoN2O*kgtoGg,IF('Net zero activities &amp; levers'!$C$14="On",('Net zero Activity data'!AK5*EF!$H36*EF!$H54)*NtoN2O*kgtoGg,"ERROR"))</f>
        <v>6.1224092905712291E-2</v>
      </c>
      <c r="S1099" s="100">
        <f>IF('Net zero activities &amp; levers'!$C$14="Off",('Activity data'!AL5*EF!$H36*EF!$H54)*NtoN2O*kgtoGg,IF('Net zero activities &amp; levers'!$C$14="On",('Net zero Activity data'!AL5*EF!$H36*EF!$H54)*NtoN2O*kgtoGg,"ERROR"))</f>
        <v>5.9602036939561669E-2</v>
      </c>
      <c r="T1099" s="100">
        <f>IF('Net zero activities &amp; levers'!$C$14="Off",('Activity data'!AM5*EF!$H36*EF!$H54)*NtoN2O*kgtoGg,IF('Net zero activities &amp; levers'!$C$14="On",('Net zero Activity data'!AM5*EF!$H36*EF!$H54)*NtoN2O*kgtoGg,"ERROR"))</f>
        <v>5.9902558051107758E-2</v>
      </c>
      <c r="U1099" s="100">
        <f>IF('Net zero activities &amp; levers'!$C$14="Off",('Activity data'!AN5*EF!$H36*EF!$H54)*NtoN2O*kgtoGg,IF('Net zero activities &amp; levers'!$C$14="On",('Net zero Activity data'!AN5*EF!$H36*EF!$H54)*NtoN2O*kgtoGg,"ERROR"))</f>
        <v>6.0003158555135362E-2</v>
      </c>
      <c r="V1099" s="100">
        <f>IF('Net zero activities &amp; levers'!$C$14="Off",('Activity data'!AO5*EF!$H36*EF!$H54)*NtoN2O*kgtoGg,IF('Net zero activities &amp; levers'!$C$14="On",('Net zero Activity data'!AO5*EF!$H36*EF!$H54)*NtoN2O*kgtoGg,"ERROR"))</f>
        <v>6.0061544412123385E-2</v>
      </c>
      <c r="W1099" s="100">
        <f>IF('Net zero activities &amp; levers'!$C$14="Off",('Activity data'!AP5*EF!$H36*EF!$H54)*NtoN2O*kgtoGg,IF('Net zero activities &amp; levers'!$C$14="On",('Net zero Activity data'!AP5*EF!$H36*EF!$H54)*NtoN2O*kgtoGg,"ERROR"))</f>
        <v>6.0197399277762347E-2</v>
      </c>
      <c r="X1099" s="100">
        <f>IF('Net zero activities &amp; levers'!$C$14="Off",('Activity data'!AQ5*EF!$H36*EF!$H54)*NtoN2O*kgtoGg,IF('Net zero activities &amp; levers'!$C$14="On",('Net zero Activity data'!AQ5*EF!$H36*EF!$H54)*NtoN2O*kgtoGg,"ERROR"))</f>
        <v>6.0592523474529751E-2</v>
      </c>
      <c r="Y1099" s="100">
        <f>IF('Net zero activities &amp; levers'!$C$14="Off",('Activity data'!AR5*EF!$H36*EF!$H54)*NtoN2O*kgtoGg,IF('Net zero activities &amp; levers'!$C$14="On",('Net zero Activity data'!AR5*EF!$H36*EF!$H54)*NtoN2O*kgtoGg,"ERROR"))</f>
        <v>6.1009166191245211E-2</v>
      </c>
      <c r="Z1099" s="100">
        <f>IF('Net zero activities &amp; levers'!$C$14="Off",('Activity data'!AS5*EF!$H36*EF!$H54)*NtoN2O*kgtoGg,IF('Net zero activities &amp; levers'!$C$14="On",('Net zero Activity data'!AS5*EF!$H36*EF!$H54)*NtoN2O*kgtoGg,"ERROR"))</f>
        <v>6.1489116345213791E-2</v>
      </c>
      <c r="AA1099" s="100">
        <f>IF('Net zero activities &amp; levers'!$C$14="Off",('Activity data'!AT5*EF!$H36*EF!$H54)*NtoN2O*kgtoGg,IF('Net zero activities &amp; levers'!$C$14="On",('Net zero Activity data'!AT5*EF!$H36*EF!$H54)*NtoN2O*kgtoGg,"ERROR"))</f>
        <v>6.1863069717612712E-2</v>
      </c>
      <c r="AB1099" s="100">
        <f>IF('Net zero activities &amp; levers'!$C$14="Off",('Activity data'!AU5*EF!$H36*EF!$H54)*NtoN2O*kgtoGg,IF('Net zero activities &amp; levers'!$C$14="On",('Net zero Activity data'!AU5*EF!$H36*EF!$H54)*NtoN2O*kgtoGg,"ERROR"))</f>
        <v>6.235106667457127E-2</v>
      </c>
      <c r="AC1099" s="100">
        <f>IF('Net zero activities &amp; levers'!$C$14="Off",('Activity data'!AV5*EF!$H36*EF!$H54)*NtoN2O*kgtoGg,IF('Net zero activities &amp; levers'!$C$14="On",('Net zero Activity data'!AV5*EF!$H36*EF!$H54)*NtoN2O*kgtoGg,"ERROR"))</f>
        <v>6.2978189893812431E-2</v>
      </c>
      <c r="AD1099" s="100">
        <f>IF('Net zero activities &amp; levers'!$C$14="Off",('Activity data'!AW5*EF!$H36*EF!$H54)*NtoN2O*kgtoGg,IF('Net zero activities &amp; levers'!$C$14="On",('Net zero Activity data'!AW5*EF!$H36*EF!$H54)*NtoN2O*kgtoGg,"ERROR"))</f>
        <v>6.3994932852395728E-2</v>
      </c>
      <c r="AE1099" s="100">
        <f>IF('Net zero activities &amp; levers'!$C$14="Off",('Activity data'!AX5*EF!$H36*EF!$H54)*NtoN2O*kgtoGg,IF('Net zero activities &amp; levers'!$C$14="On",('Net zero Activity data'!AX5*EF!$H36*EF!$H54)*NtoN2O*kgtoGg,"ERROR"))</f>
        <v>6.5066284300491772E-2</v>
      </c>
      <c r="AF1099" s="100">
        <f>IF('Net zero activities &amp; levers'!$C$14="Off",('Activity data'!AY5*EF!$H36*EF!$H54)*NtoN2O*kgtoGg,IF('Net zero activities &amp; levers'!$C$14="On",('Net zero Activity data'!AY5*EF!$H36*EF!$H54)*NtoN2O*kgtoGg,"ERROR"))</f>
        <v>6.616939518602892E-2</v>
      </c>
      <c r="AG1099" s="100">
        <f>IF('Net zero activities &amp; levers'!$C$14="Off",('Activity data'!AZ5*EF!$H36*EF!$H54)*NtoN2O*kgtoGg,IF('Net zero activities &amp; levers'!$C$14="On",('Net zero Activity data'!AZ5*EF!$H36*EF!$H54)*NtoN2O*kgtoGg,"ERROR"))</f>
        <v>6.7404655080376338E-2</v>
      </c>
      <c r="AH1099" s="100">
        <f>IF('Net zero activities &amp; levers'!$C$14="Off",('Activity data'!BA5*EF!$H36*EF!$H54)*NtoN2O*kgtoGg,IF('Net zero activities &amp; levers'!$C$14="On",('Net zero Activity data'!BA5*EF!$H36*EF!$H54)*NtoN2O*kgtoGg,"ERROR"))</f>
        <v>6.8508565394587356E-2</v>
      </c>
      <c r="AI1099" s="100">
        <f>IF('Net zero activities &amp; levers'!$C$14="Off",('Activity data'!BB5*EF!$H36*EF!$H54)*NtoN2O*kgtoGg,IF('Net zero activities &amp; levers'!$C$14="On",('Net zero Activity data'!BB5*EF!$H36*EF!$H54)*NtoN2O*kgtoGg,"ERROR"))</f>
        <v>6.9655906335157031E-2</v>
      </c>
      <c r="AJ1099" s="100">
        <f>IF('Net zero activities &amp; levers'!$C$14="Off",('Activity data'!BC5*EF!$H36*EF!$H54)*NtoN2O*kgtoGg,IF('Net zero activities &amp; levers'!$C$14="On",('Net zero Activity data'!BC5*EF!$H36*EF!$H54)*NtoN2O*kgtoGg,"ERROR"))</f>
        <v>7.0831976757401841E-2</v>
      </c>
      <c r="AK1099" s="100">
        <f>IF('Net zero activities &amp; levers'!$C$14="Off",('Activity data'!BD5*EF!$H36*EF!$H54)*NtoN2O*kgtoGg,IF('Net zero activities &amp; levers'!$C$14="On",('Net zero Activity data'!BD5*EF!$H36*EF!$H54)*NtoN2O*kgtoGg,"ERROR"))</f>
        <v>7.1965268951040523E-2</v>
      </c>
      <c r="AL1099" s="100">
        <f>IF('Net zero activities &amp; levers'!$C$14="Off",('Activity data'!BE5*EF!$H36*EF!$H54)*NtoN2O*kgtoGg,IF('Net zero activities &amp; levers'!$C$14="On",('Net zero Activity data'!BE5*EF!$H36*EF!$H54)*NtoN2O*kgtoGg,"ERROR"))</f>
        <v>7.3103889892987661E-2</v>
      </c>
      <c r="AM1099" s="100">
        <f>IF('Net zero activities &amp; levers'!$C$14="Off",('Activity data'!BF5*EF!$H36*EF!$H54)*NtoN2O*kgtoGg,IF('Net zero activities &amp; levers'!$C$14="On",('Net zero Activity data'!BF5*EF!$H36*EF!$H54)*NtoN2O*kgtoGg,"ERROR"))</f>
        <v>7.4291604107552173E-2</v>
      </c>
      <c r="AN1099" s="100">
        <f>IF('Net zero activities &amp; levers'!$C$14="Off",('Activity data'!BG5*EF!$H36*EF!$H54)*NtoN2O*kgtoGg,IF('Net zero activities &amp; levers'!$C$14="On",('Net zero Activity data'!BG5*EF!$H36*EF!$H54)*NtoN2O*kgtoGg,"ERROR"))</f>
        <v>7.551824021505979E-2</v>
      </c>
      <c r="AO1099" s="100">
        <f>IF('Net zero activities &amp; levers'!$C$14="Off",('Activity data'!BH5*EF!$H36*EF!$H54)*NtoN2O*kgtoGg,IF('Net zero activities &amp; levers'!$C$14="On",('Net zero Activity data'!BH5*EF!$H36*EF!$H54)*NtoN2O*kgtoGg,"ERROR"))</f>
        <v>7.6679893654592074E-2</v>
      </c>
      <c r="AP1099" s="100">
        <f>IF('Net zero activities &amp; levers'!$C$14="Off",('Activity data'!BI5*EF!$H36*EF!$H54)*NtoN2O*kgtoGg,IF('Net zero activities &amp; levers'!$C$14="On",('Net zero Activity data'!BI5*EF!$H36*EF!$H54)*NtoN2O*kgtoGg,"ERROR"))</f>
        <v>7.7864408514169189E-2</v>
      </c>
      <c r="AQ1099" s="100">
        <f>IF('Net zero activities &amp; levers'!$C$14="Off",('Activity data'!BJ5*EF!$H36*EF!$H54)*NtoN2O*kgtoGg,IF('Net zero activities &amp; levers'!$C$14="On",('Net zero Activity data'!BJ5*EF!$H36*EF!$H54)*NtoN2O*kgtoGg,"ERROR"))</f>
        <v>7.9074009804945888E-2</v>
      </c>
      <c r="AR1099" s="100">
        <f>IF('Net zero activities &amp; levers'!$C$14="Off",('Activity data'!BK5*EF!$H36*EF!$H54)*NtoN2O*kgtoGg,IF('Net zero activities &amp; levers'!$C$14="On",('Net zero Activity data'!BK5*EF!$H36*EF!$H54)*NtoN2O*kgtoGg,"ERROR"))</f>
        <v>8.0371937605866556E-2</v>
      </c>
      <c r="AS1099" s="100">
        <f>IF('Net zero activities &amp; levers'!$C$14="Off",('Activity data'!BL5*EF!$H36*EF!$H54)*NtoN2O*kgtoGg,IF('Net zero activities &amp; levers'!$C$14="On",('Net zero Activity data'!BL5*EF!$H36*EF!$H54)*NtoN2O*kgtoGg,"ERROR"))</f>
        <v>8.1680796424412616E-2</v>
      </c>
      <c r="AT1099" s="100">
        <f>IF('Net zero activities &amp; levers'!$C$14="Off",('Activity data'!BM5*EF!$H36*EF!$H54)*NtoN2O*kgtoGg,IF('Net zero activities &amp; levers'!$C$14="On",('Net zero Activity data'!BM5*EF!$H36*EF!$H54)*NtoN2O*kgtoGg,"ERROR"))</f>
        <v>8.2406371668842196E-2</v>
      </c>
      <c r="AU1099" s="100">
        <f>IF('Net zero activities &amp; levers'!$C$14="Off",('Activity data'!BN5*EF!$H36*EF!$H54)*NtoN2O*kgtoGg,IF('Net zero activities &amp; levers'!$C$14="On",('Net zero Activity data'!BN5*EF!$H36*EF!$H54)*NtoN2O*kgtoGg,"ERROR"))</f>
        <v>8.3095608121312309E-2</v>
      </c>
      <c r="AV1099" s="100">
        <f>IF('Net zero activities &amp; levers'!$C$14="Off",('Activity data'!BO5*EF!$H36*EF!$H54)*NtoN2O*kgtoGg,IF('Net zero activities &amp; levers'!$C$14="On",('Net zero Activity data'!BO5*EF!$H36*EF!$H54)*NtoN2O*kgtoGg,"ERROR"))</f>
        <v>8.3869938701163826E-2</v>
      </c>
      <c r="AW1099" s="100">
        <f>IF('Net zero activities &amp; levers'!$C$14="Off",('Activity data'!BP5*EF!$H36*EF!$H54)*NtoN2O*kgtoGg,IF('Net zero activities &amp; levers'!$C$14="On",('Net zero Activity data'!BP5*EF!$H36*EF!$H54)*NtoN2O*kgtoGg,"ERROR"))</f>
        <v>8.4614899103345548E-2</v>
      </c>
      <c r="AY1099" s="85"/>
    </row>
    <row r="1100" spans="1:51" x14ac:dyDescent="0.25">
      <c r="A1100" s="102" t="str">
        <f t="shared" si="374"/>
        <v>CM Cattle MMN2O</v>
      </c>
      <c r="B1100" s="102" t="s">
        <v>1323</v>
      </c>
      <c r="C1100" s="102" t="s">
        <v>1233</v>
      </c>
      <c r="D1100" t="s">
        <v>15</v>
      </c>
      <c r="E1100" t="s">
        <v>657</v>
      </c>
      <c r="F1100" t="s">
        <v>6</v>
      </c>
      <c r="G1100" t="s">
        <v>137</v>
      </c>
      <c r="H1100" t="s">
        <v>1228</v>
      </c>
      <c r="I1100" t="s">
        <v>139</v>
      </c>
      <c r="J1100" t="s">
        <v>287</v>
      </c>
      <c r="K1100" s="100">
        <f>IF('Net zero activities &amp; levers'!$C$14="Off",('Activity data'!AD6*EF!$H37*EF!$H55)*NtoN2O*kgtoGg,IF('Net zero activities &amp; levers'!$C$14="On",('Net zero Activity data'!AD6*EF!$H37*EF!$H55)*NtoN2O*kgtoGg,"ERROR"))</f>
        <v>0.26067987133037912</v>
      </c>
      <c r="L1100" s="100">
        <f>IF('Net zero activities &amp; levers'!$C$14="Off",('Activity data'!AE6*EF!$H37*EF!$H55)*NtoN2O*kgtoGg,IF('Net zero activities &amp; levers'!$C$14="On",('Net zero Activity data'!AE6*EF!$H37*EF!$H55)*NtoN2O*kgtoGg,"ERROR"))</f>
        <v>0.2624399964574689</v>
      </c>
      <c r="M1100" s="100">
        <f>IF('Net zero activities &amp; levers'!$C$14="Off",('Activity data'!AF6*EF!$H37*EF!$H55)*NtoN2O*kgtoGg,IF('Net zero activities &amp; levers'!$C$14="On",('Net zero Activity data'!AF6*EF!$H37*EF!$H55)*NtoN2O*kgtoGg,"ERROR"))</f>
        <v>0.26397966009224005</v>
      </c>
      <c r="N1100" s="100">
        <f>IF('Net zero activities &amp; levers'!$C$14="Off",('Activity data'!AG6*EF!$H37*EF!$H55)*NtoN2O*kgtoGg,IF('Net zero activities &amp; levers'!$C$14="On",('Net zero Activity data'!AG6*EF!$H37*EF!$H55)*NtoN2O*kgtoGg,"ERROR"))</f>
        <v>0.26417881881072747</v>
      </c>
      <c r="O1100" s="100">
        <f>IF('Net zero activities &amp; levers'!$C$14="Off",('Activity data'!AH6*EF!$H37*EF!$H55)*NtoN2O*kgtoGg,IF('Net zero activities &amp; levers'!$C$14="On",('Net zero Activity data'!AH6*EF!$H37*EF!$H55)*NtoN2O*kgtoGg,"ERROR"))</f>
        <v>0.26452185017623492</v>
      </c>
      <c r="P1100" s="100">
        <f>IF('Net zero activities &amp; levers'!$C$14="Off",('Activity data'!AI6*EF!$H37*EF!$H55)*NtoN2O*kgtoGg,IF('Net zero activities &amp; levers'!$C$14="On",('Net zero Activity data'!AI6*EF!$H37*EF!$H55)*NtoN2O*kgtoGg,"ERROR"))</f>
        <v>0.26649010087852709</v>
      </c>
      <c r="Q1100" s="100">
        <f>IF('Net zero activities &amp; levers'!$C$14="Off",('Activity data'!AJ6*EF!$H37*EF!$H55)*NtoN2O*kgtoGg,IF('Net zero activities &amp; levers'!$C$14="On",('Net zero Activity data'!AJ6*EF!$H37*EF!$H55)*NtoN2O*kgtoGg,"ERROR"))</f>
        <v>0.26806398073650983</v>
      </c>
      <c r="R1100" s="100">
        <f>IF('Net zero activities &amp; levers'!$C$14="Off",('Activity data'!AK6*EF!$H37*EF!$H55)*NtoN2O*kgtoGg,IF('Net zero activities &amp; levers'!$C$14="On",('Net zero Activity data'!AK6*EF!$H37*EF!$H55)*NtoN2O*kgtoGg,"ERROR"))</f>
        <v>0.26807778060974324</v>
      </c>
      <c r="S1100" s="100">
        <f>IF('Net zero activities &amp; levers'!$C$14="Off",('Activity data'!AL6*EF!$H37*EF!$H55)*NtoN2O*kgtoGg,IF('Net zero activities &amp; levers'!$C$14="On",('Net zero Activity data'!AL6*EF!$H37*EF!$H55)*NtoN2O*kgtoGg,"ERROR"))</f>
        <v>0.26097539423220861</v>
      </c>
      <c r="T1100" s="100">
        <f>IF('Net zero activities &amp; levers'!$C$14="Off",('Activity data'!AM6*EF!$H37*EF!$H55)*NtoN2O*kgtoGg,IF('Net zero activities &amp; levers'!$C$14="On",('Net zero Activity data'!AM6*EF!$H37*EF!$H55)*NtoN2O*kgtoGg,"ERROR"))</f>
        <v>0.2622912656283552</v>
      </c>
      <c r="U1100" s="100">
        <f>IF('Net zero activities &amp; levers'!$C$14="Off",('Activity data'!AN6*EF!$H37*EF!$H55)*NtoN2O*kgtoGg,IF('Net zero activities &amp; levers'!$C$14="On",('Net zero Activity data'!AN6*EF!$H37*EF!$H55)*NtoN2O*kgtoGg,"ERROR"))</f>
        <v>0.26273175822804912</v>
      </c>
      <c r="V1100" s="100">
        <f>IF('Net zero activities &amp; levers'!$C$14="Off",('Activity data'!AO6*EF!$H37*EF!$H55)*NtoN2O*kgtoGg,IF('Net zero activities &amp; levers'!$C$14="On",('Net zero Activity data'!AO6*EF!$H37*EF!$H55)*NtoN2O*kgtoGg,"ERROR"))</f>
        <v>0.2629874084176641</v>
      </c>
      <c r="W1100" s="100">
        <f>IF('Net zero activities &amp; levers'!$C$14="Off",('Activity data'!AP6*EF!$H37*EF!$H55)*NtoN2O*kgtoGg,IF('Net zero activities &amp; levers'!$C$14="On",('Net zero Activity data'!AP6*EF!$H37*EF!$H55)*NtoN2O*kgtoGg,"ERROR"))</f>
        <v>0.26358226689799491</v>
      </c>
      <c r="X1100" s="100">
        <f>IF('Net zero activities &amp; levers'!$C$14="Off",('Activity data'!AQ6*EF!$H37*EF!$H55)*NtoN2O*kgtoGg,IF('Net zero activities &amp; levers'!$C$14="On",('Net zero Activity data'!AQ6*EF!$H37*EF!$H55)*NtoN2O*kgtoGg,"ERROR"))</f>
        <v>0.2653123704031255</v>
      </c>
      <c r="Y1100" s="100">
        <f>IF('Net zero activities &amp; levers'!$C$14="Off",('Activity data'!AR6*EF!$H37*EF!$H55)*NtoN2O*kgtoGg,IF('Net zero activities &amp; levers'!$C$14="On",('Net zero Activity data'!AR6*EF!$H37*EF!$H55)*NtoN2O*kgtoGg,"ERROR"))</f>
        <v>0.26713669559119002</v>
      </c>
      <c r="Z1100" s="100">
        <f>IF('Net zero activities &amp; levers'!$C$14="Off",('Activity data'!AS6*EF!$H37*EF!$H55)*NtoN2O*kgtoGg,IF('Net zero activities &amp; levers'!$C$14="On",('Net zero Activity data'!AS6*EF!$H37*EF!$H55)*NtoN2O*kgtoGg,"ERROR"))</f>
        <v>0.26923822075837139</v>
      </c>
      <c r="AA1100" s="100">
        <f>IF('Net zero activities &amp; levers'!$C$14="Off",('Activity data'!AT6*EF!$H37*EF!$H55)*NtoN2O*kgtoGg,IF('Net zero activities &amp; levers'!$C$14="On",('Net zero Activity data'!AT6*EF!$H37*EF!$H55)*NtoN2O*kgtoGg,"ERROR"))</f>
        <v>0.27087562501160573</v>
      </c>
      <c r="AB1100" s="100">
        <f>IF('Net zero activities &amp; levers'!$C$14="Off",('Activity data'!AU6*EF!$H37*EF!$H55)*NtoN2O*kgtoGg,IF('Net zero activities &amp; levers'!$C$14="On",('Net zero Activity data'!AU6*EF!$H37*EF!$H55)*NtoN2O*kgtoGg,"ERROR"))</f>
        <v>0.2730123841689398</v>
      </c>
      <c r="AC1100" s="100">
        <f>IF('Net zero activities &amp; levers'!$C$14="Off",('Activity data'!AV6*EF!$H37*EF!$H55)*NtoN2O*kgtoGg,IF('Net zero activities &amp; levers'!$C$14="On",('Net zero Activity data'!AV6*EF!$H37*EF!$H55)*NtoN2O*kgtoGg,"ERROR"))</f>
        <v>0.27575832604907385</v>
      </c>
      <c r="AD1100" s="100">
        <f>IF('Net zero activities &amp; levers'!$C$14="Off",('Activity data'!AW6*EF!$H37*EF!$H55)*NtoN2O*kgtoGg,IF('Net zero activities &amp; levers'!$C$14="On",('Net zero Activity data'!AW6*EF!$H37*EF!$H55)*NtoN2O*kgtoGg,"ERROR"))</f>
        <v>0.28021026944017247</v>
      </c>
      <c r="AE1100" s="100">
        <f>IF('Net zero activities &amp; levers'!$C$14="Off",('Activity data'!AX6*EF!$H37*EF!$H55)*NtoN2O*kgtoGg,IF('Net zero activities &amp; levers'!$C$14="On",('Net zero Activity data'!AX6*EF!$H37*EF!$H55)*NtoN2O*kgtoGg,"ERROR"))</f>
        <v>0.28490132331827456</v>
      </c>
      <c r="AF1100" s="100">
        <f>IF('Net zero activities &amp; levers'!$C$14="Off",('Activity data'!AY6*EF!$H37*EF!$H55)*NtoN2O*kgtoGg,IF('Net zero activities &amp; levers'!$C$14="On",('Net zero Activity data'!AY6*EF!$H37*EF!$H55)*NtoN2O*kgtoGg,"ERROR"))</f>
        <v>0.28973144008973362</v>
      </c>
      <c r="AG1100" s="100">
        <f>IF('Net zero activities &amp; levers'!$C$14="Off",('Activity data'!AZ6*EF!$H37*EF!$H55)*NtoN2O*kgtoGg,IF('Net zero activities &amp; levers'!$C$14="On",('Net zero Activity data'!AZ6*EF!$H37*EF!$H55)*NtoN2O*kgtoGg,"ERROR"))</f>
        <v>0.29514018875772702</v>
      </c>
      <c r="AH1100" s="100">
        <f>IF('Net zero activities &amp; levers'!$C$14="Off",('Activity data'!BA6*EF!$H37*EF!$H55)*NtoN2O*kgtoGg,IF('Net zero activities &amp; levers'!$C$14="On",('Net zero Activity data'!BA6*EF!$H37*EF!$H55)*NtoN2O*kgtoGg,"ERROR"))</f>
        <v>0.29997380593326689</v>
      </c>
      <c r="AI1100" s="100">
        <f>IF('Net zero activities &amp; levers'!$C$14="Off",('Activity data'!BB6*EF!$H37*EF!$H55)*NtoN2O*kgtoGg,IF('Net zero activities &amp; levers'!$C$14="On",('Net zero Activity data'!BB6*EF!$H37*EF!$H55)*NtoN2O*kgtoGg,"ERROR"))</f>
        <v>0.30499758984500719</v>
      </c>
      <c r="AJ1100" s="100">
        <f>IF('Net zero activities &amp; levers'!$C$14="Off",('Activity data'!BC6*EF!$H37*EF!$H55)*NtoN2O*kgtoGg,IF('Net zero activities &amp; levers'!$C$14="On",('Net zero Activity data'!BC6*EF!$H37*EF!$H55)*NtoN2O*kgtoGg,"ERROR"))</f>
        <v>0.3101471695884212</v>
      </c>
      <c r="AK1100" s="100">
        <f>IF('Net zero activities &amp; levers'!$C$14="Off",('Activity data'!BD6*EF!$H37*EF!$H55)*NtoN2O*kgtoGg,IF('Net zero activities &amp; levers'!$C$14="On",('Net zero Activity data'!BD6*EF!$H37*EF!$H55)*NtoN2O*kgtoGg,"ERROR"))</f>
        <v>0.31510943920539841</v>
      </c>
      <c r="AL1100" s="100">
        <f>IF('Net zero activities &amp; levers'!$C$14="Off",('Activity data'!BE6*EF!$H37*EF!$H55)*NtoN2O*kgtoGg,IF('Net zero activities &amp; levers'!$C$14="On",('Net zero Activity data'!BE6*EF!$H37*EF!$H55)*NtoN2O*kgtoGg,"ERROR"))</f>
        <v>0.3200950414509563</v>
      </c>
      <c r="AM1100" s="100">
        <f>IF('Net zero activities &amp; levers'!$C$14="Off",('Activity data'!BF6*EF!$H37*EF!$H55)*NtoN2O*kgtoGg,IF('Net zero activities &amp; levers'!$C$14="On",('Net zero Activity data'!BF6*EF!$H37*EF!$H55)*NtoN2O*kgtoGg,"ERROR"))</f>
        <v>0.3252956050775902</v>
      </c>
      <c r="AN1100" s="100">
        <f>IF('Net zero activities &amp; levers'!$C$14="Off",('Activity data'!BG6*EF!$H37*EF!$H55)*NtoN2O*kgtoGg,IF('Net zero activities &amp; levers'!$C$14="On",('Net zero Activity data'!BG6*EF!$H37*EF!$H55)*NtoN2O*kgtoGg,"ERROR"))</f>
        <v>0.33066659335540477</v>
      </c>
      <c r="AO1100" s="100">
        <f>IF('Net zero activities &amp; levers'!$C$14="Off",('Activity data'!BH6*EF!$H37*EF!$H55)*NtoN2O*kgtoGg,IF('Net zero activities &amp; levers'!$C$14="On",('Net zero Activity data'!BH6*EF!$H37*EF!$H55)*NtoN2O*kgtoGg,"ERROR"))</f>
        <v>0.33575304643502946</v>
      </c>
      <c r="AP1100" s="100">
        <f>IF('Net zero activities &amp; levers'!$C$14="Off",('Activity data'!BI6*EF!$H37*EF!$H55)*NtoN2O*kgtoGg,IF('Net zero activities &amp; levers'!$C$14="On",('Net zero Activity data'!BI6*EF!$H37*EF!$H55)*NtoN2O*kgtoGg,"ERROR"))</f>
        <v>0.34093960126310552</v>
      </c>
      <c r="AQ1100" s="100">
        <f>IF('Net zero activities &amp; levers'!$C$14="Off",('Activity data'!BJ6*EF!$H37*EF!$H55)*NtoN2O*kgtoGg,IF('Net zero activities &amp; levers'!$C$14="On",('Net zero Activity data'!BJ6*EF!$H37*EF!$H55)*NtoN2O*kgtoGg,"ERROR"))</f>
        <v>0.34623600034497493</v>
      </c>
      <c r="AR1100" s="100">
        <f>IF('Net zero activities &amp; levers'!$C$14="Off",('Activity data'!BK6*EF!$H37*EF!$H55)*NtoN2O*kgtoGg,IF('Net zero activities &amp; levers'!$C$14="On",('Net zero Activity data'!BK6*EF!$H37*EF!$H55)*NtoN2O*kgtoGg,"ERROR"))</f>
        <v>0.35191914872249919</v>
      </c>
      <c r="AS1100" s="100">
        <f>IF('Net zero activities &amp; levers'!$C$14="Off",('Activity data'!BL6*EF!$H37*EF!$H55)*NtoN2O*kgtoGg,IF('Net zero activities &amp; levers'!$C$14="On",('Net zero Activity data'!BL6*EF!$H37*EF!$H55)*NtoN2O*kgtoGg,"ERROR"))</f>
        <v>0.35765016000506206</v>
      </c>
      <c r="AT1100" s="100">
        <f>IF('Net zero activities &amp; levers'!$C$14="Off",('Activity data'!BM6*EF!$H37*EF!$H55)*NtoN2O*kgtoGg,IF('Net zero activities &amp; levers'!$C$14="On",('Net zero Activity data'!BM6*EF!$H37*EF!$H55)*NtoN2O*kgtoGg,"ERROR"))</f>
        <v>0.36082718708640416</v>
      </c>
      <c r="AU1100" s="100">
        <f>IF('Net zero activities &amp; levers'!$C$14="Off",('Activity data'!BN6*EF!$H37*EF!$H55)*NtoN2O*kgtoGg,IF('Net zero activities &amp; levers'!$C$14="On",('Net zero Activity data'!BN6*EF!$H37*EF!$H55)*NtoN2O*kgtoGg,"ERROR"))</f>
        <v>0.36384509996553949</v>
      </c>
      <c r="AV1100" s="100">
        <f>IF('Net zero activities &amp; levers'!$C$14="Off",('Activity data'!BO6*EF!$H37*EF!$H55)*NtoN2O*kgtoGg,IF('Net zero activities &amp; levers'!$C$14="On",('Net zero Activity data'!BO6*EF!$H37*EF!$H55)*NtoN2O*kgtoGg,"ERROR"))</f>
        <v>0.36723560872529415</v>
      </c>
      <c r="AW1100" s="100">
        <f>IF('Net zero activities &amp; levers'!$C$14="Off",('Activity data'!BP6*EF!$H37*EF!$H55)*NtoN2O*kgtoGg,IF('Net zero activities &amp; levers'!$C$14="On",('Net zero Activity data'!BP6*EF!$H37*EF!$H55)*NtoN2O*kgtoGg,"ERROR"))</f>
        <v>0.37049751628130428</v>
      </c>
      <c r="AY1100" s="85"/>
    </row>
    <row r="1101" spans="1:51" x14ac:dyDescent="0.25">
      <c r="A1101" s="102" t="str">
        <f t="shared" si="374"/>
        <v>CM Cattle MMN2O</v>
      </c>
      <c r="B1101" s="102" t="s">
        <v>1323</v>
      </c>
      <c r="C1101" s="102" t="s">
        <v>1233</v>
      </c>
      <c r="D1101" t="s">
        <v>15</v>
      </c>
      <c r="E1101" t="s">
        <v>657</v>
      </c>
      <c r="F1101" t="s">
        <v>67</v>
      </c>
      <c r="G1101" t="s">
        <v>307</v>
      </c>
      <c r="H1101" t="s">
        <v>1228</v>
      </c>
      <c r="I1101" t="s">
        <v>139</v>
      </c>
      <c r="J1101" t="s">
        <v>287</v>
      </c>
      <c r="K1101" s="100">
        <f>IF('Net zero activities &amp; levers'!$C$14="Off",('Activity data'!AD7*EF!$H38*EF!$H56)*NtoN2O*kgtoGg,IF('Net zero activities &amp; levers'!$C$14="On",('Net zero Activity data'!AD7*EF!$H38*EF!$H56)*NtoN2O*kgtoGg,"ERROR"))</f>
        <v>1.1598714945443948E-2</v>
      </c>
      <c r="L1101" s="100">
        <f>IF('Net zero activities &amp; levers'!$C$14="Off",('Activity data'!AE7*EF!$H38*EF!$H56)*NtoN2O*kgtoGg,IF('Net zero activities &amp; levers'!$C$14="On",('Net zero Activity data'!AE7*EF!$H38*EF!$H56)*NtoN2O*kgtoGg,"ERROR"))</f>
        <v>1.1677030119965246E-2</v>
      </c>
      <c r="M1101" s="100">
        <f>IF('Net zero activities &amp; levers'!$C$14="Off",('Activity data'!AF7*EF!$H38*EF!$H56)*NtoN2O*kgtoGg,IF('Net zero activities &amp; levers'!$C$14="On",('Net zero Activity data'!AF7*EF!$H38*EF!$H56)*NtoN2O*kgtoGg,"ERROR"))</f>
        <v>1.1745536059915416E-2</v>
      </c>
      <c r="N1101" s="100">
        <f>IF('Net zero activities &amp; levers'!$C$14="Off",('Activity data'!AG7*EF!$H38*EF!$H56)*NtoN2O*kgtoGg,IF('Net zero activities &amp; levers'!$C$14="On",('Net zero Activity data'!AG7*EF!$H38*EF!$H56)*NtoN2O*kgtoGg,"ERROR"))</f>
        <v>1.1754397446845087E-2</v>
      </c>
      <c r="O1101" s="100">
        <f>IF('Net zero activities &amp; levers'!$C$14="Off",('Activity data'!AH7*EF!$H38*EF!$H56)*NtoN2O*kgtoGg,IF('Net zero activities &amp; levers'!$C$14="On",('Net zero Activity data'!AH7*EF!$H38*EF!$H56)*NtoN2O*kgtoGg,"ERROR"))</f>
        <v>1.1769660316991377E-2</v>
      </c>
      <c r="P1101" s="100">
        <f>IF('Net zero activities &amp; levers'!$C$14="Off",('Activity data'!AI7*EF!$H38*EF!$H56)*NtoN2O*kgtoGg,IF('Net zero activities &amp; levers'!$C$14="On",('Net zero Activity data'!AI7*EF!$H38*EF!$H56)*NtoN2O*kgtoGg,"ERROR"))</f>
        <v>1.1857235850616387E-2</v>
      </c>
      <c r="Q1101" s="100">
        <f>IF('Net zero activities &amp; levers'!$C$14="Off",('Activity data'!AJ7*EF!$H38*EF!$H56)*NtoN2O*kgtoGg,IF('Net zero activities &amp; levers'!$C$14="On",('Net zero Activity data'!AJ7*EF!$H38*EF!$H56)*NtoN2O*kgtoGg,"ERROR"))</f>
        <v>1.1927264210450818E-2</v>
      </c>
      <c r="R1101" s="100">
        <f>IF('Net zero activities &amp; levers'!$C$14="Off",('Activity data'!AK7*EF!$H38*EF!$H56)*NtoN2O*kgtoGg,IF('Net zero activities &amp; levers'!$C$14="On",('Net zero Activity data'!AK7*EF!$H38*EF!$H56)*NtoN2O*kgtoGg,"ERROR"))</f>
        <v>1.1927878223320707E-2</v>
      </c>
      <c r="S1101" s="100">
        <f>IF('Net zero activities &amp; levers'!$C$14="Off",('Activity data'!AL7*EF!$H38*EF!$H56)*NtoN2O*kgtoGg,IF('Net zero activities &amp; levers'!$C$14="On",('Net zero Activity data'!AL7*EF!$H38*EF!$H56)*NtoN2O*kgtoGg,"ERROR"))</f>
        <v>1.1611863969496622E-2</v>
      </c>
      <c r="T1101" s="100">
        <f>IF('Net zero activities &amp; levers'!$C$14="Off",('Activity data'!AM7*EF!$H38*EF!$H56)*NtoN2O*kgtoGg,IF('Net zero activities &amp; levers'!$C$14="On",('Net zero Activity data'!AM7*EF!$H38*EF!$H56)*NtoN2O*kgtoGg,"ERROR"))</f>
        <v>1.1670412476333285E-2</v>
      </c>
      <c r="U1101" s="100">
        <f>IF('Net zero activities &amp; levers'!$C$14="Off",('Activity data'!AN7*EF!$H38*EF!$H56)*NtoN2O*kgtoGg,IF('Net zero activities &amp; levers'!$C$14="On",('Net zero Activity data'!AN7*EF!$H38*EF!$H56)*NtoN2O*kgtoGg,"ERROR"))</f>
        <v>1.1690011795887009E-2</v>
      </c>
      <c r="V1101" s="100">
        <f>IF('Net zero activities &amp; levers'!$C$14="Off",('Activity data'!AO7*EF!$H38*EF!$H56)*NtoN2O*kgtoGg,IF('Net zero activities &amp; levers'!$C$14="On",('Net zero Activity data'!AO7*EF!$H38*EF!$H56)*NtoN2O*kgtoGg,"ERROR"))</f>
        <v>1.1701386719696659E-2</v>
      </c>
      <c r="W1101" s="100">
        <f>IF('Net zero activities &amp; levers'!$C$14="Off",('Activity data'!AP7*EF!$H38*EF!$H56)*NtoN2O*kgtoGg,IF('Net zero activities &amp; levers'!$C$14="On",('Net zero Activity data'!AP7*EF!$H38*EF!$H56)*NtoN2O*kgtoGg,"ERROR"))</f>
        <v>1.1727854409399838E-2</v>
      </c>
      <c r="X1101" s="100">
        <f>IF('Net zero activities &amp; levers'!$C$14="Off",('Activity data'!AQ7*EF!$H38*EF!$H56)*NtoN2O*kgtoGg,IF('Net zero activities &amp; levers'!$C$14="On",('Net zero Activity data'!AQ7*EF!$H38*EF!$H56)*NtoN2O*kgtoGg,"ERROR"))</f>
        <v>1.1804833799023256E-2</v>
      </c>
      <c r="Y1101" s="100">
        <f>IF('Net zero activities &amp; levers'!$C$14="Off",('Activity data'!AR7*EF!$H38*EF!$H56)*NtoN2O*kgtoGg,IF('Net zero activities &amp; levers'!$C$14="On",('Net zero Activity data'!AR7*EF!$H38*EF!$H56)*NtoN2O*kgtoGg,"ERROR"))</f>
        <v>1.1886005497153091E-2</v>
      </c>
      <c r="Z1101" s="100">
        <f>IF('Net zero activities &amp; levers'!$C$14="Off",('Activity data'!AS7*EF!$H38*EF!$H56)*NtoN2O*kgtoGg,IF('Net zero activities &amp; levers'!$C$14="On",('Net zero Activity data'!AS7*EF!$H38*EF!$H56)*NtoN2O*kgtoGg,"ERROR"))</f>
        <v>1.1979510957472734E-2</v>
      </c>
      <c r="AA1101" s="100">
        <f>IF('Net zero activities &amp; levers'!$C$14="Off",('Activity data'!AT7*EF!$H38*EF!$H56)*NtoN2O*kgtoGg,IF('Net zero activities &amp; levers'!$C$14="On",('Net zero Activity data'!AT7*EF!$H38*EF!$H56)*NtoN2O*kgtoGg,"ERROR"))</f>
        <v>1.205236577778087E-2</v>
      </c>
      <c r="AB1101" s="100">
        <f>IF('Net zero activities &amp; levers'!$C$14="Off",('Activity data'!AU7*EF!$H38*EF!$H56)*NtoN2O*kgtoGg,IF('Net zero activities &amp; levers'!$C$14="On",('Net zero Activity data'!AU7*EF!$H38*EF!$H56)*NtoN2O*kgtoGg,"ERROR"))</f>
        <v>1.2147438942603695E-2</v>
      </c>
      <c r="AC1101" s="100">
        <f>IF('Net zero activities &amp; levers'!$C$14="Off",('Activity data'!AV7*EF!$H38*EF!$H56)*NtoN2O*kgtoGg,IF('Net zero activities &amp; levers'!$C$14="On",('Net zero Activity data'!AV7*EF!$H38*EF!$H56)*NtoN2O*kgtoGg,"ERROR"))</f>
        <v>1.2269617141334144E-2</v>
      </c>
      <c r="AD1101" s="100">
        <f>IF('Net zero activities &amp; levers'!$C$14="Off",('Activity data'!AW7*EF!$H38*EF!$H56)*NtoN2O*kgtoGg,IF('Net zero activities &amp; levers'!$C$14="On",('Net zero Activity data'!AW7*EF!$H38*EF!$H56)*NtoN2O*kgtoGg,"ERROR"))</f>
        <v>1.2467702333271203E-2</v>
      </c>
      <c r="AE1101" s="100">
        <f>IF('Net zero activities &amp; levers'!$C$14="Off",('Activity data'!AX7*EF!$H38*EF!$H56)*NtoN2O*kgtoGg,IF('Net zero activities &amp; levers'!$C$14="On",('Net zero Activity data'!AX7*EF!$H38*EF!$H56)*NtoN2O*kgtoGg,"ERROR"))</f>
        <v>1.267642652991954E-2</v>
      </c>
      <c r="AF1101" s="100">
        <f>IF('Net zero activities &amp; levers'!$C$14="Off",('Activity data'!AY7*EF!$H38*EF!$H56)*NtoN2O*kgtoGg,IF('Net zero activities &amp; levers'!$C$14="On",('Net zero Activity data'!AY7*EF!$H38*EF!$H56)*NtoN2O*kgtoGg,"ERROR"))</f>
        <v>1.2891338204148346E-2</v>
      </c>
      <c r="AG1101" s="100">
        <f>IF('Net zero activities &amp; levers'!$C$14="Off",('Activity data'!AZ7*EF!$H38*EF!$H56)*NtoN2O*kgtoGg,IF('Net zero activities &amp; levers'!$C$14="On",('Net zero Activity data'!AZ7*EF!$H38*EF!$H56)*NtoN2O*kgtoGg,"ERROR"))</f>
        <v>1.3131995580920246E-2</v>
      </c>
      <c r="AH1101" s="100">
        <f>IF('Net zero activities &amp; levers'!$C$14="Off",('Activity data'!BA7*EF!$H38*EF!$H56)*NtoN2O*kgtoGg,IF('Net zero activities &amp; levers'!$C$14="On",('Net zero Activity data'!BA7*EF!$H38*EF!$H56)*NtoN2O*kgtoGg,"ERROR"))</f>
        <v>1.3347063002460574E-2</v>
      </c>
      <c r="AI1101" s="100">
        <f>IF('Net zero activities &amp; levers'!$C$14="Off",('Activity data'!BB7*EF!$H38*EF!$H56)*NtoN2O*kgtoGg,IF('Net zero activities &amp; levers'!$C$14="On",('Net zero Activity data'!BB7*EF!$H38*EF!$H56)*NtoN2O*kgtoGg,"ERROR"))</f>
        <v>1.3570591720816946E-2</v>
      </c>
      <c r="AJ1101" s="100">
        <f>IF('Net zero activities &amp; levers'!$C$14="Off",('Activity data'!BC7*EF!$H38*EF!$H56)*NtoN2O*kgtoGg,IF('Net zero activities &amp; levers'!$C$14="On",('Net zero Activity data'!BC7*EF!$H38*EF!$H56)*NtoN2O*kgtoGg,"ERROR"))</f>
        <v>1.3799717610851593E-2</v>
      </c>
      <c r="AK1101" s="100">
        <f>IF('Net zero activities &amp; levers'!$C$14="Off",('Activity data'!BD7*EF!$H38*EF!$H56)*NtoN2O*kgtoGg,IF('Net zero activities &amp; levers'!$C$14="On",('Net zero Activity data'!BD7*EF!$H38*EF!$H56)*NtoN2O*kgtoGg,"ERROR"))</f>
        <v>1.4020509306336248E-2</v>
      </c>
      <c r="AL1101" s="100">
        <f>IF('Net zero activities &amp; levers'!$C$14="Off",('Activity data'!BE7*EF!$H38*EF!$H56)*NtoN2O*kgtoGg,IF('Net zero activities &amp; levers'!$C$14="On",('Net zero Activity data'!BE7*EF!$H38*EF!$H56)*NtoN2O*kgtoGg,"ERROR"))</f>
        <v>1.4242339166012306E-2</v>
      </c>
      <c r="AM1101" s="100">
        <f>IF('Net zero activities &amp; levers'!$C$14="Off",('Activity data'!BF7*EF!$H38*EF!$H56)*NtoN2O*kgtoGg,IF('Net zero activities &amp; levers'!$C$14="On",('Net zero Activity data'!BF7*EF!$H38*EF!$H56)*NtoN2O*kgtoGg,"ERROR"))</f>
        <v>1.4473733537787649E-2</v>
      </c>
      <c r="AN1101" s="100">
        <f>IF('Net zero activities &amp; levers'!$C$14="Off",('Activity data'!BG7*EF!$H38*EF!$H56)*NtoN2O*kgtoGg,IF('Net zero activities &amp; levers'!$C$14="On",('Net zero Activity data'!BG7*EF!$H38*EF!$H56)*NtoN2O*kgtoGg,"ERROR"))</f>
        <v>1.4712710800173745E-2</v>
      </c>
      <c r="AO1101" s="100">
        <f>IF('Net zero activities &amp; levers'!$C$14="Off",('Activity data'!BH7*EF!$H38*EF!$H56)*NtoN2O*kgtoGg,IF('Net zero activities &amp; levers'!$C$14="On",('Net zero Activity data'!BH7*EF!$H38*EF!$H56)*NtoN2O*kgtoGg,"ERROR"))</f>
        <v>1.4939027926436137E-2</v>
      </c>
      <c r="AP1101" s="100">
        <f>IF('Net zero activities &amp; levers'!$C$14="Off",('Activity data'!BI7*EF!$H38*EF!$H56)*NtoN2O*kgtoGg,IF('Net zero activities &amp; levers'!$C$14="On",('Net zero Activity data'!BI7*EF!$H38*EF!$H56)*NtoN2O*kgtoGg,"ERROR"))</f>
        <v>1.5169798989398372E-2</v>
      </c>
      <c r="AQ1101" s="100">
        <f>IF('Net zero activities &amp; levers'!$C$14="Off",('Activity data'!BJ7*EF!$H38*EF!$H56)*NtoN2O*kgtoGg,IF('Net zero activities &amp; levers'!$C$14="On",('Net zero Activity data'!BJ7*EF!$H38*EF!$H56)*NtoN2O*kgtoGg,"ERROR"))</f>
        <v>1.5405457473018145E-2</v>
      </c>
      <c r="AR1101" s="100">
        <f>IF('Net zero activities &amp; levers'!$C$14="Off",('Activity data'!BK7*EF!$H38*EF!$H56)*NtoN2O*kgtoGg,IF('Net zero activities &amp; levers'!$C$14="On",('Net zero Activity data'!BK7*EF!$H38*EF!$H56)*NtoN2O*kgtoGg,"ERROR"))</f>
        <v>1.565832401651902E-2</v>
      </c>
      <c r="AS1101" s="100">
        <f>IF('Net zero activities &amp; levers'!$C$14="Off",('Activity data'!BL7*EF!$H38*EF!$H56)*NtoN2O*kgtoGg,IF('Net zero activities &amp; levers'!$C$14="On",('Net zero Activity data'!BL7*EF!$H38*EF!$H56)*NtoN2O*kgtoGg,"ERROR"))</f>
        <v>1.5913320176661066E-2</v>
      </c>
      <c r="AT1101" s="100">
        <f>IF('Net zero activities &amp; levers'!$C$14="Off",('Activity data'!BM7*EF!$H38*EF!$H56)*NtoN2O*kgtoGg,IF('Net zero activities &amp; levers'!$C$14="On",('Net zero Activity data'!BM7*EF!$H38*EF!$H56)*NtoN2O*kgtoGg,"ERROR"))</f>
        <v>1.6054679121263817E-2</v>
      </c>
      <c r="AU1101" s="100">
        <f>IF('Net zero activities &amp; levers'!$C$14="Off",('Activity data'!BN7*EF!$H38*EF!$H56)*NtoN2O*kgtoGg,IF('Net zero activities &amp; levers'!$C$14="On",('Net zero Activity data'!BN7*EF!$H38*EF!$H56)*NtoN2O*kgtoGg,"ERROR"))</f>
        <v>1.618895842344634E-2</v>
      </c>
      <c r="AV1101" s="100">
        <f>IF('Net zero activities &amp; levers'!$C$14="Off",('Activity data'!BO7*EF!$H38*EF!$H56)*NtoN2O*kgtoGg,IF('Net zero activities &amp; levers'!$C$14="On",('Net zero Activity data'!BO7*EF!$H38*EF!$H56)*NtoN2O*kgtoGg,"ERROR"))</f>
        <v>1.633981604211758E-2</v>
      </c>
      <c r="AW1101" s="100">
        <f>IF('Net zero activities &amp; levers'!$C$14="Off",('Activity data'!BP7*EF!$H38*EF!$H56)*NtoN2O*kgtoGg,IF('Net zero activities &amp; levers'!$C$14="On",('Net zero Activity data'!BP7*EF!$H38*EF!$H56)*NtoN2O*kgtoGg,"ERROR"))</f>
        <v>1.6484951666619261E-2</v>
      </c>
      <c r="AY1101" s="85"/>
    </row>
    <row r="1102" spans="1:51" x14ac:dyDescent="0.25">
      <c r="A1102" s="102" t="str">
        <f t="shared" si="374"/>
        <v>CM Cattle MMN2O</v>
      </c>
      <c r="B1102" s="102" t="s">
        <v>1323</v>
      </c>
      <c r="C1102" s="102" t="s">
        <v>1233</v>
      </c>
      <c r="D1102" t="s">
        <v>15</v>
      </c>
      <c r="E1102" t="s">
        <v>657</v>
      </c>
      <c r="F1102" t="s">
        <v>67</v>
      </c>
      <c r="G1102" t="s">
        <v>122</v>
      </c>
      <c r="H1102" t="s">
        <v>1228</v>
      </c>
      <c r="I1102" t="s">
        <v>139</v>
      </c>
      <c r="J1102" t="s">
        <v>287</v>
      </c>
      <c r="K1102" s="100">
        <f>IF('Net zero activities &amp; levers'!$C$14="Off",('Activity data'!AD8*EF!$H39*EF!$H57)*NtoN2O*kgtoGg,IF('Net zero activities &amp; levers'!$C$14="On",('Net zero Activity data'!AD8*EF!$H39*EF!$H57)*NtoN2O*kgtoGg,"ERROR"))</f>
        <v>0.52784381686908488</v>
      </c>
      <c r="L1102" s="100">
        <f>IF('Net zero activities &amp; levers'!$C$14="Off",('Activity data'!AE8*EF!$H39*EF!$H57)*NtoN2O*kgtoGg,IF('Net zero activities &amp; levers'!$C$14="On",('Net zero Activity data'!AE8*EF!$H39*EF!$H57)*NtoN2O*kgtoGg,"ERROR"))</f>
        <v>0.52515644938547934</v>
      </c>
      <c r="M1102" s="100">
        <f>IF('Net zero activities &amp; levers'!$C$14="Off",('Activity data'!AF8*EF!$H39*EF!$H57)*NtoN2O*kgtoGg,IF('Net zero activities &amp; levers'!$C$14="On",('Net zero Activity data'!AF8*EF!$H39*EF!$H57)*NtoN2O*kgtoGg,"ERROR"))</f>
        <v>0.52025151153580673</v>
      </c>
      <c r="N1102" s="100">
        <f>IF('Net zero activities &amp; levers'!$C$14="Off",('Activity data'!AG8*EF!$H39*EF!$H57)*NtoN2O*kgtoGg,IF('Net zero activities &amp; levers'!$C$14="On",('Net zero Activity data'!AG8*EF!$H39*EF!$H57)*NtoN2O*kgtoGg,"ERROR"))</f>
        <v>0.50682531077398352</v>
      </c>
      <c r="O1102" s="100">
        <f>IF('Net zero activities &amp; levers'!$C$14="Off",('Activity data'!AH8*EF!$H39*EF!$H57)*NtoN2O*kgtoGg,IF('Net zero activities &amp; levers'!$C$14="On",('Net zero Activity data'!AH8*EF!$H39*EF!$H57)*NtoN2O*kgtoGg,"ERROR"))</f>
        <v>0.4939348964332157</v>
      </c>
      <c r="P1102" s="100">
        <f>IF('Net zero activities &amp; levers'!$C$14="Off",('Activity data'!AI8*EF!$H39*EF!$H57)*NtoN2O*kgtoGg,IF('Net zero activities &amp; levers'!$C$14="On",('Net zero Activity data'!AI8*EF!$H39*EF!$H57)*NtoN2O*kgtoGg,"ERROR"))</f>
        <v>0.48971543421207564</v>
      </c>
      <c r="Q1102" s="100">
        <f>IF('Net zero activities &amp; levers'!$C$14="Off",('Activity data'!AJ8*EF!$H39*EF!$H57)*NtoN2O*kgtoGg,IF('Net zero activities &amp; levers'!$C$14="On",('Net zero Activity data'!AJ8*EF!$H39*EF!$H57)*NtoN2O*kgtoGg,"ERROR"))</f>
        <v>0.48290055380478719</v>
      </c>
      <c r="R1102" s="100">
        <f>IF('Net zero activities &amp; levers'!$C$14="Off",('Activity data'!AK8*EF!$H39*EF!$H57)*NtoN2O*kgtoGg,IF('Net zero activities &amp; levers'!$C$14="On",('Net zero Activity data'!AK8*EF!$H39*EF!$H57)*NtoN2O*kgtoGg,"ERROR"))</f>
        <v>0.46758884489133185</v>
      </c>
      <c r="S1102" s="100">
        <f>IF('Net zero activities &amp; levers'!$C$14="Off",('Activity data'!AL8*EF!$H39*EF!$H57)*NtoN2O*kgtoGg,IF('Net zero activities &amp; levers'!$C$14="On",('Net zero Activity data'!AL8*EF!$H39*EF!$H57)*NtoN2O*kgtoGg,"ERROR"))</f>
        <v>0.41621648904191116</v>
      </c>
      <c r="T1102" s="100">
        <f>IF('Net zero activities &amp; levers'!$C$14="Off",('Activity data'!AM8*EF!$H39*EF!$H57)*NtoN2O*kgtoGg,IF('Net zero activities &amp; levers'!$C$14="On",('Net zero Activity data'!AM8*EF!$H39*EF!$H57)*NtoN2O*kgtoGg,"ERROR"))</f>
        <v>0.41558248417770116</v>
      </c>
      <c r="U1102" s="100">
        <f>IF('Net zero activities &amp; levers'!$C$14="Off",('Activity data'!AN8*EF!$H39*EF!$H57)*NtoN2O*kgtoGg,IF('Net zero activities &amp; levers'!$C$14="On",('Net zero Activity data'!AN8*EF!$H39*EF!$H57)*NtoN2O*kgtoGg,"ERROR"))</f>
        <v>0.41017664588342345</v>
      </c>
      <c r="V1102" s="100">
        <f>IF('Net zero activities &amp; levers'!$C$14="Off",('Activity data'!AO8*EF!$H39*EF!$H57)*NtoN2O*kgtoGg,IF('Net zero activities &amp; levers'!$C$14="On",('Net zero Activity data'!AO8*EF!$H39*EF!$H57)*NtoN2O*kgtoGg,"ERROR"))</f>
        <v>0.40362859744163054</v>
      </c>
      <c r="W1102" s="100">
        <f>IF('Net zero activities &amp; levers'!$C$14="Off",('Activity data'!AP8*EF!$H39*EF!$H57)*NtoN2O*kgtoGg,IF('Net zero activities &amp; levers'!$C$14="On",('Net zero Activity data'!AP8*EF!$H39*EF!$H57)*NtoN2O*kgtoGg,"ERROR"))</f>
        <v>0.39840359656116198</v>
      </c>
      <c r="X1102" s="100">
        <f>IF('Net zero activities &amp; levers'!$C$14="Off",('Activity data'!AQ8*EF!$H39*EF!$H57)*NtoN2O*kgtoGg,IF('Net zero activities &amp; levers'!$C$14="On",('Net zero Activity data'!AQ8*EF!$H39*EF!$H57)*NtoN2O*kgtoGg,"ERROR"))</f>
        <v>0.39785306827983508</v>
      </c>
      <c r="Y1102" s="100">
        <f>IF('Net zero activities &amp; levers'!$C$14="Off",('Activity data'!AR8*EF!$H39*EF!$H57)*NtoN2O*kgtoGg,IF('Net zero activities &amp; levers'!$C$14="On",('Net zero Activity data'!AR8*EF!$H39*EF!$H57)*NtoN2O*kgtoGg,"ERROR"))</f>
        <v>0.39787949912660181</v>
      </c>
      <c r="Z1102" s="100">
        <f>IF('Net zero activities &amp; levers'!$C$14="Off",('Activity data'!AS8*EF!$H39*EF!$H57)*NtoN2O*kgtoGg,IF('Net zero activities &amp; levers'!$C$14="On",('Net zero Activity data'!AS8*EF!$H39*EF!$H57)*NtoN2O*kgtoGg,"ERROR"))</f>
        <v>0.39845414150807984</v>
      </c>
      <c r="AA1102" s="100">
        <f>IF('Net zero activities &amp; levers'!$C$14="Off",('Activity data'!AT8*EF!$H39*EF!$H57)*NtoN2O*kgtoGg,IF('Net zero activities &amp; levers'!$C$14="On",('Net zero Activity data'!AT8*EF!$H39*EF!$H57)*NtoN2O*kgtoGg,"ERROR"))</f>
        <v>0.3965721692822553</v>
      </c>
      <c r="AB1102" s="100">
        <f>IF('Net zero activities &amp; levers'!$C$14="Off",('Activity data'!AU8*EF!$H39*EF!$H57)*NtoN2O*kgtoGg,IF('Net zero activities &amp; levers'!$C$14="On",('Net zero Activity data'!AU8*EF!$H39*EF!$H57)*NtoN2O*kgtoGg,"ERROR"))</f>
        <v>0.39613655789076946</v>
      </c>
      <c r="AC1102" s="100">
        <f>IF('Net zero activities &amp; levers'!$C$14="Off",('Activity data'!AV8*EF!$H39*EF!$H57)*NtoN2O*kgtoGg,IF('Net zero activities &amp; levers'!$C$14="On",('Net zero Activity data'!AV8*EF!$H39*EF!$H57)*NtoN2O*kgtoGg,"ERROR"))</f>
        <v>0.3974004325820491</v>
      </c>
      <c r="AD1102" s="100">
        <f>IF('Net zero activities &amp; levers'!$C$14="Off",('Activity data'!AW8*EF!$H39*EF!$H57)*NtoN2O*kgtoGg,IF('Net zero activities &amp; levers'!$C$14="On",('Net zero Activity data'!AW8*EF!$H39*EF!$H57)*NtoN2O*kgtoGg,"ERROR"))</f>
        <v>0.39965117494650282</v>
      </c>
      <c r="AE1102" s="100">
        <f>IF('Net zero activities &amp; levers'!$C$14="Off",('Activity data'!AX8*EF!$H39*EF!$H57)*NtoN2O*kgtoGg,IF('Net zero activities &amp; levers'!$C$14="On",('Net zero Activity data'!AX8*EF!$H39*EF!$H57)*NtoN2O*kgtoGg,"ERROR"))</f>
        <v>0.40188837923137971</v>
      </c>
      <c r="AF1102" s="100">
        <f>IF('Net zero activities &amp; levers'!$C$14="Off",('Activity data'!AY8*EF!$H39*EF!$H57)*NtoN2O*kgtoGg,IF('Net zero activities &amp; levers'!$C$14="On",('Net zero Activity data'!AY8*EF!$H39*EF!$H57)*NtoN2O*kgtoGg,"ERROR"))</f>
        <v>0.40373468887325353</v>
      </c>
      <c r="AG1102" s="100">
        <f>IF('Net zero activities &amp; levers'!$C$14="Off",('Activity data'!AZ8*EF!$H39*EF!$H57)*NtoN2O*kgtoGg,IF('Net zero activities &amp; levers'!$C$14="On",('Net zero Activity data'!AZ8*EF!$H39*EF!$H57)*NtoN2O*kgtoGg,"ERROR"))</f>
        <v>0.40659880442857343</v>
      </c>
      <c r="AH1102" s="100">
        <f>IF('Net zero activities &amp; levers'!$C$14="Off",('Activity data'!BA8*EF!$H39*EF!$H57)*NtoN2O*kgtoGg,IF('Net zero activities &amp; levers'!$C$14="On",('Net zero Activity data'!BA8*EF!$H39*EF!$H57)*NtoN2O*kgtoGg,"ERROR"))</f>
        <v>0.40674398352285984</v>
      </c>
      <c r="AI1102" s="100">
        <f>IF('Net zero activities &amp; levers'!$C$14="Off",('Activity data'!BB8*EF!$H39*EF!$H57)*NtoN2O*kgtoGg,IF('Net zero activities &amp; levers'!$C$14="On",('Net zero Activity data'!BB8*EF!$H39*EF!$H57)*NtoN2O*kgtoGg,"ERROR"))</f>
        <v>0.40707455362291367</v>
      </c>
      <c r="AJ1102" s="100">
        <f>IF('Net zero activities &amp; levers'!$C$14="Off",('Activity data'!BC8*EF!$H39*EF!$H57)*NtoN2O*kgtoGg,IF('Net zero activities &amp; levers'!$C$14="On",('Net zero Activity data'!BC8*EF!$H39*EF!$H57)*NtoN2O*kgtoGg,"ERROR"))</f>
        <v>0.40698028306057765</v>
      </c>
      <c r="AK1102" s="100">
        <f>IF('Net zero activities &amp; levers'!$C$14="Off",('Activity data'!BD8*EF!$H39*EF!$H57)*NtoN2O*kgtoGg,IF('Net zero activities &amp; levers'!$C$14="On",('Net zero Activity data'!BD8*EF!$H39*EF!$H57)*NtoN2O*kgtoGg,"ERROR"))</f>
        <v>0.40559287672373934</v>
      </c>
      <c r="AL1102" s="100">
        <f>IF('Net zero activities &amp; levers'!$C$14="Off",('Activity data'!BE8*EF!$H39*EF!$H57)*NtoN2O*kgtoGg,IF('Net zero activities &amp; levers'!$C$14="On",('Net zero Activity data'!BE8*EF!$H39*EF!$H57)*NtoN2O*kgtoGg,"ERROR"))</f>
        <v>0.40357302691681846</v>
      </c>
      <c r="AM1102" s="100">
        <f>IF('Net zero activities &amp; levers'!$C$14="Off",('Activity data'!BF8*EF!$H39*EF!$H57)*NtoN2O*kgtoGg,IF('Net zero activities &amp; levers'!$C$14="On",('Net zero Activity data'!BF8*EF!$H39*EF!$H57)*NtoN2O*kgtoGg,"ERROR"))</f>
        <v>0.40144263532027297</v>
      </c>
      <c r="AN1102" s="100">
        <f>IF('Net zero activities &amp; levers'!$C$14="Off",('Activity data'!BG8*EF!$H39*EF!$H57)*NtoN2O*kgtoGg,IF('Net zero activities &amp; levers'!$C$14="On",('Net zero Activity data'!BG8*EF!$H39*EF!$H57)*NtoN2O*kgtoGg,"ERROR"))</f>
        <v>0.40435253577582536</v>
      </c>
      <c r="AO1102" s="100">
        <f>IF('Net zero activities &amp; levers'!$C$14="Off",('Activity data'!BH8*EF!$H39*EF!$H57)*NtoN2O*kgtoGg,IF('Net zero activities &amp; levers'!$C$14="On",('Net zero Activity data'!BH8*EF!$H39*EF!$H57)*NtoN2O*kgtoGg,"ERROR"))</f>
        <v>0.40599974919153126</v>
      </c>
      <c r="AP1102" s="100">
        <f>IF('Net zero activities &amp; levers'!$C$14="Off",('Activity data'!BI8*EF!$H39*EF!$H57)*NtoN2O*kgtoGg,IF('Net zero activities &amp; levers'!$C$14="On",('Net zero Activity data'!BI8*EF!$H39*EF!$H57)*NtoN2O*kgtoGg,"ERROR"))</f>
        <v>0.40737082357952087</v>
      </c>
      <c r="AQ1102" s="100">
        <f>IF('Net zero activities &amp; levers'!$C$14="Off",('Activity data'!BJ8*EF!$H39*EF!$H57)*NtoN2O*kgtoGg,IF('Net zero activities &amp; levers'!$C$14="On",('Net zero Activity data'!BJ8*EF!$H39*EF!$H57)*NtoN2O*kgtoGg,"ERROR"))</f>
        <v>0.4084871789990408</v>
      </c>
      <c r="AR1102" s="100">
        <f>IF('Net zero activities &amp; levers'!$C$14="Off",('Activity data'!BK8*EF!$H39*EF!$H57)*NtoN2O*kgtoGg,IF('Net zero activities &amp; levers'!$C$14="On",('Net zero Activity data'!BK8*EF!$H39*EF!$H57)*NtoN2O*kgtoGg,"ERROR"))</f>
        <v>0.40996466939001286</v>
      </c>
      <c r="AS1102" s="100">
        <f>IF('Net zero activities &amp; levers'!$C$14="Off",('Activity data'!BL8*EF!$H39*EF!$H57)*NtoN2O*kgtoGg,IF('Net zero activities &amp; levers'!$C$14="On",('Net zero Activity data'!BL8*EF!$H39*EF!$H57)*NtoN2O*kgtoGg,"ERROR"))</f>
        <v>0.41126566649775403</v>
      </c>
      <c r="AT1102" s="100">
        <f>IF('Net zero activities &amp; levers'!$C$14="Off",('Activity data'!BM8*EF!$H39*EF!$H57)*NtoN2O*kgtoGg,IF('Net zero activities &amp; levers'!$C$14="On",('Net zero Activity data'!BM8*EF!$H39*EF!$H57)*NtoN2O*kgtoGg,"ERROR"))</f>
        <v>0.40664558700855558</v>
      </c>
      <c r="AU1102" s="100">
        <f>IF('Net zero activities &amp; levers'!$C$14="Off",('Activity data'!BN8*EF!$H39*EF!$H57)*NtoN2O*kgtoGg,IF('Net zero activities &amp; levers'!$C$14="On",('Net zero Activity data'!BN8*EF!$H39*EF!$H57)*NtoN2O*kgtoGg,"ERROR"))</f>
        <v>0.40149387562300576</v>
      </c>
      <c r="AV1102" s="100">
        <f>IF('Net zero activities &amp; levers'!$C$14="Off",('Activity data'!BO8*EF!$H39*EF!$H57)*NtoN2O*kgtoGg,IF('Net zero activities &amp; levers'!$C$14="On",('Net zero Activity data'!BO8*EF!$H39*EF!$H57)*NtoN2O*kgtoGg,"ERROR"))</f>
        <v>0.39690619862620607</v>
      </c>
      <c r="AW1102" s="100">
        <f>IF('Net zero activities &amp; levers'!$C$14="Off",('Activity data'!BP8*EF!$H39*EF!$H57)*NtoN2O*kgtoGg,IF('Net zero activities &amp; levers'!$C$14="On",('Net zero Activity data'!BP8*EF!$H39*EF!$H57)*NtoN2O*kgtoGg,"ERROR"))</f>
        <v>0.39185842227703588</v>
      </c>
      <c r="AY1102" s="85"/>
    </row>
    <row r="1103" spans="1:51" x14ac:dyDescent="0.25">
      <c r="A1103" s="102" t="str">
        <f t="shared" si="374"/>
        <v>CM Cattle MMN2O</v>
      </c>
      <c r="B1103" s="102" t="s">
        <v>1323</v>
      </c>
      <c r="C1103" s="102" t="s">
        <v>1233</v>
      </c>
      <c r="D1103" t="s">
        <v>15</v>
      </c>
      <c r="E1103" t="s">
        <v>657</v>
      </c>
      <c r="F1103" t="s">
        <v>67</v>
      </c>
      <c r="G1103" t="s">
        <v>123</v>
      </c>
      <c r="H1103" t="s">
        <v>1228</v>
      </c>
      <c r="I1103" t="s">
        <v>139</v>
      </c>
      <c r="J1103" t="s">
        <v>287</v>
      </c>
      <c r="K1103" s="100">
        <f>IF('Net zero activities &amp; levers'!$C$14="Off",('Activity data'!AD9*EF!$H40*EF!$H58)*NtoN2O*kgtoGg,IF('Net zero activities &amp; levers'!$C$14="On",('Net zero Activity data'!AD9*EF!$H40*EF!$H58)*NtoN2O*kgtoGg,"ERROR"))</f>
        <v>0.80849535264982253</v>
      </c>
      <c r="L1103" s="100">
        <f>IF('Net zero activities &amp; levers'!$C$14="Off",('Activity data'!AE9*EF!$H40*EF!$H58)*NtoN2O*kgtoGg,IF('Net zero activities &amp; levers'!$C$14="On",('Net zero Activity data'!AE9*EF!$H40*EF!$H58)*NtoN2O*kgtoGg,"ERROR"))</f>
        <v>0.80437912725905281</v>
      </c>
      <c r="M1103" s="100">
        <f>IF('Net zero activities &amp; levers'!$C$14="Off",('Activity data'!AF9*EF!$H40*EF!$H58)*NtoN2O*kgtoGg,IF('Net zero activities &amp; levers'!$C$14="On",('Net zero Activity data'!AF9*EF!$H40*EF!$H58)*NtoN2O*kgtoGg,"ERROR"))</f>
        <v>0.79686626203308752</v>
      </c>
      <c r="N1103" s="100">
        <f>IF('Net zero activities &amp; levers'!$C$14="Off",('Activity data'!AG9*EF!$H40*EF!$H58)*NtoN2O*kgtoGg,IF('Net zero activities &amp; levers'!$C$14="On",('Net zero Activity data'!AG9*EF!$H40*EF!$H58)*NtoN2O*kgtoGg,"ERROR"))</f>
        <v>0.77630142718465789</v>
      </c>
      <c r="O1103" s="100">
        <f>IF('Net zero activities &amp; levers'!$C$14="Off",('Activity data'!AH9*EF!$H40*EF!$H58)*NtoN2O*kgtoGg,IF('Net zero activities &amp; levers'!$C$14="On",('Net zero Activity data'!AH9*EF!$H40*EF!$H58)*NtoN2O*kgtoGg,"ERROR"))</f>
        <v>0.75655725333024249</v>
      </c>
      <c r="P1103" s="100">
        <f>IF('Net zero activities &amp; levers'!$C$14="Off",('Activity data'!AI9*EF!$H40*EF!$H58)*NtoN2O*kgtoGg,IF('Net zero activities &amp; levers'!$C$14="On",('Net zero Activity data'!AI9*EF!$H40*EF!$H58)*NtoN2O*kgtoGg,"ERROR"))</f>
        <v>0.75009432720048652</v>
      </c>
      <c r="Q1103" s="100">
        <f>IF('Net zero activities &amp; levers'!$C$14="Off",('Activity data'!AJ9*EF!$H40*EF!$H58)*NtoN2O*kgtoGg,IF('Net zero activities &amp; levers'!$C$14="On",('Net zero Activity data'!AJ9*EF!$H40*EF!$H58)*NtoN2O*kgtoGg,"ERROR"))</f>
        <v>0.73965601389251134</v>
      </c>
      <c r="R1103" s="100">
        <f>IF('Net zero activities &amp; levers'!$C$14="Off",('Activity data'!AK9*EF!$H40*EF!$H58)*NtoN2O*kgtoGg,IF('Net zero activities &amp; levers'!$C$14="On",('Net zero Activity data'!AK9*EF!$H40*EF!$H58)*NtoN2O*kgtoGg,"ERROR"))</f>
        <v>0.71620315700184167</v>
      </c>
      <c r="S1103" s="100">
        <f>IF('Net zero activities &amp; levers'!$C$14="Off",('Activity data'!AL9*EF!$H40*EF!$H58)*NtoN2O*kgtoGg,IF('Net zero activities &amp; levers'!$C$14="On",('Net zero Activity data'!AL9*EF!$H40*EF!$H58)*NtoN2O*kgtoGg,"ERROR"))</f>
        <v>0.63751641362897982</v>
      </c>
      <c r="T1103" s="100">
        <f>IF('Net zero activities &amp; levers'!$C$14="Off",('Activity data'!AM9*EF!$H40*EF!$H58)*NtoN2O*kgtoGg,IF('Net zero activities &amp; levers'!$C$14="On",('Net zero Activity data'!AM9*EF!$H40*EF!$H58)*NtoN2O*kgtoGg,"ERROR"))</f>
        <v>0.63654531200783804</v>
      </c>
      <c r="U1103" s="100">
        <f>IF('Net zero activities &amp; levers'!$C$14="Off",('Activity data'!AN9*EF!$H40*EF!$H58)*NtoN2O*kgtoGg,IF('Net zero activities &amp; levers'!$C$14="On",('Net zero Activity data'!AN9*EF!$H40*EF!$H58)*NtoN2O*kgtoGg,"ERROR"))</f>
        <v>0.62826522043828215</v>
      </c>
      <c r="V1103" s="100">
        <f>IF('Net zero activities &amp; levers'!$C$14="Off",('Activity data'!AO9*EF!$H40*EF!$H58)*NtoN2O*kgtoGg,IF('Net zero activities &amp; levers'!$C$14="On",('Net zero Activity data'!AO9*EF!$H40*EF!$H58)*NtoN2O*kgtoGg,"ERROR"))</f>
        <v>0.6182356121243735</v>
      </c>
      <c r="W1103" s="100">
        <f>IF('Net zero activities &amp; levers'!$C$14="Off",('Activity data'!AP9*EF!$H40*EF!$H58)*NtoN2O*kgtoGg,IF('Net zero activities &amp; levers'!$C$14="On",('Net zero Activity data'!AP9*EF!$H40*EF!$H58)*NtoN2O*kgtoGg,"ERROR"))</f>
        <v>0.61023250818634289</v>
      </c>
      <c r="X1103" s="100">
        <f>IF('Net zero activities &amp; levers'!$C$14="Off",('Activity data'!AQ9*EF!$H40*EF!$H58)*NtoN2O*kgtoGg,IF('Net zero activities &amp; levers'!$C$14="On",('Net zero Activity data'!AQ9*EF!$H40*EF!$H58)*NtoN2O*kgtoGg,"ERROR"))</f>
        <v>0.6093892671693405</v>
      </c>
      <c r="Y1103" s="100">
        <f>IF('Net zero activities &amp; levers'!$C$14="Off",('Activity data'!AR9*EF!$H40*EF!$H58)*NtoN2O*kgtoGg,IF('Net zero activities &amp; levers'!$C$14="On",('Net zero Activity data'!AR9*EF!$H40*EF!$H58)*NtoN2O*kgtoGg,"ERROR"))</f>
        <v>0.60942975114602949</v>
      </c>
      <c r="Z1103" s="100">
        <f>IF('Net zero activities &amp; levers'!$C$14="Off",('Activity data'!AS9*EF!$H40*EF!$H58)*NtoN2O*kgtoGg,IF('Net zero activities &amp; levers'!$C$14="On",('Net zero Activity data'!AS9*EF!$H40*EF!$H58)*NtoN2O*kgtoGg,"ERROR"))</f>
        <v>0.61030992759219171</v>
      </c>
      <c r="AA1103" s="100">
        <f>IF('Net zero activities &amp; levers'!$C$14="Off",('Activity data'!AT9*EF!$H40*EF!$H58)*NtoN2O*kgtoGg,IF('Net zero activities &amp; levers'!$C$14="On",('Net zero Activity data'!AT9*EF!$H40*EF!$H58)*NtoN2O*kgtoGg,"ERROR"))</f>
        <v>0.60742732150726997</v>
      </c>
      <c r="AB1103" s="100">
        <f>IF('Net zero activities &amp; levers'!$C$14="Off",('Activity data'!AU9*EF!$H40*EF!$H58)*NtoN2O*kgtoGg,IF('Net zero activities &amp; levers'!$C$14="On",('Net zero Activity data'!AU9*EF!$H40*EF!$H58)*NtoN2O*kgtoGg,"ERROR"))</f>
        <v>0.6067600980325939</v>
      </c>
      <c r="AC1103" s="100">
        <f>IF('Net zero activities &amp; levers'!$C$14="Off",('Activity data'!AV9*EF!$H40*EF!$H58)*NtoN2O*kgtoGg,IF('Net zero activities &amp; levers'!$C$14="On",('Net zero Activity data'!AV9*EF!$H40*EF!$H58)*NtoN2O*kgtoGg,"ERROR"))</f>
        <v>0.60869596766216039</v>
      </c>
      <c r="AD1103" s="100">
        <f>IF('Net zero activities &amp; levers'!$C$14="Off",('Activity data'!AW9*EF!$H40*EF!$H58)*NtoN2O*kgtoGg,IF('Net zero activities &amp; levers'!$C$14="On",('Net zero Activity data'!AW9*EF!$H40*EF!$H58)*NtoN2O*kgtoGg,"ERROR"))</f>
        <v>0.61214341685739126</v>
      </c>
      <c r="AE1103" s="100">
        <f>IF('Net zero activities &amp; levers'!$C$14="Off",('Activity data'!AX9*EF!$H40*EF!$H58)*NtoN2O*kgtoGg,IF('Net zero activities &amp; levers'!$C$14="On",('Net zero Activity data'!AX9*EF!$H40*EF!$H58)*NtoN2O*kgtoGg,"ERROR"))</f>
        <v>0.61557012985363313</v>
      </c>
      <c r="AF1103" s="100">
        <f>IF('Net zero activities &amp; levers'!$C$14="Off",('Activity data'!AY9*EF!$H40*EF!$H58)*NtoN2O*kgtoGg,IF('Net zero activities &amp; levers'!$C$14="On",('Net zero Activity data'!AY9*EF!$H40*EF!$H58)*NtoN2O*kgtoGg,"ERROR"))</f>
        <v>0.61839811176286841</v>
      </c>
      <c r="AG1103" s="100">
        <f>IF('Net zero activities &amp; levers'!$C$14="Off",('Activity data'!AZ9*EF!$H40*EF!$H58)*NtoN2O*kgtoGg,IF('Net zero activities &amp; levers'!$C$14="On",('Net zero Activity data'!AZ9*EF!$H40*EF!$H58)*NtoN2O*kgtoGg,"ERROR"))</f>
        <v>0.62278506116328658</v>
      </c>
      <c r="AH1103" s="100">
        <f>IF('Net zero activities &amp; levers'!$C$14="Off",('Activity data'!BA9*EF!$H40*EF!$H58)*NtoN2O*kgtoGg,IF('Net zero activities &amp; levers'!$C$14="On",('Net zero Activity data'!BA9*EF!$H40*EF!$H58)*NtoN2O*kgtoGg,"ERROR"))</f>
        <v>0.62300743115092561</v>
      </c>
      <c r="AI1103" s="100">
        <f>IF('Net zero activities &amp; levers'!$C$14="Off",('Activity data'!BB9*EF!$H40*EF!$H58)*NtoN2O*kgtoGg,IF('Net zero activities &amp; levers'!$C$14="On",('Net zero Activity data'!BB9*EF!$H40*EF!$H58)*NtoN2O*kgtoGg,"ERROR"))</f>
        <v>0.62351376348082532</v>
      </c>
      <c r="AJ1103" s="100">
        <f>IF('Net zero activities &amp; levers'!$C$14="Off",('Activity data'!BC9*EF!$H40*EF!$H58)*NtoN2O*kgtoGg,IF('Net zero activities &amp; levers'!$C$14="On",('Net zero Activity data'!BC9*EF!$H40*EF!$H58)*NtoN2O*kgtoGg,"ERROR"))</f>
        <v>0.62336936980014834</v>
      </c>
      <c r="AK1103" s="100">
        <f>IF('Net zero activities &amp; levers'!$C$14="Off",('Activity data'!BD9*EF!$H40*EF!$H58)*NtoN2O*kgtoGg,IF('Net zero activities &amp; levers'!$C$14="On",('Net zero Activity data'!BD9*EF!$H40*EF!$H58)*NtoN2O*kgtoGg,"ERROR"))</f>
        <v>0.62124428745623805</v>
      </c>
      <c r="AL1103" s="100">
        <f>IF('Net zero activities &amp; levers'!$C$14="Off",('Activity data'!BE9*EF!$H40*EF!$H58)*NtoN2O*kgtoGg,IF('Net zero activities &amp; levers'!$C$14="On",('Net zero Activity data'!BE9*EF!$H40*EF!$H58)*NtoN2O*kgtoGg,"ERROR"))</f>
        <v>0.61815049506963282</v>
      </c>
      <c r="AM1103" s="100">
        <f>IF('Net zero activities &amp; levers'!$C$14="Off",('Activity data'!BF9*EF!$H40*EF!$H58)*NtoN2O*kgtoGg,IF('Net zero activities &amp; levers'!$C$14="On",('Net zero Activity data'!BF9*EF!$H40*EF!$H58)*NtoN2O*kgtoGg,"ERROR"))</f>
        <v>0.61488738645665764</v>
      </c>
      <c r="AN1103" s="100">
        <f>IF('Net zero activities &amp; levers'!$C$14="Off",('Activity data'!BG9*EF!$H40*EF!$H58)*NtoN2O*kgtoGg,IF('Net zero activities &amp; levers'!$C$14="On",('Net zero Activity data'!BG9*EF!$H40*EF!$H58)*NtoN2O*kgtoGg,"ERROR"))</f>
        <v>0.61934446432666557</v>
      </c>
      <c r="AO1103" s="100">
        <f>IF('Net zero activities &amp; levers'!$C$14="Off",('Activity data'!BH9*EF!$H40*EF!$H58)*NtoN2O*kgtoGg,IF('Net zero activities &amp; levers'!$C$14="On",('Net zero Activity data'!BH9*EF!$H40*EF!$H58)*NtoN2O*kgtoGg,"ERROR"))</f>
        <v>0.62186749168600841</v>
      </c>
      <c r="AP1103" s="100">
        <f>IF('Net zero activities &amp; levers'!$C$14="Off",('Activity data'!BI9*EF!$H40*EF!$H58)*NtoN2O*kgtoGg,IF('Net zero activities &amp; levers'!$C$14="On",('Net zero Activity data'!BI9*EF!$H40*EF!$H58)*NtoN2O*kgtoGg,"ERROR"))</f>
        <v>0.62396755847735941</v>
      </c>
      <c r="AQ1103" s="100">
        <f>IF('Net zero activities &amp; levers'!$C$14="Off",('Activity data'!BJ9*EF!$H40*EF!$H58)*NtoN2O*kgtoGg,IF('Net zero activities &amp; levers'!$C$14="On",('Net zero Activity data'!BJ9*EF!$H40*EF!$H58)*NtoN2O*kgtoGg,"ERROR"))</f>
        <v>0.62567747368284754</v>
      </c>
      <c r="AR1103" s="100">
        <f>IF('Net zero activities &amp; levers'!$C$14="Off",('Activity data'!BK9*EF!$H40*EF!$H58)*NtoN2O*kgtoGg,IF('Net zero activities &amp; levers'!$C$14="On",('Net zero Activity data'!BK9*EF!$H40*EF!$H58)*NtoN2O*kgtoGg,"ERROR"))</f>
        <v>0.62794053725678711</v>
      </c>
      <c r="AS1103" s="100">
        <f>IF('Net zero activities &amp; levers'!$C$14="Off",('Activity data'!BL9*EF!$H40*EF!$H58)*NtoN2O*kgtoGg,IF('Net zero activities &amp; levers'!$C$14="On",('Net zero Activity data'!BL9*EF!$H40*EF!$H58)*NtoN2O*kgtoGg,"ERROR"))</f>
        <v>0.62993326707913999</v>
      </c>
      <c r="AT1103" s="100">
        <f>IF('Net zero activities &amp; levers'!$C$14="Off",('Activity data'!BM9*EF!$H40*EF!$H58)*NtoN2O*kgtoGg,IF('Net zero activities &amp; levers'!$C$14="On",('Net zero Activity data'!BM9*EF!$H40*EF!$H58)*NtoN2O*kgtoGg,"ERROR"))</f>
        <v>0.62285671777323781</v>
      </c>
      <c r="AU1103" s="100">
        <f>IF('Net zero activities &amp; levers'!$C$14="Off",('Activity data'!BN9*EF!$H40*EF!$H58)*NtoN2O*kgtoGg,IF('Net zero activities &amp; levers'!$C$14="On",('Net zero Activity data'!BN9*EF!$H40*EF!$H58)*NtoN2O*kgtoGg,"ERROR"))</f>
        <v>0.61496587093502786</v>
      </c>
      <c r="AV1103" s="100">
        <f>IF('Net zero activities &amp; levers'!$C$14="Off",('Activity data'!BO9*EF!$H40*EF!$H58)*NtoN2O*kgtoGg,IF('Net zero activities &amp; levers'!$C$14="On",('Net zero Activity data'!BO9*EF!$H40*EF!$H58)*NtoN2O*kgtoGg,"ERROR"))</f>
        <v>0.60793895234124407</v>
      </c>
      <c r="AW1103" s="100">
        <f>IF('Net zero activities &amp; levers'!$C$14="Off",('Activity data'!BP9*EF!$H40*EF!$H58)*NtoN2O*kgtoGg,IF('Net zero activities &amp; levers'!$C$14="On",('Net zero Activity data'!BP9*EF!$H40*EF!$H58)*NtoN2O*kgtoGg,"ERROR"))</f>
        <v>0.60020730220327911</v>
      </c>
      <c r="AY1103" s="85"/>
    </row>
    <row r="1104" spans="1:51" x14ac:dyDescent="0.25">
      <c r="A1104" s="102" t="str">
        <f t="shared" si="374"/>
        <v>CM Cattle MMN2O</v>
      </c>
      <c r="B1104" s="102" t="s">
        <v>1323</v>
      </c>
      <c r="C1104" s="102" t="s">
        <v>1233</v>
      </c>
      <c r="D1104" t="s">
        <v>15</v>
      </c>
      <c r="E1104" t="s">
        <v>657</v>
      </c>
      <c r="F1104" t="s">
        <v>67</v>
      </c>
      <c r="G1104" t="s">
        <v>135</v>
      </c>
      <c r="H1104" t="s">
        <v>1228</v>
      </c>
      <c r="I1104" t="s">
        <v>139</v>
      </c>
      <c r="J1104" t="s">
        <v>287</v>
      </c>
      <c r="K1104" s="100">
        <f>IF('Net zero activities &amp; levers'!$C$14="Off",('Activity data'!AD10*EF!$H41*EF!$H59)*NtoN2O*kgtoGg,IF('Net zero activities &amp; levers'!$C$14="On",('Net zero Activity data'!AD10*EF!$H41*EF!$H59)*NtoN2O*kgtoGg,"ERROR"))</f>
        <v>0.98205986457809369</v>
      </c>
      <c r="L1104" s="100">
        <f>IF('Net zero activities &amp; levers'!$C$14="Off",('Activity data'!AE10*EF!$H41*EF!$H59)*NtoN2O*kgtoGg,IF('Net zero activities &amp; levers'!$C$14="On",('Net zero Activity data'!AE10*EF!$H41*EF!$H59)*NtoN2O*kgtoGg,"ERROR"))</f>
        <v>1.0186966250855221</v>
      </c>
      <c r="M1104" s="100">
        <f>IF('Net zero activities &amp; levers'!$C$14="Off",('Activity data'!AF10*EF!$H41*EF!$H59)*NtoN2O*kgtoGg,IF('Net zero activities &amp; levers'!$C$14="On",('Net zero Activity data'!AF10*EF!$H41*EF!$H59)*NtoN2O*kgtoGg,"ERROR"))</f>
        <v>1.0516100331905254</v>
      </c>
      <c r="N1104" s="100">
        <f>IF('Net zero activities &amp; levers'!$C$14="Off",('Activity data'!AG10*EF!$H41*EF!$H59)*NtoN2O*kgtoGg,IF('Net zero activities &amp; levers'!$C$14="On",('Net zero Activity data'!AG10*EF!$H41*EF!$H59)*NtoN2O*kgtoGg,"ERROR"))</f>
        <v>1.0670554052779846</v>
      </c>
      <c r="O1104" s="100">
        <f>IF('Net zero activities &amp; levers'!$C$14="Off",('Activity data'!AH10*EF!$H41*EF!$H59)*NtoN2O*kgtoGg,IF('Net zero activities &amp; levers'!$C$14="On",('Net zero Activity data'!AH10*EF!$H41*EF!$H59)*NtoN2O*kgtoGg,"ERROR"))</f>
        <v>1.0827371051777117</v>
      </c>
      <c r="P1104" s="100">
        <f>IF('Net zero activities &amp; levers'!$C$14="Off",('Activity data'!AI10*EF!$H41*EF!$H59)*NtoN2O*kgtoGg,IF('Net zero activities &amp; levers'!$C$14="On",('Net zero Activity data'!AI10*EF!$H41*EF!$H59)*NtoN2O*kgtoGg,"ERROR"))</f>
        <v>1.1173522594931429</v>
      </c>
      <c r="Q1104" s="100">
        <f>IF('Net zero activities &amp; levers'!$C$14="Off",('Activity data'!AJ10*EF!$H41*EF!$H59)*NtoN2O*kgtoGg,IF('Net zero activities &amp; levers'!$C$14="On",('Net zero Activity data'!AJ10*EF!$H41*EF!$H59)*NtoN2O*kgtoGg,"ERROR"))</f>
        <v>1.1465503025323129</v>
      </c>
      <c r="R1104" s="100">
        <f>IF('Net zero activities &amp; levers'!$C$14="Off",('Activity data'!AK10*EF!$H41*EF!$H59)*NtoN2O*kgtoGg,IF('Net zero activities &amp; levers'!$C$14="On",('Net zero Activity data'!AK10*EF!$H41*EF!$H59)*NtoN2O*kgtoGg,"ERROR"))</f>
        <v>1.1550738596088039</v>
      </c>
      <c r="S1104" s="100">
        <f>IF('Net zero activities &amp; levers'!$C$14="Off",('Activity data'!AL10*EF!$H41*EF!$H59)*NtoN2O*kgtoGg,IF('Net zero activities &amp; levers'!$C$14="On",('Net zero Activity data'!AL10*EF!$H41*EF!$H59)*NtoN2O*kgtoGg,"ERROR"))</f>
        <v>1.0695943528873249</v>
      </c>
      <c r="T1104" s="100">
        <f>IF('Net zero activities &amp; levers'!$C$14="Off",('Activity data'!AM10*EF!$H41*EF!$H59)*NtoN2O*kgtoGg,IF('Net zero activities &amp; levers'!$C$14="On",('Net zero Activity data'!AM10*EF!$H41*EF!$H59)*NtoN2O*kgtoGg,"ERROR"))</f>
        <v>1.1054010055655918</v>
      </c>
      <c r="U1104" s="100">
        <f>IF('Net zero activities &amp; levers'!$C$14="Off",('Activity data'!AN10*EF!$H41*EF!$H59)*NtoN2O*kgtoGg,IF('Net zero activities &amp; levers'!$C$14="On",('Net zero Activity data'!AN10*EF!$H41*EF!$H59)*NtoN2O*kgtoGg,"ERROR"))</f>
        <v>1.1289853782217605</v>
      </c>
      <c r="V1104" s="100">
        <f>IF('Net zero activities &amp; levers'!$C$14="Off",('Activity data'!AO10*EF!$H41*EF!$H59)*NtoN2O*kgtoGg,IF('Net zero activities &amp; levers'!$C$14="On",('Net zero Activity data'!AO10*EF!$H41*EF!$H59)*NtoN2O*kgtoGg,"ERROR"))</f>
        <v>1.1493668314905392</v>
      </c>
      <c r="W1104" s="100">
        <f>IF('Net zero activities &amp; levers'!$C$14="Off",('Activity data'!AP10*EF!$H41*EF!$H59)*NtoN2O*kgtoGg,IF('Net zero activities &amp; levers'!$C$14="On",('Net zero Activity data'!AP10*EF!$H41*EF!$H59)*NtoN2O*kgtoGg,"ERROR"))</f>
        <v>1.1734788869783983</v>
      </c>
      <c r="X1104" s="100">
        <f>IF('Net zero activities &amp; levers'!$C$14="Off",('Activity data'!AQ10*EF!$H41*EF!$H59)*NtoN2O*kgtoGg,IF('Net zero activities &amp; levers'!$C$14="On",('Net zero Activity data'!AQ10*EF!$H41*EF!$H59)*NtoN2O*kgtoGg,"ERROR"))</f>
        <v>1.2119266069070957</v>
      </c>
      <c r="Y1104" s="100">
        <f>IF('Net zero activities &amp; levers'!$C$14="Off",('Activity data'!AR10*EF!$H41*EF!$H59)*NtoN2O*kgtoGg,IF('Net zero activities &amp; levers'!$C$14="On",('Net zero Activity data'!AR10*EF!$H41*EF!$H59)*NtoN2O*kgtoGg,"ERROR"))</f>
        <v>1.2532636555099967</v>
      </c>
      <c r="Z1104" s="100">
        <f>IF('Net zero activities &amp; levers'!$C$14="Off",('Activity data'!AS10*EF!$H41*EF!$H59)*NtoN2O*kgtoGg,IF('Net zero activities &amp; levers'!$C$14="On",('Net zero Activity data'!AS10*EF!$H41*EF!$H59)*NtoN2O*kgtoGg,"ERROR"))</f>
        <v>1.2976298508854514</v>
      </c>
      <c r="AA1104" s="100">
        <f>IF('Net zero activities &amp; levers'!$C$14="Off",('Activity data'!AT10*EF!$H41*EF!$H59)*NtoN2O*kgtoGg,IF('Net zero activities &amp; levers'!$C$14="On",('Net zero Activity data'!AT10*EF!$H41*EF!$H59)*NtoN2O*kgtoGg,"ERROR"))</f>
        <v>1.3351454665956062</v>
      </c>
      <c r="AB1104" s="100">
        <f>IF('Net zero activities &amp; levers'!$C$14="Off",('Activity data'!AU10*EF!$H41*EF!$H59)*NtoN2O*kgtoGg,IF('Net zero activities &amp; levers'!$C$14="On",('Net zero Activity data'!AU10*EF!$H41*EF!$H59)*NtoN2O*kgtoGg,"ERROR"))</f>
        <v>1.3786206065737439</v>
      </c>
      <c r="AC1104" s="100">
        <f>IF('Net zero activities &amp; levers'!$C$14="Off",('Activity data'!AV10*EF!$H41*EF!$H59)*NtoN2O*kgtoGg,IF('Net zero activities &amp; levers'!$C$14="On",('Net zero Activity data'!AV10*EF!$H41*EF!$H59)*NtoN2O*kgtoGg,"ERROR"))</f>
        <v>1.4295130121599282</v>
      </c>
      <c r="AD1104" s="100">
        <f>IF('Net zero activities &amp; levers'!$C$14="Off",('Activity data'!AW10*EF!$H41*EF!$H59)*NtoN2O*kgtoGg,IF('Net zero activities &amp; levers'!$C$14="On",('Net zero Activity data'!AW10*EF!$H41*EF!$H59)*NtoN2O*kgtoGg,"ERROR"))</f>
        <v>1.4859888477435095</v>
      </c>
      <c r="AE1104" s="100">
        <f>IF('Net zero activities &amp; levers'!$C$14="Off",('Activity data'!AX10*EF!$H41*EF!$H59)*NtoN2O*kgtoGg,IF('Net zero activities &amp; levers'!$C$14="On",('Net zero Activity data'!AX10*EF!$H41*EF!$H59)*NtoN2O*kgtoGg,"ERROR"))</f>
        <v>1.5446971217466914</v>
      </c>
      <c r="AF1104" s="100">
        <f>IF('Net zero activities &amp; levers'!$C$14="Off",('Activity data'!AY10*EF!$H41*EF!$H59)*NtoN2O*kgtoGg,IF('Net zero activities &amp; levers'!$C$14="On",('Net zero Activity data'!AY10*EF!$H41*EF!$H59)*NtoN2O*kgtoGg,"ERROR"))</f>
        <v>1.6042611419964015</v>
      </c>
      <c r="AG1104" s="100">
        <f>IF('Net zero activities &amp; levers'!$C$14="Off",('Activity data'!AZ10*EF!$H41*EF!$H59)*NtoN2O*kgtoGg,IF('Net zero activities &amp; levers'!$C$14="On",('Net zero Activity data'!AZ10*EF!$H41*EF!$H59)*NtoN2O*kgtoGg,"ERROR"))</f>
        <v>1.670446959216159</v>
      </c>
      <c r="AH1104" s="100">
        <f>IF('Net zero activities &amp; levers'!$C$14="Off",('Activity data'!BA10*EF!$H41*EF!$H59)*NtoN2O*kgtoGg,IF('Net zero activities &amp; levers'!$C$14="On",('Net zero Activity data'!BA10*EF!$H41*EF!$H59)*NtoN2O*kgtoGg,"ERROR"))</f>
        <v>1.7279475375979032</v>
      </c>
      <c r="AI1104" s="100">
        <f>IF('Net zero activities &amp; levers'!$C$14="Off",('Activity data'!BB10*EF!$H41*EF!$H59)*NtoN2O*kgtoGg,IF('Net zero activities &amp; levers'!$C$14="On",('Net zero Activity data'!BB10*EF!$H41*EF!$H59)*NtoN2O*kgtoGg,"ERROR"))</f>
        <v>1.7885049584630706</v>
      </c>
      <c r="AJ1104" s="100">
        <f>IF('Net zero activities &amp; levers'!$C$14="Off",('Activity data'!BC10*EF!$H41*EF!$H59)*NtoN2O*kgtoGg,IF('Net zero activities &amp; levers'!$C$14="On",('Net zero Activity data'!BC10*EF!$H41*EF!$H59)*NtoN2O*kgtoGg,"ERROR"))</f>
        <v>1.8495626955084752</v>
      </c>
      <c r="AK1104" s="100">
        <f>IF('Net zero activities &amp; levers'!$C$14="Off",('Activity data'!BD10*EF!$H41*EF!$H59)*NtoN2O*kgtoGg,IF('Net zero activities &amp; levers'!$C$14="On",('Net zero Activity data'!BD10*EF!$H41*EF!$H59)*NtoN2O*kgtoGg,"ERROR"))</f>
        <v>1.9069840294130951</v>
      </c>
      <c r="AL1104" s="100">
        <f>IF('Net zero activities &amp; levers'!$C$14="Off",('Activity data'!BE10*EF!$H41*EF!$H59)*NtoN2O*kgtoGg,IF('Net zero activities &amp; levers'!$C$14="On",('Net zero Activity data'!BE10*EF!$H41*EF!$H59)*NtoN2O*kgtoGg,"ERROR"))</f>
        <v>1.9634978615601824</v>
      </c>
      <c r="AM1104" s="100">
        <f>IF('Net zero activities &amp; levers'!$C$14="Off",('Activity data'!BF10*EF!$H41*EF!$H59)*NtoN2O*kgtoGg,IF('Net zero activities &amp; levers'!$C$14="On",('Net zero Activity data'!BF10*EF!$H41*EF!$H59)*NtoN2O*kgtoGg,"ERROR"))</f>
        <v>2.0215430807091863</v>
      </c>
      <c r="AN1104" s="100">
        <f>IF('Net zero activities &amp; levers'!$C$14="Off",('Activity data'!BG10*EF!$H41*EF!$H59)*NtoN2O*kgtoGg,IF('Net zero activities &amp; levers'!$C$14="On",('Net zero Activity data'!BG10*EF!$H41*EF!$H59)*NtoN2O*kgtoGg,"ERROR"))</f>
        <v>2.0947355643912711</v>
      </c>
      <c r="AO1104" s="100">
        <f>IF('Net zero activities &amp; levers'!$C$14="Off",('Activity data'!BH10*EF!$H41*EF!$H59)*NtoN2O*kgtoGg,IF('Net zero activities &amp; levers'!$C$14="On",('Net zero Activity data'!BH10*EF!$H41*EF!$H59)*NtoN2O*kgtoGg,"ERROR"))</f>
        <v>2.1639509246479496</v>
      </c>
      <c r="AP1104" s="100">
        <f>IF('Net zero activities &amp; levers'!$C$14="Off",('Activity data'!BI10*EF!$H41*EF!$H59)*NtoN2O*kgtoGg,IF('Net zero activities &amp; levers'!$C$14="On",('Net zero Activity data'!BI10*EF!$H41*EF!$H59)*NtoN2O*kgtoGg,"ERROR"))</f>
        <v>2.2341514737358938</v>
      </c>
      <c r="AQ1104" s="100">
        <f>IF('Net zero activities &amp; levers'!$C$14="Off",('Activity data'!BJ10*EF!$H41*EF!$H59)*NtoN2O*kgtoGg,IF('Net zero activities &amp; levers'!$C$14="On",('Net zero Activity data'!BJ10*EF!$H41*EF!$H59)*NtoN2O*kgtoGg,"ERROR"))</f>
        <v>2.3054515711028447</v>
      </c>
      <c r="AR1104" s="100">
        <f>IF('Net zero activities &amp; levers'!$C$14="Off",('Activity data'!BK10*EF!$H41*EF!$H59)*NtoN2O*kgtoGg,IF('Net zero activities &amp; levers'!$C$14="On",('Net zero Activity data'!BK10*EF!$H41*EF!$H59)*NtoN2O*kgtoGg,"ERROR"))</f>
        <v>2.3814317233187769</v>
      </c>
      <c r="AS1104" s="100">
        <f>IF('Net zero activities &amp; levers'!$C$14="Off",('Activity data'!BL10*EF!$H41*EF!$H59)*NtoN2O*kgtoGg,IF('Net zero activities &amp; levers'!$C$14="On",('Net zero Activity data'!BL10*EF!$H41*EF!$H59)*NtoN2O*kgtoGg,"ERROR"))</f>
        <v>2.4591952810317603</v>
      </c>
      <c r="AT1104" s="100">
        <f>IF('Net zero activities &amp; levers'!$C$14="Off",('Activity data'!BM10*EF!$H41*EF!$H59)*NtoN2O*kgtoGg,IF('Net zero activities &amp; levers'!$C$14="On",('Net zero Activity data'!BM10*EF!$H41*EF!$H59)*NtoN2O*kgtoGg,"ERROR"))</f>
        <v>2.503431814396901</v>
      </c>
      <c r="AU1104" s="100">
        <f>IF('Net zero activities &amp; levers'!$C$14="Off",('Activity data'!BN10*EF!$H41*EF!$H59)*NtoN2O*kgtoGg,IF('Net zero activities &amp; levers'!$C$14="On",('Net zero Activity data'!BN10*EF!$H41*EF!$H59)*NtoN2O*kgtoGg,"ERROR"))</f>
        <v>2.5452104989388613</v>
      </c>
      <c r="AV1104" s="100">
        <f>IF('Net zero activities &amp; levers'!$C$14="Off",('Activity data'!BO10*EF!$H41*EF!$H59)*NtoN2O*kgtoGg,IF('Net zero activities &amp; levers'!$C$14="On",('Net zero Activity data'!BO10*EF!$H41*EF!$H59)*NtoN2O*kgtoGg,"ERROR"))</f>
        <v>2.5914297832105495</v>
      </c>
      <c r="AW1104" s="100">
        <f>IF('Net zero activities &amp; levers'!$C$14="Off",('Activity data'!BP10*EF!$H41*EF!$H59)*NtoN2O*kgtoGg,IF('Net zero activities &amp; levers'!$C$14="On",('Net zero Activity data'!BP10*EF!$H41*EF!$H59)*NtoN2O*kgtoGg,"ERROR"))</f>
        <v>2.6355735870840507</v>
      </c>
      <c r="AY1104" s="85"/>
    </row>
    <row r="1105" spans="1:51" x14ac:dyDescent="0.25">
      <c r="A1105" s="102" t="str">
        <f t="shared" si="374"/>
        <v>CM Sheep MMN2O</v>
      </c>
      <c r="B1105" s="102" t="s">
        <v>1323</v>
      </c>
      <c r="C1105" s="102" t="s">
        <v>1329</v>
      </c>
      <c r="D1105" t="s">
        <v>15</v>
      </c>
      <c r="E1105" t="s">
        <v>657</v>
      </c>
      <c r="F1105" t="s">
        <v>18</v>
      </c>
      <c r="G1105" t="s">
        <v>122</v>
      </c>
      <c r="H1105" t="s">
        <v>1228</v>
      </c>
      <c r="I1105" t="s">
        <v>139</v>
      </c>
      <c r="J1105" t="s">
        <v>287</v>
      </c>
      <c r="K1105" s="100">
        <f>IF('Net zero activities &amp; levers'!$C$14="Off",('Activity data'!AD11*EF!$H42*EF!$H60)*NtoN2O*kgtoGg,IF('Net zero activities &amp; levers'!$C$14="On",('Net zero Activity data'!AD11*EF!$H42*EF!$H60)*NtoN2O*kgtoGg,"ERROR"))</f>
        <v>0.11717139101759612</v>
      </c>
      <c r="L1105" s="100">
        <f>IF('Net zero activities &amp; levers'!$C$14="Off",('Activity data'!AE11*EF!$H42*EF!$H60)*NtoN2O*kgtoGg,IF('Net zero activities &amp; levers'!$C$14="On",('Net zero Activity data'!AE11*EF!$H42*EF!$H60)*NtoN2O*kgtoGg,"ERROR"))</f>
        <v>0.11723462618367245</v>
      </c>
      <c r="M1105" s="100">
        <f>IF('Net zero activities &amp; levers'!$C$14="Off",('Activity data'!AF11*EF!$H42*EF!$H60)*NtoN2O*kgtoGg,IF('Net zero activities &amp; levers'!$C$14="On",('Net zero Activity data'!AF11*EF!$H42*EF!$H60)*NtoN2O*kgtoGg,"ERROR"))</f>
        <v>0.11737999843906115</v>
      </c>
      <c r="N1105" s="100">
        <f>IF('Net zero activities &amp; levers'!$C$14="Off",('Activity data'!AG11*EF!$H42*EF!$H60)*NtoN2O*kgtoGg,IF('Net zero activities &amp; levers'!$C$14="On",('Net zero Activity data'!AG11*EF!$H42*EF!$H60)*NtoN2O*kgtoGg,"ERROR"))</f>
        <v>0.1175958170956644</v>
      </c>
      <c r="O1105" s="100">
        <f>IF('Net zero activities &amp; levers'!$C$14="Off",('Activity data'!AH11*EF!$H42*EF!$H60)*NtoN2O*kgtoGg,IF('Net zero activities &amp; levers'!$C$14="On",('Net zero Activity data'!AH11*EF!$H42*EF!$H60)*NtoN2O*kgtoGg,"ERROR"))</f>
        <v>0.1178871134646596</v>
      </c>
      <c r="P1105" s="100">
        <f>IF('Net zero activities &amp; levers'!$C$14="Off",('Activity data'!AI11*EF!$H42*EF!$H60)*NtoN2O*kgtoGg,IF('Net zero activities &amp; levers'!$C$14="On",('Net zero Activity data'!AI11*EF!$H42*EF!$H60)*NtoN2O*kgtoGg,"ERROR"))</f>
        <v>0.11825974180541671</v>
      </c>
      <c r="Q1105" s="100">
        <f>IF('Net zero activities &amp; levers'!$C$14="Off",('Activity data'!AJ11*EF!$H42*EF!$H60)*NtoN2O*kgtoGg,IF('Net zero activities &amp; levers'!$C$14="On",('Net zero Activity data'!AJ11*EF!$H42*EF!$H60)*NtoN2O*kgtoGg,"ERROR"))</f>
        <v>0.11867033947255794</v>
      </c>
      <c r="R1105" s="100">
        <f>IF('Net zero activities &amp; levers'!$C$14="Off",('Activity data'!AK11*EF!$H42*EF!$H60)*NtoN2O*kgtoGg,IF('Net zero activities &amp; levers'!$C$14="On",('Net zero Activity data'!AK11*EF!$H42*EF!$H60)*NtoN2O*kgtoGg,"ERROR"))</f>
        <v>0.11911252923744317</v>
      </c>
      <c r="S1105" s="100">
        <f>IF('Net zero activities &amp; levers'!$C$14="Off",('Activity data'!AL11*EF!$H42*EF!$H60)*NtoN2O*kgtoGg,IF('Net zero activities &amp; levers'!$C$14="On",('Net zero Activity data'!AL11*EF!$H42*EF!$H60)*NtoN2O*kgtoGg,"ERROR"))</f>
        <v>0.11955062486439895</v>
      </c>
      <c r="T1105" s="100">
        <f>IF('Net zero activities &amp; levers'!$C$14="Off",('Activity data'!AM11*EF!$H42*EF!$H60)*NtoN2O*kgtoGg,IF('Net zero activities &amp; levers'!$C$14="On",('Net zero Activity data'!AM11*EF!$H42*EF!$H60)*NtoN2O*kgtoGg,"ERROR"))</f>
        <v>0.11970596715789944</v>
      </c>
      <c r="U1105" s="100">
        <f>IF('Net zero activities &amp; levers'!$C$14="Off",('Activity data'!AN11*EF!$H42*EF!$H60)*NtoN2O*kgtoGg,IF('Net zero activities &amp; levers'!$C$14="On",('Net zero Activity data'!AN11*EF!$H42*EF!$H60)*NtoN2O*kgtoGg,"ERROR"))</f>
        <v>0.11988552714432761</v>
      </c>
      <c r="V1105" s="100">
        <f>IF('Net zero activities &amp; levers'!$C$14="Off",('Activity data'!AO11*EF!$H42*EF!$H60)*NtoN2O*kgtoGg,IF('Net zero activities &amp; levers'!$C$14="On",('Net zero Activity data'!AO11*EF!$H42*EF!$H60)*NtoN2O*kgtoGg,"ERROR"))</f>
        <v>0.12009164524666266</v>
      </c>
      <c r="W1105" s="100">
        <f>IF('Net zero activities &amp; levers'!$C$14="Off",('Activity data'!AP11*EF!$H42*EF!$H60)*NtoN2O*kgtoGg,IF('Net zero activities &amp; levers'!$C$14="On",('Net zero Activity data'!AP11*EF!$H42*EF!$H60)*NtoN2O*kgtoGg,"ERROR"))</f>
        <v>0.12032597429168131</v>
      </c>
      <c r="X1105" s="100">
        <f>IF('Net zero activities &amp; levers'!$C$14="Off",('Activity data'!AQ11*EF!$H42*EF!$H60)*NtoN2O*kgtoGg,IF('Net zero activities &amp; levers'!$C$14="On",('Net zero Activity data'!AQ11*EF!$H42*EF!$H60)*NtoN2O*kgtoGg,"ERROR"))</f>
        <v>0.12059214919784284</v>
      </c>
      <c r="Y1105" s="100">
        <f>IF('Net zero activities &amp; levers'!$C$14="Off",('Activity data'!AR11*EF!$H42*EF!$H60)*NtoN2O*kgtoGg,IF('Net zero activities &amp; levers'!$C$14="On",('Net zero Activity data'!AR11*EF!$H42*EF!$H60)*NtoN2O*kgtoGg,"ERROR"))</f>
        <v>0.12075047253600929</v>
      </c>
      <c r="Z1105" s="100">
        <f>IF('Net zero activities &amp; levers'!$C$14="Off",('Activity data'!AS11*EF!$H42*EF!$H60)*NtoN2O*kgtoGg,IF('Net zero activities &amp; levers'!$C$14="On",('Net zero Activity data'!AS11*EF!$H42*EF!$H60)*NtoN2O*kgtoGg,"ERROR"))</f>
        <v>0.12093171818839542</v>
      </c>
      <c r="AA1105" s="100">
        <f>IF('Net zero activities &amp; levers'!$C$14="Off",('Activity data'!AT11*EF!$H42*EF!$H60)*NtoN2O*kgtoGg,IF('Net zero activities &amp; levers'!$C$14="On",('Net zero Activity data'!AT11*EF!$H42*EF!$H60)*NtoN2O*kgtoGg,"ERROR"))</f>
        <v>0.12113015622987074</v>
      </c>
      <c r="AB1105" s="100">
        <f>IF('Net zero activities &amp; levers'!$C$14="Off",('Activity data'!AU11*EF!$H42*EF!$H60)*NtoN2O*kgtoGg,IF('Net zero activities &amp; levers'!$C$14="On",('Net zero Activity data'!AU11*EF!$H42*EF!$H60)*NtoN2O*kgtoGg,"ERROR"))</f>
        <v>0.1213509954297097</v>
      </c>
      <c r="AC1105" s="100">
        <f>IF('Net zero activities &amp; levers'!$C$14="Off",('Activity data'!AV11*EF!$H42*EF!$H60)*NtoN2O*kgtoGg,IF('Net zero activities &amp; levers'!$C$14="On",('Net zero Activity data'!AV11*EF!$H42*EF!$H60)*NtoN2O*kgtoGg,"ERROR"))</f>
        <v>0.12159419420930323</v>
      </c>
      <c r="AD1105" s="100">
        <f>IF('Net zero activities &amp; levers'!$C$14="Off",('Activity data'!AW11*EF!$H42*EF!$H60)*NtoN2O*kgtoGg,IF('Net zero activities &amp; levers'!$C$14="On",('Net zero Activity data'!AW11*EF!$H42*EF!$H60)*NtoN2O*kgtoGg,"ERROR"))</f>
        <v>0.12175905413504695</v>
      </c>
      <c r="AE1105" s="100">
        <f>IF('Net zero activities &amp; levers'!$C$14="Off",('Activity data'!AX11*EF!$H42*EF!$H60)*NtoN2O*kgtoGg,IF('Net zero activities &amp; levers'!$C$14="On",('Net zero Activity data'!AX11*EF!$H42*EF!$H60)*NtoN2O*kgtoGg,"ERROR"))</f>
        <v>0.12194110218668799</v>
      </c>
      <c r="AF1105" s="100">
        <f>IF('Net zero activities &amp; levers'!$C$14="Off",('Activity data'!AY11*EF!$H42*EF!$H60)*NtoN2O*kgtoGg,IF('Net zero activities &amp; levers'!$C$14="On",('Net zero Activity data'!AY11*EF!$H42*EF!$H60)*NtoN2O*kgtoGg,"ERROR"))</f>
        <v>0.12213902840641362</v>
      </c>
      <c r="AG1105" s="100">
        <f>IF('Net zero activities &amp; levers'!$C$14="Off",('Activity data'!AZ11*EF!$H42*EF!$H60)*NtoN2O*kgtoGg,IF('Net zero activities &amp; levers'!$C$14="On",('Net zero Activity data'!AZ11*EF!$H42*EF!$H60)*NtoN2O*kgtoGg,"ERROR"))</f>
        <v>0.12235510263892656</v>
      </c>
      <c r="AH1105" s="100">
        <f>IF('Net zero activities &amp; levers'!$C$14="Off",('Activity data'!BA11*EF!$H42*EF!$H60)*NtoN2O*kgtoGg,IF('Net zero activities &amp; levers'!$C$14="On",('Net zero Activity data'!BA11*EF!$H42*EF!$H60)*NtoN2O*kgtoGg,"ERROR"))</f>
        <v>0.12258124070371156</v>
      </c>
      <c r="AI1105" s="100">
        <f>IF('Net zero activities &amp; levers'!$C$14="Off",('Activity data'!BB11*EF!$H42*EF!$H60)*NtoN2O*kgtoGg,IF('Net zero activities &amp; levers'!$C$14="On",('Net zero Activity data'!BB11*EF!$H42*EF!$H60)*NtoN2O*kgtoGg,"ERROR"))</f>
        <v>0.12272146036616496</v>
      </c>
      <c r="AJ1105" s="100">
        <f>IF('Net zero activities &amp; levers'!$C$14="Off",('Activity data'!BC11*EF!$H42*EF!$H60)*NtoN2O*kgtoGg,IF('Net zero activities &amp; levers'!$C$14="On",('Net zero Activity data'!BC11*EF!$H42*EF!$H60)*NtoN2O*kgtoGg,"ERROR"))</f>
        <v>0.12287458537781655</v>
      </c>
      <c r="AK1105" s="100">
        <f>IF('Net zero activities &amp; levers'!$C$14="Off",('Activity data'!BD11*EF!$H42*EF!$H60)*NtoN2O*kgtoGg,IF('Net zero activities &amp; levers'!$C$14="On",('Net zero Activity data'!BD11*EF!$H42*EF!$H60)*NtoN2O*kgtoGg,"ERROR"))</f>
        <v>0.12303810668107222</v>
      </c>
      <c r="AL1105" s="100">
        <f>IF('Net zero activities &amp; levers'!$C$14="Off",('Activity data'!BE11*EF!$H42*EF!$H60)*NtoN2O*kgtoGg,IF('Net zero activities &amp; levers'!$C$14="On",('Net zero Activity data'!BE11*EF!$H42*EF!$H60)*NtoN2O*kgtoGg,"ERROR"))</f>
        <v>0.12321298360836372</v>
      </c>
      <c r="AM1105" s="100">
        <f>IF('Net zero activities &amp; levers'!$C$14="Off",('Activity data'!BF11*EF!$H42*EF!$H60)*NtoN2O*kgtoGg,IF('Net zero activities &amp; levers'!$C$14="On",('Net zero Activity data'!BF11*EF!$H42*EF!$H60)*NtoN2O*kgtoGg,"ERROR"))</f>
        <v>0.12340008970059463</v>
      </c>
      <c r="AN1105" s="100">
        <f>IF('Net zero activities &amp; levers'!$C$14="Off",('Activity data'!BG11*EF!$H42*EF!$H60)*NtoN2O*kgtoGg,IF('Net zero activities &amp; levers'!$C$14="On",('Net zero Activity data'!BG11*EF!$H42*EF!$H60)*NtoN2O*kgtoGg,"ERROR"))</f>
        <v>0.12350526160494434</v>
      </c>
      <c r="AO1105" s="100">
        <f>IF('Net zero activities &amp; levers'!$C$14="Off",('Activity data'!BH11*EF!$H42*EF!$H60)*NtoN2O*kgtoGg,IF('Net zero activities &amp; levers'!$C$14="On",('Net zero Activity data'!BH11*EF!$H42*EF!$H60)*NtoN2O*kgtoGg,"ERROR"))</f>
        <v>0.12361811130120491</v>
      </c>
      <c r="AP1105" s="100">
        <f>IF('Net zero activities &amp; levers'!$C$14="Off",('Activity data'!BI11*EF!$H42*EF!$H60)*NtoN2O*kgtoGg,IF('Net zero activities &amp; levers'!$C$14="On",('Net zero Activity data'!BI11*EF!$H42*EF!$H60)*NtoN2O*kgtoGg,"ERROR"))</f>
        <v>0.12374084326414254</v>
      </c>
      <c r="AQ1105" s="100">
        <f>IF('Net zero activities &amp; levers'!$C$14="Off",('Activity data'!BJ11*EF!$H42*EF!$H60)*NtoN2O*kgtoGg,IF('Net zero activities &amp; levers'!$C$14="On",('Net zero Activity data'!BJ11*EF!$H42*EF!$H60)*NtoN2O*kgtoGg,"ERROR"))</f>
        <v>0.12387321615070723</v>
      </c>
      <c r="AR1105" s="100">
        <f>IF('Net zero activities &amp; levers'!$C$14="Off",('Activity data'!BK11*EF!$H42*EF!$H60)*NtoN2O*kgtoGg,IF('Net zero activities &amp; levers'!$C$14="On",('Net zero Activity data'!BK11*EF!$H42*EF!$H60)*NtoN2O*kgtoGg,"ERROR"))</f>
        <v>0.12401678140322427</v>
      </c>
      <c r="AS1105" s="100">
        <f>IF('Net zero activities &amp; levers'!$C$14="Off",('Activity data'!BL11*EF!$H42*EF!$H60)*NtoN2O*kgtoGg,IF('Net zero activities &amp; levers'!$C$14="On",('Net zero Activity data'!BL11*EF!$H42*EF!$H60)*NtoN2O*kgtoGg,"ERROR"))</f>
        <v>0.1240746358858464</v>
      </c>
      <c r="AT1105" s="100">
        <f>IF('Net zero activities &amp; levers'!$C$14="Off",('Activity data'!BM11*EF!$H42*EF!$H60)*NtoN2O*kgtoGg,IF('Net zero activities &amp; levers'!$C$14="On",('Net zero Activity data'!BM11*EF!$H42*EF!$H60)*NtoN2O*kgtoGg,"ERROR"))</f>
        <v>0.12412319673902336</v>
      </c>
      <c r="AU1105" s="100">
        <f>IF('Net zero activities &amp; levers'!$C$14="Off",('Activity data'!BN11*EF!$H42*EF!$H60)*NtoN2O*kgtoGg,IF('Net zero activities &amp; levers'!$C$14="On",('Net zero Activity data'!BN11*EF!$H42*EF!$H60)*NtoN2O*kgtoGg,"ERROR"))</f>
        <v>0.12417808819569943</v>
      </c>
      <c r="AV1105" s="100">
        <f>IF('Net zero activities &amp; levers'!$C$14="Off",('Activity data'!BO11*EF!$H42*EF!$H60)*NtoN2O*kgtoGg,IF('Net zero activities &amp; levers'!$C$14="On",('Net zero Activity data'!BO11*EF!$H42*EF!$H60)*NtoN2O*kgtoGg,"ERROR"))</f>
        <v>0.12424261447905341</v>
      </c>
      <c r="AW1105" s="100">
        <f>IF('Net zero activities &amp; levers'!$C$14="Off",('Activity data'!BP11*EF!$H42*EF!$H60)*NtoN2O*kgtoGg,IF('Net zero activities &amp; levers'!$C$14="On",('Net zero Activity data'!BP11*EF!$H42*EF!$H60)*NtoN2O*kgtoGg,"ERROR"))</f>
        <v>0.1243132159456129</v>
      </c>
      <c r="AY1105" s="85"/>
    </row>
    <row r="1106" spans="1:51" x14ac:dyDescent="0.25">
      <c r="A1106" s="102" t="str">
        <f t="shared" si="374"/>
        <v>CM Sheep MMN2O</v>
      </c>
      <c r="B1106" s="102" t="s">
        <v>1323</v>
      </c>
      <c r="C1106" s="102" t="s">
        <v>1329</v>
      </c>
      <c r="D1106" t="s">
        <v>15</v>
      </c>
      <c r="E1106" t="s">
        <v>657</v>
      </c>
      <c r="F1106" t="s">
        <v>18</v>
      </c>
      <c r="G1106" t="s">
        <v>123</v>
      </c>
      <c r="H1106" t="s">
        <v>1228</v>
      </c>
      <c r="I1106" t="s">
        <v>139</v>
      </c>
      <c r="J1106" t="s">
        <v>287</v>
      </c>
      <c r="K1106" s="100">
        <f>IF('Net zero activities &amp; levers'!$C$14="Off",('Activity data'!AD12*EF!$H43*EF!$H61)*NtoN2O*kgtoGg,IF('Net zero activities &amp; levers'!$C$14="On",('Net zero Activity data'!AD12*EF!$H43*EF!$H61)*NtoN2O*kgtoGg,"ERROR"))</f>
        <v>6.2656398763200921E-2</v>
      </c>
      <c r="L1106" s="100">
        <f>IF('Net zero activities &amp; levers'!$C$14="Off",('Activity data'!AE12*EF!$H43*EF!$H61)*NtoN2O*kgtoGg,IF('Net zero activities &amp; levers'!$C$14="On",('Net zero Activity data'!AE12*EF!$H43*EF!$H61)*NtoN2O*kgtoGg,"ERROR"))</f>
        <v>6.2690213227185057E-2</v>
      </c>
      <c r="M1106" s="100">
        <f>IF('Net zero activities &amp; levers'!$C$14="Off",('Activity data'!AF12*EF!$H43*EF!$H61)*NtoN2O*kgtoGg,IF('Net zero activities &amp; levers'!$C$14="On",('Net zero Activity data'!AF12*EF!$H43*EF!$H61)*NtoN2O*kgtoGg,"ERROR"))</f>
        <v>6.276794979686845E-2</v>
      </c>
      <c r="N1106" s="100">
        <f>IF('Net zero activities &amp; levers'!$C$14="Off",('Activity data'!AG12*EF!$H43*EF!$H61)*NtoN2O*kgtoGg,IF('Net zero activities &amp; levers'!$C$14="On",('Net zero Activity data'!AG12*EF!$H43*EF!$H61)*NtoN2O*kgtoGg,"ERROR"))</f>
        <v>6.2883356976822818E-2</v>
      </c>
      <c r="O1106" s="100">
        <f>IF('Net zero activities &amp; levers'!$C$14="Off",('Activity data'!AH12*EF!$H43*EF!$H61)*NtoN2O*kgtoGg,IF('Net zero activities &amp; levers'!$C$14="On",('Net zero Activity data'!AH12*EF!$H43*EF!$H61)*NtoN2O*kgtoGg,"ERROR"))</f>
        <v>6.303912521764958E-2</v>
      </c>
      <c r="P1106" s="100">
        <f>IF('Net zero activities &amp; levers'!$C$14="Off",('Activity data'!AI12*EF!$H43*EF!$H61)*NtoN2O*kgtoGg,IF('Net zero activities &amp; levers'!$C$14="On",('Net zero Activity data'!AI12*EF!$H43*EF!$H61)*NtoN2O*kgtoGg,"ERROR"))</f>
        <v>6.3238385034454531E-2</v>
      </c>
      <c r="Q1106" s="100">
        <f>IF('Net zero activities &amp; levers'!$C$14="Off",('Activity data'!AJ12*EF!$H43*EF!$H61)*NtoN2O*kgtoGg,IF('Net zero activities &amp; levers'!$C$14="On",('Net zero Activity data'!AJ12*EF!$H43*EF!$H61)*NtoN2O*kgtoGg,"ERROR"))</f>
        <v>6.3457948623656765E-2</v>
      </c>
      <c r="R1106" s="100">
        <f>IF('Net zero activities &amp; levers'!$C$14="Off",('Activity data'!AK12*EF!$H43*EF!$H61)*NtoN2O*kgtoGg,IF('Net zero activities &amp; levers'!$C$14="On",('Net zero Activity data'!AK12*EF!$H43*EF!$H61)*NtoN2O*kgtoGg,"ERROR"))</f>
        <v>6.3694405816808061E-2</v>
      </c>
      <c r="S1106" s="100">
        <f>IF('Net zero activities &amp; levers'!$C$14="Off",('Activity data'!AL12*EF!$H43*EF!$H61)*NtoN2O*kgtoGg,IF('Net zero activities &amp; levers'!$C$14="On",('Net zero Activity data'!AL12*EF!$H43*EF!$H61)*NtoN2O*kgtoGg,"ERROR"))</f>
        <v>6.3928673704733319E-2</v>
      </c>
      <c r="T1106" s="100">
        <f>IF('Net zero activities &amp; levers'!$C$14="Off",('Activity data'!AM12*EF!$H43*EF!$H61)*NtoN2O*kgtoGg,IF('Net zero activities &amp; levers'!$C$14="On",('Net zero Activity data'!AM12*EF!$H43*EF!$H61)*NtoN2O*kgtoGg,"ERROR"))</f>
        <v>6.4011741666987795E-2</v>
      </c>
      <c r="U1106" s="100">
        <f>IF('Net zero activities &amp; levers'!$C$14="Off",('Activity data'!AN12*EF!$H43*EF!$H61)*NtoN2O*kgtoGg,IF('Net zero activities &amp; levers'!$C$14="On",('Net zero Activity data'!AN12*EF!$H43*EF!$H61)*NtoN2O*kgtoGg,"ERROR"))</f>
        <v>6.4107759833315375E-2</v>
      </c>
      <c r="V1106" s="100">
        <f>IF('Net zero activities &amp; levers'!$C$14="Off",('Activity data'!AO12*EF!$H43*EF!$H61)*NtoN2O*kgtoGg,IF('Net zero activities &amp; levers'!$C$14="On",('Net zero Activity data'!AO12*EF!$H43*EF!$H61)*NtoN2O*kgtoGg,"ERROR"))</f>
        <v>6.4217979724878138E-2</v>
      </c>
      <c r="W1106" s="100">
        <f>IF('Net zero activities &amp; levers'!$C$14="Off",('Activity data'!AP12*EF!$H43*EF!$H61)*NtoN2O*kgtoGg,IF('Net zero activities &amp; levers'!$C$14="On",('Net zero Activity data'!AP12*EF!$H43*EF!$H61)*NtoN2O*kgtoGg,"ERROR"))</f>
        <v>6.4343285176652498E-2</v>
      </c>
      <c r="X1106" s="100">
        <f>IF('Net zero activities &amp; levers'!$C$14="Off",('Activity data'!AQ12*EF!$H43*EF!$H61)*NtoN2O*kgtoGg,IF('Net zero activities &amp; levers'!$C$14="On",('Net zero Activity data'!AQ12*EF!$H43*EF!$H61)*NtoN2O*kgtoGg,"ERROR"))</f>
        <v>6.448561993018212E-2</v>
      </c>
      <c r="Y1106" s="100">
        <f>IF('Net zero activities &amp; levers'!$C$14="Off",('Activity data'!AR12*EF!$H43*EF!$H61)*NtoN2O*kgtoGg,IF('Net zero activities &amp; levers'!$C$14="On",('Net zero Activity data'!AR12*EF!$H43*EF!$H61)*NtoN2O*kgtoGg,"ERROR"))</f>
        <v>6.457028198056429E-2</v>
      </c>
      <c r="Z1106" s="100">
        <f>IF('Net zero activities &amp; levers'!$C$14="Off",('Activity data'!AS12*EF!$H43*EF!$H61)*NtoN2O*kgtoGg,IF('Net zero activities &amp; levers'!$C$14="On",('Net zero Activity data'!AS12*EF!$H43*EF!$H61)*NtoN2O*kgtoGg,"ERROR"))</f>
        <v>6.4667201542339375E-2</v>
      </c>
      <c r="AA1106" s="100">
        <f>IF('Net zero activities &amp; levers'!$C$14="Off",('Activity data'!AT12*EF!$H43*EF!$H61)*NtoN2O*kgtoGg,IF('Net zero activities &amp; levers'!$C$14="On",('Net zero Activity data'!AT12*EF!$H43*EF!$H61)*NtoN2O*kgtoGg,"ERROR"))</f>
        <v>6.4773314587072264E-2</v>
      </c>
      <c r="AB1106" s="100">
        <f>IF('Net zero activities &amp; levers'!$C$14="Off",('Activity data'!AU12*EF!$H43*EF!$H61)*NtoN2O*kgtoGg,IF('Net zero activities &amp; levers'!$C$14="On",('Net zero Activity data'!AU12*EF!$H43*EF!$H61)*NtoN2O*kgtoGg,"ERROR"))</f>
        <v>6.4891406459563358E-2</v>
      </c>
      <c r="AC1106" s="100">
        <f>IF('Net zero activities &amp; levers'!$C$14="Off",('Activity data'!AV12*EF!$H43*EF!$H61)*NtoN2O*kgtoGg,IF('Net zero activities &amp; levers'!$C$14="On",('Net zero Activity data'!AV12*EF!$H43*EF!$H61)*NtoN2O*kgtoGg,"ERROR"))</f>
        <v>6.5021454926007263E-2</v>
      </c>
      <c r="AD1106" s="100">
        <f>IF('Net zero activities &amp; levers'!$C$14="Off",('Activity data'!AW12*EF!$H43*EF!$H61)*NtoN2O*kgtoGg,IF('Net zero activities &amp; levers'!$C$14="On",('Net zero Activity data'!AW12*EF!$H43*EF!$H61)*NtoN2O*kgtoGg,"ERROR"))</f>
        <v>6.5109612360665689E-2</v>
      </c>
      <c r="AE1106" s="100">
        <f>IF('Net zero activities &amp; levers'!$C$14="Off",('Activity data'!AX12*EF!$H43*EF!$H61)*NtoN2O*kgtoGg,IF('Net zero activities &amp; levers'!$C$14="On",('Net zero Activity data'!AX12*EF!$H43*EF!$H61)*NtoN2O*kgtoGg,"ERROR"))</f>
        <v>6.5206960998576563E-2</v>
      </c>
      <c r="AF1106" s="100">
        <f>IF('Net zero activities &amp; levers'!$C$14="Off",('Activity data'!AY12*EF!$H43*EF!$H61)*NtoN2O*kgtoGg,IF('Net zero activities &amp; levers'!$C$14="On",('Net zero Activity data'!AY12*EF!$H43*EF!$H61)*NtoN2O*kgtoGg,"ERROR"))</f>
        <v>6.5312800351008241E-2</v>
      </c>
      <c r="AG1106" s="100">
        <f>IF('Net zero activities &amp; levers'!$C$14="Off",('Activity data'!AZ12*EF!$H43*EF!$H61)*NtoN2O*kgtoGg,IF('Net zero activities &amp; levers'!$C$14="On",('Net zero Activity data'!AZ12*EF!$H43*EF!$H61)*NtoN2O*kgtoGg,"ERROR"))</f>
        <v>6.5428344197993468E-2</v>
      </c>
      <c r="AH1106" s="100">
        <f>IF('Net zero activities &amp; levers'!$C$14="Off",('Activity data'!BA12*EF!$H43*EF!$H61)*NtoN2O*kgtoGg,IF('Net zero activities &amp; levers'!$C$14="On",('Net zero Activity data'!BA12*EF!$H43*EF!$H61)*NtoN2O*kgtoGg,"ERROR"))</f>
        <v>6.5549269593174433E-2</v>
      </c>
      <c r="AI1106" s="100">
        <f>IF('Net zero activities &amp; levers'!$C$14="Off",('Activity data'!BB12*EF!$H43*EF!$H61)*NtoN2O*kgtoGg,IF('Net zero activities &amp; levers'!$C$14="On",('Net zero Activity data'!BB12*EF!$H43*EF!$H61)*NtoN2O*kgtoGg,"ERROR"))</f>
        <v>6.5624250857874156E-2</v>
      </c>
      <c r="AJ1106" s="100">
        <f>IF('Net zero activities &amp; levers'!$C$14="Off",('Activity data'!BC12*EF!$H43*EF!$H61)*NtoN2O*kgtoGg,IF('Net zero activities &amp; levers'!$C$14="On",('Net zero Activity data'!BC12*EF!$H43*EF!$H61)*NtoN2O*kgtoGg,"ERROR"))</f>
        <v>6.570613314763224E-2</v>
      </c>
      <c r="AK1106" s="100">
        <f>IF('Net zero activities &amp; levers'!$C$14="Off",('Activity data'!BD12*EF!$H43*EF!$H61)*NtoN2O*kgtoGg,IF('Net zero activities &amp; levers'!$C$14="On",('Net zero Activity data'!BD12*EF!$H43*EF!$H61)*NtoN2O*kgtoGg,"ERROR"))</f>
        <v>6.5793574765369178E-2</v>
      </c>
      <c r="AL1106" s="100">
        <f>IF('Net zero activities &amp; levers'!$C$14="Off",('Activity data'!BE12*EF!$H43*EF!$H61)*NtoN2O*kgtoGg,IF('Net zero activities &amp; levers'!$C$14="On",('Net zero Activity data'!BE12*EF!$H43*EF!$H61)*NtoN2O*kgtoGg,"ERROR"))</f>
        <v>6.5887088705894256E-2</v>
      </c>
      <c r="AM1106" s="100">
        <f>IF('Net zero activities &amp; levers'!$C$14="Off",('Activity data'!BF12*EF!$H43*EF!$H61)*NtoN2O*kgtoGg,IF('Net zero activities &amp; levers'!$C$14="On",('Net zero Activity data'!BF12*EF!$H43*EF!$H61)*NtoN2O*kgtoGg,"ERROR"))</f>
        <v>6.5987142087731127E-2</v>
      </c>
      <c r="AN1106" s="100">
        <f>IF('Net zero activities &amp; levers'!$C$14="Off",('Activity data'!BG12*EF!$H43*EF!$H61)*NtoN2O*kgtoGg,IF('Net zero activities &amp; levers'!$C$14="On",('Net zero Activity data'!BG12*EF!$H43*EF!$H61)*NtoN2O*kgtoGg,"ERROR"))</f>
        <v>6.6043381863672965E-2</v>
      </c>
      <c r="AO1106" s="100">
        <f>IF('Net zero activities &amp; levers'!$C$14="Off",('Activity data'!BH12*EF!$H43*EF!$H61)*NtoN2O*kgtoGg,IF('Net zero activities &amp; levers'!$C$14="On",('Net zero Activity data'!BH12*EF!$H43*EF!$H61)*NtoN2O*kgtoGg,"ERROR"))</f>
        <v>6.6103727273143661E-2</v>
      </c>
      <c r="AP1106" s="100">
        <f>IF('Net zero activities &amp; levers'!$C$14="Off",('Activity data'!BI12*EF!$H43*EF!$H61)*NtoN2O*kgtoGg,IF('Net zero activities &amp; levers'!$C$14="On",('Net zero Activity data'!BI12*EF!$H43*EF!$H61)*NtoN2O*kgtoGg,"ERROR"))</f>
        <v>6.6169357140161769E-2</v>
      </c>
      <c r="AQ1106" s="100">
        <f>IF('Net zero activities &amp; levers'!$C$14="Off",('Activity data'!BJ12*EF!$H43*EF!$H61)*NtoN2O*kgtoGg,IF('Net zero activities &amp; levers'!$C$14="On",('Net zero Activity data'!BJ12*EF!$H43*EF!$H61)*NtoN2O*kgtoGg,"ERROR"))</f>
        <v>6.6240142408596339E-2</v>
      </c>
      <c r="AR1106" s="100">
        <f>IF('Net zero activities &amp; levers'!$C$14="Off",('Activity data'!BK12*EF!$H43*EF!$H61)*NtoN2O*kgtoGg,IF('Net zero activities &amp; levers'!$C$14="On",('Net zero Activity data'!BK12*EF!$H43*EF!$H61)*NtoN2O*kgtoGg,"ERROR"))</f>
        <v>6.6316912698955816E-2</v>
      </c>
      <c r="AS1106" s="100">
        <f>IF('Net zero activities &amp; levers'!$C$14="Off",('Activity data'!BL12*EF!$H43*EF!$H61)*NtoN2O*kgtoGg,IF('Net zero activities &amp; levers'!$C$14="On",('Net zero Activity data'!BL12*EF!$H43*EF!$H61)*NtoN2O*kgtoGg,"ERROR"))</f>
        <v>6.6347849888502952E-2</v>
      </c>
      <c r="AT1106" s="100">
        <f>IF('Net zero activities &amp; levers'!$C$14="Off",('Activity data'!BM12*EF!$H43*EF!$H61)*NtoN2O*kgtoGg,IF('Net zero activities &amp; levers'!$C$14="On",('Net zero Activity data'!BM12*EF!$H43*EF!$H61)*NtoN2O*kgtoGg,"ERROR"))</f>
        <v>6.6373817389225709E-2</v>
      </c>
      <c r="AU1106" s="100">
        <f>IF('Net zero activities &amp; levers'!$C$14="Off",('Activity data'!BN12*EF!$H43*EF!$H61)*NtoN2O*kgtoGg,IF('Net zero activities &amp; levers'!$C$14="On",('Net zero Activity data'!BN12*EF!$H43*EF!$H61)*NtoN2O*kgtoGg,"ERROR"))</f>
        <v>6.6403170126001471E-2</v>
      </c>
      <c r="AV1106" s="100">
        <f>IF('Net zero activities &amp; levers'!$C$14="Off",('Activity data'!BO12*EF!$H43*EF!$H61)*NtoN2O*kgtoGg,IF('Net zero activities &amp; levers'!$C$14="On",('Net zero Activity data'!BO12*EF!$H43*EF!$H61)*NtoN2O*kgtoGg,"ERROR"))</f>
        <v>6.6437675003902311E-2</v>
      </c>
      <c r="AW1106" s="100">
        <f>IF('Net zero activities &amp; levers'!$C$14="Off",('Activity data'!BP12*EF!$H43*EF!$H61)*NtoN2O*kgtoGg,IF('Net zero activities &amp; levers'!$C$14="On",('Net zero Activity data'!BP12*EF!$H43*EF!$H61)*NtoN2O*kgtoGg,"ERROR"))</f>
        <v>6.6475428534039677E-2</v>
      </c>
      <c r="AY1106" s="85"/>
    </row>
    <row r="1107" spans="1:51" x14ac:dyDescent="0.25">
      <c r="A1107" s="102" t="str">
        <f t="shared" si="374"/>
        <v>CM Goats MMN2O</v>
      </c>
      <c r="B1107" s="102" t="s">
        <v>1323</v>
      </c>
      <c r="C1107" s="102" t="s">
        <v>1330</v>
      </c>
      <c r="D1107" t="s">
        <v>15</v>
      </c>
      <c r="E1107" t="s">
        <v>657</v>
      </c>
      <c r="F1107" t="s">
        <v>19</v>
      </c>
      <c r="G1107" t="s">
        <v>122</v>
      </c>
      <c r="H1107" t="s">
        <v>1228</v>
      </c>
      <c r="I1107" t="s">
        <v>139</v>
      </c>
      <c r="J1107" t="s">
        <v>287</v>
      </c>
      <c r="K1107" s="100">
        <f>IF('Net zero activities &amp; levers'!$C$14="Off",('Activity data'!AD13*EF!$H44*EF!$H62)*NtoN2O*kgtoGg,IF('Net zero activities &amp; levers'!$C$14="On",('Net zero Activity data'!AD13*EF!$H44*EF!$H62)*NtoN2O*kgtoGg,"ERROR"))</f>
        <v>1.4482807028187926E-2</v>
      </c>
      <c r="L1107" s="100">
        <f>IF('Net zero activities &amp; levers'!$C$14="Off",('Activity data'!AE13*EF!$H44*EF!$H62)*NtoN2O*kgtoGg,IF('Net zero activities &amp; levers'!$C$14="On",('Net zero Activity data'!AE13*EF!$H44*EF!$H62)*NtoN2O*kgtoGg,"ERROR"))</f>
        <v>1.4520450251739283E-2</v>
      </c>
      <c r="M1107" s="100">
        <f>IF('Net zero activities &amp; levers'!$C$14="Off",('Activity data'!AF13*EF!$H44*EF!$H62)*NtoN2O*kgtoGg,IF('Net zero activities &amp; levers'!$C$14="On",('Net zero Activity data'!AF13*EF!$H44*EF!$H62)*NtoN2O*kgtoGg,"ERROR"))</f>
        <v>1.4571212872745463E-2</v>
      </c>
      <c r="N1107" s="100">
        <f>IF('Net zero activities &amp; levers'!$C$14="Off",('Activity data'!AG13*EF!$H44*EF!$H62)*NtoN2O*kgtoGg,IF('Net zero activities &amp; levers'!$C$14="On",('Net zero Activity data'!AG13*EF!$H44*EF!$H62)*NtoN2O*kgtoGg,"ERROR"))</f>
        <v>1.4633040456364911E-2</v>
      </c>
      <c r="O1107" s="100">
        <f>IF('Net zero activities &amp; levers'!$C$14="Off",('Activity data'!AH13*EF!$H44*EF!$H62)*NtoN2O*kgtoGg,IF('Net zero activities &amp; levers'!$C$14="On",('Net zero Activity data'!AH13*EF!$H44*EF!$H62)*NtoN2O*kgtoGg,"ERROR"))</f>
        <v>1.4707094987006923E-2</v>
      </c>
      <c r="P1107" s="100">
        <f>IF('Net zero activities &amp; levers'!$C$14="Off",('Activity data'!AI13*EF!$H44*EF!$H62)*NtoN2O*kgtoGg,IF('Net zero activities &amp; levers'!$C$14="On",('Net zero Activity data'!AI13*EF!$H44*EF!$H62)*NtoN2O*kgtoGg,"ERROR"))</f>
        <v>1.4794644538423191E-2</v>
      </c>
      <c r="Q1107" s="100">
        <f>IF('Net zero activities &amp; levers'!$C$14="Off",('Activity data'!AJ13*EF!$H44*EF!$H62)*NtoN2O*kgtoGg,IF('Net zero activities &amp; levers'!$C$14="On",('Net zero Activity data'!AJ13*EF!$H44*EF!$H62)*NtoN2O*kgtoGg,"ERROR"))</f>
        <v>1.4887429784482062E-2</v>
      </c>
      <c r="R1107" s="100">
        <f>IF('Net zero activities &amp; levers'!$C$14="Off",('Activity data'!AK13*EF!$H44*EF!$H62)*NtoN2O*kgtoGg,IF('Net zero activities &amp; levers'!$C$14="On",('Net zero Activity data'!AK13*EF!$H44*EF!$H62)*NtoN2O*kgtoGg,"ERROR"))</f>
        <v>1.4984365063470912E-2</v>
      </c>
      <c r="S1107" s="100">
        <f>IF('Net zero activities &amp; levers'!$C$14="Off",('Activity data'!AL13*EF!$H44*EF!$H62)*NtoN2O*kgtoGg,IF('Net zero activities &amp; levers'!$C$14="On",('Net zero Activity data'!AL13*EF!$H44*EF!$H62)*NtoN2O*kgtoGg,"ERROR"))</f>
        <v>1.5078737379247895E-2</v>
      </c>
      <c r="T1107" s="100">
        <f>IF('Net zero activities &amp; levers'!$C$14="Off",('Activity data'!AM13*EF!$H44*EF!$H62)*NtoN2O*kgtoGg,IF('Net zero activities &amp; levers'!$C$14="On",('Net zero Activity data'!AM13*EF!$H44*EF!$H62)*NtoN2O*kgtoGg,"ERROR"))</f>
        <v>1.5122022085784054E-2</v>
      </c>
      <c r="U1107" s="100">
        <f>IF('Net zero activities &amp; levers'!$C$14="Off",('Activity data'!AN13*EF!$H44*EF!$H62)*NtoN2O*kgtoGg,IF('Net zero activities &amp; levers'!$C$14="On",('Net zero Activity data'!AN13*EF!$H44*EF!$H62)*NtoN2O*kgtoGg,"ERROR"))</f>
        <v>1.5168700186651049E-2</v>
      </c>
      <c r="V1107" s="100">
        <f>IF('Net zero activities &amp; levers'!$C$14="Off",('Activity data'!AO13*EF!$H44*EF!$H62)*NtoN2O*kgtoGg,IF('Net zero activities &amp; levers'!$C$14="On",('Net zero Activity data'!AO13*EF!$H44*EF!$H62)*NtoN2O*kgtoGg,"ERROR"))</f>
        <v>1.5219291662698977E-2</v>
      </c>
      <c r="W1107" s="100">
        <f>IF('Net zero activities &amp; levers'!$C$14="Off",('Activity data'!AP13*EF!$H44*EF!$H62)*NtoN2O*kgtoGg,IF('Net zero activities &amp; levers'!$C$14="On",('Net zero Activity data'!AP13*EF!$H44*EF!$H62)*NtoN2O*kgtoGg,"ERROR"))</f>
        <v>1.5274171031448219E-2</v>
      </c>
      <c r="X1107" s="100">
        <f>IF('Net zero activities &amp; levers'!$C$14="Off",('Activity data'!AQ13*EF!$H44*EF!$H62)*NtoN2O*kgtoGg,IF('Net zero activities &amp; levers'!$C$14="On",('Net zero Activity data'!AQ13*EF!$H44*EF!$H62)*NtoN2O*kgtoGg,"ERROR"))</f>
        <v>1.5334076575093777E-2</v>
      </c>
      <c r="Y1107" s="100">
        <f>IF('Net zero activities &amp; levers'!$C$14="Off",('Activity data'!AR13*EF!$H44*EF!$H62)*NtoN2O*kgtoGg,IF('Net zero activities &amp; levers'!$C$14="On",('Net zero Activity data'!AR13*EF!$H44*EF!$H62)*NtoN2O*kgtoGg,"ERROR"))</f>
        <v>1.5372633836154437E-2</v>
      </c>
      <c r="Z1107" s="100">
        <f>IF('Net zero activities &amp; levers'!$C$14="Off",('Activity data'!AS13*EF!$H44*EF!$H62)*NtoN2O*kgtoGg,IF('Net zero activities &amp; levers'!$C$14="On",('Net zero Activity data'!AS13*EF!$H44*EF!$H62)*NtoN2O*kgtoGg,"ERROR"))</f>
        <v>1.5414710813994566E-2</v>
      </c>
      <c r="AA1107" s="100">
        <f>IF('Net zero activities &amp; levers'!$C$14="Off",('Activity data'!AT13*EF!$H44*EF!$H62)*NtoN2O*kgtoGg,IF('Net zero activities &amp; levers'!$C$14="On",('Net zero Activity data'!AT13*EF!$H44*EF!$H62)*NtoN2O*kgtoGg,"ERROR"))</f>
        <v>1.5459260848218298E-2</v>
      </c>
      <c r="AB1107" s="100">
        <f>IF('Net zero activities &amp; levers'!$C$14="Off",('Activity data'!AU13*EF!$H44*EF!$H62)*NtoN2O*kgtoGg,IF('Net zero activities &amp; levers'!$C$14="On",('Net zero Activity data'!AU13*EF!$H44*EF!$H62)*NtoN2O*kgtoGg,"ERROR"))</f>
        <v>1.5507296791102529E-2</v>
      </c>
      <c r="AC1107" s="100">
        <f>IF('Net zero activities &amp; levers'!$C$14="Off",('Activity data'!AV13*EF!$H44*EF!$H62)*NtoN2O*kgtoGg,IF('Net zero activities &amp; levers'!$C$14="On",('Net zero Activity data'!AV13*EF!$H44*EF!$H62)*NtoN2O*kgtoGg,"ERROR"))</f>
        <v>1.5558834836357003E-2</v>
      </c>
      <c r="AD1107" s="100">
        <f>IF('Net zero activities &amp; levers'!$C$14="Off",('Activity data'!AW13*EF!$H44*EF!$H62)*NtoN2O*kgtoGg,IF('Net zero activities &amp; levers'!$C$14="On",('Net zero Activity data'!AW13*EF!$H44*EF!$H62)*NtoN2O*kgtoGg,"ERROR"))</f>
        <v>1.5592757830860556E-2</v>
      </c>
      <c r="AE1107" s="100">
        <f>IF('Net zero activities &amp; levers'!$C$14="Off",('Activity data'!AX13*EF!$H44*EF!$H62)*NtoN2O*kgtoGg,IF('Net zero activities &amp; levers'!$C$14="On",('Net zero Activity data'!AX13*EF!$H44*EF!$H62)*NtoN2O*kgtoGg,"ERROR"))</f>
        <v>1.562932478627909E-2</v>
      </c>
      <c r="AF1107" s="100">
        <f>IF('Net zero activities &amp; levers'!$C$14="Off",('Activity data'!AY13*EF!$H44*EF!$H62)*NtoN2O*kgtoGg,IF('Net zero activities &amp; levers'!$C$14="On",('Net zero Activity data'!AY13*EF!$H44*EF!$H62)*NtoN2O*kgtoGg,"ERROR"))</f>
        <v>1.5668308058264361E-2</v>
      </c>
      <c r="AG1107" s="100">
        <f>IF('Net zero activities &amp; levers'!$C$14="Off",('Activity data'!AZ13*EF!$H44*EF!$H62)*NtoN2O*kgtoGg,IF('Net zero activities &amp; levers'!$C$14="On",('Net zero Activity data'!AZ13*EF!$H44*EF!$H62)*NtoN2O*kgtoGg,"ERROR"))</f>
        <v>1.5710145809478677E-2</v>
      </c>
      <c r="AH1107" s="100">
        <f>IF('Net zero activities &amp; levers'!$C$14="Off",('Activity data'!BA13*EF!$H44*EF!$H62)*NtoN2O*kgtoGg,IF('Net zero activities &amp; levers'!$C$14="On",('Net zero Activity data'!BA13*EF!$H44*EF!$H62)*NtoN2O*kgtoGg,"ERROR"))</f>
        <v>1.5753347197297651E-2</v>
      </c>
      <c r="AI1107" s="100">
        <f>IF('Net zero activities &amp; levers'!$C$14="Off",('Activity data'!BB13*EF!$H44*EF!$H62)*NtoN2O*kgtoGg,IF('Net zero activities &amp; levers'!$C$14="On",('Net zero Activity data'!BB13*EF!$H44*EF!$H62)*NtoN2O*kgtoGg,"ERROR"))</f>
        <v>1.5780128357590142E-2</v>
      </c>
      <c r="AJ1107" s="100">
        <f>IF('Net zero activities &amp; levers'!$C$14="Off",('Activity data'!BC13*EF!$H44*EF!$H62)*NtoN2O*kgtoGg,IF('Net zero activities &amp; levers'!$C$14="On",('Net zero Activity data'!BC13*EF!$H44*EF!$H62)*NtoN2O*kgtoGg,"ERROR"))</f>
        <v>1.5808895494916663E-2</v>
      </c>
      <c r="AK1107" s="100">
        <f>IF('Net zero activities &amp; levers'!$C$14="Off",('Activity data'!BD13*EF!$H44*EF!$H62)*NtoN2O*kgtoGg,IF('Net zero activities &amp; levers'!$C$14="On",('Net zero Activity data'!BD13*EF!$H44*EF!$H62)*NtoN2O*kgtoGg,"ERROR"))</f>
        <v>1.5839194459493416E-2</v>
      </c>
      <c r="AL1107" s="100">
        <f>IF('Net zero activities &amp; levers'!$C$14="Off",('Activity data'!BE13*EF!$H44*EF!$H62)*NtoN2O*kgtoGg,IF('Net zero activities &amp; levers'!$C$14="On",('Net zero Activity data'!BE13*EF!$H44*EF!$H62)*NtoN2O*kgtoGg,"ERROR"))</f>
        <v>1.5871212894447165E-2</v>
      </c>
      <c r="AM1107" s="100">
        <f>IF('Net zero activities &amp; levers'!$C$14="Off",('Activity data'!BF13*EF!$H44*EF!$H62)*NtoN2O*kgtoGg,IF('Net zero activities &amp; levers'!$C$14="On",('Net zero Activity data'!BF13*EF!$H44*EF!$H62)*NtoN2O*kgtoGg,"ERROR"))</f>
        <v>1.5905120208325661E-2</v>
      </c>
      <c r="AN1107" s="100">
        <f>IF('Net zero activities &amp; levers'!$C$14="Off",('Activity data'!BG13*EF!$H44*EF!$H62)*NtoN2O*kgtoGg,IF('Net zero activities &amp; levers'!$C$14="On",('Net zero Activity data'!BG13*EF!$H44*EF!$H62)*NtoN2O*kgtoGg,"ERROR"))</f>
        <v>1.5923608440521576E-2</v>
      </c>
      <c r="AO1107" s="100">
        <f>IF('Net zero activities &amp; levers'!$C$14="Off",('Activity data'!BH13*EF!$H44*EF!$H62)*NtoN2O*kgtoGg,IF('Net zero activities &amp; levers'!$C$14="On",('Net zero Activity data'!BH13*EF!$H44*EF!$H62)*NtoN2O*kgtoGg,"ERROR"))</f>
        <v>1.5943219194385971E-2</v>
      </c>
      <c r="AP1107" s="100">
        <f>IF('Net zero activities &amp; levers'!$C$14="Off",('Activity data'!BI13*EF!$H44*EF!$H62)*NtoN2O*kgtoGg,IF('Net zero activities &amp; levers'!$C$14="On",('Net zero Activity data'!BI13*EF!$H44*EF!$H62)*NtoN2O*kgtoGg,"ERROR"))</f>
        <v>1.5964364076511545E-2</v>
      </c>
      <c r="AQ1107" s="100">
        <f>IF('Net zero activities &amp; levers'!$C$14="Off",('Activity data'!BJ13*EF!$H44*EF!$H62)*NtoN2O*kgtoGg,IF('Net zero activities &amp; levers'!$C$14="On",('Net zero Activity data'!BJ13*EF!$H44*EF!$H62)*NtoN2O*kgtoGg,"ERROR"))</f>
        <v>1.5987003748719163E-2</v>
      </c>
      <c r="AR1107" s="100">
        <f>IF('Net zero activities &amp; levers'!$C$14="Off",('Activity data'!BK13*EF!$H44*EF!$H62)*NtoN2O*kgtoGg,IF('Net zero activities &amp; levers'!$C$14="On",('Net zero Activity data'!BK13*EF!$H44*EF!$H62)*NtoN2O*kgtoGg,"ERROR"))</f>
        <v>1.6011426014492076E-2</v>
      </c>
      <c r="AS1107" s="100">
        <f>IF('Net zero activities &amp; levers'!$C$14="Off",('Activity data'!BL13*EF!$H44*EF!$H62)*NtoN2O*kgtoGg,IF('Net zero activities &amp; levers'!$C$14="On",('Net zero Activity data'!BL13*EF!$H44*EF!$H62)*NtoN2O*kgtoGg,"ERROR"))</f>
        <v>1.6019956720470994E-2</v>
      </c>
      <c r="AT1107" s="100">
        <f>IF('Net zero activities &amp; levers'!$C$14="Off",('Activity data'!BM13*EF!$H44*EF!$H62)*NtoN2O*kgtoGg,IF('Net zero activities &amp; levers'!$C$14="On",('Net zero Activity data'!BM13*EF!$H44*EF!$H62)*NtoN2O*kgtoGg,"ERROR"))</f>
        <v>1.6026597354274651E-2</v>
      </c>
      <c r="AU1107" s="100">
        <f>IF('Net zero activities &amp; levers'!$C$14="Off",('Activity data'!BN13*EF!$H44*EF!$H62)*NtoN2O*kgtoGg,IF('Net zero activities &amp; levers'!$C$14="On",('Net zero Activity data'!BN13*EF!$H44*EF!$H62)*NtoN2O*kgtoGg,"ERROR"))</f>
        <v>1.6034206571030277E-2</v>
      </c>
      <c r="AV1107" s="100">
        <f>IF('Net zero activities &amp; levers'!$C$14="Off",('Activity data'!BO13*EF!$H44*EF!$H62)*NtoN2O*kgtoGg,IF('Net zero activities &amp; levers'!$C$14="On",('Net zero Activity data'!BO13*EF!$H44*EF!$H62)*NtoN2O*kgtoGg,"ERROR"))</f>
        <v>1.6043388029308273E-2</v>
      </c>
      <c r="AW1107" s="100">
        <f>IF('Net zero activities &amp; levers'!$C$14="Off",('Activity data'!BP13*EF!$H44*EF!$H62)*NtoN2O*kgtoGg,IF('Net zero activities &amp; levers'!$C$14="On",('Net zero Activity data'!BP13*EF!$H44*EF!$H62)*NtoN2O*kgtoGg,"ERROR"))</f>
        <v>1.6053496862987397E-2</v>
      </c>
      <c r="AY1107" s="85"/>
    </row>
    <row r="1108" spans="1:51" x14ac:dyDescent="0.25">
      <c r="A1108" s="102" t="str">
        <f t="shared" si="374"/>
        <v>CM Goats MMN2O</v>
      </c>
      <c r="B1108" s="102" t="s">
        <v>1323</v>
      </c>
      <c r="C1108" s="102" t="s">
        <v>1330</v>
      </c>
      <c r="D1108" t="s">
        <v>15</v>
      </c>
      <c r="E1108" t="s">
        <v>657</v>
      </c>
      <c r="F1108" t="s">
        <v>19</v>
      </c>
      <c r="G1108" t="s">
        <v>123</v>
      </c>
      <c r="H1108" t="s">
        <v>1228</v>
      </c>
      <c r="I1108" t="s">
        <v>139</v>
      </c>
      <c r="J1108" t="s">
        <v>287</v>
      </c>
      <c r="K1108" s="100">
        <f>IF('Net zero activities &amp; levers'!$C$14="Off",('Activity data'!AD14*EF!$H45*EF!$H63)*NtoN2O*kgtoGg,IF('Net zero activities &amp; levers'!$C$14="On",('Net zero Activity data'!AD14*EF!$H45*EF!$H63)*NtoN2O*kgtoGg,"ERROR"))</f>
        <v>0.11481805129047286</v>
      </c>
      <c r="L1108" s="100">
        <f>IF('Net zero activities &amp; levers'!$C$14="Off",('Activity data'!AE14*EF!$H45*EF!$H63)*NtoN2O*kgtoGg,IF('Net zero activities &amp; levers'!$C$14="On",('Net zero Activity data'!AE14*EF!$H45*EF!$H63)*NtoN2O*kgtoGg,"ERROR"))</f>
        <v>0.11511648249680231</v>
      </c>
      <c r="M1108" s="100">
        <f>IF('Net zero activities &amp; levers'!$C$14="Off",('Activity data'!AF14*EF!$H45*EF!$H63)*NtoN2O*kgtoGg,IF('Net zero activities &amp; levers'!$C$14="On",('Net zero Activity data'!AF14*EF!$H45*EF!$H63)*NtoN2O*kgtoGg,"ERROR"))</f>
        <v>0.11551892279798029</v>
      </c>
      <c r="N1108" s="100">
        <f>IF('Net zero activities &amp; levers'!$C$14="Off",('Activity data'!AG14*EF!$H45*EF!$H63)*NtoN2O*kgtoGg,IF('Net zero activities &amp; levers'!$C$14="On",('Net zero Activity data'!AG14*EF!$H45*EF!$H63)*NtoN2O*kgtoGg,"ERROR"))</f>
        <v>0.11600908486762376</v>
      </c>
      <c r="O1108" s="100">
        <f>IF('Net zero activities &amp; levers'!$C$14="Off",('Activity data'!AH14*EF!$H45*EF!$H63)*NtoN2O*kgtoGg,IF('Net zero activities &amp; levers'!$C$14="On",('Net zero Activity data'!AH14*EF!$H45*EF!$H63)*NtoN2O*kgtoGg,"ERROR"))</f>
        <v>0.11659618078632224</v>
      </c>
      <c r="P1108" s="100">
        <f>IF('Net zero activities &amp; levers'!$C$14="Off",('Activity data'!AI14*EF!$H45*EF!$H63)*NtoN2O*kgtoGg,IF('Net zero activities &amp; levers'!$C$14="On",('Net zero Activity data'!AI14*EF!$H45*EF!$H63)*NtoN2O*kgtoGg,"ERROR"))</f>
        <v>0.11729026369893758</v>
      </c>
      <c r="Q1108" s="100">
        <f>IF('Net zero activities &amp; levers'!$C$14="Off",('Activity data'!AJ14*EF!$H45*EF!$H63)*NtoN2O*kgtoGg,IF('Net zero activities &amp; levers'!$C$14="On",('Net zero Activity data'!AJ14*EF!$H45*EF!$H63)*NtoN2O*kgtoGg,"ERROR"))</f>
        <v>0.1180258546047787</v>
      </c>
      <c r="R1108" s="100">
        <f>IF('Net zero activities &amp; levers'!$C$14="Off",('Activity data'!AK14*EF!$H45*EF!$H63)*NtoN2O*kgtoGg,IF('Net zero activities &amp; levers'!$C$14="On",('Net zero Activity data'!AK14*EF!$H45*EF!$H63)*NtoN2O*kgtoGg,"ERROR"))</f>
        <v>0.11879434650093773</v>
      </c>
      <c r="S1108" s="100">
        <f>IF('Net zero activities &amp; levers'!$C$14="Off",('Activity data'!AL14*EF!$H45*EF!$H63)*NtoN2O*kgtoGg,IF('Net zero activities &amp; levers'!$C$14="On",('Net zero Activity data'!AL14*EF!$H45*EF!$H63)*NtoN2O*kgtoGg,"ERROR"))</f>
        <v>0.1195425195154779</v>
      </c>
      <c r="T1108" s="100">
        <f>IF('Net zero activities &amp; levers'!$C$14="Off",('Activity data'!AM14*EF!$H45*EF!$H63)*NtoN2O*kgtoGg,IF('Net zero activities &amp; levers'!$C$14="On",('Net zero Activity data'!AM14*EF!$H45*EF!$H63)*NtoN2O*kgtoGg,"ERROR"))</f>
        <v>0.1198856757589802</v>
      </c>
      <c r="U1108" s="100">
        <f>IF('Net zero activities &amp; levers'!$C$14="Off",('Activity data'!AN14*EF!$H45*EF!$H63)*NtoN2O*kgtoGg,IF('Net zero activities &amp; levers'!$C$14="On",('Net zero Activity data'!AN14*EF!$H45*EF!$H63)*NtoN2O*kgtoGg,"ERROR"))</f>
        <v>0.1202557344478143</v>
      </c>
      <c r="V1108" s="100">
        <f>IF('Net zero activities &amp; levers'!$C$14="Off",('Activity data'!AO14*EF!$H45*EF!$H63)*NtoN2O*kgtoGg,IF('Net zero activities &amp; levers'!$C$14="On",('Net zero Activity data'!AO14*EF!$H45*EF!$H63)*NtoN2O*kgtoGg,"ERROR"))</f>
        <v>0.1206568179311767</v>
      </c>
      <c r="W1108" s="100">
        <f>IF('Net zero activities &amp; levers'!$C$14="Off",('Activity data'!AP14*EF!$H45*EF!$H63)*NtoN2O*kgtoGg,IF('Net zero activities &amp; levers'!$C$14="On",('Net zero Activity data'!AP14*EF!$H45*EF!$H63)*NtoN2O*kgtoGg,"ERROR"))</f>
        <v>0.12109189534148641</v>
      </c>
      <c r="X1108" s="100">
        <f>IF('Net zero activities &amp; levers'!$C$14="Off",('Activity data'!AQ14*EF!$H45*EF!$H63)*NtoN2O*kgtoGg,IF('Net zero activities &amp; levers'!$C$14="On",('Net zero Activity data'!AQ14*EF!$H45*EF!$H63)*NtoN2O*kgtoGg,"ERROR"))</f>
        <v>0.12156681969623982</v>
      </c>
      <c r="Y1108" s="100">
        <f>IF('Net zero activities &amp; levers'!$C$14="Off",('Activity data'!AR14*EF!$H45*EF!$H63)*NtoN2O*kgtoGg,IF('Net zero activities &amp; levers'!$C$14="On",('Net zero Activity data'!AR14*EF!$H45*EF!$H63)*NtoN2O*kgtoGg,"ERROR"))</f>
        <v>0.12187249728826091</v>
      </c>
      <c r="Z1108" s="100">
        <f>IF('Net zero activities &amp; levers'!$C$14="Off",('Activity data'!AS14*EF!$H45*EF!$H63)*NtoN2O*kgtoGg,IF('Net zero activities &amp; levers'!$C$14="On",('Net zero Activity data'!AS14*EF!$H45*EF!$H63)*NtoN2O*kgtoGg,"ERROR"))</f>
        <v>0.12220607879565744</v>
      </c>
      <c r="AA1108" s="100">
        <f>IF('Net zero activities &amp; levers'!$C$14="Off",('Activity data'!AT14*EF!$H45*EF!$H63)*NtoN2O*kgtoGg,IF('Net zero activities &amp; levers'!$C$14="On",('Net zero Activity data'!AT14*EF!$H45*EF!$H63)*NtoN2O*kgtoGg,"ERROR"))</f>
        <v>0.12255926641353683</v>
      </c>
      <c r="AB1108" s="100">
        <f>IF('Net zero activities &amp; levers'!$C$14="Off",('Activity data'!AU14*EF!$H45*EF!$H63)*NtoN2O*kgtoGg,IF('Net zero activities &amp; levers'!$C$14="On",('Net zero Activity data'!AU14*EF!$H45*EF!$H63)*NtoN2O*kgtoGg,"ERROR"))</f>
        <v>0.12294008991985945</v>
      </c>
      <c r="AC1108" s="100">
        <f>IF('Net zero activities &amp; levers'!$C$14="Off",('Activity data'!AV14*EF!$H45*EF!$H63)*NtoN2O*kgtoGg,IF('Net zero activities &amp; levers'!$C$14="On",('Net zero Activity data'!AV14*EF!$H45*EF!$H63)*NtoN2O*kgtoGg,"ERROR"))</f>
        <v>0.12334867769651912</v>
      </c>
      <c r="AD1108" s="100">
        <f>IF('Net zero activities &amp; levers'!$C$14="Off",('Activity data'!AW14*EF!$H45*EF!$H63)*NtoN2O*kgtoGg,IF('Net zero activities &amp; levers'!$C$14="On",('Net zero Activity data'!AW14*EF!$H45*EF!$H63)*NtoN2O*kgtoGg,"ERROR"))</f>
        <v>0.12361761534895452</v>
      </c>
      <c r="AE1108" s="100">
        <f>IF('Net zero activities &amp; levers'!$C$14="Off",('Activity data'!AX14*EF!$H45*EF!$H63)*NtoN2O*kgtoGg,IF('Net zero activities &amp; levers'!$C$14="On",('Net zero Activity data'!AX14*EF!$H45*EF!$H63)*NtoN2O*kgtoGg,"ERROR"))</f>
        <v>0.12390751402361132</v>
      </c>
      <c r="AF1108" s="100">
        <f>IF('Net zero activities &amp; levers'!$C$14="Off",('Activity data'!AY14*EF!$H45*EF!$H63)*NtoN2O*kgtoGg,IF('Net zero activities &amp; levers'!$C$14="On",('Net zero Activity data'!AY14*EF!$H45*EF!$H63)*NtoN2O*kgtoGg,"ERROR"))</f>
        <v>0.124216568981919</v>
      </c>
      <c r="AG1108" s="100">
        <f>IF('Net zero activities &amp; levers'!$C$14="Off",('Activity data'!AZ14*EF!$H45*EF!$H63)*NtoN2O*kgtoGg,IF('Net zero activities &amp; levers'!$C$14="On",('Net zero Activity data'!AZ14*EF!$H45*EF!$H63)*NtoN2O*kgtoGg,"ERROR"))</f>
        <v>0.12454825392776228</v>
      </c>
      <c r="AH1108" s="100">
        <f>IF('Net zero activities &amp; levers'!$C$14="Off",('Activity data'!BA14*EF!$H45*EF!$H63)*NtoN2O*kgtoGg,IF('Net zero activities &amp; levers'!$C$14="On",('Net zero Activity data'!BA14*EF!$H45*EF!$H63)*NtoN2O*kgtoGg,"ERROR"))</f>
        <v>0.12489074962992587</v>
      </c>
      <c r="AI1108" s="100">
        <f>IF('Net zero activities &amp; levers'!$C$14="Off",('Activity data'!BB14*EF!$H45*EF!$H63)*NtoN2O*kgtoGg,IF('Net zero activities &amp; levers'!$C$14="On",('Net zero Activity data'!BB14*EF!$H45*EF!$H63)*NtoN2O*kgtoGg,"ERROR"))</f>
        <v>0.12510306763085599</v>
      </c>
      <c r="AJ1108" s="100">
        <f>IF('Net zero activities &amp; levers'!$C$14="Off",('Activity data'!BC14*EF!$H45*EF!$H63)*NtoN2O*kgtoGg,IF('Net zero activities &amp; levers'!$C$14="On",('Net zero Activity data'!BC14*EF!$H45*EF!$H63)*NtoN2O*kgtoGg,"ERROR"))</f>
        <v>0.12533113023243647</v>
      </c>
      <c r="AK1108" s="100">
        <f>IF('Net zero activities &amp; levers'!$C$14="Off",('Activity data'!BD14*EF!$H45*EF!$H63)*NtoN2O*kgtoGg,IF('Net zero activities &amp; levers'!$C$14="On",('Net zero Activity data'!BD14*EF!$H45*EF!$H63)*NtoN2O*kgtoGg,"ERROR"))</f>
        <v>0.12557133698669695</v>
      </c>
      <c r="AL1108" s="100">
        <f>IF('Net zero activities &amp; levers'!$C$14="Off",('Activity data'!BE14*EF!$H45*EF!$H63)*NtoN2O*kgtoGg,IF('Net zero activities &amp; levers'!$C$14="On",('Net zero Activity data'!BE14*EF!$H45*EF!$H63)*NtoN2O*kgtoGg,"ERROR"))</f>
        <v>0.12582517550706146</v>
      </c>
      <c r="AM1108" s="100">
        <f>IF('Net zero activities &amp; levers'!$C$14="Off",('Activity data'!BF14*EF!$H45*EF!$H63)*NtoN2O*kgtoGg,IF('Net zero activities &amp; levers'!$C$14="On",('Net zero Activity data'!BF14*EF!$H45*EF!$H63)*NtoN2O*kgtoGg,"ERROR"))</f>
        <v>0.12609398884528009</v>
      </c>
      <c r="AN1108" s="100">
        <f>IF('Net zero activities &amp; levers'!$C$14="Off",('Activity data'!BG14*EF!$H45*EF!$H63)*NtoN2O*kgtoGg,IF('Net zero activities &amp; levers'!$C$14="On",('Net zero Activity data'!BG14*EF!$H45*EF!$H63)*NtoN2O*kgtoGg,"ERROR"))</f>
        <v>0.1262405614529527</v>
      </c>
      <c r="AO1108" s="100">
        <f>IF('Net zero activities &amp; levers'!$C$14="Off",('Activity data'!BH14*EF!$H45*EF!$H63)*NtoN2O*kgtoGg,IF('Net zero activities &amp; levers'!$C$14="On",('Net zero Activity data'!BH14*EF!$H45*EF!$H63)*NtoN2O*kgtoGg,"ERROR"))</f>
        <v>0.12639603328508198</v>
      </c>
      <c r="AP1108" s="100">
        <f>IF('Net zero activities &amp; levers'!$C$14="Off",('Activity data'!BI14*EF!$H45*EF!$H63)*NtoN2O*kgtoGg,IF('Net zero activities &amp; levers'!$C$14="On",('Net zero Activity data'!BI14*EF!$H45*EF!$H63)*NtoN2O*kgtoGg,"ERROR"))</f>
        <v>0.12656366751204504</v>
      </c>
      <c r="AQ1108" s="100">
        <f>IF('Net zero activities &amp; levers'!$C$14="Off",('Activity data'!BJ14*EF!$H45*EF!$H63)*NtoN2O*kgtoGg,IF('Net zero activities &amp; levers'!$C$14="On",('Net zero Activity data'!BJ14*EF!$H45*EF!$H63)*NtoN2O*kgtoGg,"ERROR"))</f>
        <v>0.1267431522652199</v>
      </c>
      <c r="AR1108" s="100">
        <f>IF('Net zero activities &amp; levers'!$C$14="Off",('Activity data'!BK14*EF!$H45*EF!$H63)*NtoN2O*kgtoGg,IF('Net zero activities &amp; levers'!$C$14="On",('Net zero Activity data'!BK14*EF!$H45*EF!$H63)*NtoN2O*kgtoGg,"ERROR"))</f>
        <v>0.12693676921797539</v>
      </c>
      <c r="AS1108" s="100">
        <f>IF('Net zero activities &amp; levers'!$C$14="Off",('Activity data'!BL14*EF!$H45*EF!$H63)*NtoN2O*kgtoGg,IF('Net zero activities &amp; levers'!$C$14="On",('Net zero Activity data'!BL14*EF!$H45*EF!$H63)*NtoN2O*kgtoGg,"ERROR"))</f>
        <v>0.12700439968731225</v>
      </c>
      <c r="AT1108" s="100">
        <f>IF('Net zero activities &amp; levers'!$C$14="Off",('Activity data'!BM14*EF!$H45*EF!$H63)*NtoN2O*kgtoGg,IF('Net zero activities &amp; levers'!$C$14="On",('Net zero Activity data'!BM14*EF!$H45*EF!$H63)*NtoN2O*kgtoGg,"ERROR"))</f>
        <v>0.12705704587884023</v>
      </c>
      <c r="AU1108" s="100">
        <f>IF('Net zero activities &amp; levers'!$C$14="Off",('Activity data'!BN14*EF!$H45*EF!$H63)*NtoN2O*kgtoGg,IF('Net zero activities &amp; levers'!$C$14="On",('Net zero Activity data'!BN14*EF!$H45*EF!$H63)*NtoN2O*kgtoGg,"ERROR"))</f>
        <v>0.12711737088614225</v>
      </c>
      <c r="AV1108" s="100">
        <f>IF('Net zero activities &amp; levers'!$C$14="Off",('Activity data'!BO14*EF!$H45*EF!$H63)*NtoN2O*kgtoGg,IF('Net zero activities &amp; levers'!$C$14="On",('Net zero Activity data'!BO14*EF!$H45*EF!$H63)*NtoN2O*kgtoGg,"ERROR"))</f>
        <v>0.12719016044588929</v>
      </c>
      <c r="AW1108" s="100">
        <f>IF('Net zero activities &amp; levers'!$C$14="Off",('Activity data'!BP14*EF!$H45*EF!$H63)*NtoN2O*kgtoGg,IF('Net zero activities &amp; levers'!$C$14="On",('Net zero Activity data'!BP14*EF!$H45*EF!$H63)*NtoN2O*kgtoGg,"ERROR"))</f>
        <v>0.12727030213262158</v>
      </c>
      <c r="AY1108" s="85"/>
    </row>
    <row r="1109" spans="1:51" x14ac:dyDescent="0.25">
      <c r="A1109" s="102" t="str">
        <f t="shared" si="374"/>
        <v>CM Horses MMN2O</v>
      </c>
      <c r="B1109" s="102" t="s">
        <v>1323</v>
      </c>
      <c r="C1109" s="102" t="s">
        <v>1331</v>
      </c>
      <c r="D1109" t="s">
        <v>15</v>
      </c>
      <c r="E1109" t="s">
        <v>657</v>
      </c>
      <c r="F1109" t="s">
        <v>20</v>
      </c>
      <c r="G1109" t="s">
        <v>3</v>
      </c>
      <c r="H1109" t="s">
        <v>1228</v>
      </c>
      <c r="I1109" t="s">
        <v>139</v>
      </c>
      <c r="J1109" t="s">
        <v>287</v>
      </c>
      <c r="K1109" s="100">
        <f>IF('Net zero activities &amp; levers'!$C$14="Off",('Activity data'!AD15*EF!$H46*EF!$H64)*NtoN2O*kgtoGg,IF('Net zero activities &amp; levers'!$C$14="On",('Net zero Activity data'!AD15*EF!$H46*EF!$H64)*NtoN2O*kgtoGg,"ERROR"))</f>
        <v>0</v>
      </c>
      <c r="L1109" s="100">
        <f>IF('Net zero activities &amp; levers'!$C$14="Off",('Activity data'!AE15*EF!$H46*EF!$H64)*NtoN2O*kgtoGg,IF('Net zero activities &amp; levers'!$C$14="On",('Net zero Activity data'!AE15*EF!$H46*EF!$H64)*NtoN2O*kgtoGg,"ERROR"))</f>
        <v>0</v>
      </c>
      <c r="M1109" s="100">
        <f>IF('Net zero activities &amp; levers'!$C$14="Off",('Activity data'!AF15*EF!$H46*EF!$H64)*NtoN2O*kgtoGg,IF('Net zero activities &amp; levers'!$C$14="On",('Net zero Activity data'!AF15*EF!$H46*EF!$H64)*NtoN2O*kgtoGg,"ERROR"))</f>
        <v>0</v>
      </c>
      <c r="N1109" s="100">
        <f>IF('Net zero activities &amp; levers'!$C$14="Off",('Activity data'!AG15*EF!$H46*EF!$H64)*NtoN2O*kgtoGg,IF('Net zero activities &amp; levers'!$C$14="On",('Net zero Activity data'!AG15*EF!$H46*EF!$H64)*NtoN2O*kgtoGg,"ERROR"))</f>
        <v>0</v>
      </c>
      <c r="O1109" s="100">
        <f>IF('Net zero activities &amp; levers'!$C$14="Off",('Activity data'!AH15*EF!$H46*EF!$H64)*NtoN2O*kgtoGg,IF('Net zero activities &amp; levers'!$C$14="On",('Net zero Activity data'!AH15*EF!$H46*EF!$H64)*NtoN2O*kgtoGg,"ERROR"))</f>
        <v>0</v>
      </c>
      <c r="P1109" s="100">
        <f>IF('Net zero activities &amp; levers'!$C$14="Off",('Activity data'!AI15*EF!$H46*EF!$H64)*NtoN2O*kgtoGg,IF('Net zero activities &amp; levers'!$C$14="On",('Net zero Activity data'!AI15*EF!$H46*EF!$H64)*NtoN2O*kgtoGg,"ERROR"))</f>
        <v>0</v>
      </c>
      <c r="Q1109" s="100">
        <f>IF('Net zero activities &amp; levers'!$C$14="Off",('Activity data'!AJ15*EF!$H46*EF!$H64)*NtoN2O*kgtoGg,IF('Net zero activities &amp; levers'!$C$14="On",('Net zero Activity data'!AJ15*EF!$H46*EF!$H64)*NtoN2O*kgtoGg,"ERROR"))</f>
        <v>0</v>
      </c>
      <c r="R1109" s="100">
        <f>IF('Net zero activities &amp; levers'!$C$14="Off",('Activity data'!AK15*EF!$H46*EF!$H64)*NtoN2O*kgtoGg,IF('Net zero activities &amp; levers'!$C$14="On",('Net zero Activity data'!AK15*EF!$H46*EF!$H64)*NtoN2O*kgtoGg,"ERROR"))</f>
        <v>0</v>
      </c>
      <c r="S1109" s="100">
        <f>IF('Net zero activities &amp; levers'!$C$14="Off",('Activity data'!AL15*EF!$H46*EF!$H64)*NtoN2O*kgtoGg,IF('Net zero activities &amp; levers'!$C$14="On",('Net zero Activity data'!AL15*EF!$H46*EF!$H64)*NtoN2O*kgtoGg,"ERROR"))</f>
        <v>0</v>
      </c>
      <c r="T1109" s="100">
        <f>IF('Net zero activities &amp; levers'!$C$14="Off",('Activity data'!AM15*EF!$H46*EF!$H64)*NtoN2O*kgtoGg,IF('Net zero activities &amp; levers'!$C$14="On",('Net zero Activity data'!AM15*EF!$H46*EF!$H64)*NtoN2O*kgtoGg,"ERROR"))</f>
        <v>0</v>
      </c>
      <c r="U1109" s="100">
        <f>IF('Net zero activities &amp; levers'!$C$14="Off",('Activity data'!AN15*EF!$H46*EF!$H64)*NtoN2O*kgtoGg,IF('Net zero activities &amp; levers'!$C$14="On",('Net zero Activity data'!AN15*EF!$H46*EF!$H64)*NtoN2O*kgtoGg,"ERROR"))</f>
        <v>0</v>
      </c>
      <c r="V1109" s="100">
        <f>IF('Net zero activities &amp; levers'!$C$14="Off",('Activity data'!AO15*EF!$H46*EF!$H64)*NtoN2O*kgtoGg,IF('Net zero activities &amp; levers'!$C$14="On",('Net zero Activity data'!AO15*EF!$H46*EF!$H64)*NtoN2O*kgtoGg,"ERROR"))</f>
        <v>0</v>
      </c>
      <c r="W1109" s="100">
        <f>IF('Net zero activities &amp; levers'!$C$14="Off",('Activity data'!AP15*EF!$H46*EF!$H64)*NtoN2O*kgtoGg,IF('Net zero activities &amp; levers'!$C$14="On",('Net zero Activity data'!AP15*EF!$H46*EF!$H64)*NtoN2O*kgtoGg,"ERROR"))</f>
        <v>0</v>
      </c>
      <c r="X1109" s="100">
        <f>IF('Net zero activities &amp; levers'!$C$14="Off",('Activity data'!AQ15*EF!$H46*EF!$H64)*NtoN2O*kgtoGg,IF('Net zero activities &amp; levers'!$C$14="On",('Net zero Activity data'!AQ15*EF!$H46*EF!$H64)*NtoN2O*kgtoGg,"ERROR"))</f>
        <v>0</v>
      </c>
      <c r="Y1109" s="100">
        <f>IF('Net zero activities &amp; levers'!$C$14="Off",('Activity data'!AR15*EF!$H46*EF!$H64)*NtoN2O*kgtoGg,IF('Net zero activities &amp; levers'!$C$14="On",('Net zero Activity data'!AR15*EF!$H46*EF!$H64)*NtoN2O*kgtoGg,"ERROR"))</f>
        <v>0</v>
      </c>
      <c r="Z1109" s="100">
        <f>IF('Net zero activities &amp; levers'!$C$14="Off",('Activity data'!AS15*EF!$H46*EF!$H64)*NtoN2O*kgtoGg,IF('Net zero activities &amp; levers'!$C$14="On",('Net zero Activity data'!AS15*EF!$H46*EF!$H64)*NtoN2O*kgtoGg,"ERROR"))</f>
        <v>0</v>
      </c>
      <c r="AA1109" s="100">
        <f>IF('Net zero activities &amp; levers'!$C$14="Off",('Activity data'!AT15*EF!$H46*EF!$H64)*NtoN2O*kgtoGg,IF('Net zero activities &amp; levers'!$C$14="On",('Net zero Activity data'!AT15*EF!$H46*EF!$H64)*NtoN2O*kgtoGg,"ERROR"))</f>
        <v>0</v>
      </c>
      <c r="AB1109" s="100">
        <f>IF('Net zero activities &amp; levers'!$C$14="Off",('Activity data'!AU15*EF!$H46*EF!$H64)*NtoN2O*kgtoGg,IF('Net zero activities &amp; levers'!$C$14="On",('Net zero Activity data'!AU15*EF!$H46*EF!$H64)*NtoN2O*kgtoGg,"ERROR"))</f>
        <v>0</v>
      </c>
      <c r="AC1109" s="100">
        <f>IF('Net zero activities &amp; levers'!$C$14="Off",('Activity data'!AV15*EF!$H46*EF!$H64)*NtoN2O*kgtoGg,IF('Net zero activities &amp; levers'!$C$14="On",('Net zero Activity data'!AV15*EF!$H46*EF!$H64)*NtoN2O*kgtoGg,"ERROR"))</f>
        <v>0</v>
      </c>
      <c r="AD1109" s="100">
        <f>IF('Net zero activities &amp; levers'!$C$14="Off",('Activity data'!AW15*EF!$H46*EF!$H64)*NtoN2O*kgtoGg,IF('Net zero activities &amp; levers'!$C$14="On",('Net zero Activity data'!AW15*EF!$H46*EF!$H64)*NtoN2O*kgtoGg,"ERROR"))</f>
        <v>0</v>
      </c>
      <c r="AE1109" s="100">
        <f>IF('Net zero activities &amp; levers'!$C$14="Off",('Activity data'!AX15*EF!$H46*EF!$H64)*NtoN2O*kgtoGg,IF('Net zero activities &amp; levers'!$C$14="On",('Net zero Activity data'!AX15*EF!$H46*EF!$H64)*NtoN2O*kgtoGg,"ERROR"))</f>
        <v>0</v>
      </c>
      <c r="AF1109" s="100">
        <f>IF('Net zero activities &amp; levers'!$C$14="Off",('Activity data'!AY15*EF!$H46*EF!$H64)*NtoN2O*kgtoGg,IF('Net zero activities &amp; levers'!$C$14="On",('Net zero Activity data'!AY15*EF!$H46*EF!$H64)*NtoN2O*kgtoGg,"ERROR"))</f>
        <v>0</v>
      </c>
      <c r="AG1109" s="100">
        <f>IF('Net zero activities &amp; levers'!$C$14="Off",('Activity data'!AZ15*EF!$H46*EF!$H64)*NtoN2O*kgtoGg,IF('Net zero activities &amp; levers'!$C$14="On",('Net zero Activity data'!AZ15*EF!$H46*EF!$H64)*NtoN2O*kgtoGg,"ERROR"))</f>
        <v>0</v>
      </c>
      <c r="AH1109" s="100">
        <f>IF('Net zero activities &amp; levers'!$C$14="Off",('Activity data'!BA15*EF!$H46*EF!$H64)*NtoN2O*kgtoGg,IF('Net zero activities &amp; levers'!$C$14="On",('Net zero Activity data'!BA15*EF!$H46*EF!$H64)*NtoN2O*kgtoGg,"ERROR"))</f>
        <v>0</v>
      </c>
      <c r="AI1109" s="100">
        <f>IF('Net zero activities &amp; levers'!$C$14="Off",('Activity data'!BB15*EF!$H46*EF!$H64)*NtoN2O*kgtoGg,IF('Net zero activities &amp; levers'!$C$14="On",('Net zero Activity data'!BB15*EF!$H46*EF!$H64)*NtoN2O*kgtoGg,"ERROR"))</f>
        <v>0</v>
      </c>
      <c r="AJ1109" s="100">
        <f>IF('Net zero activities &amp; levers'!$C$14="Off",('Activity data'!BC15*EF!$H46*EF!$H64)*NtoN2O*kgtoGg,IF('Net zero activities &amp; levers'!$C$14="On",('Net zero Activity data'!BC15*EF!$H46*EF!$H64)*NtoN2O*kgtoGg,"ERROR"))</f>
        <v>0</v>
      </c>
      <c r="AK1109" s="100">
        <f>IF('Net zero activities &amp; levers'!$C$14="Off",('Activity data'!BD15*EF!$H46*EF!$H64)*NtoN2O*kgtoGg,IF('Net zero activities &amp; levers'!$C$14="On",('Net zero Activity data'!BD15*EF!$H46*EF!$H64)*NtoN2O*kgtoGg,"ERROR"))</f>
        <v>0</v>
      </c>
      <c r="AL1109" s="100">
        <f>IF('Net zero activities &amp; levers'!$C$14="Off",('Activity data'!BE15*EF!$H46*EF!$H64)*NtoN2O*kgtoGg,IF('Net zero activities &amp; levers'!$C$14="On",('Net zero Activity data'!BE15*EF!$H46*EF!$H64)*NtoN2O*kgtoGg,"ERROR"))</f>
        <v>0</v>
      </c>
      <c r="AM1109" s="100">
        <f>IF('Net zero activities &amp; levers'!$C$14="Off",('Activity data'!BF15*EF!$H46*EF!$H64)*NtoN2O*kgtoGg,IF('Net zero activities &amp; levers'!$C$14="On",('Net zero Activity data'!BF15*EF!$H46*EF!$H64)*NtoN2O*kgtoGg,"ERROR"))</f>
        <v>0</v>
      </c>
      <c r="AN1109" s="100">
        <f>IF('Net zero activities &amp; levers'!$C$14="Off",('Activity data'!BG15*EF!$H46*EF!$H64)*NtoN2O*kgtoGg,IF('Net zero activities &amp; levers'!$C$14="On",('Net zero Activity data'!BG15*EF!$H46*EF!$H64)*NtoN2O*kgtoGg,"ERROR"))</f>
        <v>0</v>
      </c>
      <c r="AO1109" s="100">
        <f>IF('Net zero activities &amp; levers'!$C$14="Off",('Activity data'!BH15*EF!$H46*EF!$H64)*NtoN2O*kgtoGg,IF('Net zero activities &amp; levers'!$C$14="On",('Net zero Activity data'!BH15*EF!$H46*EF!$H64)*NtoN2O*kgtoGg,"ERROR"))</f>
        <v>0</v>
      </c>
      <c r="AP1109" s="100">
        <f>IF('Net zero activities &amp; levers'!$C$14="Off",('Activity data'!BI15*EF!$H46*EF!$H64)*NtoN2O*kgtoGg,IF('Net zero activities &amp; levers'!$C$14="On",('Net zero Activity data'!BI15*EF!$H46*EF!$H64)*NtoN2O*kgtoGg,"ERROR"))</f>
        <v>0</v>
      </c>
      <c r="AQ1109" s="100">
        <f>IF('Net zero activities &amp; levers'!$C$14="Off",('Activity data'!BJ15*EF!$H46*EF!$H64)*NtoN2O*kgtoGg,IF('Net zero activities &amp; levers'!$C$14="On",('Net zero Activity data'!BJ15*EF!$H46*EF!$H64)*NtoN2O*kgtoGg,"ERROR"))</f>
        <v>0</v>
      </c>
      <c r="AR1109" s="100">
        <f>IF('Net zero activities &amp; levers'!$C$14="Off",('Activity data'!BK15*EF!$H46*EF!$H64)*NtoN2O*kgtoGg,IF('Net zero activities &amp; levers'!$C$14="On",('Net zero Activity data'!BK15*EF!$H46*EF!$H64)*NtoN2O*kgtoGg,"ERROR"))</f>
        <v>0</v>
      </c>
      <c r="AS1109" s="100">
        <f>IF('Net zero activities &amp; levers'!$C$14="Off",('Activity data'!BL15*EF!$H46*EF!$H64)*NtoN2O*kgtoGg,IF('Net zero activities &amp; levers'!$C$14="On",('Net zero Activity data'!BL15*EF!$H46*EF!$H64)*NtoN2O*kgtoGg,"ERROR"))</f>
        <v>0</v>
      </c>
      <c r="AT1109" s="100">
        <f>IF('Net zero activities &amp; levers'!$C$14="Off",('Activity data'!BM15*EF!$H46*EF!$H64)*NtoN2O*kgtoGg,IF('Net zero activities &amp; levers'!$C$14="On",('Net zero Activity data'!BM15*EF!$H46*EF!$H64)*NtoN2O*kgtoGg,"ERROR"))</f>
        <v>0</v>
      </c>
      <c r="AU1109" s="100">
        <f>IF('Net zero activities &amp; levers'!$C$14="Off",('Activity data'!BN15*EF!$H46*EF!$H64)*NtoN2O*kgtoGg,IF('Net zero activities &amp; levers'!$C$14="On",('Net zero Activity data'!BN15*EF!$H46*EF!$H64)*NtoN2O*kgtoGg,"ERROR"))</f>
        <v>0</v>
      </c>
      <c r="AV1109" s="100">
        <f>IF('Net zero activities &amp; levers'!$C$14="Off",('Activity data'!BO15*EF!$H46*EF!$H64)*NtoN2O*kgtoGg,IF('Net zero activities &amp; levers'!$C$14="On",('Net zero Activity data'!BO15*EF!$H46*EF!$H64)*NtoN2O*kgtoGg,"ERROR"))</f>
        <v>0</v>
      </c>
      <c r="AW1109" s="100">
        <f>IF('Net zero activities &amp; levers'!$C$14="Off",('Activity data'!BP15*EF!$H46*EF!$H64)*NtoN2O*kgtoGg,IF('Net zero activities &amp; levers'!$C$14="On",('Net zero Activity data'!BP15*EF!$H46*EF!$H64)*NtoN2O*kgtoGg,"ERROR"))</f>
        <v>0</v>
      </c>
      <c r="AY1109" s="85"/>
    </row>
    <row r="1110" spans="1:51" x14ac:dyDescent="0.25">
      <c r="A1110" s="102" t="str">
        <f t="shared" si="374"/>
        <v>CM Mules MMN2O</v>
      </c>
      <c r="B1110" s="102" t="s">
        <v>1323</v>
      </c>
      <c r="C1110" s="102" t="s">
        <v>1332</v>
      </c>
      <c r="D1110" t="s">
        <v>15</v>
      </c>
      <c r="E1110" t="s">
        <v>657</v>
      </c>
      <c r="F1110" t="s">
        <v>140</v>
      </c>
      <c r="G1110" t="s">
        <v>124</v>
      </c>
      <c r="H1110" t="s">
        <v>1228</v>
      </c>
      <c r="I1110" t="s">
        <v>139</v>
      </c>
      <c r="J1110" t="s">
        <v>287</v>
      </c>
      <c r="K1110" s="100">
        <f>IF('Net zero activities &amp; levers'!$C$14="Off",('Activity data'!AD16*EF!$H47*EF!$H65)*NtoN2O*kgtoGg,IF('Net zero activities &amp; levers'!$C$14="On",('Net zero Activity data'!AD16*EF!$H47*EF!$H65)*NtoN2O*kgtoGg,"ERROR"))</f>
        <v>0</v>
      </c>
      <c r="L1110" s="100">
        <f>IF('Net zero activities &amp; levers'!$C$14="Off",('Activity data'!AE16*EF!$H47*EF!$H65)*NtoN2O*kgtoGg,IF('Net zero activities &amp; levers'!$C$14="On",('Net zero Activity data'!AE16*EF!$H47*EF!$H65)*NtoN2O*kgtoGg,"ERROR"))</f>
        <v>0</v>
      </c>
      <c r="M1110" s="100">
        <f>IF('Net zero activities &amp; levers'!$C$14="Off",('Activity data'!AF16*EF!$H47*EF!$H65)*NtoN2O*kgtoGg,IF('Net zero activities &amp; levers'!$C$14="On",('Net zero Activity data'!AF16*EF!$H47*EF!$H65)*NtoN2O*kgtoGg,"ERROR"))</f>
        <v>0</v>
      </c>
      <c r="N1110" s="100">
        <f>IF('Net zero activities &amp; levers'!$C$14="Off",('Activity data'!AG16*EF!$H47*EF!$H65)*NtoN2O*kgtoGg,IF('Net zero activities &amp; levers'!$C$14="On",('Net zero Activity data'!AG16*EF!$H47*EF!$H65)*NtoN2O*kgtoGg,"ERROR"))</f>
        <v>0</v>
      </c>
      <c r="O1110" s="100">
        <f>IF('Net zero activities &amp; levers'!$C$14="Off",('Activity data'!AH16*EF!$H47*EF!$H65)*NtoN2O*kgtoGg,IF('Net zero activities &amp; levers'!$C$14="On",('Net zero Activity data'!AH16*EF!$H47*EF!$H65)*NtoN2O*kgtoGg,"ERROR"))</f>
        <v>0</v>
      </c>
      <c r="P1110" s="100">
        <f>IF('Net zero activities &amp; levers'!$C$14="Off",('Activity data'!AI16*EF!$H47*EF!$H65)*NtoN2O*kgtoGg,IF('Net zero activities &amp; levers'!$C$14="On",('Net zero Activity data'!AI16*EF!$H47*EF!$H65)*NtoN2O*kgtoGg,"ERROR"))</f>
        <v>0</v>
      </c>
      <c r="Q1110" s="100">
        <f>IF('Net zero activities &amp; levers'!$C$14="Off",('Activity data'!AJ16*EF!$H47*EF!$H65)*NtoN2O*kgtoGg,IF('Net zero activities &amp; levers'!$C$14="On",('Net zero Activity data'!AJ16*EF!$H47*EF!$H65)*NtoN2O*kgtoGg,"ERROR"))</f>
        <v>0</v>
      </c>
      <c r="R1110" s="100">
        <f>IF('Net zero activities &amp; levers'!$C$14="Off",('Activity data'!AK16*EF!$H47*EF!$H65)*NtoN2O*kgtoGg,IF('Net zero activities &amp; levers'!$C$14="On",('Net zero Activity data'!AK16*EF!$H47*EF!$H65)*NtoN2O*kgtoGg,"ERROR"))</f>
        <v>0</v>
      </c>
      <c r="S1110" s="100">
        <f>IF('Net zero activities &amp; levers'!$C$14="Off",('Activity data'!AL16*EF!$H47*EF!$H65)*NtoN2O*kgtoGg,IF('Net zero activities &amp; levers'!$C$14="On",('Net zero Activity data'!AL16*EF!$H47*EF!$H65)*NtoN2O*kgtoGg,"ERROR"))</f>
        <v>0</v>
      </c>
      <c r="T1110" s="100">
        <f>IF('Net zero activities &amp; levers'!$C$14="Off",('Activity data'!AM16*EF!$H47*EF!$H65)*NtoN2O*kgtoGg,IF('Net zero activities &amp; levers'!$C$14="On",('Net zero Activity data'!AM16*EF!$H47*EF!$H65)*NtoN2O*kgtoGg,"ERROR"))</f>
        <v>0</v>
      </c>
      <c r="U1110" s="100">
        <f>IF('Net zero activities &amp; levers'!$C$14="Off",('Activity data'!AN16*EF!$H47*EF!$H65)*NtoN2O*kgtoGg,IF('Net zero activities &amp; levers'!$C$14="On",('Net zero Activity data'!AN16*EF!$H47*EF!$H65)*NtoN2O*kgtoGg,"ERROR"))</f>
        <v>0</v>
      </c>
      <c r="V1110" s="100">
        <f>IF('Net zero activities &amp; levers'!$C$14="Off",('Activity data'!AO16*EF!$H47*EF!$H65)*NtoN2O*kgtoGg,IF('Net zero activities &amp; levers'!$C$14="On",('Net zero Activity data'!AO16*EF!$H47*EF!$H65)*NtoN2O*kgtoGg,"ERROR"))</f>
        <v>0</v>
      </c>
      <c r="W1110" s="100">
        <f>IF('Net zero activities &amp; levers'!$C$14="Off",('Activity data'!AP16*EF!$H47*EF!$H65)*NtoN2O*kgtoGg,IF('Net zero activities &amp; levers'!$C$14="On",('Net zero Activity data'!AP16*EF!$H47*EF!$H65)*NtoN2O*kgtoGg,"ERROR"))</f>
        <v>0</v>
      </c>
      <c r="X1110" s="100">
        <f>IF('Net zero activities &amp; levers'!$C$14="Off",('Activity data'!AQ16*EF!$H47*EF!$H65)*NtoN2O*kgtoGg,IF('Net zero activities &amp; levers'!$C$14="On",('Net zero Activity data'!AQ16*EF!$H47*EF!$H65)*NtoN2O*kgtoGg,"ERROR"))</f>
        <v>0</v>
      </c>
      <c r="Y1110" s="100">
        <f>IF('Net zero activities &amp; levers'!$C$14="Off",('Activity data'!AR16*EF!$H47*EF!$H65)*NtoN2O*kgtoGg,IF('Net zero activities &amp; levers'!$C$14="On",('Net zero Activity data'!AR16*EF!$H47*EF!$H65)*NtoN2O*kgtoGg,"ERROR"))</f>
        <v>0</v>
      </c>
      <c r="Z1110" s="100">
        <f>IF('Net zero activities &amp; levers'!$C$14="Off",('Activity data'!AS16*EF!$H47*EF!$H65)*NtoN2O*kgtoGg,IF('Net zero activities &amp; levers'!$C$14="On",('Net zero Activity data'!AS16*EF!$H47*EF!$H65)*NtoN2O*kgtoGg,"ERROR"))</f>
        <v>0</v>
      </c>
      <c r="AA1110" s="100">
        <f>IF('Net zero activities &amp; levers'!$C$14="Off",('Activity data'!AT16*EF!$H47*EF!$H65)*NtoN2O*kgtoGg,IF('Net zero activities &amp; levers'!$C$14="On",('Net zero Activity data'!AT16*EF!$H47*EF!$H65)*NtoN2O*kgtoGg,"ERROR"))</f>
        <v>0</v>
      </c>
      <c r="AB1110" s="100">
        <f>IF('Net zero activities &amp; levers'!$C$14="Off",('Activity data'!AU16*EF!$H47*EF!$H65)*NtoN2O*kgtoGg,IF('Net zero activities &amp; levers'!$C$14="On",('Net zero Activity data'!AU16*EF!$H47*EF!$H65)*NtoN2O*kgtoGg,"ERROR"))</f>
        <v>0</v>
      </c>
      <c r="AC1110" s="100">
        <f>IF('Net zero activities &amp; levers'!$C$14="Off",('Activity data'!AV16*EF!$H47*EF!$H65)*NtoN2O*kgtoGg,IF('Net zero activities &amp; levers'!$C$14="On",('Net zero Activity data'!AV16*EF!$H47*EF!$H65)*NtoN2O*kgtoGg,"ERROR"))</f>
        <v>0</v>
      </c>
      <c r="AD1110" s="100">
        <f>IF('Net zero activities &amp; levers'!$C$14="Off",('Activity data'!AW16*EF!$H47*EF!$H65)*NtoN2O*kgtoGg,IF('Net zero activities &amp; levers'!$C$14="On",('Net zero Activity data'!AW16*EF!$H47*EF!$H65)*NtoN2O*kgtoGg,"ERROR"))</f>
        <v>0</v>
      </c>
      <c r="AE1110" s="100">
        <f>IF('Net zero activities &amp; levers'!$C$14="Off",('Activity data'!AX16*EF!$H47*EF!$H65)*NtoN2O*kgtoGg,IF('Net zero activities &amp; levers'!$C$14="On",('Net zero Activity data'!AX16*EF!$H47*EF!$H65)*NtoN2O*kgtoGg,"ERROR"))</f>
        <v>0</v>
      </c>
      <c r="AF1110" s="100">
        <f>IF('Net zero activities &amp; levers'!$C$14="Off",('Activity data'!AY16*EF!$H47*EF!$H65)*NtoN2O*kgtoGg,IF('Net zero activities &amp; levers'!$C$14="On",('Net zero Activity data'!AY16*EF!$H47*EF!$H65)*NtoN2O*kgtoGg,"ERROR"))</f>
        <v>0</v>
      </c>
      <c r="AG1110" s="100">
        <f>IF('Net zero activities &amp; levers'!$C$14="Off",('Activity data'!AZ16*EF!$H47*EF!$H65)*NtoN2O*kgtoGg,IF('Net zero activities &amp; levers'!$C$14="On",('Net zero Activity data'!AZ16*EF!$H47*EF!$H65)*NtoN2O*kgtoGg,"ERROR"))</f>
        <v>0</v>
      </c>
      <c r="AH1110" s="100">
        <f>IF('Net zero activities &amp; levers'!$C$14="Off",('Activity data'!BA16*EF!$H47*EF!$H65)*NtoN2O*kgtoGg,IF('Net zero activities &amp; levers'!$C$14="On",('Net zero Activity data'!BA16*EF!$H47*EF!$H65)*NtoN2O*kgtoGg,"ERROR"))</f>
        <v>0</v>
      </c>
      <c r="AI1110" s="100">
        <f>IF('Net zero activities &amp; levers'!$C$14="Off",('Activity data'!BB16*EF!$H47*EF!$H65)*NtoN2O*kgtoGg,IF('Net zero activities &amp; levers'!$C$14="On",('Net zero Activity data'!BB16*EF!$H47*EF!$H65)*NtoN2O*kgtoGg,"ERROR"))</f>
        <v>0</v>
      </c>
      <c r="AJ1110" s="100">
        <f>IF('Net zero activities &amp; levers'!$C$14="Off",('Activity data'!BC16*EF!$H47*EF!$H65)*NtoN2O*kgtoGg,IF('Net zero activities &amp; levers'!$C$14="On",('Net zero Activity data'!BC16*EF!$H47*EF!$H65)*NtoN2O*kgtoGg,"ERROR"))</f>
        <v>0</v>
      </c>
      <c r="AK1110" s="100">
        <f>IF('Net zero activities &amp; levers'!$C$14="Off",('Activity data'!BD16*EF!$H47*EF!$H65)*NtoN2O*kgtoGg,IF('Net zero activities &amp; levers'!$C$14="On",('Net zero Activity data'!BD16*EF!$H47*EF!$H65)*NtoN2O*kgtoGg,"ERROR"))</f>
        <v>0</v>
      </c>
      <c r="AL1110" s="100">
        <f>IF('Net zero activities &amp; levers'!$C$14="Off",('Activity data'!BE16*EF!$H47*EF!$H65)*NtoN2O*kgtoGg,IF('Net zero activities &amp; levers'!$C$14="On",('Net zero Activity data'!BE16*EF!$H47*EF!$H65)*NtoN2O*kgtoGg,"ERROR"))</f>
        <v>0</v>
      </c>
      <c r="AM1110" s="100">
        <f>IF('Net zero activities &amp; levers'!$C$14="Off",('Activity data'!BF16*EF!$H47*EF!$H65)*NtoN2O*kgtoGg,IF('Net zero activities &amp; levers'!$C$14="On",('Net zero Activity data'!BF16*EF!$H47*EF!$H65)*NtoN2O*kgtoGg,"ERROR"))</f>
        <v>0</v>
      </c>
      <c r="AN1110" s="100">
        <f>IF('Net zero activities &amp; levers'!$C$14="Off",('Activity data'!BG16*EF!$H47*EF!$H65)*NtoN2O*kgtoGg,IF('Net zero activities &amp; levers'!$C$14="On",('Net zero Activity data'!BG16*EF!$H47*EF!$H65)*NtoN2O*kgtoGg,"ERROR"))</f>
        <v>0</v>
      </c>
      <c r="AO1110" s="100">
        <f>IF('Net zero activities &amp; levers'!$C$14="Off",('Activity data'!BH16*EF!$H47*EF!$H65)*NtoN2O*kgtoGg,IF('Net zero activities &amp; levers'!$C$14="On",('Net zero Activity data'!BH16*EF!$H47*EF!$H65)*NtoN2O*kgtoGg,"ERROR"))</f>
        <v>0</v>
      </c>
      <c r="AP1110" s="100">
        <f>IF('Net zero activities &amp; levers'!$C$14="Off",('Activity data'!BI16*EF!$H47*EF!$H65)*NtoN2O*kgtoGg,IF('Net zero activities &amp; levers'!$C$14="On",('Net zero Activity data'!BI16*EF!$H47*EF!$H65)*NtoN2O*kgtoGg,"ERROR"))</f>
        <v>0</v>
      </c>
      <c r="AQ1110" s="100">
        <f>IF('Net zero activities &amp; levers'!$C$14="Off",('Activity data'!BJ16*EF!$H47*EF!$H65)*NtoN2O*kgtoGg,IF('Net zero activities &amp; levers'!$C$14="On",('Net zero Activity data'!BJ16*EF!$H47*EF!$H65)*NtoN2O*kgtoGg,"ERROR"))</f>
        <v>0</v>
      </c>
      <c r="AR1110" s="100">
        <f>IF('Net zero activities &amp; levers'!$C$14="Off",('Activity data'!BK16*EF!$H47*EF!$H65)*NtoN2O*kgtoGg,IF('Net zero activities &amp; levers'!$C$14="On",('Net zero Activity data'!BK16*EF!$H47*EF!$H65)*NtoN2O*kgtoGg,"ERROR"))</f>
        <v>0</v>
      </c>
      <c r="AS1110" s="100">
        <f>IF('Net zero activities &amp; levers'!$C$14="Off",('Activity data'!BL16*EF!$H47*EF!$H65)*NtoN2O*kgtoGg,IF('Net zero activities &amp; levers'!$C$14="On",('Net zero Activity data'!BL16*EF!$H47*EF!$H65)*NtoN2O*kgtoGg,"ERROR"))</f>
        <v>0</v>
      </c>
      <c r="AT1110" s="100">
        <f>IF('Net zero activities &amp; levers'!$C$14="Off",('Activity data'!BM16*EF!$H47*EF!$H65)*NtoN2O*kgtoGg,IF('Net zero activities &amp; levers'!$C$14="On",('Net zero Activity data'!BM16*EF!$H47*EF!$H65)*NtoN2O*kgtoGg,"ERROR"))</f>
        <v>0</v>
      </c>
      <c r="AU1110" s="100">
        <f>IF('Net zero activities &amp; levers'!$C$14="Off",('Activity data'!BN16*EF!$H47*EF!$H65)*NtoN2O*kgtoGg,IF('Net zero activities &amp; levers'!$C$14="On",('Net zero Activity data'!BN16*EF!$H47*EF!$H65)*NtoN2O*kgtoGg,"ERROR"))</f>
        <v>0</v>
      </c>
      <c r="AV1110" s="100">
        <f>IF('Net zero activities &amp; levers'!$C$14="Off",('Activity data'!BO16*EF!$H47*EF!$H65)*NtoN2O*kgtoGg,IF('Net zero activities &amp; levers'!$C$14="On",('Net zero Activity data'!BO16*EF!$H47*EF!$H65)*NtoN2O*kgtoGg,"ERROR"))</f>
        <v>0</v>
      </c>
      <c r="AW1110" s="100">
        <f>IF('Net zero activities &amp; levers'!$C$14="Off",('Activity data'!BP16*EF!$H47*EF!$H65)*NtoN2O*kgtoGg,IF('Net zero activities &amp; levers'!$C$14="On",('Net zero Activity data'!BP16*EF!$H47*EF!$H65)*NtoN2O*kgtoGg,"ERROR"))</f>
        <v>0</v>
      </c>
      <c r="AY1110" s="85"/>
    </row>
    <row r="1111" spans="1:51" x14ac:dyDescent="0.25">
      <c r="A1111" s="102" t="str">
        <f t="shared" si="374"/>
        <v>CM Swine MMN2O</v>
      </c>
      <c r="B1111" s="102" t="s">
        <v>1323</v>
      </c>
      <c r="C1111" s="102" t="s">
        <v>1234</v>
      </c>
      <c r="D1111" t="s">
        <v>15</v>
      </c>
      <c r="E1111" t="s">
        <v>657</v>
      </c>
      <c r="F1111" t="s">
        <v>21</v>
      </c>
      <c r="G1111" t="s">
        <v>122</v>
      </c>
      <c r="H1111" t="s">
        <v>1228</v>
      </c>
      <c r="I1111" t="s">
        <v>139</v>
      </c>
      <c r="J1111" t="s">
        <v>287</v>
      </c>
      <c r="K1111" s="100">
        <f>IF('Net zero activities &amp; levers'!$C$14="Off",('Activity data'!AD17*EF!$H48*EF!$H66)*NtoN2O*kgtoGg,IF('Net zero activities &amp; levers'!$C$14="On",('Net zero Activity data'!AD17*EF!$H48*EF!$H66)*NtoN2O*kgtoGg,"ERROR"))</f>
        <v>9.7855003322124628E-2</v>
      </c>
      <c r="L1111" s="100">
        <f>IF('Net zero activities &amp; levers'!$C$14="Off",('Activity data'!AE17*EF!$H48*EF!$H66)*NtoN2O*kgtoGg,IF('Net zero activities &amp; levers'!$C$14="On",('Net zero Activity data'!AE17*EF!$H48*EF!$H66)*NtoN2O*kgtoGg,"ERROR"))</f>
        <v>9.768205595551481E-2</v>
      </c>
      <c r="M1111" s="100">
        <f>IF('Net zero activities &amp; levers'!$C$14="Off",('Activity data'!AF17*EF!$H48*EF!$H66)*NtoN2O*kgtoGg,IF('Net zero activities &amp; levers'!$C$14="On",('Net zero Activity data'!AF17*EF!$H48*EF!$H66)*NtoN2O*kgtoGg,"ERROR"))</f>
        <v>9.7134008511937764E-2</v>
      </c>
      <c r="N1111" s="100">
        <f>IF('Net zero activities &amp; levers'!$C$14="Off",('Activity data'!AG17*EF!$H48*EF!$H66)*NtoN2O*kgtoGg,IF('Net zero activities &amp; levers'!$C$14="On",('Net zero Activity data'!AG17*EF!$H48*EF!$H66)*NtoN2O*kgtoGg,"ERROR"))</f>
        <v>9.4990622413168677E-2</v>
      </c>
      <c r="O1111" s="100">
        <f>IF('Net zero activities &amp; levers'!$C$14="Off",('Activity data'!AH17*EF!$H48*EF!$H66)*NtoN2O*kgtoGg,IF('Net zero activities &amp; levers'!$C$14="On",('Net zero Activity data'!AH17*EF!$H48*EF!$H66)*NtoN2O*kgtoGg,"ERROR"))</f>
        <v>9.2963704380958218E-2</v>
      </c>
      <c r="P1111" s="100">
        <f>IF('Net zero activities &amp; levers'!$C$14="Off",('Activity data'!AI17*EF!$H48*EF!$H66)*NtoN2O*kgtoGg,IF('Net zero activities &amp; levers'!$C$14="On",('Net zero Activity data'!AI17*EF!$H48*EF!$H66)*NtoN2O*kgtoGg,"ERROR"))</f>
        <v>9.2636555494494649E-2</v>
      </c>
      <c r="Q1111" s="100">
        <f>IF('Net zero activities &amp; levers'!$C$14="Off",('Activity data'!AJ17*EF!$H48*EF!$H66)*NtoN2O*kgtoGg,IF('Net zero activities &amp; levers'!$C$14="On",('Net zero Activity data'!AJ17*EF!$H48*EF!$H66)*NtoN2O*kgtoGg,"ERROR"))</f>
        <v>9.1842396693378264E-2</v>
      </c>
      <c r="R1111" s="100">
        <f>IF('Net zero activities &amp; levers'!$C$14="Off",('Activity data'!AK17*EF!$H48*EF!$H66)*NtoN2O*kgtoGg,IF('Net zero activities &amp; levers'!$C$14="On",('Net zero Activity data'!AK17*EF!$H48*EF!$H66)*NtoN2O*kgtoGg,"ERROR"))</f>
        <v>8.9396441883992581E-2</v>
      </c>
      <c r="S1111" s="100">
        <f>IF('Net zero activities &amp; levers'!$C$14="Off",('Activity data'!AL17*EF!$H48*EF!$H66)*NtoN2O*kgtoGg,IF('Net zero activities &amp; levers'!$C$14="On",('Net zero Activity data'!AL17*EF!$H48*EF!$H66)*NtoN2O*kgtoGg,"ERROR"))</f>
        <v>7.973748994684815E-2</v>
      </c>
      <c r="T1111" s="100">
        <f>IF('Net zero activities &amp; levers'!$C$14="Off",('Activity data'!AM17*EF!$H48*EF!$H66)*NtoN2O*kgtoGg,IF('Net zero activities &amp; levers'!$C$14="On",('Net zero Activity data'!AM17*EF!$H48*EF!$H66)*NtoN2O*kgtoGg,"ERROR"))</f>
        <v>8.1436401650850934E-2</v>
      </c>
      <c r="U1111" s="100">
        <f>IF('Net zero activities &amp; levers'!$C$14="Off",('Activity data'!AN17*EF!$H48*EF!$H66)*NtoN2O*kgtoGg,IF('Net zero activities &amp; levers'!$C$14="On",('Net zero Activity data'!AN17*EF!$H48*EF!$H66)*NtoN2O*kgtoGg,"ERROR"))</f>
        <v>8.22096147995513E-2</v>
      </c>
      <c r="V1111" s="100">
        <f>IF('Net zero activities &amp; levers'!$C$14="Off",('Activity data'!AO17*EF!$H48*EF!$H66)*NtoN2O*kgtoGg,IF('Net zero activities &amp; levers'!$C$14="On",('Net zero Activity data'!AO17*EF!$H48*EF!$H66)*NtoN2O*kgtoGg,"ERROR"))</f>
        <v>8.2768053449766926E-2</v>
      </c>
      <c r="W1111" s="100">
        <f>IF('Net zero activities &amp; levers'!$C$14="Off",('Activity data'!AP17*EF!$H48*EF!$H66)*NtoN2O*kgtoGg,IF('Net zero activities &amp; levers'!$C$14="On",('Net zero Activity data'!AP17*EF!$H48*EF!$H66)*NtoN2O*kgtoGg,"ERROR"))</f>
        <v>8.3633919959097178E-2</v>
      </c>
      <c r="X1111" s="100">
        <f>IF('Net zero activities &amp; levers'!$C$14="Off",('Activity data'!AQ17*EF!$H48*EF!$H66)*NtoN2O*kgtoGg,IF('Net zero activities &amp; levers'!$C$14="On",('Net zero Activity data'!AQ17*EF!$H48*EF!$H66)*NtoN2O*kgtoGg,"ERROR"))</f>
        <v>8.5576398291327294E-2</v>
      </c>
      <c r="Y1111" s="100">
        <f>IF('Net zero activities &amp; levers'!$C$14="Off",('Activity data'!AR17*EF!$H48*EF!$H66)*NtoN2O*kgtoGg,IF('Net zero activities &amp; levers'!$C$14="On",('Net zero Activity data'!AR17*EF!$H48*EF!$H66)*NtoN2O*kgtoGg,"ERROR"))</f>
        <v>8.7763815717527546E-2</v>
      </c>
      <c r="Z1111" s="100">
        <f>IF('Net zero activities &amp; levers'!$C$14="Off",('Activity data'!AS17*EF!$H48*EF!$H66)*NtoN2O*kgtoGg,IF('Net zero activities &amp; levers'!$C$14="On",('Net zero Activity data'!AS17*EF!$H48*EF!$H66)*NtoN2O*kgtoGg,"ERROR"))</f>
        <v>9.0171670058210876E-2</v>
      </c>
      <c r="AA1111" s="100">
        <f>IF('Net zero activities &amp; levers'!$C$14="Off",('Activity data'!AT17*EF!$H48*EF!$H66)*NtoN2O*kgtoGg,IF('Net zero activities &amp; levers'!$C$14="On",('Net zero Activity data'!AT17*EF!$H48*EF!$H66)*NtoN2O*kgtoGg,"ERROR"))</f>
        <v>9.209269193858842E-2</v>
      </c>
      <c r="AB1111" s="100">
        <f>IF('Net zero activities &amp; levers'!$C$14="Off",('Activity data'!AU17*EF!$H48*EF!$H66)*NtoN2O*kgtoGg,IF('Net zero activities &amp; levers'!$C$14="On",('Net zero Activity data'!AU17*EF!$H48*EF!$H66)*NtoN2O*kgtoGg,"ERROR"))</f>
        <v>9.444879422375306E-2</v>
      </c>
      <c r="AC1111" s="100">
        <f>IF('Net zero activities &amp; levers'!$C$14="Off",('Activity data'!AV17*EF!$H48*EF!$H66)*NtoN2O*kgtoGg,IF('Net zero activities &amp; levers'!$C$14="On",('Net zero Activity data'!AV17*EF!$H48*EF!$H66)*NtoN2O*kgtoGg,"ERROR"))</f>
        <v>9.7335191711402189E-2</v>
      </c>
      <c r="AD1111" s="100">
        <f>IF('Net zero activities &amp; levers'!$C$14="Off",('Activity data'!AW17*EF!$H48*EF!$H66)*NtoN2O*kgtoGg,IF('Net zero activities &amp; levers'!$C$14="On",('Net zero Activity data'!AW17*EF!$H48*EF!$H66)*NtoN2O*kgtoGg,"ERROR"))</f>
        <v>0.10007518793097436</v>
      </c>
      <c r="AE1111" s="100">
        <f>IF('Net zero activities &amp; levers'!$C$14="Off",('Activity data'!AX17*EF!$H48*EF!$H66)*NtoN2O*kgtoGg,IF('Net zero activities &amp; levers'!$C$14="On",('Net zero Activity data'!AX17*EF!$H48*EF!$H66)*NtoN2O*kgtoGg,"ERROR"))</f>
        <v>0.10292675471931297</v>
      </c>
      <c r="AF1111" s="100">
        <f>IF('Net zero activities &amp; levers'!$C$14="Off",('Activity data'!AY17*EF!$H48*EF!$H66)*NtoN2O*kgtoGg,IF('Net zero activities &amp; levers'!$C$14="On",('Net zero Activity data'!AY17*EF!$H48*EF!$H66)*NtoN2O*kgtoGg,"ERROR"))</f>
        <v>0.10579452527936169</v>
      </c>
      <c r="AG1111" s="100">
        <f>IF('Net zero activities &amp; levers'!$C$14="Off",('Activity data'!AZ17*EF!$H48*EF!$H66)*NtoN2O*kgtoGg,IF('Net zero activities &amp; levers'!$C$14="On",('Net zero Activity data'!AZ17*EF!$H48*EF!$H66)*NtoN2O*kgtoGg,"ERROR"))</f>
        <v>0.10906598410393169</v>
      </c>
      <c r="AH1111" s="100">
        <f>IF('Net zero activities &amp; levers'!$C$14="Off",('Activity data'!BA17*EF!$H48*EF!$H66)*NtoN2O*kgtoGg,IF('Net zero activities &amp; levers'!$C$14="On",('Net zero Activity data'!BA17*EF!$H48*EF!$H66)*NtoN2O*kgtoGg,"ERROR"))</f>
        <v>0.11171565306560718</v>
      </c>
      <c r="AI1111" s="100">
        <f>IF('Net zero activities &amp; levers'!$C$14="Off",('Activity data'!BB17*EF!$H48*EF!$H66)*NtoN2O*kgtoGg,IF('Net zero activities &amp; levers'!$C$14="On",('Net zero Activity data'!BB17*EF!$H48*EF!$H66)*NtoN2O*kgtoGg,"ERROR"))</f>
        <v>0.11455509243540948</v>
      </c>
      <c r="AJ1111" s="100">
        <f>IF('Net zero activities &amp; levers'!$C$14="Off",('Activity data'!BC17*EF!$H48*EF!$H66)*NtoN2O*kgtoGg,IF('Net zero activities &amp; levers'!$C$14="On",('Net zero Activity data'!BC17*EF!$H48*EF!$H66)*NtoN2O*kgtoGg,"ERROR"))</f>
        <v>0.11739449871653893</v>
      </c>
      <c r="AK1111" s="100">
        <f>IF('Net zero activities &amp; levers'!$C$14="Off",('Activity data'!BD17*EF!$H48*EF!$H66)*NtoN2O*kgtoGg,IF('Net zero activities &amp; levers'!$C$14="On",('Net zero Activity data'!BD17*EF!$H48*EF!$H66)*NtoN2O*kgtoGg,"ERROR"))</f>
        <v>0.1199699221676345</v>
      </c>
      <c r="AL1111" s="100">
        <f>IF('Net zero activities &amp; levers'!$C$14="Off",('Activity data'!BE17*EF!$H48*EF!$H66)*NtoN2O*kgtoGg,IF('Net zero activities &amp; levers'!$C$14="On",('Net zero Activity data'!BE17*EF!$H48*EF!$H66)*NtoN2O*kgtoGg,"ERROR"))</f>
        <v>0.12246459121400947</v>
      </c>
      <c r="AM1111" s="100">
        <f>IF('Net zero activities &amp; levers'!$C$14="Off",('Activity data'!BF17*EF!$H48*EF!$H66)*NtoN2O*kgtoGg,IF('Net zero activities &amp; levers'!$C$14="On",('Net zero Activity data'!BF17*EF!$H48*EF!$H66)*NtoN2O*kgtoGg,"ERROR"))</f>
        <v>0.125036417840722</v>
      </c>
      <c r="AN1111" s="100">
        <f>IF('Net zero activities &amp; levers'!$C$14="Off",('Activity data'!BG17*EF!$H48*EF!$H66)*NtoN2O*kgtoGg,IF('Net zero activities &amp; levers'!$C$14="On",('Net zero Activity data'!BG17*EF!$H48*EF!$H66)*NtoN2O*kgtoGg,"ERROR"))</f>
        <v>0.12775553426246711</v>
      </c>
      <c r="AO1111" s="100">
        <f>IF('Net zero activities &amp; levers'!$C$14="Off",('Activity data'!BH17*EF!$H48*EF!$H66)*NtoN2O*kgtoGg,IF('Net zero activities &amp; levers'!$C$14="On",('Net zero Activity data'!BH17*EF!$H48*EF!$H66)*NtoN2O*kgtoGg,"ERROR"))</f>
        <v>0.13014415148839389</v>
      </c>
      <c r="AP1111" s="100">
        <f>IF('Net zero activities &amp; levers'!$C$14="Off",('Activity data'!BI17*EF!$H48*EF!$H66)*NtoN2O*kgtoGg,IF('Net zero activities &amp; levers'!$C$14="On",('Net zero Activity data'!BI17*EF!$H48*EF!$H66)*NtoN2O*kgtoGg,"ERROR"))</f>
        <v>0.13251479136892375</v>
      </c>
      <c r="AQ1111" s="100">
        <f>IF('Net zero activities &amp; levers'!$C$14="Off",('Activity data'!BJ17*EF!$H48*EF!$H66)*NtoN2O*kgtoGg,IF('Net zero activities &amp; levers'!$C$14="On",('Net zero Activity data'!BJ17*EF!$H48*EF!$H66)*NtoN2O*kgtoGg,"ERROR"))</f>
        <v>0.13487379644716166</v>
      </c>
      <c r="AR1111" s="100">
        <f>IF('Net zero activities &amp; levers'!$C$14="Off",('Activity data'!BK17*EF!$H48*EF!$H66)*NtoN2O*kgtoGg,IF('Net zero activities &amp; levers'!$C$14="On",('Net zero Activity data'!BK17*EF!$H48*EF!$H66)*NtoN2O*kgtoGg,"ERROR"))</f>
        <v>0.13743060072319849</v>
      </c>
      <c r="AS1111" s="100">
        <f>IF('Net zero activities &amp; levers'!$C$14="Off",('Activity data'!BL17*EF!$H48*EF!$H66)*NtoN2O*kgtoGg,IF('Net zero activities &amp; levers'!$C$14="On",('Net zero Activity data'!BL17*EF!$H48*EF!$H66)*NtoN2O*kgtoGg,"ERROR"))</f>
        <v>0.14002417365519876</v>
      </c>
      <c r="AT1111" s="100">
        <f>IF('Net zero activities &amp; levers'!$C$14="Off",('Activity data'!BM17*EF!$H48*EF!$H66)*NtoN2O*kgtoGg,IF('Net zero activities &amp; levers'!$C$14="On",('Net zero Activity data'!BM17*EF!$H48*EF!$H66)*NtoN2O*kgtoGg,"ERROR"))</f>
        <v>0.14061969913789321</v>
      </c>
      <c r="AU1111" s="100">
        <f>IF('Net zero activities &amp; levers'!$C$14="Off",('Activity data'!BN17*EF!$H48*EF!$H66)*NtoN2O*kgtoGg,IF('Net zero activities &amp; levers'!$C$14="On",('Net zero Activity data'!BN17*EF!$H48*EF!$H66)*NtoN2O*kgtoGg,"ERROR"))</f>
        <v>0.14104741924155845</v>
      </c>
      <c r="AV1111" s="100">
        <f>IF('Net zero activities &amp; levers'!$C$14="Off",('Activity data'!BO17*EF!$H48*EF!$H66)*NtoN2O*kgtoGg,IF('Net zero activities &amp; levers'!$C$14="On",('Net zero Activity data'!BO17*EF!$H48*EF!$H66)*NtoN2O*kgtoGg,"ERROR"))</f>
        <v>0.14169648633765713</v>
      </c>
      <c r="AW1111" s="100">
        <f>IF('Net zero activities &amp; levers'!$C$14="Off",('Activity data'!BP17*EF!$H48*EF!$H66)*NtoN2O*kgtoGg,IF('Net zero activities &amp; levers'!$C$14="On",('Net zero Activity data'!BP17*EF!$H48*EF!$H66)*NtoN2O*kgtoGg,"ERROR"))</f>
        <v>0.14220005678993883</v>
      </c>
      <c r="AY1111" s="85"/>
    </row>
    <row r="1112" spans="1:51" x14ac:dyDescent="0.25">
      <c r="A1112" s="102" t="str">
        <f t="shared" si="374"/>
        <v>CM Swine MMN2O</v>
      </c>
      <c r="B1112" s="102" t="s">
        <v>1323</v>
      </c>
      <c r="C1112" s="102" t="s">
        <v>1234</v>
      </c>
      <c r="D1112" t="s">
        <v>15</v>
      </c>
      <c r="E1112" t="s">
        <v>657</v>
      </c>
      <c r="F1112" t="s">
        <v>21</v>
      </c>
      <c r="G1112" t="s">
        <v>123</v>
      </c>
      <c r="H1112" t="s">
        <v>1228</v>
      </c>
      <c r="I1112" t="s">
        <v>139</v>
      </c>
      <c r="J1112" t="s">
        <v>287</v>
      </c>
      <c r="K1112" s="100">
        <f>IF('Net zero activities &amp; levers'!$C$14="Off",('Activity data'!AD18*EF!$H49*EF!$H67)*NtoN2O*kgtoGg,IF('Net zero activities &amp; levers'!$C$14="On",('Net zero Activity data'!AD18*EF!$H49*EF!$H67)*NtoN2O*kgtoGg,"ERROR"))</f>
        <v>3.8282858549039588E-2</v>
      </c>
      <c r="L1112" s="100">
        <f>IF('Net zero activities &amp; levers'!$C$14="Off",('Activity data'!AE18*EF!$H49*EF!$H67)*NtoN2O*kgtoGg,IF('Net zero activities &amp; levers'!$C$14="On",('Net zero Activity data'!AE18*EF!$H49*EF!$H67)*NtoN2O*kgtoGg,"ERROR"))</f>
        <v>3.8215198037593316E-2</v>
      </c>
      <c r="M1112" s="100">
        <f>IF('Net zero activities &amp; levers'!$C$14="Off",('Activity data'!AF18*EF!$H49*EF!$H67)*NtoN2O*kgtoGg,IF('Net zero activities &amp; levers'!$C$14="On",('Net zero Activity data'!AF18*EF!$H49*EF!$H67)*NtoN2O*kgtoGg,"ERROR"))</f>
        <v>3.8000790781466037E-2</v>
      </c>
      <c r="N1112" s="100">
        <f>IF('Net zero activities &amp; levers'!$C$14="Off",('Activity data'!AG18*EF!$H49*EF!$H67)*NtoN2O*kgtoGg,IF('Net zero activities &amp; levers'!$C$14="On",('Net zero Activity data'!AG18*EF!$H49*EF!$H67)*NtoN2O*kgtoGg,"ERROR"))</f>
        <v>3.7162254742945426E-2</v>
      </c>
      <c r="O1112" s="100">
        <f>IF('Net zero activities &amp; levers'!$C$14="Off",('Activity data'!AH18*EF!$H49*EF!$H67)*NtoN2O*kgtoGg,IF('Net zero activities &amp; levers'!$C$14="On",('Net zero Activity data'!AH18*EF!$H49*EF!$H67)*NtoN2O*kgtoGg,"ERROR"))</f>
        <v>3.6369283370166726E-2</v>
      </c>
      <c r="P1112" s="100">
        <f>IF('Net zero activities &amp; levers'!$C$14="Off",('Activity data'!AI18*EF!$H49*EF!$H67)*NtoN2O*kgtoGg,IF('Net zero activities &amp; levers'!$C$14="On",('Net zero Activity data'!AI18*EF!$H49*EF!$H67)*NtoN2O*kgtoGg,"ERROR"))</f>
        <v>3.6241296102068297E-2</v>
      </c>
      <c r="Q1112" s="100">
        <f>IF('Net zero activities &amp; levers'!$C$14="Off",('Activity data'!AJ18*EF!$H49*EF!$H67)*NtoN2O*kgtoGg,IF('Net zero activities &amp; levers'!$C$14="On",('Net zero Activity data'!AJ18*EF!$H49*EF!$H67)*NtoN2O*kgtoGg,"ERROR"))</f>
        <v>3.5930605099907358E-2</v>
      </c>
      <c r="R1112" s="100">
        <f>IF('Net zero activities &amp; levers'!$C$14="Off",('Activity data'!AK18*EF!$H49*EF!$H67)*NtoN2O*kgtoGg,IF('Net zero activities &amp; levers'!$C$14="On",('Net zero Activity data'!AK18*EF!$H49*EF!$H67)*NtoN2O*kgtoGg,"ERROR"))</f>
        <v>3.497369805574925E-2</v>
      </c>
      <c r="S1112" s="100">
        <f>IF('Net zero activities &amp; levers'!$C$14="Off",('Activity data'!AL18*EF!$H49*EF!$H67)*NtoN2O*kgtoGg,IF('Net zero activities &amp; levers'!$C$14="On",('Net zero Activity data'!AL18*EF!$H49*EF!$H67)*NtoN2O*kgtoGg,"ERROR"))</f>
        <v>3.1194920495194334E-2</v>
      </c>
      <c r="T1112" s="100">
        <f>IF('Net zero activities &amp; levers'!$C$14="Off",('Activity data'!AM18*EF!$H49*EF!$H67)*NtoN2O*kgtoGg,IF('Net zero activities &amp; levers'!$C$14="On",('Net zero Activity data'!AM18*EF!$H49*EF!$H67)*NtoN2O*kgtoGg,"ERROR"))</f>
        <v>3.1859569151303883E-2</v>
      </c>
      <c r="U1112" s="100">
        <f>IF('Net zero activities &amp; levers'!$C$14="Off",('Activity data'!AN18*EF!$H49*EF!$H67)*NtoN2O*kgtoGg,IF('Net zero activities &amp; levers'!$C$14="On",('Net zero Activity data'!AN18*EF!$H49*EF!$H67)*NtoN2O*kgtoGg,"ERROR"))</f>
        <v>3.2162065790157512E-2</v>
      </c>
      <c r="V1112" s="100">
        <f>IF('Net zero activities &amp; levers'!$C$14="Off",('Activity data'!AO18*EF!$H49*EF!$H67)*NtoN2O*kgtoGg,IF('Net zero activities &amp; levers'!$C$14="On",('Net zero Activity data'!AO18*EF!$H49*EF!$H67)*NtoN2O*kgtoGg,"ERROR"))</f>
        <v>3.2380538296710358E-2</v>
      </c>
      <c r="W1112" s="100">
        <f>IF('Net zero activities &amp; levers'!$C$14="Off",('Activity data'!AP18*EF!$H49*EF!$H67)*NtoN2O*kgtoGg,IF('Net zero activities &amp; levers'!$C$14="On",('Net zero Activity data'!AP18*EF!$H49*EF!$H67)*NtoN2O*kgtoGg,"ERROR"))</f>
        <v>3.2719282806175275E-2</v>
      </c>
      <c r="X1112" s="100">
        <f>IF('Net zero activities &amp; levers'!$C$14="Off",('Activity data'!AQ18*EF!$H49*EF!$H67)*NtoN2O*kgtoGg,IF('Net zero activities &amp; levers'!$C$14="On",('Net zero Activity data'!AQ18*EF!$H49*EF!$H67)*NtoN2O*kgtoGg,"ERROR"))</f>
        <v>3.3479219658689038E-2</v>
      </c>
      <c r="Y1112" s="100">
        <f>IF('Net zero activities &amp; levers'!$C$14="Off",('Activity data'!AR18*EF!$H49*EF!$H67)*NtoN2O*kgtoGg,IF('Net zero activities &amp; levers'!$C$14="On",('Net zero Activity data'!AR18*EF!$H49*EF!$H67)*NtoN2O*kgtoGg,"ERROR"))</f>
        <v>3.4334981643993637E-2</v>
      </c>
      <c r="Z1112" s="100">
        <f>IF('Net zero activities &amp; levers'!$C$14="Off",('Activity data'!AS18*EF!$H49*EF!$H67)*NtoN2O*kgtoGg,IF('Net zero activities &amp; levers'!$C$14="On",('Net zero Activity data'!AS18*EF!$H49*EF!$H67)*NtoN2O*kgtoGg,"ERROR"))</f>
        <v>3.5276983013383285E-2</v>
      </c>
      <c r="AA1112" s="100">
        <f>IF('Net zero activities &amp; levers'!$C$14="Off",('Activity data'!AT18*EF!$H49*EF!$H67)*NtoN2O*kgtoGg,IF('Net zero activities &amp; levers'!$C$14="On",('Net zero Activity data'!AT18*EF!$H49*EF!$H67)*NtoN2O*kgtoGg,"ERROR"))</f>
        <v>3.6028525667508131E-2</v>
      </c>
      <c r="AB1112" s="100">
        <f>IF('Net zero activities &amp; levers'!$C$14="Off",('Activity data'!AU18*EF!$H49*EF!$H67)*NtoN2O*kgtoGg,IF('Net zero activities &amp; levers'!$C$14="On",('Net zero Activity data'!AU18*EF!$H49*EF!$H67)*NtoN2O*kgtoGg,"ERROR"))</f>
        <v>3.6950280584966015E-2</v>
      </c>
      <c r="AC1112" s="100">
        <f>IF('Net zero activities &amp; levers'!$C$14="Off",('Activity data'!AV18*EF!$H49*EF!$H67)*NtoN2O*kgtoGg,IF('Net zero activities &amp; levers'!$C$14="On",('Net zero Activity data'!AV18*EF!$H49*EF!$H67)*NtoN2O*kgtoGg,"ERROR"))</f>
        <v>3.8079497722409941E-2</v>
      </c>
      <c r="AD1112" s="100">
        <f>IF('Net zero activities &amp; levers'!$C$14="Off",('Activity data'!AW18*EF!$H49*EF!$H67)*NtoN2O*kgtoGg,IF('Net zero activities &amp; levers'!$C$14="On",('Net zero Activity data'!AW18*EF!$H49*EF!$H67)*NtoN2O*kgtoGg,"ERROR"))</f>
        <v>3.9151439719626834E-2</v>
      </c>
      <c r="AE1112" s="100">
        <f>IF('Net zero activities &amp; levers'!$C$14="Off",('Activity data'!AX18*EF!$H49*EF!$H67)*NtoN2O*kgtoGg,IF('Net zero activities &amp; levers'!$C$14="On",('Net zero Activity data'!AX18*EF!$H49*EF!$H67)*NtoN2O*kgtoGg,"ERROR"))</f>
        <v>4.0267030382290729E-2</v>
      </c>
      <c r="AF1112" s="100">
        <f>IF('Net zero activities &amp; levers'!$C$14="Off",('Activity data'!AY18*EF!$H49*EF!$H67)*NtoN2O*kgtoGg,IF('Net zero activities &amp; levers'!$C$14="On",('Net zero Activity data'!AY18*EF!$H49*EF!$H67)*NtoN2O*kgtoGg,"ERROR"))</f>
        <v>4.1388960288521931E-2</v>
      </c>
      <c r="AG1112" s="100">
        <f>IF('Net zero activities &amp; levers'!$C$14="Off",('Activity data'!AZ18*EF!$H49*EF!$H67)*NtoN2O*kgtoGg,IF('Net zero activities &amp; levers'!$C$14="On",('Net zero Activity data'!AZ18*EF!$H49*EF!$H67)*NtoN2O*kgtoGg,"ERROR"))</f>
        <v>4.2668821217224227E-2</v>
      </c>
      <c r="AH1112" s="100">
        <f>IF('Net zero activities &amp; levers'!$C$14="Off",('Activity data'!BA18*EF!$H49*EF!$H67)*NtoN2O*kgtoGg,IF('Net zero activities &amp; levers'!$C$14="On",('Net zero Activity data'!BA18*EF!$H49*EF!$H67)*NtoN2O*kgtoGg,"ERROR"))</f>
        <v>4.3705425362315177E-2</v>
      </c>
      <c r="AI1112" s="100">
        <f>IF('Net zero activities &amp; levers'!$C$14="Off",('Activity data'!BB18*EF!$H49*EF!$H67)*NtoN2O*kgtoGg,IF('Net zero activities &amp; levers'!$C$14="On",('Net zero Activity data'!BB18*EF!$H49*EF!$H67)*NtoN2O*kgtoGg,"ERROR"))</f>
        <v>4.4816271533306411E-2</v>
      </c>
      <c r="AJ1112" s="100">
        <f>IF('Net zero activities &amp; levers'!$C$14="Off",('Activity data'!BC18*EF!$H49*EF!$H67)*NtoN2O*kgtoGg,IF('Net zero activities &amp; levers'!$C$14="On",('Net zero Activity data'!BC18*EF!$H49*EF!$H67)*NtoN2O*kgtoGg,"ERROR"))</f>
        <v>4.5927104759338866E-2</v>
      </c>
      <c r="AK1112" s="100">
        <f>IF('Net zero activities &amp; levers'!$C$14="Off",('Activity data'!BD18*EF!$H49*EF!$H67)*NtoN2O*kgtoGg,IF('Net zero activities &amp; levers'!$C$14="On",('Net zero Activity data'!BD18*EF!$H49*EF!$H67)*NtoN2O*kgtoGg,"ERROR"))</f>
        <v>4.6934662557457901E-2</v>
      </c>
      <c r="AL1112" s="100">
        <f>IF('Net zero activities &amp; levers'!$C$14="Off",('Activity data'!BE18*EF!$H49*EF!$H67)*NtoN2O*kgtoGg,IF('Net zero activities &amp; levers'!$C$14="On",('Net zero Activity data'!BE18*EF!$H49*EF!$H67)*NtoN2O*kgtoGg,"ERROR"))</f>
        <v>4.7910627597433003E-2</v>
      </c>
      <c r="AM1112" s="100">
        <f>IF('Net zero activities &amp; levers'!$C$14="Off",('Activity data'!BF18*EF!$H49*EF!$H67)*NtoN2O*kgtoGg,IF('Net zero activities &amp; levers'!$C$14="On",('Net zero Activity data'!BF18*EF!$H49*EF!$H67)*NtoN2O*kgtoGg,"ERROR"))</f>
        <v>4.8916778245029255E-2</v>
      </c>
      <c r="AN1112" s="100">
        <f>IF('Net zero activities &amp; levers'!$C$14="Off",('Activity data'!BG18*EF!$H49*EF!$H67)*NtoN2O*kgtoGg,IF('Net zero activities &amp; levers'!$C$14="On",('Net zero Activity data'!BG18*EF!$H49*EF!$H67)*NtoN2O*kgtoGg,"ERROR"))</f>
        <v>4.9980551642587391E-2</v>
      </c>
      <c r="AO1112" s="100">
        <f>IF('Net zero activities &amp; levers'!$C$14="Off",('Activity data'!BH18*EF!$H49*EF!$H67)*NtoN2O*kgtoGg,IF('Net zero activities &amp; levers'!$C$14="On",('Net zero Activity data'!BH18*EF!$H49*EF!$H67)*NtoN2O*kgtoGg,"ERROR"))</f>
        <v>5.0915027063194521E-2</v>
      </c>
      <c r="AP1112" s="100">
        <f>IF('Net zero activities &amp; levers'!$C$14="Off",('Activity data'!BI18*EF!$H49*EF!$H67)*NtoN2O*kgtoGg,IF('Net zero activities &amp; levers'!$C$14="On",('Net zero Activity data'!BI18*EF!$H49*EF!$H67)*NtoN2O*kgtoGg,"ERROR"))</f>
        <v>5.1842469382298882E-2</v>
      </c>
      <c r="AQ1112" s="100">
        <f>IF('Net zero activities &amp; levers'!$C$14="Off",('Activity data'!BJ18*EF!$H49*EF!$H67)*NtoN2O*kgtoGg,IF('Net zero activities &amp; levers'!$C$14="On",('Net zero Activity data'!BJ18*EF!$H49*EF!$H67)*NtoN2O*kgtoGg,"ERROR"))</f>
        <v>5.2765359931179263E-2</v>
      </c>
      <c r="AR1112" s="100">
        <f>IF('Net zero activities &amp; levers'!$C$14="Off",('Activity data'!BK18*EF!$H49*EF!$H67)*NtoN2O*kgtoGg,IF('Net zero activities &amp; levers'!$C$14="On",('Net zero Activity data'!BK18*EF!$H49*EF!$H67)*NtoN2O*kgtoGg,"ERROR"))</f>
        <v>5.3765633531036874E-2</v>
      </c>
      <c r="AS1112" s="100">
        <f>IF('Net zero activities &amp; levers'!$C$14="Off",('Activity data'!BL18*EF!$H49*EF!$H67)*NtoN2O*kgtoGg,IF('Net zero activities &amp; levers'!$C$14="On",('Net zero Activity data'!BL18*EF!$H49*EF!$H67)*NtoN2O*kgtoGg,"ERROR"))</f>
        <v>5.4780291773554486E-2</v>
      </c>
      <c r="AT1112" s="100">
        <f>IF('Net zero activities &amp; levers'!$C$14="Off",('Activity data'!BM18*EF!$H49*EF!$H67)*NtoN2O*kgtoGg,IF('Net zero activities &amp; levers'!$C$14="On",('Net zero Activity data'!BM18*EF!$H49*EF!$H67)*NtoN2O*kgtoGg,"ERROR"))</f>
        <v>5.5013273399862256E-2</v>
      </c>
      <c r="AU1112" s="100">
        <f>IF('Net zero activities &amp; levers'!$C$14="Off",('Activity data'!BN18*EF!$H49*EF!$H67)*NtoN2O*kgtoGg,IF('Net zero activities &amp; levers'!$C$14="On",('Net zero Activity data'!BN18*EF!$H49*EF!$H67)*NtoN2O*kgtoGg,"ERROR"))</f>
        <v>5.5180606164373994E-2</v>
      </c>
      <c r="AV1112" s="100">
        <f>IF('Net zero activities &amp; levers'!$C$14="Off",('Activity data'!BO18*EF!$H49*EF!$H67)*NtoN2O*kgtoGg,IF('Net zero activities &amp; levers'!$C$14="On",('Net zero Activity data'!BO18*EF!$H49*EF!$H67)*NtoN2O*kgtoGg,"ERROR"))</f>
        <v>5.543453435389116E-2</v>
      </c>
      <c r="AW1112" s="100">
        <f>IF('Net zero activities &amp; levers'!$C$14="Off",('Activity data'!BP18*EF!$H49*EF!$H67)*NtoN2O*kgtoGg,IF('Net zero activities &amp; levers'!$C$14="On",('Net zero Activity data'!BP18*EF!$H49*EF!$H67)*NtoN2O*kgtoGg,"ERROR"))</f>
        <v>5.5631541310507508E-2</v>
      </c>
      <c r="AY1112" s="85"/>
    </row>
    <row r="1113" spans="1:51" x14ac:dyDescent="0.25">
      <c r="A1113" s="102" t="str">
        <f t="shared" si="374"/>
        <v>CM Poultry MMN2O</v>
      </c>
      <c r="B1113" s="102" t="s">
        <v>1323</v>
      </c>
      <c r="C1113" s="102" t="s">
        <v>1235</v>
      </c>
      <c r="D1113" t="s">
        <v>15</v>
      </c>
      <c r="E1113" t="s">
        <v>657</v>
      </c>
      <c r="F1113" t="s">
        <v>28</v>
      </c>
      <c r="G1113" t="s">
        <v>131</v>
      </c>
      <c r="H1113" t="s">
        <v>1228</v>
      </c>
      <c r="I1113" t="s">
        <v>139</v>
      </c>
      <c r="J1113" t="s">
        <v>287</v>
      </c>
      <c r="K1113" s="100">
        <f>IF('Net zero activities &amp; levers'!$C$14="Off",('Activity data'!AD19*EF!$H50*EF!$H68)*NtoN2O*kgtoGg,IF('Net zero activities &amp; levers'!$C$14="On",('Net zero Activity data'!AD19*EF!$H50*EF!$H68)*NtoN2O*kgtoGg,"ERROR"))</f>
        <v>0.32879130142743862</v>
      </c>
      <c r="L1113" s="100">
        <f>IF('Net zero activities &amp; levers'!$C$14="Off",('Activity data'!AE19*EF!$H50*EF!$H68)*NtoN2O*kgtoGg,IF('Net zero activities &amp; levers'!$C$14="On",('Net zero Activity data'!AE19*EF!$H50*EF!$H68)*NtoN2O*kgtoGg,"ERROR"))</f>
        <v>0.33618147320266517</v>
      </c>
      <c r="M1113" s="100">
        <f>IF('Net zero activities &amp; levers'!$C$14="Off",('Activity data'!AF19*EF!$H50*EF!$H68)*NtoN2O*kgtoGg,IF('Net zero activities &amp; levers'!$C$14="On",('Net zero Activity data'!AF19*EF!$H50*EF!$H68)*NtoN2O*kgtoGg,"ERROR"))</f>
        <v>0.34286580262317662</v>
      </c>
      <c r="N1113" s="100">
        <f>IF('Net zero activities &amp; levers'!$C$14="Off",('Activity data'!AG19*EF!$H50*EF!$H68)*NtoN2O*kgtoGg,IF('Net zero activities &amp; levers'!$C$14="On",('Net zero Activity data'!AG19*EF!$H50*EF!$H68)*NtoN2O*kgtoGg,"ERROR"))</f>
        <v>0.34631663130525719</v>
      </c>
      <c r="O1113" s="100">
        <f>IF('Net zero activities &amp; levers'!$C$14="Off",('Activity data'!AH19*EF!$H50*EF!$H68)*NtoN2O*kgtoGg,IF('Net zero activities &amp; levers'!$C$14="On",('Net zero Activity data'!AH19*EF!$H50*EF!$H68)*NtoN2O*kgtoGg,"ERROR"))</f>
        <v>0.34986259378047058</v>
      </c>
      <c r="P1113" s="100">
        <f>IF('Net zero activities &amp; levers'!$C$14="Off",('Activity data'!AI19*EF!$H50*EF!$H68)*NtoN2O*kgtoGg,IF('Net zero activities &amp; levers'!$C$14="On",('Net zero Activity data'!AI19*EF!$H50*EF!$H68)*NtoN2O*kgtoGg,"ERROR"))</f>
        <v>0.35692259519801384</v>
      </c>
      <c r="Q1113" s="100">
        <f>IF('Net zero activities &amp; levers'!$C$14="Off",('Activity data'!AJ19*EF!$H50*EF!$H68)*NtoN2O*kgtoGg,IF('Net zero activities &amp; levers'!$C$14="On",('Net zero Activity data'!AJ19*EF!$H50*EF!$H68)*NtoN2O*kgtoGg,"ERROR"))</f>
        <v>0.36295954497520366</v>
      </c>
      <c r="R1113" s="100">
        <f>IF('Net zero activities &amp; levers'!$C$14="Off",('Activity data'!AK19*EF!$H50*EF!$H68)*NtoN2O*kgtoGg,IF('Net zero activities &amp; levers'!$C$14="On",('Net zero Activity data'!AK19*EF!$H50*EF!$H68)*NtoN2O*kgtoGg,"ERROR"))</f>
        <v>0.36525102127555931</v>
      </c>
      <c r="S1113" s="100">
        <f>IF('Net zero activities &amp; levers'!$C$14="Off",('Activity data'!AL19*EF!$H50*EF!$H68)*NtoN2O*kgtoGg,IF('Net zero activities &amp; levers'!$C$14="On",('Net zero Activity data'!AL19*EF!$H50*EF!$H68)*NtoN2O*kgtoGg,"ERROR"))</f>
        <v>0.35074524152454095</v>
      </c>
      <c r="T1113" s="100">
        <f>IF('Net zero activities &amp; levers'!$C$14="Off",('Activity data'!AM19*EF!$H50*EF!$H68)*NtoN2O*kgtoGg,IF('Net zero activities &amp; levers'!$C$14="On",('Net zero Activity data'!AM19*EF!$H50*EF!$H68)*NtoN2O*kgtoGg,"ERROR"))</f>
        <v>0.36118344194798235</v>
      </c>
      <c r="U1113" s="100">
        <f>IF('Net zero activities &amp; levers'!$C$14="Off",('Activity data'!AN19*EF!$H50*EF!$H68)*NtoN2O*kgtoGg,IF('Net zero activities &amp; levers'!$C$14="On",('Net zero Activity data'!AN19*EF!$H50*EF!$H68)*NtoN2O*kgtoGg,"ERROR"))</f>
        <v>0.36961966083970876</v>
      </c>
      <c r="V1113" s="100">
        <f>IF('Net zero activities &amp; levers'!$C$14="Off",('Activity data'!AO19*EF!$H50*EF!$H68)*NtoN2O*kgtoGg,IF('Net zero activities &amp; levers'!$C$14="On",('Net zero Activity data'!AO19*EF!$H50*EF!$H68)*NtoN2O*kgtoGg,"ERROR"))</f>
        <v>0.37765888442551321</v>
      </c>
      <c r="W1113" s="100">
        <f>IF('Net zero activities &amp; levers'!$C$14="Off",('Activity data'!AP19*EF!$H50*EF!$H68)*NtoN2O*kgtoGg,IF('Net zero activities &amp; levers'!$C$14="On",('Net zero Activity data'!AP19*EF!$H50*EF!$H68)*NtoN2O*kgtoGg,"ERROR"))</f>
        <v>0.38658550533232433</v>
      </c>
      <c r="X1113" s="100">
        <f>IF('Net zero activities &amp; levers'!$C$14="Off",('Activity data'!AQ19*EF!$H50*EF!$H68)*NtoN2O*kgtoGg,IF('Net zero activities &amp; levers'!$C$14="On",('Net zero Activity data'!AQ19*EF!$H50*EF!$H68)*NtoN2O*kgtoGg,"ERROR"))</f>
        <v>0.39843478474254634</v>
      </c>
      <c r="Y1113" s="100">
        <f>IF('Net zero activities &amp; levers'!$C$14="Off",('Activity data'!AR19*EF!$H50*EF!$H68)*NtoN2O*kgtoGg,IF('Net zero activities &amp; levers'!$C$14="On",('Net zero Activity data'!AR19*EF!$H50*EF!$H68)*NtoN2O*kgtoGg,"ERROR"))</f>
        <v>0.41088019341175391</v>
      </c>
      <c r="Z1113" s="100">
        <f>IF('Net zero activities &amp; levers'!$C$14="Off",('Activity data'!AS19*EF!$H50*EF!$H68)*NtoN2O*kgtoGg,IF('Net zero activities &amp; levers'!$C$14="On",('Net zero Activity data'!AS19*EF!$H50*EF!$H68)*NtoN2O*kgtoGg,"ERROR"))</f>
        <v>0.42422078606736746</v>
      </c>
      <c r="AA1113" s="100">
        <f>IF('Net zero activities &amp; levers'!$C$14="Off",('Activity data'!AT19*EF!$H50*EF!$H68)*NtoN2O*kgtoGg,IF('Net zero activities &amp; levers'!$C$14="On",('Net zero Activity data'!AT19*EF!$H50*EF!$H68)*NtoN2O*kgtoGg,"ERROR"))</f>
        <v>0.4365608627490552</v>
      </c>
      <c r="AB1113" s="100">
        <f>IF('Net zero activities &amp; levers'!$C$14="Off",('Activity data'!AU19*EF!$H50*EF!$H68)*NtoN2O*kgtoGg,IF('Net zero activities &amp; levers'!$C$14="On",('Net zero Activity data'!AU19*EF!$H50*EF!$H68)*NtoN2O*kgtoGg,"ERROR"))</f>
        <v>0.45040527564099359</v>
      </c>
      <c r="AC1113" s="100">
        <f>IF('Net zero activities &amp; levers'!$C$14="Off",('Activity data'!AV19*EF!$H50*EF!$H68)*NtoN2O*kgtoGg,IF('Net zero activities &amp; levers'!$C$14="On",('Net zero Activity data'!AV19*EF!$H50*EF!$H68)*NtoN2O*kgtoGg,"ERROR"))</f>
        <v>0.46610821416360254</v>
      </c>
      <c r="AD1113" s="100">
        <f>IF('Net zero activities &amp; levers'!$C$14="Off",('Activity data'!AW19*EF!$H50*EF!$H68)*NtoN2O*kgtoGg,IF('Net zero activities &amp; levers'!$C$14="On",('Net zero Activity data'!AW19*EF!$H50*EF!$H68)*NtoN2O*kgtoGg,"ERROR"))</f>
        <v>0.48149963825345377</v>
      </c>
      <c r="AE1113" s="100">
        <f>IF('Net zero activities &amp; levers'!$C$14="Off",('Activity data'!AX19*EF!$H50*EF!$H68)*NtoN2O*kgtoGg,IF('Net zero activities &amp; levers'!$C$14="On",('Net zero Activity data'!AX19*EF!$H50*EF!$H68)*NtoN2O*kgtoGg,"ERROR"))</f>
        <v>0.49761952403274901</v>
      </c>
      <c r="AF1113" s="100">
        <f>IF('Net zero activities &amp; levers'!$C$14="Off",('Activity data'!AY19*EF!$H50*EF!$H68)*NtoN2O*kgtoGg,IF('Net zero activities &amp; levers'!$C$14="On",('Net zero Activity data'!AY19*EF!$H50*EF!$H68)*NtoN2O*kgtoGg,"ERROR"))</f>
        <v>0.51420726915291115</v>
      </c>
      <c r="AG1113" s="100">
        <f>IF('Net zero activities &amp; levers'!$C$14="Off",('Activity data'!AZ19*EF!$H50*EF!$H68)*NtoN2O*kgtoGg,IF('Net zero activities &amp; levers'!$C$14="On",('Net zero Activity data'!AZ19*EF!$H50*EF!$H68)*NtoN2O*kgtoGg,"ERROR"))</f>
        <v>0.53247410489136104</v>
      </c>
      <c r="AH1113" s="100">
        <f>IF('Net zero activities &amp; levers'!$C$14="Off",('Activity data'!BA19*EF!$H50*EF!$H68)*NtoN2O*kgtoGg,IF('Net zero activities &amp; levers'!$C$14="On",('Net zero Activity data'!BA19*EF!$H50*EF!$H68)*NtoN2O*kgtoGg,"ERROR"))</f>
        <v>0.5492684403625786</v>
      </c>
      <c r="AI1113" s="100">
        <f>IF('Net zero activities &amp; levers'!$C$14="Off",('Activity data'!BB19*EF!$H50*EF!$H68)*NtoN2O*kgtoGg,IF('Net zero activities &amp; levers'!$C$14="On",('Net zero Activity data'!BB19*EF!$H50*EF!$H68)*NtoN2O*kgtoGg,"ERROR"))</f>
        <v>0.56683832060292816</v>
      </c>
      <c r="AJ1113" s="100">
        <f>IF('Net zero activities &amp; levers'!$C$14="Off",('Activity data'!BC19*EF!$H50*EF!$H68)*NtoN2O*kgtoGg,IF('Net zero activities &amp; levers'!$C$14="On",('Net zero Activity data'!BC19*EF!$H50*EF!$H68)*NtoN2O*kgtoGg,"ERROR"))</f>
        <v>0.584861650511455</v>
      </c>
      <c r="AK1113" s="100">
        <f>IF('Net zero activities &amp; levers'!$C$14="Off",('Activity data'!BD19*EF!$H50*EF!$H68)*NtoN2O*kgtoGg,IF('Net zero activities &amp; levers'!$C$14="On",('Net zero Activity data'!BD19*EF!$H50*EF!$H68)*NtoN2O*kgtoGg,"ERROR"))</f>
        <v>0.60246746038216259</v>
      </c>
      <c r="AL1113" s="100">
        <f>IF('Net zero activities &amp; levers'!$C$14="Off",('Activity data'!BE19*EF!$H50*EF!$H68)*NtoN2O*kgtoGg,IF('Net zero activities &amp; levers'!$C$14="On",('Net zero Activity data'!BE19*EF!$H50*EF!$H68)*NtoN2O*kgtoGg,"ERROR"))</f>
        <v>0.62024062021411375</v>
      </c>
      <c r="AM1113" s="100">
        <f>IF('Net zero activities &amp; levers'!$C$14="Off",('Activity data'!BF19*EF!$H50*EF!$H68)*NtoN2O*kgtoGg,IF('Net zero activities &amp; levers'!$C$14="On",('Net zero Activity data'!BF19*EF!$H50*EF!$H68)*NtoN2O*kgtoGg,"ERROR"))</f>
        <v>0.63872476172334525</v>
      </c>
      <c r="AN1113" s="100">
        <f>IF('Net zero activities &amp; levers'!$C$14="Off",('Activity data'!BG19*EF!$H50*EF!$H68)*NtoN2O*kgtoGg,IF('Net zero activities &amp; levers'!$C$14="On",('Net zero Activity data'!BG19*EF!$H50*EF!$H68)*NtoN2O*kgtoGg,"ERROR"))</f>
        <v>0.65794922439522119</v>
      </c>
      <c r="AO1113" s="100">
        <f>IF('Net zero activities &amp; levers'!$C$14="Off",('Activity data'!BH19*EF!$H50*EF!$H68)*NtoN2O*kgtoGg,IF('Net zero activities &amp; levers'!$C$14="On",('Net zero Activity data'!BH19*EF!$H50*EF!$H68)*NtoN2O*kgtoGg,"ERROR"))</f>
        <v>0.67647629594315495</v>
      </c>
      <c r="AP1113" s="100">
        <f>IF('Net zero activities &amp; levers'!$C$14="Off",('Activity data'!BI19*EF!$H50*EF!$H68)*NtoN2O*kgtoGg,IF('Net zero activities &amp; levers'!$C$14="On",('Net zero Activity data'!BI19*EF!$H50*EF!$H68)*NtoN2O*kgtoGg,"ERROR"))</f>
        <v>0.69539916939277291</v>
      </c>
      <c r="AQ1113" s="100">
        <f>IF('Net zero activities &amp; levers'!$C$14="Off",('Activity data'!BJ19*EF!$H50*EF!$H68)*NtoN2O*kgtoGg,IF('Net zero activities &amp; levers'!$C$14="On",('Net zero Activity data'!BJ19*EF!$H50*EF!$H68)*NtoN2O*kgtoGg,"ERROR"))</f>
        <v>0.71475050403818352</v>
      </c>
      <c r="AR1113" s="100">
        <f>IF('Net zero activities &amp; levers'!$C$14="Off",('Activity data'!BK19*EF!$H50*EF!$H68)*NtoN2O*kgtoGg,IF('Net zero activities &amp; levers'!$C$14="On",('Net zero Activity data'!BK19*EF!$H50*EF!$H68)*NtoN2O*kgtoGg,"ERROR"))</f>
        <v>0.73533889699431976</v>
      </c>
      <c r="AS1113" s="100">
        <f>IF('Net zero activities &amp; levers'!$C$14="Off",('Activity data'!BL19*EF!$H50*EF!$H68)*NtoN2O*kgtoGg,IF('Net zero activities &amp; levers'!$C$14="On",('Net zero Activity data'!BL19*EF!$H50*EF!$H68)*NtoN2O*kgtoGg,"ERROR"))</f>
        <v>0.75634294211031738</v>
      </c>
      <c r="AT1113" s="100">
        <f>IF('Net zero activities &amp; levers'!$C$14="Off",('Activity data'!BM19*EF!$H50*EF!$H68)*NtoN2O*kgtoGg,IF('Net zero activities &amp; levers'!$C$14="On",('Net zero Activity data'!BM19*EF!$H50*EF!$H68)*NtoN2O*kgtoGg,"ERROR"))</f>
        <v>0.76999066398321547</v>
      </c>
      <c r="AU1113" s="100">
        <f>IF('Net zero activities &amp; levers'!$C$14="Off",('Activity data'!BN19*EF!$H50*EF!$H68)*NtoN2O*kgtoGg,IF('Net zero activities &amp; levers'!$C$14="On",('Net zero Activity data'!BN19*EF!$H50*EF!$H68)*NtoN2O*kgtoGg,"ERROR"))</f>
        <v>0.78322712569021657</v>
      </c>
      <c r="AV1113" s="100">
        <f>IF('Net zero activities &amp; levers'!$C$14="Off",('Activity data'!BO19*EF!$H50*EF!$H68)*NtoN2O*kgtoGg,IF('Net zero activities &amp; levers'!$C$14="On",('Net zero Activity data'!BO19*EF!$H50*EF!$H68)*NtoN2O*kgtoGg,"ERROR"))</f>
        <v>0.79761951278112875</v>
      </c>
      <c r="AW1113" s="100">
        <f>IF('Net zero activities &amp; levers'!$C$14="Off",('Activity data'!BP19*EF!$H50*EF!$H68)*NtoN2O*kgtoGg,IF('Net zero activities &amp; levers'!$C$14="On",('Net zero Activity data'!BP19*EF!$H50*EF!$H68)*NtoN2O*kgtoGg,"ERROR"))</f>
        <v>0.8116941649813233</v>
      </c>
      <c r="AY1113" s="85"/>
    </row>
    <row r="1114" spans="1:51" x14ac:dyDescent="0.25">
      <c r="A1114" s="102" t="str">
        <f t="shared" si="374"/>
        <v>CM Poultry MMN2O</v>
      </c>
      <c r="B1114" s="102" t="s">
        <v>1323</v>
      </c>
      <c r="C1114" s="102" t="s">
        <v>1235</v>
      </c>
      <c r="D1114" t="s">
        <v>15</v>
      </c>
      <c r="E1114" t="s">
        <v>657</v>
      </c>
      <c r="F1114" t="s">
        <v>28</v>
      </c>
      <c r="G1114" t="s">
        <v>132</v>
      </c>
      <c r="H1114" t="s">
        <v>1228</v>
      </c>
      <c r="I1114" t="s">
        <v>139</v>
      </c>
      <c r="J1114" t="s">
        <v>287</v>
      </c>
      <c r="K1114" s="100">
        <f>IF('Net zero activities &amp; levers'!$C$14="Off",('Activity data'!AD20*EF!$H51*EF!$H69)*NtoN2O*kgtoGg,IF('Net zero activities &amp; levers'!$C$14="On",('Net zero Activity data'!AD20*EF!$H51*EF!$H69)*NtoN2O*kgtoGg,"ERROR"))</f>
        <v>1.7130795703114865</v>
      </c>
      <c r="L1114" s="100">
        <f>IF('Net zero activities &amp; levers'!$C$14="Off",('Activity data'!AE20*EF!$H51*EF!$H69)*NtoN2O*kgtoGg,IF('Net zero activities &amp; levers'!$C$14="On",('Net zero Activity data'!AE20*EF!$H51*EF!$H69)*NtoN2O*kgtoGg,"ERROR"))</f>
        <v>1.7448742149951937</v>
      </c>
      <c r="M1114" s="100">
        <f>IF('Net zero activities &amp; levers'!$C$14="Off",('Activity data'!AF20*EF!$H51*EF!$H69)*NtoN2O*kgtoGg,IF('Net zero activities &amp; levers'!$C$14="On",('Net zero Activity data'!AF20*EF!$H51*EF!$H69)*NtoN2O*kgtoGg,"ERROR"))</f>
        <v>1.7656986639980343</v>
      </c>
      <c r="N1114" s="100">
        <f>IF('Net zero activities &amp; levers'!$C$14="Off",('Activity data'!AG20*EF!$H51*EF!$H69)*NtoN2O*kgtoGg,IF('Net zero activities &amp; levers'!$C$14="On",('Net zero Activity data'!AG20*EF!$H51*EF!$H69)*NtoN2O*kgtoGg,"ERROR"))</f>
        <v>1.7427941986174933</v>
      </c>
      <c r="O1114" s="100">
        <f>IF('Net zero activities &amp; levers'!$C$14="Off",('Activity data'!AH20*EF!$H51*EF!$H69)*NtoN2O*kgtoGg,IF('Net zero activities &amp; levers'!$C$14="On",('Net zero Activity data'!AH20*EF!$H51*EF!$H69)*NtoN2O*kgtoGg,"ERROR"))</f>
        <v>1.7205815318546955</v>
      </c>
      <c r="P1114" s="100">
        <f>IF('Net zero activities &amp; levers'!$C$14="Off",('Activity data'!AI20*EF!$H51*EF!$H69)*NtoN2O*kgtoGg,IF('Net zero activities &amp; levers'!$C$14="On",('Net zero Activity data'!AI20*EF!$H51*EF!$H69)*NtoN2O*kgtoGg,"ERROR"))</f>
        <v>1.7425923100139877</v>
      </c>
      <c r="Q1114" s="100">
        <f>IF('Net zero activities &amp; levers'!$C$14="Off",('Activity data'!AJ20*EF!$H51*EF!$H69)*NtoN2O*kgtoGg,IF('Net zero activities &amp; levers'!$C$14="On",('Net zero Activity data'!AJ20*EF!$H51*EF!$H69)*NtoN2O*kgtoGg,"ERROR"))</f>
        <v>1.7510736876348556</v>
      </c>
      <c r="R1114" s="100">
        <f>IF('Net zero activities &amp; levers'!$C$14="Off",('Activity data'!AK20*EF!$H51*EF!$H69)*NtoN2O*kgtoGg,IF('Net zero activities &amp; levers'!$C$14="On",('Net zero Activity data'!AK20*EF!$H51*EF!$H69)*NtoN2O*kgtoGg,"ERROR"))</f>
        <v>1.7121897293862536</v>
      </c>
      <c r="S1114" s="100">
        <f>IF('Net zero activities &amp; levers'!$C$14="Off",('Activity data'!AL20*EF!$H51*EF!$H69)*NtoN2O*kgtoGg,IF('Net zero activities &amp; levers'!$C$14="On",('Net zero Activity data'!AL20*EF!$H51*EF!$H69)*NtoN2O*kgtoGg,"ERROR"))</f>
        <v>1.4655218906646825</v>
      </c>
      <c r="T1114" s="100">
        <f>IF('Net zero activities &amp; levers'!$C$14="Off",('Activity data'!AM20*EF!$H51*EF!$H69)*NtoN2O*kgtoGg,IF('Net zero activities &amp; levers'!$C$14="On",('Net zero Activity data'!AM20*EF!$H51*EF!$H69)*NtoN2O*kgtoGg,"ERROR"))</f>
        <v>1.5435447554829997</v>
      </c>
      <c r="U1114" s="100">
        <f>IF('Net zero activities &amp; levers'!$C$14="Off",('Activity data'!AN20*EF!$H51*EF!$H69)*NtoN2O*kgtoGg,IF('Net zero activities &amp; levers'!$C$14="On",('Net zero Activity data'!AN20*EF!$H51*EF!$H69)*NtoN2O*kgtoGg,"ERROR"))</f>
        <v>1.5956560108361177</v>
      </c>
      <c r="V1114" s="100">
        <f>IF('Net zero activities &amp; levers'!$C$14="Off",('Activity data'!AO20*EF!$H51*EF!$H69)*NtoN2O*kgtoGg,IF('Net zero activities &amp; levers'!$C$14="On",('Net zero Activity data'!AO20*EF!$H51*EF!$H69)*NtoN2O*kgtoGg,"ERROR"))</f>
        <v>1.6419221451530122</v>
      </c>
      <c r="W1114" s="100">
        <f>IF('Net zero activities &amp; levers'!$C$14="Off",('Activity data'!AP20*EF!$H51*EF!$H69)*NtoN2O*kgtoGg,IF('Net zero activities &amp; levers'!$C$14="On",('Net zero Activity data'!AP20*EF!$H51*EF!$H69)*NtoN2O*kgtoGg,"ERROR"))</f>
        <v>1.6978384527889268</v>
      </c>
      <c r="X1114" s="100">
        <f>IF('Net zero activities &amp; levers'!$C$14="Off",('Activity data'!AQ20*EF!$H51*EF!$H69)*NtoN2O*kgtoGg,IF('Net zero activities &amp; levers'!$C$14="On",('Net zero Activity data'!AQ20*EF!$H51*EF!$H69)*NtoN2O*kgtoGg,"ERROR"))</f>
        <v>1.7872460275438702</v>
      </c>
      <c r="Y1114" s="100">
        <f>IF('Net zero activities &amp; levers'!$C$14="Off",('Activity data'!AR20*EF!$H51*EF!$H69)*NtoN2O*kgtoGg,IF('Net zero activities &amp; levers'!$C$14="On",('Net zero Activity data'!AR20*EF!$H51*EF!$H69)*NtoN2O*kgtoGg,"ERROR"))</f>
        <v>1.887240682197036</v>
      </c>
      <c r="Z1114" s="100">
        <f>IF('Net zero activities &amp; levers'!$C$14="Off",('Activity data'!AS20*EF!$H51*EF!$H69)*NtoN2O*kgtoGg,IF('Net zero activities &amp; levers'!$C$14="On",('Net zero Activity data'!AS20*EF!$H51*EF!$H69)*NtoN2O*kgtoGg,"ERROR"))</f>
        <v>1.995971101735482</v>
      </c>
      <c r="AA1114" s="100">
        <f>IF('Net zero activities &amp; levers'!$C$14="Off",('Activity data'!AT20*EF!$H51*EF!$H69)*NtoN2O*kgtoGg,IF('Net zero activities &amp; levers'!$C$14="On",('Net zero Activity data'!AT20*EF!$H51*EF!$H69)*NtoN2O*kgtoGg,"ERROR"))</f>
        <v>2.0913588050429768</v>
      </c>
      <c r="AB1114" s="100">
        <f>IF('Net zero activities &amp; levers'!$C$14="Off",('Activity data'!AU20*EF!$H51*EF!$H69)*NtoN2O*kgtoGg,IF('Net zero activities &amp; levers'!$C$14="On",('Net zero Activity data'!AU20*EF!$H51*EF!$H69)*NtoN2O*kgtoGg,"ERROR"))</f>
        <v>2.2024400328575071</v>
      </c>
      <c r="AC1114" s="100">
        <f>IF('Net zero activities &amp; levers'!$C$14="Off",('Activity data'!AV20*EF!$H51*EF!$H69)*NtoN2O*kgtoGg,IF('Net zero activities &amp; levers'!$C$14="On",('Net zero Activity data'!AV20*EF!$H51*EF!$H69)*NtoN2O*kgtoGg,"ERROR"))</f>
        <v>2.3328994419775984</v>
      </c>
      <c r="AD1114" s="100">
        <f>IF('Net zero activities &amp; levers'!$C$14="Off",('Activity data'!AW20*EF!$H51*EF!$H69)*NtoN2O*kgtoGg,IF('Net zero activities &amp; levers'!$C$14="On",('Net zero Activity data'!AW20*EF!$H51*EF!$H69)*NtoN2O*kgtoGg,"ERROR"))</f>
        <v>2.4622485384574722</v>
      </c>
      <c r="AE1114" s="100">
        <f>IF('Net zero activities &amp; levers'!$C$14="Off",('Activity data'!AX20*EF!$H51*EF!$H69)*NtoN2O*kgtoGg,IF('Net zero activities &amp; levers'!$C$14="On",('Net zero Activity data'!AX20*EF!$H51*EF!$H69)*NtoN2O*kgtoGg,"ERROR"))</f>
        <v>2.5979128848174038</v>
      </c>
      <c r="AF1114" s="100">
        <f>IF('Net zero activities &amp; levers'!$C$14="Off",('Activity data'!AY20*EF!$H51*EF!$H69)*NtoN2O*kgtoGg,IF('Net zero activities &amp; levers'!$C$14="On",('Net zero Activity data'!AY20*EF!$H51*EF!$H69)*NtoN2O*kgtoGg,"ERROR"))</f>
        <v>2.736883954367725</v>
      </c>
      <c r="AG1114" s="100">
        <f>IF('Net zero activities &amp; levers'!$C$14="Off",('Activity data'!AZ20*EF!$H51*EF!$H69)*NtoN2O*kgtoGg,IF('Net zero activities &amp; levers'!$C$14="On",('Net zero Activity data'!AZ20*EF!$H51*EF!$H69)*NtoN2O*kgtoGg,"ERROR"))</f>
        <v>2.8925003504262654</v>
      </c>
      <c r="AH1114" s="100">
        <f>IF('Net zero activities &amp; levers'!$C$14="Off",('Activity data'!BA20*EF!$H51*EF!$H69)*NtoN2O*kgtoGg,IF('Net zero activities &amp; levers'!$C$14="On",('Net zero Activity data'!BA20*EF!$H51*EF!$H69)*NtoN2O*kgtoGg,"ERROR"))</f>
        <v>3.0298623130308338</v>
      </c>
      <c r="AI1114" s="100">
        <f>IF('Net zero activities &amp; levers'!$C$14="Off",('Activity data'!BB20*EF!$H51*EF!$H69)*NtoN2O*kgtoGg,IF('Net zero activities &amp; levers'!$C$14="On",('Net zero Activity data'!BB20*EF!$H51*EF!$H69)*NtoN2O*kgtoGg,"ERROR"))</f>
        <v>3.177749305338081</v>
      </c>
      <c r="AJ1114" s="100">
        <f>IF('Net zero activities &amp; levers'!$C$14="Off",('Activity data'!BC20*EF!$H51*EF!$H69)*NtoN2O*kgtoGg,IF('Net zero activities &amp; levers'!$C$14="On",('Net zero Activity data'!BC20*EF!$H51*EF!$H69)*NtoN2O*kgtoGg,"ERROR"))</f>
        <v>3.3286906573992181</v>
      </c>
      <c r="AK1114" s="100">
        <f>IF('Net zero activities &amp; levers'!$C$14="Off",('Activity data'!BD20*EF!$H51*EF!$H69)*NtoN2O*kgtoGg,IF('Net zero activities &amp; levers'!$C$14="On",('Net zero Activity data'!BD20*EF!$H51*EF!$H69)*NtoN2O*kgtoGg,"ERROR"))</f>
        <v>3.4732778027932514</v>
      </c>
      <c r="AL1114" s="100">
        <f>IF('Net zero activities &amp; levers'!$C$14="Off",('Activity data'!BE20*EF!$H51*EF!$H69)*NtoN2O*kgtoGg,IF('Net zero activities &amp; levers'!$C$14="On",('Net zero Activity data'!BE20*EF!$H51*EF!$H69)*NtoN2O*kgtoGg,"ERROR"))</f>
        <v>3.6179058084191946</v>
      </c>
      <c r="AM1114" s="100">
        <f>IF('Net zero activities &amp; levers'!$C$14="Off",('Activity data'!BF20*EF!$H51*EF!$H69)*NtoN2O*kgtoGg,IF('Net zero activities &amp; levers'!$C$14="On",('Net zero Activity data'!BF20*EF!$H51*EF!$H69)*NtoN2O*kgtoGg,"ERROR"))</f>
        <v>3.7683694388074951</v>
      </c>
      <c r="AN1114" s="100">
        <f>IF('Net zero activities &amp; levers'!$C$14="Off",('Activity data'!BG20*EF!$H51*EF!$H69)*NtoN2O*kgtoGg,IF('Net zero activities &amp; levers'!$C$14="On",('Net zero Activity data'!BG20*EF!$H51*EF!$H69)*NtoN2O*kgtoGg,"ERROR"))</f>
        <v>3.9284612032143356</v>
      </c>
      <c r="AO1114" s="100">
        <f>IF('Net zero activities &amp; levers'!$C$14="Off",('Activity data'!BH20*EF!$H51*EF!$H69)*NtoN2O*kgtoGg,IF('Net zero activities &amp; levers'!$C$14="On",('Net zero Activity data'!BH20*EF!$H51*EF!$H69)*NtoN2O*kgtoGg,"ERROR"))</f>
        <v>4.0794299759760078</v>
      </c>
      <c r="AP1114" s="100">
        <f>IF('Net zero activities &amp; levers'!$C$14="Off",('Activity data'!BI20*EF!$H51*EF!$H69)*NtoN2O*kgtoGg,IF('Net zero activities &amp; levers'!$C$14="On",('Net zero Activity data'!BI20*EF!$H51*EF!$H69)*NtoN2O*kgtoGg,"ERROR"))</f>
        <v>4.232865087683491</v>
      </c>
      <c r="AQ1114" s="100">
        <f>IF('Net zero activities &amp; levers'!$C$14="Off",('Activity data'!BJ20*EF!$H51*EF!$H69)*NtoN2O*kgtoGg,IF('Net zero activities &amp; levers'!$C$14="On",('Net zero Activity data'!BJ20*EF!$H51*EF!$H69)*NtoN2O*kgtoGg,"ERROR"))</f>
        <v>4.3890787302931145</v>
      </c>
      <c r="AR1114" s="100">
        <f>IF('Net zero activities &amp; levers'!$C$14="Off",('Activity data'!BK20*EF!$H51*EF!$H69)*NtoN2O*kgtoGg,IF('Net zero activities &amp; levers'!$C$14="On",('Net zero Activity data'!BK20*EF!$H51*EF!$H69)*NtoN2O*kgtoGg,"ERROR"))</f>
        <v>4.5563813177136412</v>
      </c>
      <c r="AS1114" s="100">
        <f>IF('Net zero activities &amp; levers'!$C$14="Off",('Activity data'!BL20*EF!$H51*EF!$H69)*NtoN2O*kgtoGg,IF('Net zero activities &amp; levers'!$C$14="On",('Net zero Activity data'!BL20*EF!$H51*EF!$H69)*NtoN2O*kgtoGg,"ERROR"))</f>
        <v>4.7297394965419057</v>
      </c>
      <c r="AT1114" s="100">
        <f>IF('Net zero activities &amp; levers'!$C$14="Off",('Activity data'!BM20*EF!$H51*EF!$H69)*NtoN2O*kgtoGg,IF('Net zero activities &amp; levers'!$C$14="On",('Net zero Activity data'!BM20*EF!$H51*EF!$H69)*NtoN2O*kgtoGg,"ERROR"))</f>
        <v>4.8262731590339127</v>
      </c>
      <c r="AU1114" s="100">
        <f>IF('Net zero activities &amp; levers'!$C$14="Off",('Activity data'!BN20*EF!$H51*EF!$H69)*NtoN2O*kgtoGg,IF('Net zero activities &amp; levers'!$C$14="On",('Net zero Activity data'!BN20*EF!$H51*EF!$H69)*NtoN2O*kgtoGg,"ERROR"))</f>
        <v>4.9177251341699524</v>
      </c>
      <c r="AV1114" s="100">
        <f>IF('Net zero activities &amp; levers'!$C$14="Off",('Activity data'!BO20*EF!$H51*EF!$H69)*NtoN2O*kgtoGg,IF('Net zero activities &amp; levers'!$C$14="On",('Net zero Activity data'!BO20*EF!$H51*EF!$H69)*NtoN2O*kgtoGg,"ERROR"))</f>
        <v>5.0199981180084885</v>
      </c>
      <c r="AW1114" s="100">
        <f>IF('Net zero activities &amp; levers'!$C$14="Off",('Activity data'!BP20*EF!$H51*EF!$H69)*NtoN2O*kgtoGg,IF('Net zero activities &amp; levers'!$C$14="On",('Net zero Activity data'!BP20*EF!$H51*EF!$H69)*NtoN2O*kgtoGg,"ERROR"))</f>
        <v>5.1181310105583959</v>
      </c>
      <c r="AY1114" s="85"/>
    </row>
    <row r="1115" spans="1:51" x14ac:dyDescent="0.25">
      <c r="A1115" s="102" t="str">
        <f t="shared" si="374"/>
        <v>CM Poultry MMN2O</v>
      </c>
      <c r="B1115" s="102" t="s">
        <v>1323</v>
      </c>
      <c r="C1115" s="102" t="s">
        <v>1235</v>
      </c>
      <c r="D1115" t="s">
        <v>15</v>
      </c>
      <c r="E1115" t="s">
        <v>657</v>
      </c>
      <c r="F1115" t="s">
        <v>28</v>
      </c>
      <c r="G1115" t="s">
        <v>134</v>
      </c>
      <c r="H1115" t="s">
        <v>1228</v>
      </c>
      <c r="I1115" t="s">
        <v>139</v>
      </c>
      <c r="J1115" t="s">
        <v>287</v>
      </c>
      <c r="K1115" s="100">
        <f>IF('Net zero activities &amp; levers'!$C$14="Off",('Activity data'!AD21*EF!$H52*EF!$H70)*NtoN2O*kgtoGg,IF('Net zero activities &amp; levers'!$C$14="On",('Net zero Activity data'!AD21*EF!$H52*EF!$H70)*NtoN2O*kgtoGg,"ERROR"))</f>
        <v>1.3699637559476618E-2</v>
      </c>
      <c r="L1115" s="100">
        <f>IF('Net zero activities &amp; levers'!$C$14="Off",('Activity data'!AE21*EF!$H52*EF!$H70)*NtoN2O*kgtoGg,IF('Net zero activities &amp; levers'!$C$14="On",('Net zero Activity data'!AE21*EF!$H52*EF!$H70)*NtoN2O*kgtoGg,"ERROR"))</f>
        <v>1.4007561383444394E-2</v>
      </c>
      <c r="M1115" s="100">
        <f>IF('Net zero activities &amp; levers'!$C$14="Off",('Activity data'!AF21*EF!$H52*EF!$H70)*NtoN2O*kgtoGg,IF('Net zero activities &amp; levers'!$C$14="On",('Net zero Activity data'!AF21*EF!$H52*EF!$H70)*NtoN2O*kgtoGg,"ERROR"))</f>
        <v>1.4286075109299039E-2</v>
      </c>
      <c r="N1115" s="100">
        <f>IF('Net zero activities &amp; levers'!$C$14="Off",('Activity data'!AG21*EF!$H52*EF!$H70)*NtoN2O*kgtoGg,IF('Net zero activities &amp; levers'!$C$14="On",('Net zero Activity data'!AG21*EF!$H52*EF!$H70)*NtoN2O*kgtoGg,"ERROR"))</f>
        <v>1.4429859637719061E-2</v>
      </c>
      <c r="O1115" s="100">
        <f>IF('Net zero activities &amp; levers'!$C$14="Off",('Activity data'!AH21*EF!$H52*EF!$H70)*NtoN2O*kgtoGg,IF('Net zero activities &amp; levers'!$C$14="On",('Net zero Activity data'!AH21*EF!$H52*EF!$H70)*NtoN2O*kgtoGg,"ERROR"))</f>
        <v>1.4577608074186288E-2</v>
      </c>
      <c r="P1115" s="100">
        <f>IF('Net zero activities &amp; levers'!$C$14="Off",('Activity data'!AI21*EF!$H52*EF!$H70)*NtoN2O*kgtoGg,IF('Net zero activities &amp; levers'!$C$14="On",('Net zero Activity data'!AI21*EF!$H52*EF!$H70)*NtoN2O*kgtoGg,"ERROR"))</f>
        <v>1.4871774799917255E-2</v>
      </c>
      <c r="Q1115" s="100">
        <f>IF('Net zero activities &amp; levers'!$C$14="Off",('Activity data'!AJ21*EF!$H52*EF!$H70)*NtoN2O*kgtoGg,IF('Net zero activities &amp; levers'!$C$14="On",('Net zero Activity data'!AJ21*EF!$H52*EF!$H70)*NtoN2O*kgtoGg,"ERROR"))</f>
        <v>1.5123314373966834E-2</v>
      </c>
      <c r="R1115" s="100">
        <f>IF('Net zero activities &amp; levers'!$C$14="Off",('Activity data'!AK21*EF!$H52*EF!$H70)*NtoN2O*kgtoGg,IF('Net zero activities &amp; levers'!$C$14="On",('Net zero Activity data'!AK21*EF!$H52*EF!$H70)*NtoN2O*kgtoGg,"ERROR"))</f>
        <v>1.5218792553148319E-2</v>
      </c>
      <c r="S1115" s="100">
        <f>IF('Net zero activities &amp; levers'!$C$14="Off",('Activity data'!AL21*EF!$H52*EF!$H70)*NtoN2O*kgtoGg,IF('Net zero activities &amp; levers'!$C$14="On",('Net zero Activity data'!AL21*EF!$H52*EF!$H70)*NtoN2O*kgtoGg,"ERROR"))</f>
        <v>1.4614385063522554E-2</v>
      </c>
      <c r="T1115" s="100">
        <f>IF('Net zero activities &amp; levers'!$C$14="Off",('Activity data'!AM21*EF!$H52*EF!$H70)*NtoN2O*kgtoGg,IF('Net zero activities &amp; levers'!$C$14="On",('Net zero Activity data'!AM21*EF!$H52*EF!$H70)*NtoN2O*kgtoGg,"ERROR"))</f>
        <v>1.5049310081165945E-2</v>
      </c>
      <c r="U1115" s="100">
        <f>IF('Net zero activities &amp; levers'!$C$14="Off",('Activity data'!AN21*EF!$H52*EF!$H70)*NtoN2O*kgtoGg,IF('Net zero activities &amp; levers'!$C$14="On",('Net zero Activity data'!AN21*EF!$H52*EF!$H70)*NtoN2O*kgtoGg,"ERROR"))</f>
        <v>1.5400819201654545E-2</v>
      </c>
      <c r="V1115" s="100">
        <f>IF('Net zero activities &amp; levers'!$C$14="Off",('Activity data'!AO21*EF!$H52*EF!$H70)*NtoN2O*kgtoGg,IF('Net zero activities &amp; levers'!$C$14="On",('Net zero Activity data'!AO21*EF!$H52*EF!$H70)*NtoN2O*kgtoGg,"ERROR"))</f>
        <v>1.5735786851063062E-2</v>
      </c>
      <c r="W1115" s="100">
        <f>IF('Net zero activities &amp; levers'!$C$14="Off",('Activity data'!AP21*EF!$H52*EF!$H70)*NtoN2O*kgtoGg,IF('Net zero activities &amp; levers'!$C$14="On",('Net zero Activity data'!AP21*EF!$H52*EF!$H70)*NtoN2O*kgtoGg,"ERROR"))</f>
        <v>1.6107729388846862E-2</v>
      </c>
      <c r="X1115" s="100">
        <f>IF('Net zero activities &amp; levers'!$C$14="Off",('Activity data'!AQ21*EF!$H52*EF!$H70)*NtoN2O*kgtoGg,IF('Net zero activities &amp; levers'!$C$14="On",('Net zero Activity data'!AQ21*EF!$H52*EF!$H70)*NtoN2O*kgtoGg,"ERROR"))</f>
        <v>1.6601449364272783E-2</v>
      </c>
      <c r="Y1115" s="100">
        <f>IF('Net zero activities &amp; levers'!$C$14="Off",('Activity data'!AR21*EF!$H52*EF!$H70)*NtoN2O*kgtoGg,IF('Net zero activities &amp; levers'!$C$14="On",('Net zero Activity data'!AR21*EF!$H52*EF!$H70)*NtoN2O*kgtoGg,"ERROR"))</f>
        <v>1.7120008058823098E-2</v>
      </c>
      <c r="Z1115" s="100">
        <f>IF('Net zero activities &amp; levers'!$C$14="Off",('Activity data'!AS21*EF!$H52*EF!$H70)*NtoN2O*kgtoGg,IF('Net zero activities &amp; levers'!$C$14="On",('Net zero Activity data'!AS21*EF!$H52*EF!$H70)*NtoN2O*kgtoGg,"ERROR"))</f>
        <v>1.7675866086140329E-2</v>
      </c>
      <c r="AA1115" s="100">
        <f>IF('Net zero activities &amp; levers'!$C$14="Off",('Activity data'!AT21*EF!$H52*EF!$H70)*NtoN2O*kgtoGg,IF('Net zero activities &amp; levers'!$C$14="On",('Net zero Activity data'!AT21*EF!$H52*EF!$H70)*NtoN2O*kgtoGg,"ERROR"))</f>
        <v>1.8190035947877312E-2</v>
      </c>
      <c r="AB1115" s="100">
        <f>IF('Net zero activities &amp; levers'!$C$14="Off",('Activity data'!AU21*EF!$H52*EF!$H70)*NtoN2O*kgtoGg,IF('Net zero activities &amp; levers'!$C$14="On",('Net zero Activity data'!AU21*EF!$H52*EF!$H70)*NtoN2O*kgtoGg,"ERROR"))</f>
        <v>1.8766886485041417E-2</v>
      </c>
      <c r="AC1115" s="100">
        <f>IF('Net zero activities &amp; levers'!$C$14="Off",('Activity data'!AV21*EF!$H52*EF!$H70)*NtoN2O*kgtoGg,IF('Net zero activities &amp; levers'!$C$14="On",('Net zero Activity data'!AV21*EF!$H52*EF!$H70)*NtoN2O*kgtoGg,"ERROR"))</f>
        <v>1.9421175590150126E-2</v>
      </c>
      <c r="AD1115" s="100">
        <f>IF('Net zero activities &amp; levers'!$C$14="Off",('Activity data'!AW21*EF!$H52*EF!$H70)*NtoN2O*kgtoGg,IF('Net zero activities &amp; levers'!$C$14="On",('Net zero Activity data'!AW21*EF!$H52*EF!$H70)*NtoN2O*kgtoGg,"ERROR"))</f>
        <v>2.0062484927227259E-2</v>
      </c>
      <c r="AE1115" s="100">
        <f>IF('Net zero activities &amp; levers'!$C$14="Off",('Activity data'!AX21*EF!$H52*EF!$H70)*NtoN2O*kgtoGg,IF('Net zero activities &amp; levers'!$C$14="On",('Net zero Activity data'!AX21*EF!$H52*EF!$H70)*NtoN2O*kgtoGg,"ERROR"))</f>
        <v>2.0734146834697896E-2</v>
      </c>
      <c r="AF1115" s="100">
        <f>IF('Net zero activities &amp; levers'!$C$14="Off",('Activity data'!AY21*EF!$H52*EF!$H70)*NtoN2O*kgtoGg,IF('Net zero activities &amp; levers'!$C$14="On",('Net zero Activity data'!AY21*EF!$H52*EF!$H70)*NtoN2O*kgtoGg,"ERROR"))</f>
        <v>2.1425302881371316E-2</v>
      </c>
      <c r="AG1115" s="100">
        <f>IF('Net zero activities &amp; levers'!$C$14="Off",('Activity data'!AZ21*EF!$H52*EF!$H70)*NtoN2O*kgtoGg,IF('Net zero activities &amp; levers'!$C$14="On",('Net zero Activity data'!AZ21*EF!$H52*EF!$H70)*NtoN2O*kgtoGg,"ERROR"))</f>
        <v>2.2186421037140063E-2</v>
      </c>
      <c r="AH1115" s="100">
        <f>IF('Net zero activities &amp; levers'!$C$14="Off",('Activity data'!BA21*EF!$H52*EF!$H70)*NtoN2O*kgtoGg,IF('Net zero activities &amp; levers'!$C$14="On",('Net zero Activity data'!BA21*EF!$H52*EF!$H70)*NtoN2O*kgtoGg,"ERROR"))</f>
        <v>2.2886185015107467E-2</v>
      </c>
      <c r="AI1115" s="100">
        <f>IF('Net zero activities &amp; levers'!$C$14="Off",('Activity data'!BB21*EF!$H52*EF!$H70)*NtoN2O*kgtoGg,IF('Net zero activities &amp; levers'!$C$14="On",('Net zero Activity data'!BB21*EF!$H52*EF!$H70)*NtoN2O*kgtoGg,"ERROR"))</f>
        <v>2.3618263358455356E-2</v>
      </c>
      <c r="AJ1115" s="100">
        <f>IF('Net zero activities &amp; levers'!$C$14="Off",('Activity data'!BC21*EF!$H52*EF!$H70)*NtoN2O*kgtoGg,IF('Net zero activities &amp; levers'!$C$14="On",('Net zero Activity data'!BC21*EF!$H52*EF!$H70)*NtoN2O*kgtoGg,"ERROR"))</f>
        <v>2.436923543797731E-2</v>
      </c>
      <c r="AK1115" s="100">
        <f>IF('Net zero activities &amp; levers'!$C$14="Off",('Activity data'!BD21*EF!$H52*EF!$H70)*NtoN2O*kgtoGg,IF('Net zero activities &amp; levers'!$C$14="On",('Net zero Activity data'!BD21*EF!$H52*EF!$H70)*NtoN2O*kgtoGg,"ERROR"))</f>
        <v>2.5102810849256797E-2</v>
      </c>
      <c r="AL1115" s="100">
        <f>IF('Net zero activities &amp; levers'!$C$14="Off",('Activity data'!BE21*EF!$H52*EF!$H70)*NtoN2O*kgtoGg,IF('Net zero activities &amp; levers'!$C$14="On",('Net zero Activity data'!BE21*EF!$H52*EF!$H70)*NtoN2O*kgtoGg,"ERROR"))</f>
        <v>2.5843359175588099E-2</v>
      </c>
      <c r="AM1115" s="100">
        <f>IF('Net zero activities &amp; levers'!$C$14="Off",('Activity data'!BF21*EF!$H52*EF!$H70)*NtoN2O*kgtoGg,IF('Net zero activities &amp; levers'!$C$14="On",('Net zero Activity data'!BF21*EF!$H52*EF!$H70)*NtoN2O*kgtoGg,"ERROR"))</f>
        <v>2.6613531738472741E-2</v>
      </c>
      <c r="AN1115" s="100">
        <f>IF('Net zero activities &amp; levers'!$C$14="Off",('Activity data'!BG21*EF!$H52*EF!$H70)*NtoN2O*kgtoGg,IF('Net zero activities &amp; levers'!$C$14="On",('Net zero Activity data'!BG21*EF!$H52*EF!$H70)*NtoN2O*kgtoGg,"ERROR"))</f>
        <v>2.7414551016467576E-2</v>
      </c>
      <c r="AO1115" s="100">
        <f>IF('Net zero activities &amp; levers'!$C$14="Off",('Activity data'!BH21*EF!$H52*EF!$H70)*NtoN2O*kgtoGg,IF('Net zero activities &amp; levers'!$C$14="On",('Net zero Activity data'!BH21*EF!$H52*EF!$H70)*NtoN2O*kgtoGg,"ERROR"))</f>
        <v>2.8186512330964811E-2</v>
      </c>
      <c r="AP1115" s="100">
        <f>IF('Net zero activities &amp; levers'!$C$14="Off",('Activity data'!BI21*EF!$H52*EF!$H70)*NtoN2O*kgtoGg,IF('Net zero activities &amp; levers'!$C$14="On",('Net zero Activity data'!BI21*EF!$H52*EF!$H70)*NtoN2O*kgtoGg,"ERROR"))</f>
        <v>2.8974965391365567E-2</v>
      </c>
      <c r="AQ1115" s="100">
        <f>IF('Net zero activities &amp; levers'!$C$14="Off",('Activity data'!BJ21*EF!$H52*EF!$H70)*NtoN2O*kgtoGg,IF('Net zero activities &amp; levers'!$C$14="On",('Net zero Activity data'!BJ21*EF!$H52*EF!$H70)*NtoN2O*kgtoGg,"ERROR"))</f>
        <v>2.978127100159101E-2</v>
      </c>
      <c r="AR1115" s="100">
        <f>IF('Net zero activities &amp; levers'!$C$14="Off",('Activity data'!BK21*EF!$H52*EF!$H70)*NtoN2O*kgtoGg,IF('Net zero activities &amp; levers'!$C$14="On",('Net zero Activity data'!BK21*EF!$H52*EF!$H70)*NtoN2O*kgtoGg,"ERROR"))</f>
        <v>3.0639120708096691E-2</v>
      </c>
      <c r="AS1115" s="100">
        <f>IF('Net zero activities &amp; levers'!$C$14="Off",('Activity data'!BL21*EF!$H52*EF!$H70)*NtoN2O*kgtoGg,IF('Net zero activities &amp; levers'!$C$14="On",('Net zero Activity data'!BL21*EF!$H52*EF!$H70)*NtoN2O*kgtoGg,"ERROR"))</f>
        <v>3.1514289254596581E-2</v>
      </c>
      <c r="AT1115" s="100">
        <f>IF('Net zero activities &amp; levers'!$C$14="Off",('Activity data'!BM21*EF!$H52*EF!$H70)*NtoN2O*kgtoGg,IF('Net zero activities &amp; levers'!$C$14="On",('Net zero Activity data'!BM21*EF!$H52*EF!$H70)*NtoN2O*kgtoGg,"ERROR"))</f>
        <v>3.2082944332634006E-2</v>
      </c>
      <c r="AU1115" s="100">
        <f>IF('Net zero activities &amp; levers'!$C$14="Off",('Activity data'!BN21*EF!$H52*EF!$H70)*NtoN2O*kgtoGg,IF('Net zero activities &amp; levers'!$C$14="On",('Net zero Activity data'!BN21*EF!$H52*EF!$H70)*NtoN2O*kgtoGg,"ERROR"))</f>
        <v>3.2634463570425723E-2</v>
      </c>
      <c r="AV1115" s="100">
        <f>IF('Net zero activities &amp; levers'!$C$14="Off",('Activity data'!BO21*EF!$H52*EF!$H70)*NtoN2O*kgtoGg,IF('Net zero activities &amp; levers'!$C$14="On",('Net zero Activity data'!BO21*EF!$H52*EF!$H70)*NtoN2O*kgtoGg,"ERROR"))</f>
        <v>3.3234146365880395E-2</v>
      </c>
      <c r="AW1115" s="100">
        <f>IF('Net zero activities &amp; levers'!$C$14="Off",('Activity data'!BP21*EF!$H52*EF!$H70)*NtoN2O*kgtoGg,IF('Net zero activities &amp; levers'!$C$14="On",('Net zero Activity data'!BP21*EF!$H52*EF!$H70)*NtoN2O*kgtoGg,"ERROR"))</f>
        <v>3.3820590207555172E-2</v>
      </c>
      <c r="AY1115" s="85"/>
    </row>
    <row r="1116" spans="1:51" x14ac:dyDescent="0.25">
      <c r="A1116" s="102" t="str">
        <f t="shared" si="374"/>
        <v>CM Poultry MMN2O</v>
      </c>
      <c r="B1116" s="102" t="s">
        <v>1323</v>
      </c>
      <c r="C1116" s="102" t="s">
        <v>1235</v>
      </c>
      <c r="D1116" t="s">
        <v>15</v>
      </c>
      <c r="E1116" t="s">
        <v>657</v>
      </c>
      <c r="F1116" t="s">
        <v>28</v>
      </c>
      <c r="G1116" t="s">
        <v>133</v>
      </c>
      <c r="H1116" t="s">
        <v>1228</v>
      </c>
      <c r="I1116" t="s">
        <v>139</v>
      </c>
      <c r="J1116" t="s">
        <v>287</v>
      </c>
      <c r="K1116" s="100">
        <f>IF('Net zero activities &amp; levers'!$C$14="Off",('Activity data'!AD22*EF!$H53*EF!$H71)*NtoN2O*kgtoGg,IF('Net zero activities &amp; levers'!$C$14="On",('Net zero Activity data'!AD22*EF!$H53*EF!$H71)*NtoN2O*kgtoGg,"ERROR"))</f>
        <v>7.1378315429645331E-2</v>
      </c>
      <c r="L1116" s="100">
        <f>IF('Net zero activities &amp; levers'!$C$14="Off",('Activity data'!AE22*EF!$H53*EF!$H71)*NtoN2O*kgtoGg,IF('Net zero activities &amp; levers'!$C$14="On",('Net zero Activity data'!AE22*EF!$H53*EF!$H71)*NtoN2O*kgtoGg,"ERROR"))</f>
        <v>7.2703092291466473E-2</v>
      </c>
      <c r="M1116" s="100">
        <f>IF('Net zero activities &amp; levers'!$C$14="Off",('Activity data'!AF22*EF!$H53*EF!$H71)*NtoN2O*kgtoGg,IF('Net zero activities &amp; levers'!$C$14="On",('Net zero Activity data'!AF22*EF!$H53*EF!$H71)*NtoN2O*kgtoGg,"ERROR"))</f>
        <v>7.3570777666584833E-2</v>
      </c>
      <c r="N1116" s="100">
        <f>IF('Net zero activities &amp; levers'!$C$14="Off",('Activity data'!AG22*EF!$H53*EF!$H71)*NtoN2O*kgtoGg,IF('Net zero activities &amp; levers'!$C$14="On",('Net zero Activity data'!AG22*EF!$H53*EF!$H71)*NtoN2O*kgtoGg,"ERROR"))</f>
        <v>7.2616424942395619E-2</v>
      </c>
      <c r="O1116" s="100">
        <f>IF('Net zero activities &amp; levers'!$C$14="Off",('Activity data'!AH22*EF!$H53*EF!$H71)*NtoN2O*kgtoGg,IF('Net zero activities &amp; levers'!$C$14="On",('Net zero Activity data'!AH22*EF!$H53*EF!$H71)*NtoN2O*kgtoGg,"ERROR"))</f>
        <v>7.1690897160612388E-2</v>
      </c>
      <c r="P1116" s="100">
        <f>IF('Net zero activities &amp; levers'!$C$14="Off",('Activity data'!AI22*EF!$H53*EF!$H71)*NtoN2O*kgtoGg,IF('Net zero activities &amp; levers'!$C$14="On",('Net zero Activity data'!AI22*EF!$H53*EF!$H71)*NtoN2O*kgtoGg,"ERROR"))</f>
        <v>7.2608012917249581E-2</v>
      </c>
      <c r="Q1116" s="100">
        <f>IF('Net zero activities &amp; levers'!$C$14="Off",('Activity data'!AJ22*EF!$H53*EF!$H71)*NtoN2O*kgtoGg,IF('Net zero activities &amp; levers'!$C$14="On",('Net zero Activity data'!AJ22*EF!$H53*EF!$H71)*NtoN2O*kgtoGg,"ERROR"))</f>
        <v>7.2961403651452372E-2</v>
      </c>
      <c r="R1116" s="100">
        <f>IF('Net zero activities &amp; levers'!$C$14="Off",('Activity data'!AK22*EF!$H53*EF!$H71)*NtoN2O*kgtoGg,IF('Net zero activities &amp; levers'!$C$14="On",('Net zero Activity data'!AK22*EF!$H53*EF!$H71)*NtoN2O*kgtoGg,"ERROR"))</f>
        <v>7.1341238724427325E-2</v>
      </c>
      <c r="S1116" s="100">
        <f>IF('Net zero activities &amp; levers'!$C$14="Off",('Activity data'!AL22*EF!$H53*EF!$H71)*NtoN2O*kgtoGg,IF('Net zero activities &amp; levers'!$C$14="On",('Net zero Activity data'!AL22*EF!$H53*EF!$H71)*NtoN2O*kgtoGg,"ERROR"))</f>
        <v>6.1063412111028503E-2</v>
      </c>
      <c r="T1116" s="100">
        <f>IF('Net zero activities &amp; levers'!$C$14="Off",('Activity data'!AM22*EF!$H53*EF!$H71)*NtoN2O*kgtoGg,IF('Net zero activities &amp; levers'!$C$14="On",('Net zero Activity data'!AM22*EF!$H53*EF!$H71)*NtoN2O*kgtoGg,"ERROR"))</f>
        <v>6.4314364811791716E-2</v>
      </c>
      <c r="U1116" s="100">
        <f>IF('Net zero activities &amp; levers'!$C$14="Off",('Activity data'!AN22*EF!$H53*EF!$H71)*NtoN2O*kgtoGg,IF('Net zero activities &amp; levers'!$C$14="On",('Net zero Activity data'!AN22*EF!$H53*EF!$H71)*NtoN2O*kgtoGg,"ERROR"))</f>
        <v>6.6485667118171637E-2</v>
      </c>
      <c r="V1116" s="100">
        <f>IF('Net zero activities &amp; levers'!$C$14="Off",('Activity data'!AO22*EF!$H53*EF!$H71)*NtoN2O*kgtoGg,IF('Net zero activities &amp; levers'!$C$14="On",('Net zero Activity data'!AO22*EF!$H53*EF!$H71)*NtoN2O*kgtoGg,"ERROR"))</f>
        <v>6.8413422714708877E-2</v>
      </c>
      <c r="W1116" s="100">
        <f>IF('Net zero activities &amp; levers'!$C$14="Off",('Activity data'!AP22*EF!$H53*EF!$H71)*NtoN2O*kgtoGg,IF('Net zero activities &amp; levers'!$C$14="On",('Net zero Activity data'!AP22*EF!$H53*EF!$H71)*NtoN2O*kgtoGg,"ERROR"))</f>
        <v>7.0743268866205369E-2</v>
      </c>
      <c r="X1116" s="100">
        <f>IF('Net zero activities &amp; levers'!$C$14="Off",('Activity data'!AQ22*EF!$H53*EF!$H71)*NtoN2O*kgtoGg,IF('Net zero activities &amp; levers'!$C$14="On",('Net zero Activity data'!AQ22*EF!$H53*EF!$H71)*NtoN2O*kgtoGg,"ERROR"))</f>
        <v>7.4468584480994651E-2</v>
      </c>
      <c r="Y1116" s="100">
        <f>IF('Net zero activities &amp; levers'!$C$14="Off",('Activity data'!AR22*EF!$H53*EF!$H71)*NtoN2O*kgtoGg,IF('Net zero activities &amp; levers'!$C$14="On",('Net zero Activity data'!AR22*EF!$H53*EF!$H71)*NtoN2O*kgtoGg,"ERROR"))</f>
        <v>7.8635028424876574E-2</v>
      </c>
      <c r="Z1116" s="100">
        <f>IF('Net zero activities &amp; levers'!$C$14="Off",('Activity data'!AS22*EF!$H53*EF!$H71)*NtoN2O*kgtoGg,IF('Net zero activities &amp; levers'!$C$14="On",('Net zero Activity data'!AS22*EF!$H53*EF!$H71)*NtoN2O*kgtoGg,"ERROR"))</f>
        <v>8.3165462572311832E-2</v>
      </c>
      <c r="AA1116" s="100">
        <f>IF('Net zero activities &amp; levers'!$C$14="Off",('Activity data'!AT22*EF!$H53*EF!$H71)*NtoN2O*kgtoGg,IF('Net zero activities &amp; levers'!$C$14="On",('Net zero Activity data'!AT22*EF!$H53*EF!$H71)*NtoN2O*kgtoGg,"ERROR"))</f>
        <v>8.7139950210124106E-2</v>
      </c>
      <c r="AB1116" s="100">
        <f>IF('Net zero activities &amp; levers'!$C$14="Off",('Activity data'!AU22*EF!$H53*EF!$H71)*NtoN2O*kgtoGg,IF('Net zero activities &amp; levers'!$C$14="On",('Net zero Activity data'!AU22*EF!$H53*EF!$H71)*NtoN2O*kgtoGg,"ERROR"))</f>
        <v>9.176833470239619E-2</v>
      </c>
      <c r="AC1116" s="100">
        <f>IF('Net zero activities &amp; levers'!$C$14="Off",('Activity data'!AV22*EF!$H53*EF!$H71)*NtoN2O*kgtoGg,IF('Net zero activities &amp; levers'!$C$14="On",('Net zero Activity data'!AV22*EF!$H53*EF!$H71)*NtoN2O*kgtoGg,"ERROR"))</f>
        <v>9.720414341573333E-2</v>
      </c>
      <c r="AD1116" s="100">
        <f>IF('Net zero activities &amp; levers'!$C$14="Off",('Activity data'!AW22*EF!$H53*EF!$H71)*NtoN2O*kgtoGg,IF('Net zero activities &amp; levers'!$C$14="On",('Net zero Activity data'!AW22*EF!$H53*EF!$H71)*NtoN2O*kgtoGg,"ERROR"))</f>
        <v>0.10259368910239479</v>
      </c>
      <c r="AE1116" s="100">
        <f>IF('Net zero activities &amp; levers'!$C$14="Off",('Activity data'!AX22*EF!$H53*EF!$H71)*NtoN2O*kgtoGg,IF('Net zero activities &amp; levers'!$C$14="On",('Net zero Activity data'!AX22*EF!$H53*EF!$H71)*NtoN2O*kgtoGg,"ERROR"))</f>
        <v>0.10824637020072524</v>
      </c>
      <c r="AF1116" s="100">
        <f>IF('Net zero activities &amp; levers'!$C$14="Off",('Activity data'!AY22*EF!$H53*EF!$H71)*NtoN2O*kgtoGg,IF('Net zero activities &amp; levers'!$C$14="On",('Net zero Activity data'!AY22*EF!$H53*EF!$H71)*NtoN2O*kgtoGg,"ERROR"))</f>
        <v>0.11403683143198864</v>
      </c>
      <c r="AG1116" s="100">
        <f>IF('Net zero activities &amp; levers'!$C$14="Off",('Activity data'!AZ22*EF!$H53*EF!$H71)*NtoN2O*kgtoGg,IF('Net zero activities &amp; levers'!$C$14="On",('Net zero Activity data'!AZ22*EF!$H53*EF!$H71)*NtoN2O*kgtoGg,"ERROR"))</f>
        <v>0.12052084793442783</v>
      </c>
      <c r="AH1116" s="100">
        <f>IF('Net zero activities &amp; levers'!$C$14="Off",('Activity data'!BA22*EF!$H53*EF!$H71)*NtoN2O*kgtoGg,IF('Net zero activities &amp; levers'!$C$14="On",('Net zero Activity data'!BA22*EF!$H53*EF!$H71)*NtoN2O*kgtoGg,"ERROR"))</f>
        <v>0.12624426304295153</v>
      </c>
      <c r="AI1116" s="100">
        <f>IF('Net zero activities &amp; levers'!$C$14="Off",('Activity data'!BB22*EF!$H53*EF!$H71)*NtoN2O*kgtoGg,IF('Net zero activities &amp; levers'!$C$14="On",('Net zero Activity data'!BB22*EF!$H53*EF!$H71)*NtoN2O*kgtoGg,"ERROR"))</f>
        <v>0.1324062210557535</v>
      </c>
      <c r="AJ1116" s="100">
        <f>IF('Net zero activities &amp; levers'!$C$14="Off",('Activity data'!BC22*EF!$H53*EF!$H71)*NtoN2O*kgtoGg,IF('Net zero activities &amp; levers'!$C$14="On",('Net zero Activity data'!BC22*EF!$H53*EF!$H71)*NtoN2O*kgtoGg,"ERROR"))</f>
        <v>0.13869544405830089</v>
      </c>
      <c r="AK1116" s="100">
        <f>IF('Net zero activities &amp; levers'!$C$14="Off",('Activity data'!BD22*EF!$H53*EF!$H71)*NtoN2O*kgtoGg,IF('Net zero activities &amp; levers'!$C$14="On",('Net zero Activity data'!BD22*EF!$H53*EF!$H71)*NtoN2O*kgtoGg,"ERROR"))</f>
        <v>0.14471990844971894</v>
      </c>
      <c r="AL1116" s="100">
        <f>IF('Net zero activities &amp; levers'!$C$14="Off",('Activity data'!BE22*EF!$H53*EF!$H71)*NtoN2O*kgtoGg,IF('Net zero activities &amp; levers'!$C$14="On",('Net zero Activity data'!BE22*EF!$H53*EF!$H71)*NtoN2O*kgtoGg,"ERROR"))</f>
        <v>0.15074607535079992</v>
      </c>
      <c r="AM1116" s="100">
        <f>IF('Net zero activities &amp; levers'!$C$14="Off",('Activity data'!BF22*EF!$H53*EF!$H71)*NtoN2O*kgtoGg,IF('Net zero activities &amp; levers'!$C$14="On",('Net zero Activity data'!BF22*EF!$H53*EF!$H71)*NtoN2O*kgtoGg,"ERROR"))</f>
        <v>0.15701539328364578</v>
      </c>
      <c r="AN1116" s="100">
        <f>IF('Net zero activities &amp; levers'!$C$14="Off",('Activity data'!BG22*EF!$H53*EF!$H71)*NtoN2O*kgtoGg,IF('Net zero activities &amp; levers'!$C$14="On",('Net zero Activity data'!BG22*EF!$H53*EF!$H71)*NtoN2O*kgtoGg,"ERROR"))</f>
        <v>0.16368588346726415</v>
      </c>
      <c r="AO1116" s="100">
        <f>IF('Net zero activities &amp; levers'!$C$14="Off",('Activity data'!BH22*EF!$H53*EF!$H71)*NtoN2O*kgtoGg,IF('Net zero activities &amp; levers'!$C$14="On",('Net zero Activity data'!BH22*EF!$H53*EF!$H71)*NtoN2O*kgtoGg,"ERROR"))</f>
        <v>0.16997624899900052</v>
      </c>
      <c r="AP1116" s="100">
        <f>IF('Net zero activities &amp; levers'!$C$14="Off",('Activity data'!BI22*EF!$H53*EF!$H71)*NtoN2O*kgtoGg,IF('Net zero activities &amp; levers'!$C$14="On",('Net zero Activity data'!BI22*EF!$H53*EF!$H71)*NtoN2O*kgtoGg,"ERROR"))</f>
        <v>0.17636937865347899</v>
      </c>
      <c r="AQ1116" s="100">
        <f>IF('Net zero activities &amp; levers'!$C$14="Off",('Activity data'!BJ22*EF!$H53*EF!$H71)*NtoN2O*kgtoGg,IF('Net zero activities &amp; levers'!$C$14="On",('Net zero Activity data'!BJ22*EF!$H53*EF!$H71)*NtoN2O*kgtoGg,"ERROR"))</f>
        <v>0.18287828042887994</v>
      </c>
      <c r="AR1116" s="100">
        <f>IF('Net zero activities &amp; levers'!$C$14="Off",('Activity data'!BK22*EF!$H53*EF!$H71)*NtoN2O*kgtoGg,IF('Net zero activities &amp; levers'!$C$14="On",('Net zero Activity data'!BK22*EF!$H53*EF!$H71)*NtoN2O*kgtoGg,"ERROR"))</f>
        <v>0.18984922157140194</v>
      </c>
      <c r="AS1116" s="100">
        <f>IF('Net zero activities &amp; levers'!$C$14="Off",('Activity data'!BL22*EF!$H53*EF!$H71)*NtoN2O*kgtoGg,IF('Net zero activities &amp; levers'!$C$14="On",('Net zero Activity data'!BL22*EF!$H53*EF!$H71)*NtoN2O*kgtoGg,"ERROR"))</f>
        <v>0.19707247902257957</v>
      </c>
      <c r="AT1116" s="100">
        <f>IF('Net zero activities &amp; levers'!$C$14="Off",('Activity data'!BM22*EF!$H53*EF!$H71)*NtoN2O*kgtoGg,IF('Net zero activities &amp; levers'!$C$14="On",('Net zero Activity data'!BM22*EF!$H53*EF!$H71)*NtoN2O*kgtoGg,"ERROR"))</f>
        <v>0.20109471495974654</v>
      </c>
      <c r="AU1116" s="100">
        <f>IF('Net zero activities &amp; levers'!$C$14="Off",('Activity data'!BN22*EF!$H53*EF!$H71)*NtoN2O*kgtoGg,IF('Net zero activities &amp; levers'!$C$14="On",('Net zero Activity data'!BN22*EF!$H53*EF!$H71)*NtoN2O*kgtoGg,"ERROR"))</f>
        <v>0.20490521392374819</v>
      </c>
      <c r="AV1116" s="100">
        <f>IF('Net zero activities &amp; levers'!$C$14="Off",('Activity data'!BO22*EF!$H53*EF!$H71)*NtoN2O*kgtoGg,IF('Net zero activities &amp; levers'!$C$14="On",('Net zero Activity data'!BO22*EF!$H53*EF!$H71)*NtoN2O*kgtoGg,"ERROR"))</f>
        <v>0.20916658825035392</v>
      </c>
      <c r="AW1116" s="100">
        <f>IF('Net zero activities &amp; levers'!$C$14="Off",('Activity data'!BP22*EF!$H53*EF!$H71)*NtoN2O*kgtoGg,IF('Net zero activities &amp; levers'!$C$14="On",('Net zero Activity data'!BP22*EF!$H53*EF!$H71)*NtoN2O*kgtoGg,"ERROR"))</f>
        <v>0.21325545877326671</v>
      </c>
      <c r="AY1116" s="85"/>
    </row>
    <row r="1117" spans="1:51" x14ac:dyDescent="0.25">
      <c r="A1117" s="102" t="str">
        <f t="shared" si="374"/>
        <v>CM Synthetic</v>
      </c>
      <c r="B1117" s="102" t="s">
        <v>1323</v>
      </c>
      <c r="C1117" s="102" t="s">
        <v>1127</v>
      </c>
      <c r="D1117" t="s">
        <v>369</v>
      </c>
      <c r="E1117" t="s">
        <v>55</v>
      </c>
      <c r="H1117" t="s">
        <v>419</v>
      </c>
      <c r="I1117" t="s">
        <v>139</v>
      </c>
      <c r="J1117" t="s">
        <v>287</v>
      </c>
      <c r="K1117" s="22">
        <f>K1463</f>
        <v>6.6064812063358538</v>
      </c>
      <c r="L1117" s="22">
        <f t="shared" ref="L1117:AW1117" si="375">L1463</f>
        <v>6.6056660352543144</v>
      </c>
      <c r="M1117" s="22">
        <f t="shared" si="375"/>
        <v>6.6042995522505379</v>
      </c>
      <c r="N1117" s="22">
        <f t="shared" si="375"/>
        <v>6.6031365898338095</v>
      </c>
      <c r="O1117" s="22">
        <f t="shared" si="375"/>
        <v>6.6027560568732087</v>
      </c>
      <c r="P1117" s="22">
        <f t="shared" si="375"/>
        <v>6.6023708971175274</v>
      </c>
      <c r="Q1117" s="22">
        <f t="shared" si="375"/>
        <v>6.6011966991986881</v>
      </c>
      <c r="R1117" s="22">
        <f t="shared" si="375"/>
        <v>6.6002765167075461</v>
      </c>
      <c r="S1117" s="22">
        <f t="shared" si="375"/>
        <v>6.6002145648060502</v>
      </c>
      <c r="T1117" s="22">
        <f t="shared" si="375"/>
        <v>6.6040420720172728</v>
      </c>
      <c r="U1117" s="22">
        <f t="shared" si="375"/>
        <v>6.6019485697997204</v>
      </c>
      <c r="V1117" s="22">
        <f t="shared" si="375"/>
        <v>6.6003652312909882</v>
      </c>
      <c r="W1117" s="22">
        <f t="shared" si="375"/>
        <v>6.5989054673114653</v>
      </c>
      <c r="X1117" s="22">
        <f t="shared" si="375"/>
        <v>6.5972835879321101</v>
      </c>
      <c r="Y1117" s="22">
        <f t="shared" si="375"/>
        <v>6.5950794659321978</v>
      </c>
      <c r="Z1117" s="22">
        <f t="shared" si="375"/>
        <v>6.5927714888243178</v>
      </c>
      <c r="AA1117" s="22">
        <f t="shared" si="375"/>
        <v>6.5903551292141982</v>
      </c>
      <c r="AB1117" s="22">
        <f t="shared" si="375"/>
        <v>6.5882075529961197</v>
      </c>
      <c r="AC1117" s="22">
        <f t="shared" si="375"/>
        <v>6.5858383398788654</v>
      </c>
      <c r="AD1117" s="22">
        <f t="shared" si="375"/>
        <v>6.5832049506454569</v>
      </c>
      <c r="AE1117" s="22">
        <f t="shared" si="375"/>
        <v>6.5806825645343991</v>
      </c>
      <c r="AF1117" s="22">
        <f t="shared" si="375"/>
        <v>6.5781181226611025</v>
      </c>
      <c r="AG1117" s="22">
        <f t="shared" si="375"/>
        <v>6.5755610222279151</v>
      </c>
      <c r="AH1117" s="22">
        <f t="shared" si="375"/>
        <v>6.5728213410220508</v>
      </c>
      <c r="AI1117" s="22">
        <f t="shared" si="375"/>
        <v>6.5704025946446434</v>
      </c>
      <c r="AJ1117" s="22">
        <f t="shared" si="375"/>
        <v>6.5679167627959911</v>
      </c>
      <c r="AK1117" s="22">
        <f t="shared" si="375"/>
        <v>6.5654442966296829</v>
      </c>
      <c r="AL1117" s="22">
        <f t="shared" si="375"/>
        <v>6.5631078462466625</v>
      </c>
      <c r="AM1117" s="22">
        <f t="shared" si="375"/>
        <v>6.5608183818668682</v>
      </c>
      <c r="AN1117" s="22">
        <f t="shared" si="375"/>
        <v>6.5585023260560664</v>
      </c>
      <c r="AO1117" s="22">
        <f t="shared" si="375"/>
        <v>6.5561383844940604</v>
      </c>
      <c r="AP1117" s="22">
        <f t="shared" si="375"/>
        <v>6.5539317250053788</v>
      </c>
      <c r="AQ1117" s="22">
        <f t="shared" si="375"/>
        <v>6.5517393492300551</v>
      </c>
      <c r="AR1117" s="22">
        <f t="shared" si="375"/>
        <v>6.5495579618392012</v>
      </c>
      <c r="AS1117" s="22">
        <f t="shared" si="375"/>
        <v>6.5472963164045943</v>
      </c>
      <c r="AT1117" s="22">
        <f t="shared" si="375"/>
        <v>6.5450342769214798</v>
      </c>
      <c r="AU1117" s="22">
        <f t="shared" si="375"/>
        <v>6.5436308710087152</v>
      </c>
      <c r="AV1117" s="22">
        <f t="shared" si="375"/>
        <v>6.5422967735758233</v>
      </c>
      <c r="AW1117" s="22">
        <f t="shared" si="375"/>
        <v>6.5408646829531705</v>
      </c>
      <c r="AY1117" s="85"/>
    </row>
    <row r="1118" spans="1:51" x14ac:dyDescent="0.25">
      <c r="A1118" s="102" t="str">
        <f t="shared" si="374"/>
        <v>CM Organic</v>
      </c>
      <c r="B1118" s="102" t="s">
        <v>1323</v>
      </c>
      <c r="C1118" s="102" t="s">
        <v>1128</v>
      </c>
      <c r="D1118" t="s">
        <v>369</v>
      </c>
      <c r="E1118" t="s">
        <v>55</v>
      </c>
      <c r="H1118" t="s">
        <v>420</v>
      </c>
      <c r="I1118" t="s">
        <v>139</v>
      </c>
      <c r="J1118" t="s">
        <v>287</v>
      </c>
      <c r="K1118" s="101">
        <f>IF('Net zero activities &amp; levers'!$C$14="Off",'Activity data'!AD48*ttokg*ONEF*NtoN2O*kgtoGg,IF('Net zero activities &amp; levers'!$C$14="On",'Net zero Activity data'!AD48*ttokg*ONEF*NtoN2O*kgtoGg,"ERROR"))</f>
        <v>4.3602775961816637E-2</v>
      </c>
      <c r="L1118" s="101">
        <f>IF('Net zero activities &amp; levers'!$C$14="Off",'Activity data'!AE48*ttokg*ONEF*NtoN2O*kgtoGg,IF('Net zero activities &amp; levers'!$C$14="On",'Net zero Activity data'!AE48*ttokg*ONEF*NtoN2O*kgtoGg,"ERROR"))</f>
        <v>4.3597395832678479E-2</v>
      </c>
      <c r="M1118" s="101">
        <f>IF('Net zero activities &amp; levers'!$C$14="Off",'Activity data'!AF48*ttokg*ONEF*NtoN2O*kgtoGg,IF('Net zero activities &amp; levers'!$C$14="On",'Net zero Activity data'!AF48*ttokg*ONEF*NtoN2O*kgtoGg,"ERROR"))</f>
        <v>4.3588377044853563E-2</v>
      </c>
      <c r="N1118" s="101">
        <f>IF('Net zero activities &amp; levers'!$C$14="Off",'Activity data'!AG48*ttokg*ONEF*NtoN2O*kgtoGg,IF('Net zero activities &amp; levers'!$C$14="On",'Net zero Activity data'!AG48*ttokg*ONEF*NtoN2O*kgtoGg,"ERROR"))</f>
        <v>4.3580701492903162E-2</v>
      </c>
      <c r="O1118" s="101">
        <f>IF('Net zero activities &amp; levers'!$C$14="Off",'Activity data'!AH48*ttokg*ONEF*NtoN2O*kgtoGg,IF('Net zero activities &amp; levers'!$C$14="On",'Net zero Activity data'!AH48*ttokg*ONEF*NtoN2O*kgtoGg,"ERROR"))</f>
        <v>4.3578189975363169E-2</v>
      </c>
      <c r="P1118" s="101">
        <f>IF('Net zero activities &amp; levers'!$C$14="Off",'Activity data'!AI48*ttokg*ONEF*NtoN2O*kgtoGg,IF('Net zero activities &amp; levers'!$C$14="On",'Net zero Activity data'!AI48*ttokg*ONEF*NtoN2O*kgtoGg,"ERROR"))</f>
        <v>4.3575647920975694E-2</v>
      </c>
      <c r="Q1118" s="101">
        <f>IF('Net zero activities &amp; levers'!$C$14="Off",'Activity data'!AJ48*ttokg*ONEF*NtoN2O*kgtoGg,IF('Net zero activities &amp; levers'!$C$14="On",'Net zero Activity data'!AJ48*ttokg*ONEF*NtoN2O*kgtoGg,"ERROR"))</f>
        <v>4.3567898214711354E-2</v>
      </c>
      <c r="R1118" s="101">
        <f>IF('Net zero activities &amp; levers'!$C$14="Off",'Activity data'!AK48*ttokg*ONEF*NtoN2O*kgtoGg,IF('Net zero activities &amp; levers'!$C$14="On",'Net zero Activity data'!AK48*ttokg*ONEF*NtoN2O*kgtoGg,"ERROR"))</f>
        <v>4.3561825010269811E-2</v>
      </c>
      <c r="S1118" s="101">
        <f>IF('Net zero activities &amp; levers'!$C$14="Off",'Activity data'!AL48*ttokg*ONEF*NtoN2O*kgtoGg,IF('Net zero activities &amp; levers'!$C$14="On",'Net zero Activity data'!AL48*ttokg*ONEF*NtoN2O*kgtoGg,"ERROR"))</f>
        <v>4.3561416127719944E-2</v>
      </c>
      <c r="T1118" s="101">
        <f>IF('Net zero activities &amp; levers'!$C$14="Off",'Activity data'!AM48*ttokg*ONEF*NtoN2O*kgtoGg,IF('Net zero activities &amp; levers'!$C$14="On",'Net zero Activity data'!AM48*ttokg*ONEF*NtoN2O*kgtoGg,"ERROR"))</f>
        <v>4.358667767531401E-2</v>
      </c>
      <c r="U1118" s="101">
        <f>IF('Net zero activities &amp; levers'!$C$14="Off",'Activity data'!AN48*ttokg*ONEF*NtoN2O*kgtoGg,IF('Net zero activities &amp; levers'!$C$14="On",'Net zero Activity data'!AN48*ttokg*ONEF*NtoN2O*kgtoGg,"ERROR"))</f>
        <v>4.3572860560678155E-2</v>
      </c>
      <c r="V1118" s="101">
        <f>IF('Net zero activities &amp; levers'!$C$14="Off",'Activity data'!AO48*ttokg*ONEF*NtoN2O*kgtoGg,IF('Net zero activities &amp; levers'!$C$14="On",'Net zero Activity data'!AO48*ttokg*ONEF*NtoN2O*kgtoGg,"ERROR"))</f>
        <v>4.3562410526520524E-2</v>
      </c>
      <c r="W1118" s="101">
        <f>IF('Net zero activities &amp; levers'!$C$14="Off",'Activity data'!AP48*ttokg*ONEF*NtoN2O*kgtoGg,IF('Net zero activities &amp; levers'!$C$14="On",'Net zero Activity data'!AP48*ttokg*ONEF*NtoN2O*kgtoGg,"ERROR"))</f>
        <v>4.3552776084255673E-2</v>
      </c>
      <c r="X1118" s="101">
        <f>IF('Net zero activities &amp; levers'!$C$14="Off",'Activity data'!AQ48*ttokg*ONEF*NtoN2O*kgtoGg,IF('Net zero activities &amp; levers'!$C$14="On",'Net zero Activity data'!AQ48*ttokg*ONEF*NtoN2O*kgtoGg,"ERROR"))</f>
        <v>4.3542071680351936E-2</v>
      </c>
      <c r="Y1118" s="101">
        <f>IF('Net zero activities &amp; levers'!$C$14="Off",'Activity data'!AR48*ttokg*ONEF*NtoN2O*kgtoGg,IF('Net zero activities &amp; levers'!$C$14="On",'Net zero Activity data'!AR48*ttokg*ONEF*NtoN2O*kgtoGg,"ERROR"))</f>
        <v>4.3527524475152499E-2</v>
      </c>
      <c r="Z1118" s="101">
        <f>IF('Net zero activities &amp; levers'!$C$14="Off",'Activity data'!AS48*ttokg*ONEF*NtoN2O*kgtoGg,IF('Net zero activities &amp; levers'!$C$14="On",'Net zero Activity data'!AS48*ttokg*ONEF*NtoN2O*kgtoGg,"ERROR"))</f>
        <v>4.3512291826240515E-2</v>
      </c>
      <c r="AA1118" s="101">
        <f>IF('Net zero activities &amp; levers'!$C$14="Off",'Activity data'!AT48*ttokg*ONEF*NtoN2O*kgtoGg,IF('Net zero activities &amp; levers'!$C$14="On",'Net zero Activity data'!AT48*ttokg*ONEF*NtoN2O*kgtoGg,"ERROR"))</f>
        <v>4.3496343852813708E-2</v>
      </c>
      <c r="AB1118" s="101">
        <f>IF('Net zero activities &amp; levers'!$C$14="Off",'Activity data'!AU48*ttokg*ONEF*NtoN2O*kgtoGg,IF('Net zero activities &amp; levers'!$C$14="On",'Net zero Activity data'!AU48*ttokg*ONEF*NtoN2O*kgtoGg,"ERROR"))</f>
        <v>4.3482169849774405E-2</v>
      </c>
      <c r="AC1118" s="101">
        <f>IF('Net zero activities &amp; levers'!$C$14="Off",'Activity data'!AV48*ttokg*ONEF*NtoN2O*kgtoGg,IF('Net zero activities &amp; levers'!$C$14="On",'Net zero Activity data'!AV48*ttokg*ONEF*NtoN2O*kgtoGg,"ERROR"))</f>
        <v>4.3466533043200514E-2</v>
      </c>
      <c r="AD1118" s="101">
        <f>IF('Net zero activities &amp; levers'!$C$14="Off",'Activity data'!AW48*ttokg*ONEF*NtoN2O*kgtoGg,IF('Net zero activities &amp; levers'!$C$14="On",'Net zero Activity data'!AW48*ttokg*ONEF*NtoN2O*kgtoGg,"ERROR"))</f>
        <v>4.3449152674260021E-2</v>
      </c>
      <c r="AE1118" s="101">
        <f>IF('Net zero activities &amp; levers'!$C$14="Off",'Activity data'!AX48*ttokg*ONEF*NtoN2O*kgtoGg,IF('Net zero activities &amp; levers'!$C$14="On",'Net zero Activity data'!AX48*ttokg*ONEF*NtoN2O*kgtoGg,"ERROR"))</f>
        <v>4.3432504925927033E-2</v>
      </c>
      <c r="AF1118" s="101">
        <f>IF('Net zero activities &amp; levers'!$C$14="Off",'Activity data'!AY48*ttokg*ONEF*NtoN2O*kgtoGg,IF('Net zero activities &amp; levers'!$C$14="On",'Net zero Activity data'!AY48*ttokg*ONEF*NtoN2O*kgtoGg,"ERROR"))</f>
        <v>4.3415579609563271E-2</v>
      </c>
      <c r="AG1118" s="101">
        <f>IF('Net zero activities &amp; levers'!$C$14="Off",'Activity data'!AZ48*ttokg*ONEF*NtoN2O*kgtoGg,IF('Net zero activities &amp; levers'!$C$14="On",'Net zero Activity data'!AZ48*ttokg*ONEF*NtoN2O*kgtoGg,"ERROR"))</f>
        <v>4.3398702746704231E-2</v>
      </c>
      <c r="AH1118" s="101">
        <f>IF('Net zero activities &amp; levers'!$C$14="Off",'Activity data'!BA48*ttokg*ONEF*NtoN2O*kgtoGg,IF('Net zero activities &amp; levers'!$C$14="On",'Net zero Activity data'!BA48*ttokg*ONEF*NtoN2O*kgtoGg,"ERROR"))</f>
        <v>4.3380620850745545E-2</v>
      </c>
      <c r="AI1118" s="101">
        <f>IF('Net zero activities &amp; levers'!$C$14="Off",'Activity data'!BB48*ttokg*ONEF*NtoN2O*kgtoGg,IF('Net zero activities &amp; levers'!$C$14="On",'Net zero Activity data'!BB48*ttokg*ONEF*NtoN2O*kgtoGg,"ERROR"))</f>
        <v>4.3364657124654649E-2</v>
      </c>
      <c r="AJ1118" s="101">
        <f>IF('Net zero activities &amp; levers'!$C$14="Off",'Activity data'!BC48*ttokg*ONEF*NtoN2O*kgtoGg,IF('Net zero activities &amp; levers'!$C$14="On",'Net zero Activity data'!BC48*ttokg*ONEF*NtoN2O*kgtoGg,"ERROR"))</f>
        <v>4.3348250634453557E-2</v>
      </c>
      <c r="AK1118" s="101">
        <f>IF('Net zero activities &amp; levers'!$C$14="Off",'Activity data'!BD48*ttokg*ONEF*NtoN2O*kgtoGg,IF('Net zero activities &amp; levers'!$C$14="On",'Net zero Activity data'!BD48*ttokg*ONEF*NtoN2O*kgtoGg,"ERROR"))</f>
        <v>4.3331932357755919E-2</v>
      </c>
      <c r="AL1118" s="101">
        <f>IF('Net zero activities &amp; levers'!$C$14="Off",'Activity data'!BE48*ttokg*ONEF*NtoN2O*kgtoGg,IF('Net zero activities &amp; levers'!$C$14="On",'Net zero Activity data'!BE48*ttokg*ONEF*NtoN2O*kgtoGg,"ERROR"))</f>
        <v>4.3316511785227982E-2</v>
      </c>
      <c r="AM1118" s="101">
        <f>IF('Net zero activities &amp; levers'!$C$14="Off",'Activity data'!BF48*ttokg*ONEF*NtoN2O*kgtoGg,IF('Net zero activities &amp; levers'!$C$14="On",'Net zero Activity data'!BF48*ttokg*ONEF*NtoN2O*kgtoGg,"ERROR"))</f>
        <v>4.3301401320321335E-2</v>
      </c>
      <c r="AN1118" s="101">
        <f>IF('Net zero activities &amp; levers'!$C$14="Off",'Activity data'!BG48*ttokg*ONEF*NtoN2O*kgtoGg,IF('Net zero activities &amp; levers'!$C$14="On",'Net zero Activity data'!BG48*ttokg*ONEF*NtoN2O*kgtoGg,"ERROR"))</f>
        <v>4.328611535197005E-2</v>
      </c>
      <c r="AO1118" s="101">
        <f>IF('Net zero activities &amp; levers'!$C$14="Off",'Activity data'!BH48*ttokg*ONEF*NtoN2O*kgtoGg,IF('Net zero activities &amp; levers'!$C$14="On",'Net zero Activity data'!BH48*ttokg*ONEF*NtoN2O*kgtoGg,"ERROR"))</f>
        <v>4.3270513337660813E-2</v>
      </c>
      <c r="AP1118" s="101">
        <f>IF('Net zero activities &amp; levers'!$C$14="Off",'Activity data'!BI48*ttokg*ONEF*NtoN2O*kgtoGg,IF('Net zero activities &amp; levers'!$C$14="On",'Net zero Activity data'!BI48*ttokg*ONEF*NtoN2O*kgtoGg,"ERROR"))</f>
        <v>4.3255949385035505E-2</v>
      </c>
      <c r="AQ1118" s="101">
        <f>IF('Net zero activities &amp; levers'!$C$14="Off",'Activity data'!BJ48*ttokg*ONEF*NtoN2O*kgtoGg,IF('Net zero activities &amp; levers'!$C$14="On",'Net zero Activity data'!BJ48*ttokg*ONEF*NtoN2O*kgtoGg,"ERROR"))</f>
        <v>4.3241479704918373E-2</v>
      </c>
      <c r="AR1118" s="101">
        <f>IF('Net zero activities &amp; levers'!$C$14="Off",'Activity data'!BK48*ttokg*ONEF*NtoN2O*kgtoGg,IF('Net zero activities &amp; levers'!$C$14="On",'Net zero Activity data'!BK48*ttokg*ONEF*NtoN2O*kgtoGg,"ERROR"))</f>
        <v>4.3227082548138743E-2</v>
      </c>
      <c r="AS1118" s="101">
        <f>IF('Net zero activities &amp; levers'!$C$14="Off",'Activity data'!BL48*ttokg*ONEF*NtoN2O*kgtoGg,IF('Net zero activities &amp; levers'!$C$14="On",'Net zero Activity data'!BL48*ttokg*ONEF*NtoN2O*kgtoGg,"ERROR"))</f>
        <v>4.3212155688270325E-2</v>
      </c>
      <c r="AT1118" s="101">
        <f>IF('Net zero activities &amp; levers'!$C$14="Off",'Activity data'!BM48*ttokg*ONEF*NtoN2O*kgtoGg,IF('Net zero activities &amp; levers'!$C$14="On",'Net zero Activity data'!BM48*ttokg*ONEF*NtoN2O*kgtoGg,"ERROR"))</f>
        <v>4.3197226227681768E-2</v>
      </c>
      <c r="AU1118" s="101">
        <f>IF('Net zero activities &amp; levers'!$C$14="Off",'Activity data'!BN48*ttokg*ONEF*NtoN2O*kgtoGg,IF('Net zero activities &amp; levers'!$C$14="On",'Net zero Activity data'!BN48*ttokg*ONEF*NtoN2O*kgtoGg,"ERROR"))</f>
        <v>4.3187963748657528E-2</v>
      </c>
      <c r="AV1118" s="101">
        <f>IF('Net zero activities &amp; levers'!$C$14="Off",'Activity data'!BO48*ttokg*ONEF*NtoN2O*kgtoGg,IF('Net zero activities &amp; levers'!$C$14="On",'Net zero Activity data'!BO48*ttokg*ONEF*NtoN2O*kgtoGg,"ERROR"))</f>
        <v>4.3179158705600441E-2</v>
      </c>
      <c r="AW1118" s="101">
        <f>IF('Net zero activities &amp; levers'!$C$14="Off",'Activity data'!BP48*ttokg*ONEF*NtoN2O*kgtoGg,IF('Net zero activities &amp; levers'!$C$14="On",'Net zero Activity data'!BP48*ttokg*ONEF*NtoN2O*kgtoGg,"ERROR"))</f>
        <v>4.3169706907490939E-2</v>
      </c>
      <c r="AY1118" s="85"/>
    </row>
    <row r="1119" spans="1:51" x14ac:dyDescent="0.25">
      <c r="A1119" s="102" t="str">
        <f t="shared" si="374"/>
        <v>CM Crop residues</v>
      </c>
      <c r="B1119" s="102" t="s">
        <v>1323</v>
      </c>
      <c r="C1119" s="102" t="s">
        <v>58</v>
      </c>
      <c r="D1119" t="s">
        <v>369</v>
      </c>
      <c r="E1119" t="s">
        <v>55</v>
      </c>
      <c r="H1119" t="s">
        <v>58</v>
      </c>
      <c r="I1119" t="s">
        <v>139</v>
      </c>
      <c r="J1119" t="s">
        <v>287</v>
      </c>
      <c r="K1119" s="22">
        <f>K1465</f>
        <v>2.94930909510781</v>
      </c>
      <c r="L1119" s="22">
        <f t="shared" ref="L1119:AW1119" si="376">L1465</f>
        <v>2.9553948259346963</v>
      </c>
      <c r="M1119" s="22">
        <f t="shared" si="376"/>
        <v>2.9655964240149095</v>
      </c>
      <c r="N1119" s="22">
        <f t="shared" si="376"/>
        <v>2.9742786213968655</v>
      </c>
      <c r="O1119" s="22">
        <f t="shared" si="376"/>
        <v>2.9771195234129291</v>
      </c>
      <c r="P1119" s="22">
        <f t="shared" si="376"/>
        <v>2.9799949671713049</v>
      </c>
      <c r="Q1119" s="22">
        <f t="shared" si="376"/>
        <v>2.9887610441744785</v>
      </c>
      <c r="R1119" s="22">
        <f t="shared" si="376"/>
        <v>2.9956307468412153</v>
      </c>
      <c r="S1119" s="22">
        <f t="shared" si="376"/>
        <v>2.9960932541666816</v>
      </c>
      <c r="T1119" s="22">
        <f t="shared" si="376"/>
        <v>2.9675186651595986</v>
      </c>
      <c r="U1119" s="22">
        <f t="shared" si="376"/>
        <v>2.9831478886073279</v>
      </c>
      <c r="V1119" s="22">
        <f t="shared" si="376"/>
        <v>2.9949684403788361</v>
      </c>
      <c r="W1119" s="22">
        <f t="shared" si="376"/>
        <v>3.0058664357215821</v>
      </c>
      <c r="X1119" s="22">
        <f t="shared" si="376"/>
        <v>3.0179747177251275</v>
      </c>
      <c r="Y1119" s="22">
        <f t="shared" si="376"/>
        <v>3.0344297828088291</v>
      </c>
      <c r="Z1119" s="22">
        <f t="shared" si="376"/>
        <v>3.051660187261632</v>
      </c>
      <c r="AA1119" s="22">
        <f t="shared" si="376"/>
        <v>3.0696997307404872</v>
      </c>
      <c r="AB1119" s="22">
        <f t="shared" si="376"/>
        <v>3.0857326483566894</v>
      </c>
      <c r="AC1119" s="22">
        <f t="shared" si="376"/>
        <v>3.1034202155798769</v>
      </c>
      <c r="AD1119" s="22">
        <f t="shared" si="376"/>
        <v>3.1230800126456195</v>
      </c>
      <c r="AE1119" s="22">
        <f t="shared" si="376"/>
        <v>3.1419111062172522</v>
      </c>
      <c r="AF1119" s="22">
        <f t="shared" si="376"/>
        <v>3.1610561707509404</v>
      </c>
      <c r="AG1119" s="22">
        <f t="shared" si="376"/>
        <v>3.1801464271230016</v>
      </c>
      <c r="AH1119" s="22">
        <f t="shared" si="376"/>
        <v>3.2005997561822985</v>
      </c>
      <c r="AI1119" s="22">
        <f t="shared" si="376"/>
        <v>3.2186571182805661</v>
      </c>
      <c r="AJ1119" s="22">
        <f t="shared" si="376"/>
        <v>3.2372153128171188</v>
      </c>
      <c r="AK1119" s="22">
        <f t="shared" si="376"/>
        <v>3.2556737246860838</v>
      </c>
      <c r="AL1119" s="22">
        <f t="shared" si="376"/>
        <v>3.2731166988585363</v>
      </c>
      <c r="AM1119" s="22">
        <f t="shared" si="376"/>
        <v>3.2902088949247208</v>
      </c>
      <c r="AN1119" s="22">
        <f t="shared" si="376"/>
        <v>3.3074996116389994</v>
      </c>
      <c r="AO1119" s="22">
        <f t="shared" si="376"/>
        <v>3.3251478236065783</v>
      </c>
      <c r="AP1119" s="22">
        <f t="shared" si="376"/>
        <v>3.3416218325340545</v>
      </c>
      <c r="AQ1119" s="22">
        <f t="shared" si="376"/>
        <v>3.3579892051532951</v>
      </c>
      <c r="AR1119" s="22">
        <f t="shared" si="376"/>
        <v>3.3742745430296259</v>
      </c>
      <c r="AS1119" s="22">
        <f t="shared" si="376"/>
        <v>3.391159054333535</v>
      </c>
      <c r="AT1119" s="22">
        <f t="shared" si="376"/>
        <v>3.4080465074409378</v>
      </c>
      <c r="AU1119" s="22">
        <f t="shared" si="376"/>
        <v>3.4185237567194666</v>
      </c>
      <c r="AV1119" s="22">
        <f t="shared" si="376"/>
        <v>3.4284835774948501</v>
      </c>
      <c r="AW1119" s="22">
        <f t="shared" si="376"/>
        <v>3.439174974977584</v>
      </c>
      <c r="AY1119" s="85"/>
    </row>
    <row r="1120" spans="1:51" x14ac:dyDescent="0.25">
      <c r="A1120" s="102" t="str">
        <f t="shared" si="374"/>
        <v>CM Organic</v>
      </c>
      <c r="B1120" s="102" t="s">
        <v>1323</v>
      </c>
      <c r="C1120" s="102" t="s">
        <v>1128</v>
      </c>
      <c r="D1120" t="s">
        <v>369</v>
      </c>
      <c r="E1120" t="s">
        <v>55</v>
      </c>
      <c r="F1120" t="s">
        <v>421</v>
      </c>
      <c r="G1120" t="s">
        <v>1153</v>
      </c>
      <c r="H1120" t="s">
        <v>1154</v>
      </c>
      <c r="I1120" t="s">
        <v>139</v>
      </c>
      <c r="J1120" t="s">
        <v>287</v>
      </c>
      <c r="K1120" s="101">
        <f>IF('Net zero activities &amp; levers'!$C$14="Off",'Activity data'!AD50*ManureNEF*NtoN2O*kgtoGg,IF('Net zero activities &amp; levers'!$C$14="On",'Net zero Activity data'!AD50*ManureNEF*NtoN2O*kgtoGg,"ERROR"))</f>
        <v>0.31910516055557447</v>
      </c>
      <c r="L1120" s="101">
        <f>IF('Net zero activities &amp; levers'!$C$14="Off",'Activity data'!AE50*ManureNEF*NtoN2O*kgtoGg,IF('Net zero activities &amp; levers'!$C$14="On",'Net zero Activity data'!AE50*ManureNEF*NtoN2O*kgtoGg,"ERROR"))</f>
        <v>0.32125977651579962</v>
      </c>
      <c r="M1120" s="101">
        <f>IF('Net zero activities &amp; levers'!$C$14="Off",'Activity data'!AF50*ManureNEF*NtoN2O*kgtoGg,IF('Net zero activities &amp; levers'!$C$14="On",'Net zero Activity data'!AF50*ManureNEF*NtoN2O*kgtoGg,"ERROR"))</f>
        <v>0.32314451970240549</v>
      </c>
      <c r="N1120" s="101">
        <f>IF('Net zero activities &amp; levers'!$C$14="Off",'Activity data'!AG50*ManureNEF*NtoN2O*kgtoGg,IF('Net zero activities &amp; levers'!$C$14="On",'Net zero Activity data'!AG50*ManureNEF*NtoN2O*kgtoGg,"ERROR"))</f>
        <v>0.32338831518425315</v>
      </c>
      <c r="O1120" s="101">
        <f>IF('Net zero activities &amp; levers'!$C$14="Off",'Activity data'!AH50*ManureNEF*NtoN2O*kgtoGg,IF('Net zero activities &amp; levers'!$C$14="On",'Net zero Activity data'!AH50*ManureNEF*NtoN2O*kgtoGg,"ERROR"))</f>
        <v>0.32380822899810918</v>
      </c>
      <c r="P1120" s="101">
        <f>IF('Net zero activities &amp; levers'!$C$14="Off",'Activity data'!AI50*ManureNEF*NtoN2O*kgtoGg,IF('Net zero activities &amp; levers'!$C$14="On",'Net zero Activity data'!AI50*ManureNEF*NtoN2O*kgtoGg,"ERROR"))</f>
        <v>0.32621761700786678</v>
      </c>
      <c r="Q1120" s="101">
        <f>IF('Net zero activities &amp; levers'!$C$14="Off",'Activity data'!AJ50*ManureNEF*NtoN2O*kgtoGg,IF('Net zero activities &amp; levers'!$C$14="On",'Net zero Activity data'!AJ50*ManureNEF*NtoN2O*kgtoGg,"ERROR"))</f>
        <v>0.32814424518292917</v>
      </c>
      <c r="R1120" s="101">
        <f>IF('Net zero activities &amp; levers'!$C$14="Off",'Activity data'!AK50*ManureNEF*NtoN2O*kgtoGg,IF('Net zero activities &amp; levers'!$C$14="On",'Net zero Activity data'!AK50*ManureNEF*NtoN2O*kgtoGg,"ERROR"))</f>
        <v>0.32816113797461788</v>
      </c>
      <c r="S1120" s="101">
        <f>IF('Net zero activities &amp; levers'!$C$14="Off",'Activity data'!AL50*ManureNEF*NtoN2O*kgtoGg,IF('Net zero activities &amp; levers'!$C$14="On",'Net zero Activity data'!AL50*ManureNEF*NtoN2O*kgtoGg,"ERROR"))</f>
        <v>0.31946691799605059</v>
      </c>
      <c r="T1120" s="101">
        <f>IF('Net zero activities &amp; levers'!$C$14="Off",'Activity data'!AM50*ManureNEF*NtoN2O*kgtoGg,IF('Net zero activities &amp; levers'!$C$14="On",'Net zero Activity data'!AM50*ManureNEF*NtoN2O*kgtoGg,"ERROR"))</f>
        <v>0.32107771115393763</v>
      </c>
      <c r="U1120" s="101">
        <f>IF('Net zero activities &amp; levers'!$C$14="Off",'Activity data'!AN50*ManureNEF*NtoN2O*kgtoGg,IF('Net zero activities &amp; levers'!$C$14="On",'Net zero Activity data'!AN50*ManureNEF*NtoN2O*kgtoGg,"ERROR"))</f>
        <v>0.32161692985552559</v>
      </c>
      <c r="V1120" s="101">
        <f>IF('Net zero activities &amp; levers'!$C$14="Off",'Activity data'!AO50*ManureNEF*NtoN2O*kgtoGg,IF('Net zero activities &amp; levers'!$C$14="On",'Net zero Activity data'!AO50*ManureNEF*NtoN2O*kgtoGg,"ERROR"))</f>
        <v>0.32192987804898143</v>
      </c>
      <c r="W1120" s="101">
        <f>IF('Net zero activities &amp; levers'!$C$14="Off",'Activity data'!AP50*ManureNEF*NtoN2O*kgtoGg,IF('Net zero activities &amp; levers'!$C$14="On",'Net zero Activity data'!AP50*ManureNEF*NtoN2O*kgtoGg,"ERROR"))</f>
        <v>0.32265806012880621</v>
      </c>
      <c r="X1120" s="101">
        <f>IF('Net zero activities &amp; levers'!$C$14="Off",'Activity data'!AQ50*ManureNEF*NtoN2O*kgtoGg,IF('Net zero activities &amp; levers'!$C$14="On",'Net zero Activity data'!AQ50*ManureNEF*NtoN2O*kgtoGg,"ERROR"))</f>
        <v>0.32477592582347953</v>
      </c>
      <c r="Y1120" s="101">
        <f>IF('Net zero activities &amp; levers'!$C$14="Off",'Activity data'!AR50*ManureNEF*NtoN2O*kgtoGg,IF('Net zero activities &amp; levers'!$C$14="On",'Net zero Activity data'!AR50*ManureNEF*NtoN2O*kgtoGg,"ERROR"))</f>
        <v>0.32700913078507432</v>
      </c>
      <c r="Z1120" s="101">
        <f>IF('Net zero activities &amp; levers'!$C$14="Off",'Activity data'!AS50*ManureNEF*NtoN2O*kgtoGg,IF('Net zero activities &amp; levers'!$C$14="On",'Net zero Activity data'!AS50*ManureNEF*NtoN2O*kgtoGg,"ERROR"))</f>
        <v>0.32958166361034597</v>
      </c>
      <c r="AA1120" s="101">
        <f>IF('Net zero activities &amp; levers'!$C$14="Off",'Activity data'!AT50*ManureNEF*NtoN2O*kgtoGg,IF('Net zero activities &amp; levers'!$C$14="On",'Net zero Activity data'!AT50*ManureNEF*NtoN2O*kgtoGg,"ERROR"))</f>
        <v>0.33158605368640415</v>
      </c>
      <c r="AB1120" s="101">
        <f>IF('Net zero activities &amp; levers'!$C$14="Off",'Activity data'!AU50*ManureNEF*NtoN2O*kgtoGg,IF('Net zero activities &amp; levers'!$C$14="On",'Net zero Activity data'!AU50*ManureNEF*NtoN2O*kgtoGg,"ERROR"))</f>
        <v>0.33420171737570198</v>
      </c>
      <c r="AC1120" s="101">
        <f>IF('Net zero activities &amp; levers'!$C$14="Off",'Activity data'!AV50*ManureNEF*NtoN2O*kgtoGg,IF('Net zero activities &amp; levers'!$C$14="On",'Net zero Activity data'!AV50*ManureNEF*NtoN2O*kgtoGg,"ERROR"))</f>
        <v>0.3375630978308346</v>
      </c>
      <c r="AD1120" s="101">
        <f>IF('Net zero activities &amp; levers'!$C$14="Off",'Activity data'!AW50*ManureNEF*NtoN2O*kgtoGg,IF('Net zero activities &amp; levers'!$C$14="On",'Net zero Activity data'!AW50*ManureNEF*NtoN2O*kgtoGg,"ERROR"))</f>
        <v>0.34301284008884109</v>
      </c>
      <c r="AE1120" s="101">
        <f>IF('Net zero activities &amp; levers'!$C$14="Off",'Activity data'!AX50*ManureNEF*NtoN2O*kgtoGg,IF('Net zero activities &amp; levers'!$C$14="On",'Net zero Activity data'!AX50*ManureNEF*NtoN2O*kgtoGg,"ERROR"))</f>
        <v>0.34875528385063592</v>
      </c>
      <c r="AF1120" s="101">
        <f>IF('Net zero activities &amp; levers'!$C$14="Off",'Activity data'!AY50*ManureNEF*NtoN2O*kgtoGg,IF('Net zero activities &amp; levers'!$C$14="On",'Net zero Activity data'!AY50*ManureNEF*NtoN2O*kgtoGg,"ERROR"))</f>
        <v>0.35466795819711511</v>
      </c>
      <c r="AG1120" s="101">
        <f>IF('Net zero activities &amp; levers'!$C$14="Off",'Activity data'!AZ50*ManureNEF*NtoN2O*kgtoGg,IF('Net zero activities &amp; levers'!$C$14="On",'Net zero Activity data'!AZ50*ManureNEF*NtoN2O*kgtoGg,"ERROR"))</f>
        <v>0.36128895123081717</v>
      </c>
      <c r="AH1120" s="101">
        <f>IF('Net zero activities &amp; levers'!$C$14="Off",'Activity data'!BA50*ManureNEF*NtoN2O*kgtoGg,IF('Net zero activities &amp; levers'!$C$14="On",'Net zero Activity data'!BA50*ManureNEF*NtoN2O*kgtoGg,"ERROR"))</f>
        <v>0.3672059105149883</v>
      </c>
      <c r="AI1120" s="101">
        <f>IF('Net zero activities &amp; levers'!$C$14="Off",'Activity data'!BB50*ManureNEF*NtoN2O*kgtoGg,IF('Net zero activities &amp; levers'!$C$14="On",'Net zero Activity data'!BB50*ManureNEF*NtoN2O*kgtoGg,"ERROR"))</f>
        <v>0.37335565795644177</v>
      </c>
      <c r="AJ1120" s="101">
        <f>IF('Net zero activities &amp; levers'!$C$14="Off",'Activity data'!BC50*ManureNEF*NtoN2O*kgtoGg,IF('Net zero activities &amp; levers'!$C$14="On",'Net zero Activity data'!BC50*ManureNEF*NtoN2O*kgtoGg,"ERROR"))</f>
        <v>0.37965939541967392</v>
      </c>
      <c r="AK1120" s="101">
        <f>IF('Net zero activities &amp; levers'!$C$14="Off",'Activity data'!BD50*ManureNEF*NtoN2O*kgtoGg,IF('Net zero activities &amp; levers'!$C$14="On",'Net zero Activity data'!BD50*ManureNEF*NtoN2O*kgtoGg,"ERROR"))</f>
        <v>0.38573384157757729</v>
      </c>
      <c r="AL1120" s="101">
        <f>IF('Net zero activities &amp; levers'!$C$14="Off",'Activity data'!BE50*ManureNEF*NtoN2O*kgtoGg,IF('Net zero activities &amp; levers'!$C$14="On",'Net zero Activity data'!BE50*ManureNEF*NtoN2O*kgtoGg,"ERROR"))</f>
        <v>0.39183684982641387</v>
      </c>
      <c r="AM1120" s="101">
        <f>IF('Net zero activities &amp; levers'!$C$14="Off",'Activity data'!BF50*ManureNEF*NtoN2O*kgtoGg,IF('Net zero activities &amp; levers'!$C$14="On",'Net zero Activity data'!BF50*ManureNEF*NtoN2O*kgtoGg,"ERROR"))</f>
        <v>0.39820299801647968</v>
      </c>
      <c r="AN1120" s="101">
        <f>IF('Net zero activities &amp; levers'!$C$14="Off",'Activity data'!BG50*ManureNEF*NtoN2O*kgtoGg,IF('Net zero activities &amp; levers'!$C$14="On",'Net zero Activity data'!BG50*ManureNEF*NtoN2O*kgtoGg,"ERROR"))</f>
        <v>0.40477776755272044</v>
      </c>
      <c r="AO1120" s="101">
        <f>IF('Net zero activities &amp; levers'!$C$14="Off",'Activity data'!BH50*ManureNEF*NtoN2O*kgtoGg,IF('Net zero activities &amp; levers'!$C$14="On",'Net zero Activity data'!BH50*ManureNEF*NtoN2O*kgtoGg,"ERROR"))</f>
        <v>0.41100422998861352</v>
      </c>
      <c r="AP1120" s="101">
        <f>IF('Net zero activities &amp; levers'!$C$14="Off",'Activity data'!BI50*ManureNEF*NtoN2O*kgtoGg,IF('Net zero activities &amp; levers'!$C$14="On",'Net zero Activity data'!BI50*ManureNEF*NtoN2O*kgtoGg,"ERROR"))</f>
        <v>0.41735322963594684</v>
      </c>
      <c r="AQ1120" s="101">
        <f>IF('Net zero activities &amp; levers'!$C$14="Off",'Activity data'!BJ50*ManureNEF*NtoN2O*kgtoGg,IF('Net zero activities &amp; levers'!$C$14="On",'Net zero Activity data'!BJ50*ManureNEF*NtoN2O*kgtoGg,"ERROR"))</f>
        <v>0.42383669255451001</v>
      </c>
      <c r="AR1120" s="101">
        <f>IF('Net zero activities &amp; levers'!$C$14="Off",'Activity data'!BK50*ManureNEF*NtoN2O*kgtoGg,IF('Net zero activities &amp; levers'!$C$14="On",'Net zero Activity data'!BK50*ManureNEF*NtoN2O*kgtoGg,"ERROR"))</f>
        <v>0.43079358556744485</v>
      </c>
      <c r="AS1120" s="101">
        <f>IF('Net zero activities &amp; levers'!$C$14="Off",'Activity data'!BL50*ManureNEF*NtoN2O*kgtoGg,IF('Net zero activities &amp; levers'!$C$14="On",'Net zero Activity data'!BL50*ManureNEF*NtoN2O*kgtoGg,"ERROR"))</f>
        <v>0.43780906883485171</v>
      </c>
      <c r="AT1120" s="101">
        <f>IF('Net zero activities &amp; levers'!$C$14="Off",'Activity data'!BM50*ManureNEF*NtoN2O*kgtoGg,IF('Net zero activities &amp; levers'!$C$14="On",'Net zero Activity data'!BM50*ManureNEF*NtoN2O*kgtoGg,"ERROR"))</f>
        <v>0.44169815214499408</v>
      </c>
      <c r="AU1120" s="101">
        <f>IF('Net zero activities &amp; levers'!$C$14="Off",'Activity data'!BN50*ManureNEF*NtoN2O*kgtoGg,IF('Net zero activities &amp; levers'!$C$14="On",'Net zero Activity data'!BN50*ManureNEF*NtoN2O*kgtoGg,"ERROR"))</f>
        <v>0.44539245953023399</v>
      </c>
      <c r="AV1120" s="101">
        <f>IF('Net zero activities &amp; levers'!$C$14="Off",'Activity data'!BO50*ManureNEF*NtoN2O*kgtoGg,IF('Net zero activities &amp; levers'!$C$14="On",'Net zero Activity data'!BO50*ManureNEF*NtoN2O*kgtoGg,"ERROR"))</f>
        <v>0.44954287143823818</v>
      </c>
      <c r="AW1120" s="101">
        <f>IF('Net zero activities &amp; levers'!$C$14="Off",'Activity data'!BP50*ManureNEF*NtoN2O*kgtoGg,IF('Net zero activities &amp; levers'!$C$14="On",'Net zero Activity data'!BP50*ManureNEF*NtoN2O*kgtoGg,"ERROR"))</f>
        <v>0.45353585919393219</v>
      </c>
      <c r="AY1120" s="85"/>
    </row>
    <row r="1121" spans="1:51" x14ac:dyDescent="0.25">
      <c r="A1121" s="102" t="str">
        <f t="shared" si="374"/>
        <v>CM Organic</v>
      </c>
      <c r="B1121" s="102" t="s">
        <v>1323</v>
      </c>
      <c r="C1121" s="102" t="s">
        <v>1128</v>
      </c>
      <c r="D1121" t="s">
        <v>369</v>
      </c>
      <c r="E1121" t="s">
        <v>55</v>
      </c>
      <c r="F1121" t="s">
        <v>421</v>
      </c>
      <c r="G1121" t="s">
        <v>1155</v>
      </c>
      <c r="H1121" t="s">
        <v>1156</v>
      </c>
      <c r="I1121" t="s">
        <v>139</v>
      </c>
      <c r="J1121" t="s">
        <v>287</v>
      </c>
      <c r="K1121" s="101">
        <f>IF('Net zero activities &amp; levers'!$C$14="Off",'Activity data'!AD51*ManureNEF*NtoN2O*kgtoGg,IF('Net zero activities &amp; levers'!$C$14="On",'Net zero Activity data'!AD51*ManureNEF*NtoN2O*kgtoGg,"ERROR"))</f>
        <v>0.93305416014115006</v>
      </c>
      <c r="L1121" s="101">
        <f>IF('Net zero activities &amp; levers'!$C$14="Off",'Activity data'!AE51*ManureNEF*NtoN2O*kgtoGg,IF('Net zero activities &amp; levers'!$C$14="On",'Net zero Activity data'!AE51*ManureNEF*NtoN2O*kgtoGg,"ERROR"))</f>
        <v>0.93935419421673338</v>
      </c>
      <c r="M1121" s="101">
        <f>IF('Net zero activities &amp; levers'!$C$14="Off",'Activity data'!AF51*ManureNEF*NtoN2O*kgtoGg,IF('Net zero activities &amp; levers'!$C$14="On",'Net zero Activity data'!AF51*ManureNEF*NtoN2O*kgtoGg,"ERROR"))</f>
        <v>0.94486512819222468</v>
      </c>
      <c r="N1121" s="101">
        <f>IF('Net zero activities &amp; levers'!$C$14="Off",'Activity data'!AG51*ManureNEF*NtoN2O*kgtoGg,IF('Net zero activities &amp; levers'!$C$14="On",'Net zero Activity data'!AG51*ManureNEF*NtoN2O*kgtoGg,"ERROR"))</f>
        <v>0.94557797905356933</v>
      </c>
      <c r="O1121" s="101">
        <f>IF('Net zero activities &amp; levers'!$C$14="Off",'Activity data'!AH51*ManureNEF*NtoN2O*kgtoGg,IF('Net zero activities &amp; levers'!$C$14="On",'Net zero Activity data'!AH51*ManureNEF*NtoN2O*kgtoGg,"ERROR"))</f>
        <v>0.94680579476873028</v>
      </c>
      <c r="P1121" s="101">
        <f>IF('Net zero activities &amp; levers'!$C$14="Off",'Activity data'!AI51*ManureNEF*NtoN2O*kgtoGg,IF('Net zero activities &amp; levers'!$C$14="On",'Net zero Activity data'!AI51*ManureNEF*NtoN2O*kgtoGg,"ERROR"))</f>
        <v>0.9538507748686591</v>
      </c>
      <c r="Q1121" s="101">
        <f>IF('Net zero activities &amp; levers'!$C$14="Off",'Activity data'!AJ51*ManureNEF*NtoN2O*kgtoGg,IF('Net zero activities &amp; levers'!$C$14="On",'Net zero Activity data'!AJ51*ManureNEF*NtoN2O*kgtoGg,"ERROR"))</f>
        <v>0.95948417932585228</v>
      </c>
      <c r="R1121" s="101">
        <f>IF('Net zero activities &amp; levers'!$C$14="Off",'Activity data'!AK51*ManureNEF*NtoN2O*kgtoGg,IF('Net zero activities &amp; levers'!$C$14="On",'Net zero Activity data'!AK51*ManureNEF*NtoN2O*kgtoGg,"ERROR"))</f>
        <v>0.95953357335487388</v>
      </c>
      <c r="S1121" s="101">
        <f>IF('Net zero activities &amp; levers'!$C$14="Off",'Activity data'!AL51*ManureNEF*NtoN2O*kgtoGg,IF('Net zero activities &amp; levers'!$C$14="On",'Net zero Activity data'!AL51*ManureNEF*NtoN2O*kgtoGg,"ERROR"))</f>
        <v>0.9341119283208017</v>
      </c>
      <c r="T1121" s="101">
        <f>IF('Net zero activities &amp; levers'!$C$14="Off",'Activity data'!AM51*ManureNEF*NtoN2O*kgtoGg,IF('Net zero activities &amp; levers'!$C$14="On",'Net zero Activity data'!AM51*ManureNEF*NtoN2O*kgtoGg,"ERROR"))</f>
        <v>0.93882184042149186</v>
      </c>
      <c r="U1121" s="101">
        <f>IF('Net zero activities &amp; levers'!$C$14="Off",'Activity data'!AN51*ManureNEF*NtoN2O*kgtoGg,IF('Net zero activities &amp; levers'!$C$14="On",'Net zero Activity data'!AN51*ManureNEF*NtoN2O*kgtoGg,"ERROR"))</f>
        <v>0.9403985001403965</v>
      </c>
      <c r="V1121" s="101">
        <f>IF('Net zero activities &amp; levers'!$C$14="Off",'Activity data'!AO51*ManureNEF*NtoN2O*kgtoGg,IF('Net zero activities &amp; levers'!$C$14="On",'Net zero Activity data'!AO51*ManureNEF*NtoN2O*kgtoGg,"ERROR"))</f>
        <v>0.9413135515087423</v>
      </c>
      <c r="W1121" s="101">
        <f>IF('Net zero activities &amp; levers'!$C$14="Off",'Activity data'!AP51*ManureNEF*NtoN2O*kgtoGg,IF('Net zero activities &amp; levers'!$C$14="On",'Net zero Activity data'!AP51*ManureNEF*NtoN2O*kgtoGg,"ERROR"))</f>
        <v>0.94344273462109896</v>
      </c>
      <c r="X1121" s="101">
        <f>IF('Net zero activities &amp; levers'!$C$14="Off",'Activity data'!AQ51*ManureNEF*NtoN2O*kgtoGg,IF('Net zero activities &amp; levers'!$C$14="On",'Net zero Activity data'!AQ51*ManureNEF*NtoN2O*kgtoGg,"ERROR"))</f>
        <v>0.94963531199463536</v>
      </c>
      <c r="Y1121" s="101">
        <f>IF('Net zero activities &amp; levers'!$C$14="Off",'Activity data'!AR51*ManureNEF*NtoN2O*kgtoGg,IF('Net zero activities &amp; levers'!$C$14="On",'Net zero Activity data'!AR51*ManureNEF*NtoN2O*kgtoGg,"ERROR"))</f>
        <v>0.95616513801260428</v>
      </c>
      <c r="Z1121" s="101">
        <f>IF('Net zero activities &amp; levers'!$C$14="Off",'Activity data'!AS51*ManureNEF*NtoN2O*kgtoGg,IF('Net zero activities &amp; levers'!$C$14="On",'Net zero Activity data'!AS51*ManureNEF*NtoN2O*kgtoGg,"ERROR"))</f>
        <v>0.96368714878341188</v>
      </c>
      <c r="AA1121" s="101">
        <f>IF('Net zero activities &amp; levers'!$C$14="Off",'Activity data'!AT51*ManureNEF*NtoN2O*kgtoGg,IF('Net zero activities &amp; levers'!$C$14="On",'Net zero Activity data'!AT51*ManureNEF*NtoN2O*kgtoGg,"ERROR"))</f>
        <v>0.96954792676567825</v>
      </c>
      <c r="AB1121" s="101">
        <f>IF('Net zero activities &amp; levers'!$C$14="Off",'Activity data'!AU51*ManureNEF*NtoN2O*kgtoGg,IF('Net zero activities &amp; levers'!$C$14="On",'Net zero Activity data'!AU51*ManureNEF*NtoN2O*kgtoGg,"ERROR"))</f>
        <v>0.97719605092192963</v>
      </c>
      <c r="AC1121" s="101">
        <f>IF('Net zero activities &amp; levers'!$C$14="Off",'Activity data'!AV51*ManureNEF*NtoN2O*kgtoGg,IF('Net zero activities &amp; levers'!$C$14="On",'Net zero Activity data'!AV51*ManureNEF*NtoN2O*kgtoGg,"ERROR"))</f>
        <v>0.9870246290997885</v>
      </c>
      <c r="AD1121" s="101">
        <f>IF('Net zero activities &amp; levers'!$C$14="Off",'Activity data'!AW51*ManureNEF*NtoN2O*kgtoGg,IF('Net zero activities &amp; levers'!$C$14="On",'Net zero Activity data'!AW51*ManureNEF*NtoN2O*kgtoGg,"ERROR"))</f>
        <v>1.0029595161341345</v>
      </c>
      <c r="AE1121" s="101">
        <f>IF('Net zero activities &amp; levers'!$C$14="Off",'Activity data'!AX51*ManureNEF*NtoN2O*kgtoGg,IF('Net zero activities &amp; levers'!$C$14="On",'Net zero Activity data'!AX51*ManureNEF*NtoN2O*kgtoGg,"ERROR"))</f>
        <v>1.0197502538081691</v>
      </c>
      <c r="AF1121" s="101">
        <f>IF('Net zero activities &amp; levers'!$C$14="Off",'Activity data'!AY51*ManureNEF*NtoN2O*kgtoGg,IF('Net zero activities &amp; levers'!$C$14="On",'Net zero Activity data'!AY51*ManureNEF*NtoN2O*kgtoGg,"ERROR"))</f>
        <v>1.0370387407349775</v>
      </c>
      <c r="AG1121" s="101">
        <f>IF('Net zero activities &amp; levers'!$C$14="Off",'Activity data'!AZ51*ManureNEF*NtoN2O*kgtoGg,IF('Net zero activities &amp; levers'!$C$14="On",'Net zero Activity data'!AZ51*ManureNEF*NtoN2O*kgtoGg,"ERROR"))</f>
        <v>1.0563983307948988</v>
      </c>
      <c r="AH1121" s="101">
        <f>IF('Net zero activities &amp; levers'!$C$14="Off",'Activity data'!BA51*ManureNEF*NtoN2O*kgtoGg,IF('Net zero activities &amp; levers'!$C$14="On",'Net zero Activity data'!BA51*ManureNEF*NtoN2O*kgtoGg,"ERROR"))</f>
        <v>1.0736993467542446</v>
      </c>
      <c r="AI1121" s="101">
        <f>IF('Net zero activities &amp; levers'!$C$14="Off",'Activity data'!BB51*ManureNEF*NtoN2O*kgtoGg,IF('Net zero activities &amp; levers'!$C$14="On",'Net zero Activity data'!BB51*ManureNEF*NtoN2O*kgtoGg,"ERROR"))</f>
        <v>1.0916810284797154</v>
      </c>
      <c r="AJ1121" s="101">
        <f>IF('Net zero activities &amp; levers'!$C$14="Off",'Activity data'!BC51*ManureNEF*NtoN2O*kgtoGg,IF('Net zero activities &amp; levers'!$C$14="On",'Net zero Activity data'!BC51*ManureNEF*NtoN2O*kgtoGg,"ERROR"))</f>
        <v>1.1101129725268319</v>
      </c>
      <c r="AK1121" s="101">
        <f>IF('Net zero activities &amp; levers'!$C$14="Off",'Activity data'!BD51*ManureNEF*NtoN2O*kgtoGg,IF('Net zero activities &amp; levers'!$C$14="On",'Net zero Activity data'!BD51*ManureNEF*NtoN2O*kgtoGg,"ERROR"))</f>
        <v>1.127874475500702</v>
      </c>
      <c r="AL1121" s="101">
        <f>IF('Net zero activities &amp; levers'!$C$14="Off",'Activity data'!BE51*ManureNEF*NtoN2O*kgtoGg,IF('Net zero activities &amp; levers'!$C$14="On",'Net zero Activity data'!BE51*ManureNEF*NtoN2O*kgtoGg,"ERROR"))</f>
        <v>1.1457194931934229</v>
      </c>
      <c r="AM1121" s="101">
        <f>IF('Net zero activities &amp; levers'!$C$14="Off",'Activity data'!BF51*ManureNEF*NtoN2O*kgtoGg,IF('Net zero activities &amp; levers'!$C$14="On",'Net zero Activity data'!BF51*ManureNEF*NtoN2O*kgtoGg,"ERROR"))</f>
        <v>1.1643339243811677</v>
      </c>
      <c r="AN1121" s="101">
        <f>IF('Net zero activities &amp; levers'!$C$14="Off",'Activity data'!BG51*ManureNEF*NtoN2O*kgtoGg,IF('Net zero activities &amp; levers'!$C$14="On",'Net zero Activity data'!BG51*ManureNEF*NtoN2O*kgtoGg,"ERROR"))</f>
        <v>1.1835583582858968</v>
      </c>
      <c r="AO1121" s="101">
        <f>IF('Net zero activities &amp; levers'!$C$14="Off",'Activity data'!BH51*ManureNEF*NtoN2O*kgtoGg,IF('Net zero activities &amp; levers'!$C$14="On",'Net zero Activity data'!BH51*ManureNEF*NtoN2O*kgtoGg,"ERROR"))</f>
        <v>1.2017643524122779</v>
      </c>
      <c r="AP1121" s="101">
        <f>IF('Net zero activities &amp; levers'!$C$14="Off",'Activity data'!BI51*ManureNEF*NtoN2O*kgtoGg,IF('Net zero activities &amp; levers'!$C$14="On",'Net zero Activity data'!BI51*ManureNEF*NtoN2O*kgtoGg,"ERROR"))</f>
        <v>1.2203286417624255</v>
      </c>
      <c r="AQ1121" s="101">
        <f>IF('Net zero activities &amp; levers'!$C$14="Off",'Activity data'!BJ51*ManureNEF*NtoN2O*kgtoGg,IF('Net zero activities &amp; levers'!$C$14="On",'Net zero Activity data'!BJ51*ManureNEF*NtoN2O*kgtoGg,"ERROR"))</f>
        <v>1.2392860977864963</v>
      </c>
      <c r="AR1121" s="101">
        <f>IF('Net zero activities &amp; levers'!$C$14="Off",'Activity data'!BK51*ManureNEF*NtoN2O*kgtoGg,IF('Net zero activities &amp; levers'!$C$14="On",'Net zero Activity data'!BK51*ManureNEF*NtoN2O*kgtoGg,"ERROR"))</f>
        <v>1.259627849565359</v>
      </c>
      <c r="AS1121" s="101">
        <f>IF('Net zero activities &amp; levers'!$C$14="Off",'Activity data'!BL51*ManureNEF*NtoN2O*kgtoGg,IF('Net zero activities &amp; levers'!$C$14="On",'Net zero Activity data'!BL51*ManureNEF*NtoN2O*kgtoGg,"ERROR"))</f>
        <v>1.28014091753536</v>
      </c>
      <c r="AT1121" s="101">
        <f>IF('Net zero activities &amp; levers'!$C$14="Off",'Activity data'!BM51*ManureNEF*NtoN2O*kgtoGg,IF('Net zero activities &amp; levers'!$C$14="On",'Net zero Activity data'!BM51*ManureNEF*NtoN2O*kgtoGg,"ERROR"))</f>
        <v>1.2915124834334053</v>
      </c>
      <c r="AU1121" s="101">
        <f>IF('Net zero activities &amp; levers'!$C$14="Off",'Activity data'!BN51*ManureNEF*NtoN2O*kgtoGg,IF('Net zero activities &amp; levers'!$C$14="On",'Net zero Activity data'!BN51*ManureNEF*NtoN2O*kgtoGg,"ERROR"))</f>
        <v>1.3023145302214827</v>
      </c>
      <c r="AV1121" s="101">
        <f>IF('Net zero activities &amp; levers'!$C$14="Off",'Activity data'!BO51*ManureNEF*NtoN2O*kgtoGg,IF('Net zero activities &amp; levers'!$C$14="On",'Net zero Activity data'!BO51*ManureNEF*NtoN2O*kgtoGg,"ERROR"))</f>
        <v>1.3144502132995008</v>
      </c>
      <c r="AW1121" s="101">
        <f>IF('Net zero activities &amp; levers'!$C$14="Off",'Activity data'!BP51*ManureNEF*NtoN2O*kgtoGg,IF('Net zero activities &amp; levers'!$C$14="On",'Net zero Activity data'!BP51*ManureNEF*NtoN2O*kgtoGg,"ERROR"))</f>
        <v>1.3261255927585993</v>
      </c>
      <c r="AY1121" s="85"/>
    </row>
    <row r="1122" spans="1:51" x14ac:dyDescent="0.25">
      <c r="A1122" s="102" t="str">
        <f t="shared" si="374"/>
        <v>CM Organic</v>
      </c>
      <c r="B1122" s="102" t="s">
        <v>1323</v>
      </c>
      <c r="C1122" s="102" t="s">
        <v>1128</v>
      </c>
      <c r="D1122" t="s">
        <v>369</v>
      </c>
      <c r="E1122" t="s">
        <v>55</v>
      </c>
      <c r="F1122" t="s">
        <v>421</v>
      </c>
      <c r="G1122" t="s">
        <v>1157</v>
      </c>
      <c r="H1122" t="s">
        <v>1158</v>
      </c>
      <c r="I1122" t="s">
        <v>139</v>
      </c>
      <c r="J1122" t="s">
        <v>287</v>
      </c>
      <c r="K1122" s="101">
        <f>IF('Net zero activities &amp; levers'!$C$14="Off",'Activity data'!AD52*ManureNEF*NtoN2O*kgtoGg,IF('Net zero activities &amp; levers'!$C$14="On",'Net zero Activity data'!AD52*ManureNEF*NtoN2O*kgtoGg,"ERROR"))</f>
        <v>4.9913136648560473E-2</v>
      </c>
      <c r="L1122" s="101">
        <f>IF('Net zero activities &amp; levers'!$C$14="Off",'Activity data'!AE52*ManureNEF*NtoN2O*kgtoGg,IF('Net zero activities &amp; levers'!$C$14="On",'Net zero Activity data'!AE52*ManureNEF*NtoN2O*kgtoGg,"ERROR"))</f>
        <v>5.0250152949583772E-2</v>
      </c>
      <c r="M1122" s="101">
        <f>IF('Net zero activities &amp; levers'!$C$14="Off",'Activity data'!AF52*ManureNEF*NtoN2O*kgtoGg,IF('Net zero activities &amp; levers'!$C$14="On",'Net zero Activity data'!AF52*ManureNEF*NtoN2O*kgtoGg,"ERROR"))</f>
        <v>5.0544956844502678E-2</v>
      </c>
      <c r="N1122" s="101">
        <f>IF('Net zero activities &amp; levers'!$C$14="Off",'Activity data'!AG52*ManureNEF*NtoN2O*kgtoGg,IF('Net zero activities &amp; levers'!$C$14="On",'Net zero Activity data'!AG52*ManureNEF*NtoN2O*kgtoGg,"ERROR"))</f>
        <v>5.0583090346256708E-2</v>
      </c>
      <c r="O1122" s="101">
        <f>IF('Net zero activities &amp; levers'!$C$14="Off",'Activity data'!AH52*ManureNEF*NtoN2O*kgtoGg,IF('Net zero activities &amp; levers'!$C$14="On",'Net zero Activity data'!AH52*ManureNEF*NtoN2O*kgtoGg,"ERROR"))</f>
        <v>5.0648771564119566E-2</v>
      </c>
      <c r="P1122" s="101">
        <f>IF('Net zero activities &amp; levers'!$C$14="Off",'Activity data'!AI52*ManureNEF*NtoN2O*kgtoGg,IF('Net zero activities &amp; levers'!$C$14="On",'Net zero Activity data'!AI52*ManureNEF*NtoN2O*kgtoGg,"ERROR"))</f>
        <v>5.1025638277152528E-2</v>
      </c>
      <c r="Q1122" s="101">
        <f>IF('Net zero activities &amp; levers'!$C$14="Off",'Activity data'!AJ52*ManureNEF*NtoN2O*kgtoGg,IF('Net zero activities &amp; levers'!$C$14="On",'Net zero Activity data'!AJ52*ManureNEF*NtoN2O*kgtoGg,"ERROR"))</f>
        <v>5.1326993652306703E-2</v>
      </c>
      <c r="R1122" s="101">
        <f>IF('Net zero activities &amp; levers'!$C$14="Off",'Activity data'!AK52*ManureNEF*NtoN2O*kgtoGg,IF('Net zero activities &amp; levers'!$C$14="On",'Net zero Activity data'!AK52*ManureNEF*NtoN2O*kgtoGg,"ERROR"))</f>
        <v>5.1329635954356786E-2</v>
      </c>
      <c r="S1122" s="101">
        <f>IF('Net zero activities &amp; levers'!$C$14="Off",'Activity data'!AL52*ManureNEF*NtoN2O*kgtoGg,IF('Net zero activities &amp; levers'!$C$14="On",'Net zero Activity data'!AL52*ManureNEF*NtoN2O*kgtoGg,"ERROR"))</f>
        <v>4.9969721282067128E-2</v>
      </c>
      <c r="T1122" s="101">
        <f>IF('Net zero activities &amp; levers'!$C$14="Off",'Activity data'!AM52*ManureNEF*NtoN2O*kgtoGg,IF('Net zero activities &amp; levers'!$C$14="On",'Net zero Activity data'!AM52*ManureNEF*NtoN2O*kgtoGg,"ERROR"))</f>
        <v>5.0221675023154243E-2</v>
      </c>
      <c r="U1122" s="101">
        <f>IF('Net zero activities &amp; levers'!$C$14="Off",'Activity data'!AN52*ManureNEF*NtoN2O*kgtoGg,IF('Net zero activities &amp; levers'!$C$14="On",'Net zero Activity data'!AN52*ManureNEF*NtoN2O*kgtoGg,"ERROR"))</f>
        <v>5.0306017428300452E-2</v>
      </c>
      <c r="V1122" s="101">
        <f>IF('Net zero activities &amp; levers'!$C$14="Off",'Activity data'!AO52*ManureNEF*NtoN2O*kgtoGg,IF('Net zero activities &amp; levers'!$C$14="On",'Net zero Activity data'!AO52*ManureNEF*NtoN2O*kgtoGg,"ERROR"))</f>
        <v>5.0354967517094631E-2</v>
      </c>
      <c r="W1122" s="101">
        <f>IF('Net zero activities &amp; levers'!$C$14="Off",'Activity data'!AP52*ManureNEF*NtoN2O*kgtoGg,IF('Net zero activities &amp; levers'!$C$14="On",'Net zero Activity data'!AP52*ManureNEF*NtoN2O*kgtoGg,"ERROR"))</f>
        <v>5.0468866808450641E-2</v>
      </c>
      <c r="X1122" s="101">
        <f>IF('Net zero activities &amp; levers'!$C$14="Off",'Activity data'!AQ52*ManureNEF*NtoN2O*kgtoGg,IF('Net zero activities &amp; levers'!$C$14="On",'Net zero Activity data'!AQ52*ManureNEF*NtoN2O*kgtoGg,"ERROR"))</f>
        <v>5.0800134781796756E-2</v>
      </c>
      <c r="Y1122" s="101">
        <f>IF('Net zero activities &amp; levers'!$C$14="Off",'Activity data'!AR52*ManureNEF*NtoN2O*kgtoGg,IF('Net zero activities &amp; levers'!$C$14="On",'Net zero Activity data'!AR52*ManureNEF*NtoN2O*kgtoGg,"ERROR"))</f>
        <v>5.1149443656082136E-2</v>
      </c>
      <c r="Z1122" s="101">
        <f>IF('Net zero activities &amp; levers'!$C$14="Off",'Activity data'!AS52*ManureNEF*NtoN2O*kgtoGg,IF('Net zero activities &amp; levers'!$C$14="On",'Net zero Activity data'!AS52*ManureNEF*NtoN2O*kgtoGg,"ERROR"))</f>
        <v>5.1551828820324337E-2</v>
      </c>
      <c r="AA1122" s="101">
        <f>IF('Net zero activities &amp; levers'!$C$14="Off",'Activity data'!AT52*ManureNEF*NtoN2O*kgtoGg,IF('Net zero activities &amp; levers'!$C$14="On",'Net zero Activity data'!AT52*ManureNEF*NtoN2O*kgtoGg,"ERROR"))</f>
        <v>5.1865347397050357E-2</v>
      </c>
      <c r="AB1122" s="101">
        <f>IF('Net zero activities &amp; levers'!$C$14="Off",'Activity data'!AU52*ManureNEF*NtoN2O*kgtoGg,IF('Net zero activities &amp; levers'!$C$14="On",'Net zero Activity data'!AU52*ManureNEF*NtoN2O*kgtoGg,"ERROR"))</f>
        <v>5.2274478916337901E-2</v>
      </c>
      <c r="AC1122" s="101">
        <f>IF('Net zero activities &amp; levers'!$C$14="Off",'Activity data'!AV52*ManureNEF*NtoN2O*kgtoGg,IF('Net zero activities &amp; levers'!$C$14="On",'Net zero Activity data'!AV52*ManureNEF*NtoN2O*kgtoGg,"ERROR"))</f>
        <v>5.2800252431541274E-2</v>
      </c>
      <c r="AD1122" s="101">
        <f>IF('Net zero activities &amp; levers'!$C$14="Off",'Activity data'!AW52*ManureNEF*NtoN2O*kgtoGg,IF('Net zero activities &amp; levers'!$C$14="On",'Net zero Activity data'!AW52*ManureNEF*NtoN2O*kgtoGg,"ERROR"))</f>
        <v>5.3652679040843747E-2</v>
      </c>
      <c r="AE1122" s="101">
        <f>IF('Net zero activities &amp; levers'!$C$14="Off",'Activity data'!AX52*ManureNEF*NtoN2O*kgtoGg,IF('Net zero activities &amp; levers'!$C$14="On",'Net zero Activity data'!AX52*ManureNEF*NtoN2O*kgtoGg,"ERROR"))</f>
        <v>5.4550888833753766E-2</v>
      </c>
      <c r="AF1122" s="101">
        <f>IF('Net zero activities &amp; levers'!$C$14="Off",'Activity data'!AY52*ManureNEF*NtoN2O*kgtoGg,IF('Net zero activities &amp; levers'!$C$14="On",'Net zero Activity data'!AY52*ManureNEF*NtoN2O*kgtoGg,"ERROR"))</f>
        <v>5.5475725405185056E-2</v>
      </c>
      <c r="AG1122" s="101">
        <f>IF('Net zero activities &amp; levers'!$C$14="Off",'Activity data'!AZ52*ManureNEF*NtoN2O*kgtoGg,IF('Net zero activities &amp; levers'!$C$14="On",'Net zero Activity data'!AZ52*ManureNEF*NtoN2O*kgtoGg,"ERROR"))</f>
        <v>5.6511354316560125E-2</v>
      </c>
      <c r="AH1122" s="101">
        <f>IF('Net zero activities &amp; levers'!$C$14="Off",'Activity data'!BA52*ManureNEF*NtoN2O*kgtoGg,IF('Net zero activities &amp; levers'!$C$14="On",'Net zero Activity data'!BA52*ManureNEF*NtoN2O*kgtoGg,"ERROR"))</f>
        <v>5.7436861120588684E-2</v>
      </c>
      <c r="AI1122" s="101">
        <f>IF('Net zero activities &amp; levers'!$C$14="Off",'Activity data'!BB52*ManureNEF*NtoN2O*kgtoGg,IF('Net zero activities &amp; levers'!$C$14="On",'Net zero Activity data'!BB52*ManureNEF*NtoN2O*kgtoGg,"ERROR"))</f>
        <v>5.8398779705248934E-2</v>
      </c>
      <c r="AJ1122" s="101">
        <f>IF('Net zero activities &amp; levers'!$C$14="Off",'Activity data'!BC52*ManureNEF*NtoN2O*kgtoGg,IF('Net zero activities &amp; levers'!$C$14="On",'Net zero Activity data'!BC52*ManureNEF*NtoN2O*kgtoGg,"ERROR"))</f>
        <v>5.93847847853647E-2</v>
      </c>
      <c r="AK1122" s="101">
        <f>IF('Net zero activities &amp; levers'!$C$14="Off",'Activity data'!BD52*ManureNEF*NtoN2O*kgtoGg,IF('Net zero activities &amp; levers'!$C$14="On",'Net zero Activity data'!BD52*ManureNEF*NtoN2O*kgtoGg,"ERROR"))</f>
        <v>6.0334925048266999E-2</v>
      </c>
      <c r="AL1122" s="101">
        <f>IF('Net zero activities &amp; levers'!$C$14="Off",'Activity data'!BE52*ManureNEF*NtoN2O*kgtoGg,IF('Net zero activities &amp; levers'!$C$14="On",'Net zero Activity data'!BE52*ManureNEF*NtoN2O*kgtoGg,"ERROR"))</f>
        <v>6.1289532877739632E-2</v>
      </c>
      <c r="AM1122" s="101">
        <f>IF('Net zero activities &amp; levers'!$C$14="Off",'Activity data'!BF52*ManureNEF*NtoN2O*kgtoGg,IF('Net zero activities &amp; levers'!$C$14="On",'Net zero Activity data'!BF52*ManureNEF*NtoN2O*kgtoGg,"ERROR"))</f>
        <v>6.2285299990946209E-2</v>
      </c>
      <c r="AN1122" s="101">
        <f>IF('Net zero activities &amp; levers'!$C$14="Off",'Activity data'!BG52*ManureNEF*NtoN2O*kgtoGg,IF('Net zero activities &amp; levers'!$C$14="On",'Net zero Activity data'!BG52*ManureNEF*NtoN2O*kgtoGg,"ERROR"))</f>
        <v>6.3313698810081018E-2</v>
      </c>
      <c r="AO1122" s="101">
        <f>IF('Net zero activities &amp; levers'!$C$14="Off",'Activity data'!BH52*ManureNEF*NtoN2O*kgtoGg,IF('Net zero activities &amp; levers'!$C$14="On",'Net zero Activity data'!BH52*ManureNEF*NtoN2O*kgtoGg,"ERROR"))</f>
        <v>6.4287616843430179E-2</v>
      </c>
      <c r="AP1122" s="101">
        <f>IF('Net zero activities &amp; levers'!$C$14="Off",'Activity data'!BI52*ManureNEF*NtoN2O*kgtoGg,IF('Net zero activities &amp; levers'!$C$14="On",'Net zero Activity data'!BI52*ManureNEF*NtoN2O*kgtoGg,"ERROR"))</f>
        <v>6.5280701651044326E-2</v>
      </c>
      <c r="AQ1122" s="101">
        <f>IF('Net zero activities &amp; levers'!$C$14="Off",'Activity data'!BJ52*ManureNEF*NtoN2O*kgtoGg,IF('Net zero activities &amp; levers'!$C$14="On",'Net zero Activity data'!BJ52*ManureNEF*NtoN2O*kgtoGg,"ERROR"))</f>
        <v>6.6294818658888088E-2</v>
      </c>
      <c r="AR1122" s="101">
        <f>IF('Net zero activities &amp; levers'!$C$14="Off",'Activity data'!BK52*ManureNEF*NtoN2O*kgtoGg,IF('Net zero activities &amp; levers'!$C$14="On",'Net zero Activity data'!BK52*ManureNEF*NtoN2O*kgtoGg,"ERROR"))</f>
        <v>6.7382987684420179E-2</v>
      </c>
      <c r="AS1122" s="101">
        <f>IF('Net zero activities &amp; levers'!$C$14="Off",'Activity data'!BL52*ManureNEF*NtoN2O*kgtoGg,IF('Net zero activities &amp; levers'!$C$14="On",'Net zero Activity data'!BL52*ManureNEF*NtoN2O*kgtoGg,"ERROR"))</f>
        <v>6.8480321160231464E-2</v>
      </c>
      <c r="AT1122" s="101">
        <f>IF('Net zero activities &amp; levers'!$C$14="Off",'Activity data'!BM52*ManureNEF*NtoN2O*kgtoGg,IF('Net zero activities &amp; levers'!$C$14="On",'Net zero Activity data'!BM52*ManureNEF*NtoN2O*kgtoGg,"ERROR"))</f>
        <v>6.9088635818505301E-2</v>
      </c>
      <c r="AU1122" s="101">
        <f>IF('Net zero activities &amp; levers'!$C$14="Off",'Activity data'!BN52*ManureNEF*NtoN2O*kgtoGg,IF('Net zero activities &amp; levers'!$C$14="On",'Net zero Activity data'!BN52*ManureNEF*NtoN2O*kgtoGg,"ERROR"))</f>
        <v>6.9666484415564098E-2</v>
      </c>
      <c r="AV1122" s="101">
        <f>IF('Net zero activities &amp; levers'!$C$14="Off",'Activity data'!BO52*ManureNEF*NtoN2O*kgtoGg,IF('Net zero activities &amp; levers'!$C$14="On",'Net zero Activity data'!BO52*ManureNEF*NtoN2O*kgtoGg,"ERROR"))</f>
        <v>7.0315675034579334E-2</v>
      </c>
      <c r="AW1122" s="101">
        <f>IF('Net zero activities &amp; levers'!$C$14="Off",'Activity data'!BP52*ManureNEF*NtoN2O*kgtoGg,IF('Net zero activities &amp; levers'!$C$14="On",'Net zero Activity data'!BP52*ManureNEF*NtoN2O*kgtoGg,"ERROR"))</f>
        <v>7.0940242005351567E-2</v>
      </c>
      <c r="AY1122" s="85"/>
    </row>
    <row r="1123" spans="1:51" x14ac:dyDescent="0.25">
      <c r="A1123" s="102" t="str">
        <f t="shared" si="374"/>
        <v>CM Organic</v>
      </c>
      <c r="B1123" s="102" t="s">
        <v>1323</v>
      </c>
      <c r="C1123" s="102" t="s">
        <v>1128</v>
      </c>
      <c r="D1123" t="s">
        <v>369</v>
      </c>
      <c r="E1123" t="s">
        <v>55</v>
      </c>
      <c r="F1123" t="s">
        <v>421</v>
      </c>
      <c r="G1123" t="s">
        <v>1159</v>
      </c>
      <c r="H1123" t="s">
        <v>1160</v>
      </c>
      <c r="I1123" t="s">
        <v>139</v>
      </c>
      <c r="J1123" t="s">
        <v>287</v>
      </c>
      <c r="K1123" s="101">
        <f>IF('Net zero activities &amp; levers'!$C$14="Off",'Activity data'!AD53*ManureNEF*NtoN2O*kgtoGg,IF('Net zero activities &amp; levers'!$C$14="On",'Net zero Activity data'!AD53*ManureNEF*NtoN2O*kgtoGg,"ERROR"))</f>
        <v>0.40197336823107255</v>
      </c>
      <c r="L1123" s="101">
        <f>IF('Net zero activities &amp; levers'!$C$14="Off",'Activity data'!AE53*ManureNEF*NtoN2O*kgtoGg,IF('Net zero activities &amp; levers'!$C$14="On",'Net zero Activity data'!AE53*ManureNEF*NtoN2O*kgtoGg,"ERROR"))</f>
        <v>0.39992683453201888</v>
      </c>
      <c r="M1123" s="101">
        <f>IF('Net zero activities &amp; levers'!$C$14="Off",'Activity data'!AF53*ManureNEF*NtoN2O*kgtoGg,IF('Net zero activities &amp; levers'!$C$14="On",'Net zero Activity data'!AF53*ManureNEF*NtoN2O*kgtoGg,"ERROR"))</f>
        <v>0.39619153570803745</v>
      </c>
      <c r="N1123" s="101">
        <f>IF('Net zero activities &amp; levers'!$C$14="Off",'Activity data'!AG53*ManureNEF*NtoN2O*kgtoGg,IF('Net zero activities &amp; levers'!$C$14="On",'Net zero Activity data'!AG53*ManureNEF*NtoN2O*kgtoGg,"ERROR"))</f>
        <v>0.38596696743557218</v>
      </c>
      <c r="O1123" s="101">
        <f>IF('Net zero activities &amp; levers'!$C$14="Off",'Activity data'!AH53*ManureNEF*NtoN2O*kgtoGg,IF('Net zero activities &amp; levers'!$C$14="On",'Net zero Activity data'!AH53*ManureNEF*NtoN2O*kgtoGg,"ERROR"))</f>
        <v>0.37615042112991043</v>
      </c>
      <c r="P1123" s="101">
        <f>IF('Net zero activities &amp; levers'!$C$14="Off",'Activity data'!AI53*ManureNEF*NtoN2O*kgtoGg,IF('Net zero activities &amp; levers'!$C$14="On",'Net zero Activity data'!AI53*ManureNEF*NtoN2O*kgtoGg,"ERROR"))</f>
        <v>0.37293713836150383</v>
      </c>
      <c r="Q1123" s="101">
        <f>IF('Net zero activities &amp; levers'!$C$14="Off",'Activity data'!AJ53*ManureNEF*NtoN2O*kgtoGg,IF('Net zero activities &amp; levers'!$C$14="On",'Net zero Activity data'!AJ53*ManureNEF*NtoN2O*kgtoGg,"ERROR"))</f>
        <v>0.36774734482056881</v>
      </c>
      <c r="R1123" s="101">
        <f>IF('Net zero activities &amp; levers'!$C$14="Off",'Activity data'!AK53*ManureNEF*NtoN2O*kgtoGg,IF('Net zero activities &amp; levers'!$C$14="On",'Net zero Activity data'!AK53*ManureNEF*NtoN2O*kgtoGg,"ERROR"))</f>
        <v>0.35608688957109119</v>
      </c>
      <c r="S1123" s="101">
        <f>IF('Net zero activities &amp; levers'!$C$14="Off",'Activity data'!AL53*ManureNEF*NtoN2O*kgtoGg,IF('Net zero activities &amp; levers'!$C$14="On",'Net zero Activity data'!AL53*ManureNEF*NtoN2O*kgtoGg,"ERROR"))</f>
        <v>0.31696486473191704</v>
      </c>
      <c r="T1123" s="101">
        <f>IF('Net zero activities &amp; levers'!$C$14="Off",'Activity data'!AM53*ManureNEF*NtoN2O*kgtoGg,IF('Net zero activities &amp; levers'!$C$14="On",'Net zero Activity data'!AM53*ManureNEF*NtoN2O*kgtoGg,"ERROR"))</f>
        <v>0.31648204564301863</v>
      </c>
      <c r="U1123" s="101">
        <f>IF('Net zero activities &amp; levers'!$C$14="Off",'Activity data'!AN53*ManureNEF*NtoN2O*kgtoGg,IF('Net zero activities &amp; levers'!$C$14="On",'Net zero Activity data'!AN53*ManureNEF*NtoN2O*kgtoGg,"ERROR"))</f>
        <v>0.31236529186506867</v>
      </c>
      <c r="V1123" s="101">
        <f>IF('Net zero activities &amp; levers'!$C$14="Off",'Activity data'!AO53*ManureNEF*NtoN2O*kgtoGg,IF('Net zero activities &amp; levers'!$C$14="On",'Net zero Activity data'!AO53*ManureNEF*NtoN2O*kgtoGg,"ERROR"))</f>
        <v>0.30737870112862636</v>
      </c>
      <c r="W1123" s="101">
        <f>IF('Net zero activities &amp; levers'!$C$14="Off",'Activity data'!AP53*ManureNEF*NtoN2O*kgtoGg,IF('Net zero activities &amp; levers'!$C$14="On",'Net zero Activity data'!AP53*ManureNEF*NtoN2O*kgtoGg,"ERROR"))</f>
        <v>0.30339966199657725</v>
      </c>
      <c r="X1123" s="101">
        <f>IF('Net zero activities &amp; levers'!$C$14="Off",'Activity data'!AQ53*ManureNEF*NtoN2O*kgtoGg,IF('Net zero activities &amp; levers'!$C$14="On",'Net zero Activity data'!AQ53*ManureNEF*NtoN2O*kgtoGg,"ERROR"))</f>
        <v>0.3029804135361821</v>
      </c>
      <c r="Y1123" s="101">
        <f>IF('Net zero activities &amp; levers'!$C$14="Off",'Activity data'!AR53*ManureNEF*NtoN2O*kgtoGg,IF('Net zero activities &amp; levers'!$C$14="On",'Net zero Activity data'!AR53*ManureNEF*NtoN2O*kgtoGg,"ERROR"))</f>
        <v>0.30300054164256607</v>
      </c>
      <c r="Z1123" s="101">
        <f>IF('Net zero activities &amp; levers'!$C$14="Off",'Activity data'!AS53*ManureNEF*NtoN2O*kgtoGg,IF('Net zero activities &amp; levers'!$C$14="On",'Net zero Activity data'!AS53*ManureNEF*NtoN2O*kgtoGg,"ERROR"))</f>
        <v>0.30343815391769152</v>
      </c>
      <c r="AA1123" s="101">
        <f>IF('Net zero activities &amp; levers'!$C$14="Off",'Activity data'!AT53*ManureNEF*NtoN2O*kgtoGg,IF('Net zero activities &amp; levers'!$C$14="On",'Net zero Activity data'!AT53*ManureNEF*NtoN2O*kgtoGg,"ERROR"))</f>
        <v>0.30200495968417901</v>
      </c>
      <c r="AB1123" s="101">
        <f>IF('Net zero activities &amp; levers'!$C$14="Off",'Activity data'!AU53*ManureNEF*NtoN2O*kgtoGg,IF('Net zero activities &amp; levers'!$C$14="On",'Net zero Activity data'!AU53*ManureNEF*NtoN2O*kgtoGg,"ERROR"))</f>
        <v>0.30167322485527831</v>
      </c>
      <c r="AC1123" s="101">
        <f>IF('Net zero activities &amp; levers'!$C$14="Off",'Activity data'!AV53*ManureNEF*NtoN2O*kgtoGg,IF('Net zero activities &amp; levers'!$C$14="On",'Net zero Activity data'!AV53*ManureNEF*NtoN2O*kgtoGg,"ERROR"))</f>
        <v>0.30263571404325273</v>
      </c>
      <c r="AD1123" s="101">
        <f>IF('Net zero activities &amp; levers'!$C$14="Off",'Activity data'!AW53*ManureNEF*NtoN2O*kgtoGg,IF('Net zero activities &amp; levers'!$C$14="On",'Net zero Activity data'!AW53*ManureNEF*NtoN2O*kgtoGg,"ERROR"))</f>
        <v>0.30434974092079836</v>
      </c>
      <c r="AE1123" s="101">
        <f>IF('Net zero activities &amp; levers'!$C$14="Off",'Activity data'!AX53*ManureNEF*NtoN2O*kgtoGg,IF('Net zero activities &amp; levers'!$C$14="On",'Net zero Activity data'!AX53*ManureNEF*NtoN2O*kgtoGg,"ERROR"))</f>
        <v>0.30605345803005068</v>
      </c>
      <c r="AF1123" s="101">
        <f>IF('Net zero activities &amp; levers'!$C$14="Off",'Activity data'!AY53*ManureNEF*NtoN2O*kgtoGg,IF('Net zero activities &amp; levers'!$C$14="On",'Net zero Activity data'!AY53*ManureNEF*NtoN2O*kgtoGg,"ERROR"))</f>
        <v>0.30745949383424687</v>
      </c>
      <c r="AG1123" s="101">
        <f>IF('Net zero activities &amp; levers'!$C$14="Off",'Activity data'!AZ53*ManureNEF*NtoN2O*kgtoGg,IF('Net zero activities &amp; levers'!$C$14="On",'Net zero Activity data'!AZ53*ManureNEF*NtoN2O*kgtoGg,"ERROR"))</f>
        <v>0.3096406279879137</v>
      </c>
      <c r="AH1123" s="101">
        <f>IF('Net zero activities &amp; levers'!$C$14="Off",'Activity data'!BA53*ManureNEF*NtoN2O*kgtoGg,IF('Net zero activities &amp; levers'!$C$14="On",'Net zero Activity data'!BA53*ManureNEF*NtoN2O*kgtoGg,"ERROR"))</f>
        <v>0.30975118745202407</v>
      </c>
      <c r="AI1123" s="101">
        <f>IF('Net zero activities &amp; levers'!$C$14="Off",'Activity data'!BB53*ManureNEF*NtoN2O*kgtoGg,IF('Net zero activities &amp; levers'!$C$14="On",'Net zero Activity data'!BB53*ManureNEF*NtoN2O*kgtoGg,"ERROR"))</f>
        <v>0.31000292929744971</v>
      </c>
      <c r="AJ1123" s="101">
        <f>IF('Net zero activities &amp; levers'!$C$14="Off",'Activity data'!BC53*ManureNEF*NtoN2O*kgtoGg,IF('Net zero activities &amp; levers'!$C$14="On",'Net zero Activity data'!BC53*ManureNEF*NtoN2O*kgtoGg,"ERROR"))</f>
        <v>0.30993113863843996</v>
      </c>
      <c r="AK1123" s="101">
        <f>IF('Net zero activities &amp; levers'!$C$14="Off",'Activity data'!BD53*ManureNEF*NtoN2O*kgtoGg,IF('Net zero activities &amp; levers'!$C$14="On",'Net zero Activity data'!BD53*ManureNEF*NtoN2O*kgtoGg,"ERROR"))</f>
        <v>0.30887457535115542</v>
      </c>
      <c r="AL1123" s="101">
        <f>IF('Net zero activities &amp; levers'!$C$14="Off",'Activity data'!BE53*ManureNEF*NtoN2O*kgtoGg,IF('Net zero activities &amp; levers'!$C$14="On",'Net zero Activity data'!BE53*ManureNEF*NtoN2O*kgtoGg,"ERROR"))</f>
        <v>0.30733638203665409</v>
      </c>
      <c r="AM1123" s="101">
        <f>IF('Net zero activities &amp; levers'!$C$14="Off",'Activity data'!BF53*ManureNEF*NtoN2O*kgtoGg,IF('Net zero activities &amp; levers'!$C$14="On",'Net zero Activity data'!BF53*ManureNEF*NtoN2O*kgtoGg,"ERROR"))</f>
        <v>0.3057140068977463</v>
      </c>
      <c r="AN1123" s="101">
        <f>IF('Net zero activities &amp; levers'!$C$14="Off",'Activity data'!BG53*ManureNEF*NtoN2O*kgtoGg,IF('Net zero activities &amp; levers'!$C$14="On",'Net zero Activity data'!BG53*ManureNEF*NtoN2O*kgtoGg,"ERROR"))</f>
        <v>0.3079300080138978</v>
      </c>
      <c r="AO1123" s="101">
        <f>IF('Net zero activities &amp; levers'!$C$14="Off",'Activity data'!BH53*ManureNEF*NtoN2O*kgtoGg,IF('Net zero activities &amp; levers'!$C$14="On",'Net zero Activity data'!BH53*ManureNEF*NtoN2O*kgtoGg,"ERROR"))</f>
        <v>0.30918442438431998</v>
      </c>
      <c r="AP1123" s="101">
        <f>IF('Net zero activities &amp; levers'!$C$14="Off",'Activity data'!BI53*ManureNEF*NtoN2O*kgtoGg,IF('Net zero activities &amp; levers'!$C$14="On",'Net zero Activity data'!BI53*ManureNEF*NtoN2O*kgtoGg,"ERROR"))</f>
        <v>0.31022855026440438</v>
      </c>
      <c r="AQ1123" s="101">
        <f>IF('Net zero activities &amp; levers'!$C$14="Off",'Activity data'!BJ53*ManureNEF*NtoN2O*kgtoGg,IF('Net zero activities &amp; levers'!$C$14="On",'Net zero Activity data'!BJ53*ManureNEF*NtoN2O*kgtoGg,"ERROR"))</f>
        <v>0.31107869785311565</v>
      </c>
      <c r="AR1123" s="101">
        <f>IF('Net zero activities &amp; levers'!$C$14="Off",'Activity data'!BK53*ManureNEF*NtoN2O*kgtoGg,IF('Net zero activities &amp; levers'!$C$14="On",'Net zero Activity data'!BK53*ManureNEF*NtoN2O*kgtoGg,"ERROR"))</f>
        <v>0.31220386361239449</v>
      </c>
      <c r="AS1123" s="101">
        <f>IF('Net zero activities &amp; levers'!$C$14="Off",'Activity data'!BL53*ManureNEF*NtoN2O*kgtoGg,IF('Net zero activities &amp; levers'!$C$14="On",'Net zero Activity data'!BL53*ManureNEF*NtoN2O*kgtoGg,"ERROR"))</f>
        <v>0.31319462294828965</v>
      </c>
      <c r="AT1123" s="101">
        <f>IF('Net zero activities &amp; levers'!$C$14="Off",'Activity data'!BM53*ManureNEF*NtoN2O*kgtoGg,IF('Net zero activities &amp; levers'!$C$14="On",'Net zero Activity data'!BM53*ManureNEF*NtoN2O*kgtoGg,"ERROR"))</f>
        <v>0.30967625472190002</v>
      </c>
      <c r="AU1123" s="101">
        <f>IF('Net zero activities &amp; levers'!$C$14="Off",'Activity data'!BN53*ManureNEF*NtoN2O*kgtoGg,IF('Net zero activities &amp; levers'!$C$14="On",'Net zero Activity data'!BN53*ManureNEF*NtoN2O*kgtoGg,"ERROR"))</f>
        <v>0.30575302835905838</v>
      </c>
      <c r="AV1123" s="101">
        <f>IF('Net zero activities &amp; levers'!$C$14="Off",'Activity data'!BO53*ManureNEF*NtoN2O*kgtoGg,IF('Net zero activities &amp; levers'!$C$14="On",'Net zero Activity data'!BO53*ManureNEF*NtoN2O*kgtoGg,"ERROR"))</f>
        <v>0.30225933587688003</v>
      </c>
      <c r="AW1123" s="101">
        <f>IF('Net zero activities &amp; levers'!$C$14="Off",'Activity data'!BP53*ManureNEF*NtoN2O*kgtoGg,IF('Net zero activities &amp; levers'!$C$14="On",'Net zero Activity data'!BP53*ManureNEF*NtoN2O*kgtoGg,"ERROR"))</f>
        <v>0.29841526004174268</v>
      </c>
      <c r="AY1123" s="85"/>
    </row>
    <row r="1124" spans="1:51" x14ac:dyDescent="0.25">
      <c r="A1124" s="102" t="str">
        <f t="shared" si="374"/>
        <v>CM Organic</v>
      </c>
      <c r="B1124" s="102" t="s">
        <v>1323</v>
      </c>
      <c r="C1124" s="102" t="s">
        <v>1128</v>
      </c>
      <c r="D1124" t="s">
        <v>369</v>
      </c>
      <c r="E1124" t="s">
        <v>55</v>
      </c>
      <c r="F1124" t="s">
        <v>421</v>
      </c>
      <c r="G1124" t="s">
        <v>1161</v>
      </c>
      <c r="H1124" t="s">
        <v>1162</v>
      </c>
      <c r="I1124" t="s">
        <v>139</v>
      </c>
      <c r="J1124" t="s">
        <v>287</v>
      </c>
      <c r="K1124" s="101">
        <f>IF('Net zero activities &amp; levers'!$C$14="Off",'Activity data'!AD54*ManureNEF*NtoN2O*kgtoGg,IF('Net zero activities &amp; levers'!$C$14="On",'Net zero Activity data'!AD54*ManureNEF*NtoN2O*kgtoGg,"ERROR"))</f>
        <v>2.6734246327620794</v>
      </c>
      <c r="L1124" s="101">
        <f>IF('Net zero activities &amp; levers'!$C$14="Off",'Activity data'!AE54*ManureNEF*NtoN2O*kgtoGg,IF('Net zero activities &amp; levers'!$C$14="On",'Net zero Activity data'!AE54*ManureNEF*NtoN2O*kgtoGg,"ERROR"))</f>
        <v>2.6598136474699339</v>
      </c>
      <c r="M1124" s="101">
        <f>IF('Net zero activities &amp; levers'!$C$14="Off",'Activity data'!AF54*ManureNEF*NtoN2O*kgtoGg,IF('Net zero activities &amp; levers'!$C$14="On",'Net zero Activity data'!AF54*ManureNEF*NtoN2O*kgtoGg,"ERROR"))</f>
        <v>2.6349711064560761</v>
      </c>
      <c r="N1124" s="101">
        <f>IF('Net zero activities &amp; levers'!$C$14="Off",'Activity data'!AG54*ManureNEF*NtoN2O*kgtoGg,IF('Net zero activities &amp; levers'!$C$14="On",'Net zero Activity data'!AG54*ManureNEF*NtoN2O*kgtoGg,"ERROR"))</f>
        <v>2.5669700525572687</v>
      </c>
      <c r="O1124" s="101">
        <f>IF('Net zero activities &amp; levers'!$C$14="Off",'Activity data'!AH54*ManureNEF*NtoN2O*kgtoGg,IF('Net zero activities &amp; levers'!$C$14="On",'Net zero Activity data'!AH54*ManureNEF*NtoN2O*kgtoGg,"ERROR"))</f>
        <v>2.5016826510120014</v>
      </c>
      <c r="P1124" s="101">
        <f>IF('Net zero activities &amp; levers'!$C$14="Off",'Activity data'!AI54*ManureNEF*NtoN2O*kgtoGg,IF('Net zero activities &amp; levers'!$C$14="On",'Net zero Activity data'!AI54*ManureNEF*NtoN2O*kgtoGg,"ERROR"))</f>
        <v>2.4803119086096084</v>
      </c>
      <c r="Q1124" s="101">
        <f>IF('Net zero activities &amp; levers'!$C$14="Off",'Activity data'!AJ54*ManureNEF*NtoN2O*kgtoGg,IF('Net zero activities &amp; levers'!$C$14="On",'Net zero Activity data'!AJ54*ManureNEF*NtoN2O*kgtoGg,"ERROR"))</f>
        <v>2.4457958859379039</v>
      </c>
      <c r="R1124" s="101">
        <f>IF('Net zero activities &amp; levers'!$C$14="Off",'Activity data'!AK54*ManureNEF*NtoN2O*kgtoGg,IF('Net zero activities &amp; levers'!$C$14="On",'Net zero Activity data'!AK54*ManureNEF*NtoN2O*kgtoGg,"ERROR"))</f>
        <v>2.3682451058194229</v>
      </c>
      <c r="S1124" s="101">
        <f>IF('Net zero activities &amp; levers'!$C$14="Off",'Activity data'!AL54*ManureNEF*NtoN2O*kgtoGg,IF('Net zero activities &amp; levers'!$C$14="On",'Net zero Activity data'!AL54*ManureNEF*NtoN2O*kgtoGg,"ERROR"))</f>
        <v>2.1080542743998265</v>
      </c>
      <c r="T1124" s="101">
        <f>IF('Net zero activities &amp; levers'!$C$14="Off",'Activity data'!AM54*ManureNEF*NtoN2O*kgtoGg,IF('Net zero activities &amp; levers'!$C$14="On",'Net zero Activity data'!AM54*ManureNEF*NtoN2O*kgtoGg,"ERROR"))</f>
        <v>2.1048431650392505</v>
      </c>
      <c r="U1124" s="101">
        <f>IF('Net zero activities &amp; levers'!$C$14="Off",'Activity data'!AN54*ManureNEF*NtoN2O*kgtoGg,IF('Net zero activities &amp; levers'!$C$14="On",'Net zero Activity data'!AN54*ManureNEF*NtoN2O*kgtoGg,"ERROR"))</f>
        <v>2.0774636622492526</v>
      </c>
      <c r="V1124" s="101">
        <f>IF('Net zero activities &amp; levers'!$C$14="Off",'Activity data'!AO54*ManureNEF*NtoN2O*kgtoGg,IF('Net zero activities &amp; levers'!$C$14="On",'Net zero Activity data'!AO54*ManureNEF*NtoN2O*kgtoGg,"ERROR"))</f>
        <v>2.0442990907579284</v>
      </c>
      <c r="W1124" s="101">
        <f>IF('Net zero activities &amp; levers'!$C$14="Off",'Activity data'!AP54*ManureNEF*NtoN2O*kgtoGg,IF('Net zero activities &amp; levers'!$C$14="On",'Net zero Activity data'!AP54*ManureNEF*NtoN2O*kgtoGg,"ERROR"))</f>
        <v>2.0178354937361735</v>
      </c>
      <c r="X1124" s="101">
        <f>IF('Net zero activities &amp; levers'!$C$14="Off",'Activity data'!AQ54*ManureNEF*NtoN2O*kgtoGg,IF('Net zero activities &amp; levers'!$C$14="On",'Net zero Activity data'!AQ54*ManureNEF*NtoN2O*kgtoGg,"ERROR"))</f>
        <v>2.0150471767732858</v>
      </c>
      <c r="Y1124" s="101">
        <f>IF('Net zero activities &amp; levers'!$C$14="Off",'Activity data'!AR54*ManureNEF*NtoN2O*kgtoGg,IF('Net zero activities &amp; levers'!$C$14="On",'Net zero Activity data'!AR54*ManureNEF*NtoN2O*kgtoGg,"ERROR"))</f>
        <v>2.0151810437895374</v>
      </c>
      <c r="Z1124" s="101">
        <f>IF('Net zero activities &amp; levers'!$C$14="Off",'Activity data'!AS54*ManureNEF*NtoN2O*kgtoGg,IF('Net zero activities &amp; levers'!$C$14="On",'Net zero Activity data'!AS54*ManureNEF*NtoN2O*kgtoGg,"ERROR"))</f>
        <v>2.0180914939048469</v>
      </c>
      <c r="AA1124" s="101">
        <f>IF('Net zero activities &amp; levers'!$C$14="Off",'Activity data'!AT54*ManureNEF*NtoN2O*kgtoGg,IF('Net zero activities &amp; levers'!$C$14="On",'Net zero Activity data'!AT54*ManureNEF*NtoN2O*kgtoGg,"ERROR"))</f>
        <v>2.0085596764507057</v>
      </c>
      <c r="AB1124" s="101">
        <f>IF('Net zero activities &amp; levers'!$C$14="Off",'Activity data'!AU54*ManureNEF*NtoN2O*kgtoGg,IF('Net zero activities &amp; levers'!$C$14="On",'Net zero Activity data'!AU54*ManureNEF*NtoN2O*kgtoGg,"ERROR"))</f>
        <v>2.0063533908277771</v>
      </c>
      <c r="AC1124" s="101">
        <f>IF('Net zero activities &amp; levers'!$C$14="Off",'Activity data'!AV54*ManureNEF*NtoN2O*kgtoGg,IF('Net zero activities &amp; levers'!$C$14="On",'Net zero Activity data'!AV54*ManureNEF*NtoN2O*kgtoGg,"ERROR"))</f>
        <v>2.012754666402877</v>
      </c>
      <c r="AD1124" s="101">
        <f>IF('Net zero activities &amp; levers'!$C$14="Off",'Activity data'!AW54*ManureNEF*NtoN2O*kgtoGg,IF('Net zero activities &amp; levers'!$C$14="On",'Net zero Activity data'!AW54*ManureNEF*NtoN2O*kgtoGg,"ERROR"))</f>
        <v>2.024154231741774</v>
      </c>
      <c r="AE1124" s="101">
        <f>IF('Net zero activities &amp; levers'!$C$14="Off",'Activity data'!AX54*ManureNEF*NtoN2O*kgtoGg,IF('Net zero activities &amp; levers'!$C$14="On",'Net zero Activity data'!AX54*ManureNEF*NtoN2O*kgtoGg,"ERROR"))</f>
        <v>2.03548522938268</v>
      </c>
      <c r="AF1124" s="101">
        <f>IF('Net zero activities &amp; levers'!$C$14="Off",'Activity data'!AY54*ManureNEF*NtoN2O*kgtoGg,IF('Net zero activities &amp; levers'!$C$14="On",'Net zero Activity data'!AY54*ManureNEF*NtoN2O*kgtoGg,"ERROR"))</f>
        <v>2.0448364228958851</v>
      </c>
      <c r="AG1124" s="101">
        <f>IF('Net zero activities &amp; levers'!$C$14="Off",'Activity data'!AZ54*ManureNEF*NtoN2O*kgtoGg,IF('Net zero activities &amp; levers'!$C$14="On",'Net zero Activity data'!AZ54*ManureNEF*NtoN2O*kgtoGg,"ERROR"))</f>
        <v>2.0593426022466006</v>
      </c>
      <c r="AH1124" s="101">
        <f>IF('Net zero activities &amp; levers'!$C$14="Off",'Activity data'!BA54*ManureNEF*NtoN2O*kgtoGg,IF('Net zero activities &amp; levers'!$C$14="On",'Net zero Activity data'!BA54*ManureNEF*NtoN2O*kgtoGg,"ERROR"))</f>
        <v>2.0600779056723937</v>
      </c>
      <c r="AI1124" s="101">
        <f>IF('Net zero activities &amp; levers'!$C$14="Off",'Activity data'!BB54*ManureNEF*NtoN2O*kgtoGg,IF('Net zero activities &amp; levers'!$C$14="On",'Net zero Activity data'!BB54*ManureNEF*NtoN2O*kgtoGg,"ERROR"))</f>
        <v>2.0617521779099288</v>
      </c>
      <c r="AJ1124" s="101">
        <f>IF('Net zero activities &amp; levers'!$C$14="Off",'Activity data'!BC54*ManureNEF*NtoN2O*kgtoGg,IF('Net zero activities &amp; levers'!$C$14="On",'Net zero Activity data'!BC54*ManureNEF*NtoN2O*kgtoGg,"ERROR"))</f>
        <v>2.0612747161391569</v>
      </c>
      <c r="AK1124" s="101">
        <f>IF('Net zero activities &amp; levers'!$C$14="Off",'Activity data'!BD54*ManureNEF*NtoN2O*kgtoGg,IF('Net zero activities &amp; levers'!$C$14="On",'Net zero Activity data'!BD54*ManureNEF*NtoN2O*kgtoGg,"ERROR"))</f>
        <v>2.0542477771886269</v>
      </c>
      <c r="AL1124" s="101">
        <f>IF('Net zero activities &amp; levers'!$C$14="Off",'Activity data'!BE54*ManureNEF*NtoN2O*kgtoGg,IF('Net zero activities &amp; levers'!$C$14="On",'Net zero Activity data'!BE54*ManureNEF*NtoN2O*kgtoGg,"ERROR"))</f>
        <v>2.0440176370302527</v>
      </c>
      <c r="AM1124" s="101">
        <f>IF('Net zero activities &amp; levers'!$C$14="Off",'Activity data'!BF54*ManureNEF*NtoN2O*kgtoGg,IF('Net zero activities &amp; levers'!$C$14="On",'Net zero Activity data'!BF54*ManureNEF*NtoN2O*kgtoGg,"ERROR"))</f>
        <v>2.0332276245500145</v>
      </c>
      <c r="AN1124" s="101">
        <f>IF('Net zero activities &amp; levers'!$C$14="Off",'Activity data'!BG54*ManureNEF*NtoN2O*kgtoGg,IF('Net zero activities &amp; levers'!$C$14="On",'Net zero Activity data'!BG54*ManureNEF*NtoN2O*kgtoGg,"ERROR"))</f>
        <v>2.0479656953735077</v>
      </c>
      <c r="AO1124" s="101">
        <f>IF('Net zero activities &amp; levers'!$C$14="Off",'Activity data'!BH54*ManureNEF*NtoN2O*kgtoGg,IF('Net zero activities &amp; levers'!$C$14="On",'Net zero Activity data'!BH54*ManureNEF*NtoN2O*kgtoGg,"ERROR"))</f>
        <v>2.0563085058417343</v>
      </c>
      <c r="AP1124" s="101">
        <f>IF('Net zero activities &amp; levers'!$C$14="Off",'Activity data'!BI54*ManureNEF*NtoN2O*kgtoGg,IF('Net zero activities &amp; levers'!$C$14="On",'Net zero Activity data'!BI54*ManureNEF*NtoN2O*kgtoGg,"ERROR"))</f>
        <v>2.0632527266984679</v>
      </c>
      <c r="AQ1124" s="101">
        <f>IF('Net zero activities &amp; levers'!$C$14="Off",'Activity data'!BJ54*ManureNEF*NtoN2O*kgtoGg,IF('Net zero activities &amp; levers'!$C$14="On",'Net zero Activity data'!BJ54*ManureNEF*NtoN2O*kgtoGg,"ERROR"))</f>
        <v>2.0689068463112825</v>
      </c>
      <c r="AR1124" s="101">
        <f>IF('Net zero activities &amp; levers'!$C$14="Off",'Activity data'!BK54*ManureNEF*NtoN2O*kgtoGg,IF('Net zero activities &amp; levers'!$C$14="On",'Net zero Activity data'!BK54*ManureNEF*NtoN2O*kgtoGg,"ERROR"))</f>
        <v>2.0763900431957762</v>
      </c>
      <c r="AS1124" s="101">
        <f>IF('Net zero activities &amp; levers'!$C$14="Off",'Activity data'!BL54*ManureNEF*NtoN2O*kgtoGg,IF('Net zero activities &amp; levers'!$C$14="On",'Net zero Activity data'!BL54*ManureNEF*NtoN2O*kgtoGg,"ERROR"))</f>
        <v>2.0829793364750229</v>
      </c>
      <c r="AT1124" s="101">
        <f>IF('Net zero activities &amp; levers'!$C$14="Off",'Activity data'!BM54*ManureNEF*NtoN2O*kgtoGg,IF('Net zero activities &amp; levers'!$C$14="On",'Net zero Activity data'!BM54*ManureNEF*NtoN2O*kgtoGg,"ERROR"))</f>
        <v>2.0595795467701734</v>
      </c>
      <c r="AU1124" s="101">
        <f>IF('Net zero activities &amp; levers'!$C$14="Off",'Activity data'!BN54*ManureNEF*NtoN2O*kgtoGg,IF('Net zero activities &amp; levers'!$C$14="On",'Net zero Activity data'!BN54*ManureNEF*NtoN2O*kgtoGg,"ERROR"))</f>
        <v>2.0334871465584921</v>
      </c>
      <c r="AV1124" s="101">
        <f>IF('Net zero activities &amp; levers'!$C$14="Off",'Activity data'!BO54*ManureNEF*NtoN2O*kgtoGg,IF('Net zero activities &amp; levers'!$C$14="On",'Net zero Activity data'!BO54*ManureNEF*NtoN2O*kgtoGg,"ERROR"))</f>
        <v>2.010251469075047</v>
      </c>
      <c r="AW1124" s="101">
        <f>IF('Net zero activities &amp; levers'!$C$14="Off",'Activity data'!BP54*ManureNEF*NtoN2O*kgtoGg,IF('Net zero activities &amp; levers'!$C$14="On",'Net zero Activity data'!BP54*ManureNEF*NtoN2O*kgtoGg,"ERROR"))</f>
        <v>1.9846854792855095</v>
      </c>
      <c r="AY1124" s="85"/>
    </row>
    <row r="1125" spans="1:51" x14ac:dyDescent="0.25">
      <c r="A1125" s="102" t="str">
        <f t="shared" si="374"/>
        <v>CM Organic</v>
      </c>
      <c r="B1125" s="102" t="s">
        <v>1323</v>
      </c>
      <c r="C1125" s="102" t="s">
        <v>1128</v>
      </c>
      <c r="D1125" t="s">
        <v>369</v>
      </c>
      <c r="E1125" t="s">
        <v>55</v>
      </c>
      <c r="F1125" t="s">
        <v>421</v>
      </c>
      <c r="G1125" t="s">
        <v>1163</v>
      </c>
      <c r="H1125" t="s">
        <v>1164</v>
      </c>
      <c r="I1125" t="s">
        <v>139</v>
      </c>
      <c r="J1125" t="s">
        <v>287</v>
      </c>
      <c r="K1125" s="101">
        <f>IF('Net zero activities &amp; levers'!$C$14="Off",'Activity data'!AD55*ManureNEF*NtoN2O*kgtoGg,IF('Net zero activities &amp; levers'!$C$14="On",'Net zero Activity data'!AD55*ManureNEF*NtoN2O*kgtoGg,"ERROR"))</f>
        <v>0.34456271820054257</v>
      </c>
      <c r="L1125" s="101">
        <f>IF('Net zero activities &amp; levers'!$C$14="Off",'Activity data'!AE55*ManureNEF*NtoN2O*kgtoGg,IF('Net zero activities &amp; levers'!$C$14="On",'Net zero Activity data'!AE55*ManureNEF*NtoN2O*kgtoGg,"ERROR"))</f>
        <v>0.35741698731572036</v>
      </c>
      <c r="M1125" s="101">
        <f>IF('Net zero activities &amp; levers'!$C$14="Off",'Activity data'!AF55*ManureNEF*NtoN2O*kgtoGg,IF('Net zero activities &amp; levers'!$C$14="On",'Net zero Activity data'!AF55*ManureNEF*NtoN2O*kgtoGg,"ERROR"))</f>
        <v>0.36896489164513291</v>
      </c>
      <c r="N1125" s="101">
        <f>IF('Net zero activities &amp; levers'!$C$14="Off",'Activity data'!AG55*ManureNEF*NtoN2O*kgtoGg,IF('Net zero activities &amp; levers'!$C$14="On",'Net zero Activity data'!AG55*ManureNEF*NtoN2O*kgtoGg,"ERROR"))</f>
        <v>0.37438401076610434</v>
      </c>
      <c r="O1125" s="101">
        <f>IF('Net zero activities &amp; levers'!$C$14="Off",'Activity data'!AH55*ManureNEF*NtoN2O*kgtoGg,IF('Net zero activities &amp; levers'!$C$14="On",'Net zero Activity data'!AH55*ManureNEF*NtoN2O*kgtoGg,"ERROR"))</f>
        <v>0.37988604718806568</v>
      </c>
      <c r="P1125" s="101">
        <f>IF('Net zero activities &amp; levers'!$C$14="Off",'Activity data'!AI55*ManureNEF*NtoN2O*kgtoGg,IF('Net zero activities &amp; levers'!$C$14="On",'Net zero Activity data'!AI55*ManureNEF*NtoN2O*kgtoGg,"ERROR"))</f>
        <v>0.39203102133073692</v>
      </c>
      <c r="Q1125" s="101">
        <f>IF('Net zero activities &amp; levers'!$C$14="Off",'Activity data'!AJ55*ManureNEF*NtoN2O*kgtoGg,IF('Net zero activities &amp; levers'!$C$14="On",'Net zero Activity data'!AJ55*ManureNEF*NtoN2O*kgtoGg,"ERROR"))</f>
        <v>0.40227536328848007</v>
      </c>
      <c r="R1125" s="101">
        <f>IF('Net zero activities &amp; levers'!$C$14="Off",'Activity data'!AK55*ManureNEF*NtoN2O*kgtoGg,IF('Net zero activities &amp; levers'!$C$14="On",'Net zero Activity data'!AK55*ManureNEF*NtoN2O*kgtoGg,"ERROR"))</f>
        <v>0.40526591417131741</v>
      </c>
      <c r="S1125" s="101">
        <f>IF('Net zero activities &amp; levers'!$C$14="Off",'Activity data'!AL55*ManureNEF*NtoN2O*kgtoGg,IF('Net zero activities &amp; levers'!$C$14="On",'Net zero Activity data'!AL55*ManureNEF*NtoN2O*kgtoGg,"ERROR"))</f>
        <v>0.37527481867018142</v>
      </c>
      <c r="T1125" s="101">
        <f>IF('Net zero activities &amp; levers'!$C$14="Off",'Activity data'!AM55*ManureNEF*NtoN2O*kgtoGg,IF('Net zero activities &amp; levers'!$C$14="On",'Net zero Activity data'!AM55*ManureNEF*NtoN2O*kgtoGg,"ERROR"))</f>
        <v>0.38783783852415621</v>
      </c>
      <c r="U1125" s="101">
        <f>IF('Net zero activities &amp; levers'!$C$14="Off",'Activity data'!AN55*ManureNEF*NtoN2O*kgtoGg,IF('Net zero activities &amp; levers'!$C$14="On",'Net zero Activity data'!AN55*ManureNEF*NtoN2O*kgtoGg,"ERROR"))</f>
        <v>0.39611258413037764</v>
      </c>
      <c r="V1125" s="101">
        <f>IF('Net zero activities &amp; levers'!$C$14="Off",'Activity data'!AO55*ManureNEF*NtoN2O*kgtoGg,IF('Net zero activities &amp; levers'!$C$14="On",'Net zero Activity data'!AO55*ManureNEF*NtoN2O*kgtoGg,"ERROR"))</f>
        <v>0.40326356259153767</v>
      </c>
      <c r="W1125" s="101">
        <f>IF('Net zero activities &amp; levers'!$C$14="Off",'Activity data'!AP55*ManureNEF*NtoN2O*kgtoGg,IF('Net zero activities &amp; levers'!$C$14="On",'Net zero Activity data'!AP55*ManureNEF*NtoN2O*kgtoGg,"ERROR"))</f>
        <v>0.41172344948842088</v>
      </c>
      <c r="X1125" s="101">
        <f>IF('Net zero activities &amp; levers'!$C$14="Off",'Activity data'!AQ55*ManureNEF*NtoN2O*kgtoGg,IF('Net zero activities &amp; levers'!$C$14="On",'Net zero Activity data'!AQ55*ManureNEF*NtoN2O*kgtoGg,"ERROR"))</f>
        <v>0.42521310665197531</v>
      </c>
      <c r="Y1125" s="101">
        <f>IF('Net zero activities &amp; levers'!$C$14="Off",'Activity data'!AR55*ManureNEF*NtoN2O*kgtoGg,IF('Net zero activities &amp; levers'!$C$14="On",'Net zero Activity data'!AR55*ManureNEF*NtoN2O*kgtoGg,"ERROR"))</f>
        <v>0.43971650541893587</v>
      </c>
      <c r="Z1125" s="101">
        <f>IF('Net zero activities &amp; levers'!$C$14="Off",'Activity data'!AS55*ManureNEF*NtoN2O*kgtoGg,IF('Net zero activities &amp; levers'!$C$14="On",'Net zero Activity data'!AS55*ManureNEF*NtoN2O*kgtoGg,"ERROR"))</f>
        <v>0.45528270196780979</v>
      </c>
      <c r="AA1125" s="101">
        <f>IF('Net zero activities &amp; levers'!$C$14="Off",'Activity data'!AT55*ManureNEF*NtoN2O*kgtoGg,IF('Net zero activities &amp; levers'!$C$14="On",'Net zero Activity data'!AT55*ManureNEF*NtoN2O*kgtoGg,"ERROR"))</f>
        <v>0.46844532370840114</v>
      </c>
      <c r="AB1125" s="101">
        <f>IF('Net zero activities &amp; levers'!$C$14="Off",'Activity data'!AU55*ManureNEF*NtoN2O*kgtoGg,IF('Net zero activities &amp; levers'!$C$14="On",'Net zero Activity data'!AU55*ManureNEF*NtoN2O*kgtoGg,"ERROR"))</f>
        <v>0.48369888710644504</v>
      </c>
      <c r="AC1125" s="101">
        <f>IF('Net zero activities &amp; levers'!$C$14="Off",'Activity data'!AV55*ManureNEF*NtoN2O*kgtoGg,IF('Net zero activities &amp; levers'!$C$14="On",'Net zero Activity data'!AV55*ManureNEF*NtoN2O*kgtoGg,"ERROR"))</f>
        <v>0.50155485112354048</v>
      </c>
      <c r="AD1125" s="101">
        <f>IF('Net zero activities &amp; levers'!$C$14="Off",'Activity data'!AW55*ManureNEF*NtoN2O*kgtoGg,IF('Net zero activities &amp; levers'!$C$14="On",'Net zero Activity data'!AW55*ManureNEF*NtoN2O*kgtoGg,"ERROR"))</f>
        <v>0.52136980143686562</v>
      </c>
      <c r="AE1125" s="101">
        <f>IF('Net zero activities &amp; levers'!$C$14="Off",'Activity data'!AX55*ManureNEF*NtoN2O*kgtoGg,IF('Net zero activities &amp; levers'!$C$14="On",'Net zero Activity data'!AX55*ManureNEF*NtoN2O*kgtoGg,"ERROR"))</f>
        <v>0.54196801871569633</v>
      </c>
      <c r="AF1125" s="101">
        <f>IF('Net zero activities &amp; levers'!$C$14="Off",'Activity data'!AY55*ManureNEF*NtoN2O*kgtoGg,IF('Net zero activities &amp; levers'!$C$14="On",'Net zero Activity data'!AY55*ManureNEF*NtoN2O*kgtoGg,"ERROR"))</f>
        <v>0.56286648067759448</v>
      </c>
      <c r="AG1125" s="101">
        <f>IF('Net zero activities &amp; levers'!$C$14="Off",'Activity data'!AZ55*ManureNEF*NtoN2O*kgtoGg,IF('Net zero activities &amp; levers'!$C$14="On",'Net zero Activity data'!AZ55*ManureNEF*NtoN2O*kgtoGg,"ERROR"))</f>
        <v>0.58608824740498355</v>
      </c>
      <c r="AH1125" s="101">
        <f>IF('Net zero activities &amp; levers'!$C$14="Off",'Activity data'!BA55*ManureNEF*NtoN2O*kgtoGg,IF('Net zero activities &amp; levers'!$C$14="On",'Net zero Activity data'!BA55*ManureNEF*NtoN2O*kgtoGg,"ERROR"))</f>
        <v>0.60626273604863568</v>
      </c>
      <c r="AI1125" s="101">
        <f>IF('Net zero activities &amp; levers'!$C$14="Off",'Activity data'!BB55*ManureNEF*NtoN2O*kgtoGg,IF('Net zero activities &amp; levers'!$C$14="On",'Net zero Activity data'!BB55*ManureNEF*NtoN2O*kgtoGg,"ERROR"))</f>
        <v>0.62750973971218593</v>
      </c>
      <c r="AJ1125" s="101">
        <f>IF('Net zero activities &amp; levers'!$C$14="Off",'Activity data'!BC55*ManureNEF*NtoN2O*kgtoGg,IF('Net zero activities &amp; levers'!$C$14="On",'Net zero Activity data'!BC55*ManureNEF*NtoN2O*kgtoGg,"ERROR"))</f>
        <v>0.64893228288125915</v>
      </c>
      <c r="AK1125" s="101">
        <f>IF('Net zero activities &amp; levers'!$C$14="Off",'Activity data'!BD55*ManureNEF*NtoN2O*kgtoGg,IF('Net zero activities &amp; levers'!$C$14="On",'Net zero Activity data'!BD55*ManureNEF*NtoN2O*kgtoGg,"ERROR"))</f>
        <v>0.66907896803408007</v>
      </c>
      <c r="AL1125" s="101">
        <f>IF('Net zero activities &amp; levers'!$C$14="Off",'Activity data'!BE55*ManureNEF*NtoN2O*kgtoGg,IF('Net zero activities &amp; levers'!$C$14="On",'Net zero Activity data'!BE55*ManureNEF*NtoN2O*kgtoGg,"ERROR"))</f>
        <v>0.68890724971311523</v>
      </c>
      <c r="AM1125" s="101">
        <f>IF('Net zero activities &amp; levers'!$C$14="Off",'Activity data'!BF55*ManureNEF*NtoN2O*kgtoGg,IF('Net zero activities &amp; levers'!$C$14="On",'Net zero Activity data'!BF55*ManureNEF*NtoN2O*kgtoGg,"ERROR"))</f>
        <v>0.70927282946025161</v>
      </c>
      <c r="AN1125" s="101">
        <f>IF('Net zero activities &amp; levers'!$C$14="Off",'Activity data'!BG55*ManureNEF*NtoN2O*kgtoGg,IF('Net zero activities &amp; levers'!$C$14="On",'Net zero Activity data'!BG55*ManureNEF*NtoN2O*kgtoGg,"ERROR"))</f>
        <v>0.73495293516356586</v>
      </c>
      <c r="AO1125" s="101">
        <f>IF('Net zero activities &amp; levers'!$C$14="Off",'Activity data'!BH55*ManureNEF*NtoN2O*kgtoGg,IF('Net zero activities &amp; levers'!$C$14="On",'Net zero Activity data'!BH55*ManureNEF*NtoN2O*kgtoGg,"ERROR"))</f>
        <v>0.7592376387050519</v>
      </c>
      <c r="AP1125" s="101">
        <f>IF('Net zero activities &amp; levers'!$C$14="Off",'Activity data'!BI55*ManureNEF*NtoN2O*kgtoGg,IF('Net zero activities &amp; levers'!$C$14="On",'Net zero Activity data'!BI55*ManureNEF*NtoN2O*kgtoGg,"ERROR"))</f>
        <v>0.78386800278505075</v>
      </c>
      <c r="AQ1125" s="101">
        <f>IF('Net zero activities &amp; levers'!$C$14="Off",'Activity data'!BJ55*ManureNEF*NtoN2O*kgtoGg,IF('Net zero activities &amp; levers'!$C$14="On",'Net zero Activity data'!BJ55*ManureNEF*NtoN2O*kgtoGg,"ERROR"))</f>
        <v>0.80888415123265511</v>
      </c>
      <c r="AR1125" s="101">
        <f>IF('Net zero activities &amp; levers'!$C$14="Off",'Activity data'!BK55*ManureNEF*NtoN2O*kgtoGg,IF('Net zero activities &amp; levers'!$C$14="On",'Net zero Activity data'!BK55*ManureNEF*NtoN2O*kgtoGg,"ERROR"))</f>
        <v>0.83554233035298786</v>
      </c>
      <c r="AS1125" s="101">
        <f>IF('Net zero activities &amp; levers'!$C$14="Off",'Activity data'!BL55*ManureNEF*NtoN2O*kgtoGg,IF('Net zero activities &amp; levers'!$C$14="On",'Net zero Activity data'!BL55*ManureNEF*NtoN2O*kgtoGg,"ERROR"))</f>
        <v>0.86282623003057179</v>
      </c>
      <c r="AT1125" s="101">
        <f>IF('Net zero activities &amp; levers'!$C$14="Off",'Activity data'!BM55*ManureNEF*NtoN2O*kgtoGg,IF('Net zero activities &amp; levers'!$C$14="On",'Net zero Activity data'!BM55*ManureNEF*NtoN2O*kgtoGg,"ERROR"))</f>
        <v>0.87834693373696993</v>
      </c>
      <c r="AU1125" s="101">
        <f>IF('Net zero activities &amp; levers'!$C$14="Off",'Activity data'!BN55*ManureNEF*NtoN2O*kgtoGg,IF('Net zero activities &amp; levers'!$C$14="On",'Net zero Activity data'!BN55*ManureNEF*NtoN2O*kgtoGg,"ERROR"))</f>
        <v>0.89300528362769183</v>
      </c>
      <c r="AV1125" s="101">
        <f>IF('Net zero activities &amp; levers'!$C$14="Off",'Activity data'!BO55*ManureNEF*NtoN2O*kgtoGg,IF('Net zero activities &amp; levers'!$C$14="On",'Net zero Activity data'!BO55*ManureNEF*NtoN2O*kgtoGg,"ERROR"))</f>
        <v>0.90922164965215835</v>
      </c>
      <c r="AW1125" s="101">
        <f>IF('Net zero activities &amp; levers'!$C$14="Off",'Activity data'!BP55*ManureNEF*NtoN2O*kgtoGg,IF('Net zero activities &amp; levers'!$C$14="On",'Net zero Activity data'!BP55*ManureNEF*NtoN2O*kgtoGg,"ERROR"))</f>
        <v>0.92470981855406131</v>
      </c>
      <c r="AY1125" s="85"/>
    </row>
    <row r="1126" spans="1:51" x14ac:dyDescent="0.25">
      <c r="A1126" s="102" t="str">
        <f t="shared" si="374"/>
        <v>CM Organic</v>
      </c>
      <c r="B1126" s="102" t="s">
        <v>1323</v>
      </c>
      <c r="C1126" s="102" t="s">
        <v>1128</v>
      </c>
      <c r="D1126" t="s">
        <v>369</v>
      </c>
      <c r="E1126" t="s">
        <v>55</v>
      </c>
      <c r="F1126" t="s">
        <v>421</v>
      </c>
      <c r="G1126" t="s">
        <v>1165</v>
      </c>
      <c r="H1126" t="s">
        <v>1166</v>
      </c>
      <c r="I1126" t="s">
        <v>139</v>
      </c>
      <c r="J1126" t="s">
        <v>287</v>
      </c>
      <c r="K1126" s="101">
        <f>IF('Net zero activities &amp; levers'!$C$14="Off",'Activity data'!AD56*ManureNEF*NtoN2O*kgtoGg,IF('Net zero activities &amp; levers'!$C$14="On",'Net zero Activity data'!AD56*ManureNEF*NtoN2O*kgtoGg,"ERROR"))</f>
        <v>5.8351352726762881E-2</v>
      </c>
      <c r="L1126" s="101">
        <f>IF('Net zero activities &amp; levers'!$C$14="Off",'Activity data'!AE56*ManureNEF*NtoN2O*kgtoGg,IF('Net zero activities &amp; levers'!$C$14="On",'Net zero Activity data'!AE56*ManureNEF*NtoN2O*kgtoGg,"ERROR"))</f>
        <v>5.838284383946888E-2</v>
      </c>
      <c r="M1126" s="101">
        <f>IF('Net zero activities &amp; levers'!$C$14="Off",'Activity data'!AF56*ManureNEF*NtoN2O*kgtoGg,IF('Net zero activities &amp; levers'!$C$14="On",'Net zero Activity data'!AF56*ManureNEF*NtoN2O*kgtoGg,"ERROR"))</f>
        <v>5.8455239222652444E-2</v>
      </c>
      <c r="N1126" s="101">
        <f>IF('Net zero activities &amp; levers'!$C$14="Off",'Activity data'!AG56*ManureNEF*NtoN2O*kgtoGg,IF('Net zero activities &amp; levers'!$C$14="On",'Net zero Activity data'!AG56*ManureNEF*NtoN2O*kgtoGg,"ERROR"))</f>
        <v>5.8562716913640872E-2</v>
      </c>
      <c r="O1126" s="101">
        <f>IF('Net zero activities &amp; levers'!$C$14="Off",'Activity data'!AH56*ManureNEF*NtoN2O*kgtoGg,IF('Net zero activities &amp; levers'!$C$14="On",'Net zero Activity data'!AH56*ManureNEF*NtoN2O*kgtoGg,"ERROR"))</f>
        <v>5.8707782505400478E-2</v>
      </c>
      <c r="P1126" s="101">
        <f>IF('Net zero activities &amp; levers'!$C$14="Off",'Activity data'!AI56*ManureNEF*NtoN2O*kgtoGg,IF('Net zero activities &amp; levers'!$C$14="On",'Net zero Activity data'!AI56*ManureNEF*NtoN2O*kgtoGg,"ERROR"))</f>
        <v>5.8893351419097517E-2</v>
      </c>
      <c r="Q1126" s="101">
        <f>IF('Net zero activities &amp; levers'!$C$14="Off",'Activity data'!AJ56*ManureNEF*NtoN2O*kgtoGg,IF('Net zero activities &amp; levers'!$C$14="On",'Net zero Activity data'!AJ56*ManureNEF*NtoN2O*kgtoGg,"ERROR"))</f>
        <v>5.909782905733385E-2</v>
      </c>
      <c r="R1126" s="101">
        <f>IF('Net zero activities &amp; levers'!$C$14="Off",'Activity data'!AK56*ManureNEF*NtoN2O*kgtoGg,IF('Net zero activities &amp; levers'!$C$14="On",'Net zero Activity data'!AK56*ManureNEF*NtoN2O*kgtoGg,"ERROR"))</f>
        <v>5.9318039560246685E-2</v>
      </c>
      <c r="S1126" s="101">
        <f>IF('Net zero activities &amp; levers'!$C$14="Off",'Activity data'!AL56*ManureNEF*NtoN2O*kgtoGg,IF('Net zero activities &amp; levers'!$C$14="On",'Net zero Activity data'!AL56*ManureNEF*NtoN2O*kgtoGg,"ERROR"))</f>
        <v>5.9536211182470676E-2</v>
      </c>
      <c r="T1126" s="101">
        <f>IF('Net zero activities &amp; levers'!$C$14="Off",'Activity data'!AM56*ManureNEF*NtoN2O*kgtoGg,IF('Net zero activities &amp; levers'!$C$14="On",'Net zero Activity data'!AM56*ManureNEF*NtoN2O*kgtoGg,"ERROR"))</f>
        <v>5.961357164463392E-2</v>
      </c>
      <c r="U1126" s="101">
        <f>IF('Net zero activities &amp; levers'!$C$14="Off",'Activity data'!AN56*ManureNEF*NtoN2O*kgtoGg,IF('Net zero activities &amp; levers'!$C$14="On",'Net zero Activity data'!AN56*ManureNEF*NtoN2O*kgtoGg,"ERROR"))</f>
        <v>5.9702992517875142E-2</v>
      </c>
      <c r="V1126" s="101">
        <f>IF('Net zero activities &amp; levers'!$C$14="Off",'Activity data'!AO56*ManureNEF*NtoN2O*kgtoGg,IF('Net zero activities &amp; levers'!$C$14="On",'Net zero Activity data'!AO56*ManureNEF*NtoN2O*kgtoGg,"ERROR"))</f>
        <v>5.9805639332837994E-2</v>
      </c>
      <c r="W1126" s="101">
        <f>IF('Net zero activities &amp; levers'!$C$14="Off",'Activity data'!AP56*ManureNEF*NtoN2O*kgtoGg,IF('Net zero activities &amp; levers'!$C$14="On",'Net zero Activity data'!AP56*ManureNEF*NtoN2O*kgtoGg,"ERROR"))</f>
        <v>5.9922335197257294E-2</v>
      </c>
      <c r="X1126" s="101">
        <f>IF('Net zero activities &amp; levers'!$C$14="Off",'Activity data'!AQ56*ManureNEF*NtoN2O*kgtoGg,IF('Net zero activities &amp; levers'!$C$14="On",'Net zero Activity data'!AQ56*ManureNEF*NtoN2O*kgtoGg,"ERROR"))</f>
        <v>6.0054890300525722E-2</v>
      </c>
      <c r="Y1126" s="101">
        <f>IF('Net zero activities &amp; levers'!$C$14="Off",'Activity data'!AR56*ManureNEF*NtoN2O*kgtoGg,IF('Net zero activities &amp; levers'!$C$14="On",'Net zero Activity data'!AR56*ManureNEF*NtoN2O*kgtoGg,"ERROR"))</f>
        <v>6.0133735322932626E-2</v>
      </c>
      <c r="Z1126" s="101">
        <f>IF('Net zero activities &amp; levers'!$C$14="Off",'Activity data'!AS56*ManureNEF*NtoN2O*kgtoGg,IF('Net zero activities &amp; levers'!$C$14="On",'Net zero Activity data'!AS56*ManureNEF*NtoN2O*kgtoGg,"ERROR"))</f>
        <v>6.0223995657820911E-2</v>
      </c>
      <c r="AA1126" s="101">
        <f>IF('Net zero activities &amp; levers'!$C$14="Off",'Activity data'!AT56*ManureNEF*NtoN2O*kgtoGg,IF('Net zero activities &amp; levers'!$C$14="On",'Net zero Activity data'!AT56*ManureNEF*NtoN2O*kgtoGg,"ERROR"))</f>
        <v>6.0322817802475628E-2</v>
      </c>
      <c r="AB1126" s="101">
        <f>IF('Net zero activities &amp; levers'!$C$14="Off",'Activity data'!AU56*ManureNEF*NtoN2O*kgtoGg,IF('Net zero activities &amp; levers'!$C$14="On",'Net zero Activity data'!AU56*ManureNEF*NtoN2O*kgtoGg,"ERROR"))</f>
        <v>6.0432795723995437E-2</v>
      </c>
      <c r="AC1126" s="101">
        <f>IF('Net zero activities &amp; levers'!$C$14="Off",'Activity data'!AV56*ManureNEF*NtoN2O*kgtoGg,IF('Net zero activities &amp; levers'!$C$14="On",'Net zero Activity data'!AV56*ManureNEF*NtoN2O*kgtoGg,"ERROR"))</f>
        <v>6.0553908716233021E-2</v>
      </c>
      <c r="AD1126" s="101">
        <f>IF('Net zero activities &amp; levers'!$C$14="Off",'Activity data'!AW56*ManureNEF*NtoN2O*kgtoGg,IF('Net zero activities &amp; levers'!$C$14="On",'Net zero Activity data'!AW56*ManureNEF*NtoN2O*kgtoGg,"ERROR"))</f>
        <v>6.0636008959253383E-2</v>
      </c>
      <c r="AE1126" s="101">
        <f>IF('Net zero activities &amp; levers'!$C$14="Off",'Activity data'!AX56*ManureNEF*NtoN2O*kgtoGg,IF('Net zero activities &amp; levers'!$C$14="On",'Net zero Activity data'!AX56*ManureNEF*NtoN2O*kgtoGg,"ERROR"))</f>
        <v>6.0726668888970624E-2</v>
      </c>
      <c r="AF1126" s="101">
        <f>IF('Net zero activities &amp; levers'!$C$14="Off",'Activity data'!AY56*ManureNEF*NtoN2O*kgtoGg,IF('Net zero activities &amp; levers'!$C$14="On",'Net zero Activity data'!AY56*ManureNEF*NtoN2O*kgtoGg,"ERROR"))</f>
        <v>6.0825236146393971E-2</v>
      </c>
      <c r="AG1126" s="101">
        <f>IF('Net zero activities &amp; levers'!$C$14="Off",'Activity data'!AZ56*ManureNEF*NtoN2O*kgtoGg,IF('Net zero activities &amp; levers'!$C$14="On",'Net zero Activity data'!AZ56*ManureNEF*NtoN2O*kgtoGg,"ERROR"))</f>
        <v>6.0932841114185426E-2</v>
      </c>
      <c r="AH1126" s="101">
        <f>IF('Net zero activities &amp; levers'!$C$14="Off",'Activity data'!BA56*ManureNEF*NtoN2O*kgtoGg,IF('Net zero activities &amp; levers'!$C$14="On",'Net zero Activity data'!BA56*ManureNEF*NtoN2O*kgtoGg,"ERROR"))</f>
        <v>6.104545787044835E-2</v>
      </c>
      <c r="AI1126" s="101">
        <f>IF('Net zero activities &amp; levers'!$C$14="Off",'Activity data'!BB56*ManureNEF*NtoN2O*kgtoGg,IF('Net zero activities &amp; levers'!$C$14="On",'Net zero Activity data'!BB56*ManureNEF*NtoN2O*kgtoGg,"ERROR"))</f>
        <v>6.1115287262350146E-2</v>
      </c>
      <c r="AJ1126" s="101">
        <f>IF('Net zero activities &amp; levers'!$C$14="Off",'Activity data'!BC56*ManureNEF*NtoN2O*kgtoGg,IF('Net zero activities &amp; levers'!$C$14="On",'Net zero Activity data'!BC56*ManureNEF*NtoN2O*kgtoGg,"ERROR"))</f>
        <v>6.1191543518152654E-2</v>
      </c>
      <c r="AK1126" s="101">
        <f>IF('Net zero activities &amp; levers'!$C$14="Off",'Activity data'!BD56*ManureNEF*NtoN2O*kgtoGg,IF('Net zero activities &amp; levers'!$C$14="On",'Net zero Activity data'!BD56*ManureNEF*NtoN2O*kgtoGg,"ERROR"))</f>
        <v>6.1272977127173965E-2</v>
      </c>
      <c r="AL1126" s="101">
        <f>IF('Net zero activities &amp; levers'!$C$14="Off",'Activity data'!BE56*ManureNEF*NtoN2O*kgtoGg,IF('Net zero activities &amp; levers'!$C$14="On",'Net zero Activity data'!BE56*ManureNEF*NtoN2O*kgtoGg,"ERROR"))</f>
        <v>6.1360065836965134E-2</v>
      </c>
      <c r="AM1126" s="101">
        <f>IF('Net zero activities &amp; levers'!$C$14="Off",'Activity data'!BF56*ManureNEF*NtoN2O*kgtoGg,IF('Net zero activities &amp; levers'!$C$14="On",'Net zero Activity data'!BF56*ManureNEF*NtoN2O*kgtoGg,"ERROR"))</f>
        <v>6.1453244670896121E-2</v>
      </c>
      <c r="AN1126" s="101">
        <f>IF('Net zero activities &amp; levers'!$C$14="Off",'Activity data'!BG56*ManureNEF*NtoN2O*kgtoGg,IF('Net zero activities &amp; levers'!$C$14="On",'Net zero Activity data'!BG56*ManureNEF*NtoN2O*kgtoGg,"ERROR"))</f>
        <v>6.1505620279262284E-2</v>
      </c>
      <c r="AO1126" s="101">
        <f>IF('Net zero activities &amp; levers'!$C$14="Off",'Activity data'!BH56*ManureNEF*NtoN2O*kgtoGg,IF('Net zero activities &amp; levers'!$C$14="On",'Net zero Activity data'!BH56*ManureNEF*NtoN2O*kgtoGg,"ERROR"))</f>
        <v>6.1561819428000049E-2</v>
      </c>
      <c r="AP1126" s="101">
        <f>IF('Net zero activities &amp; levers'!$C$14="Off",'Activity data'!BI56*ManureNEF*NtoN2O*kgtoGg,IF('Net zero activities &amp; levers'!$C$14="On",'Net zero Activity data'!BI56*ManureNEF*NtoN2O*kgtoGg,"ERROR"))</f>
        <v>6.1622939945542986E-2</v>
      </c>
      <c r="AQ1126" s="101">
        <f>IF('Net zero activities &amp; levers'!$C$14="Off",'Activity data'!BJ56*ManureNEF*NtoN2O*kgtoGg,IF('Net zero activities &amp; levers'!$C$14="On",'Net zero Activity data'!BJ56*ManureNEF*NtoN2O*kgtoGg,"ERROR"))</f>
        <v>6.1688861643052199E-2</v>
      </c>
      <c r="AR1126" s="101">
        <f>IF('Net zero activities &amp; levers'!$C$14="Off",'Activity data'!BK56*ManureNEF*NtoN2O*kgtoGg,IF('Net zero activities &amp; levers'!$C$14="On",'Net zero Activity data'!BK56*ManureNEF*NtoN2O*kgtoGg,"ERROR"))</f>
        <v>6.1760357138805684E-2</v>
      </c>
      <c r="AS1126" s="101">
        <f>IF('Net zero activities &amp; levers'!$C$14="Off",'Activity data'!BL56*ManureNEF*NtoN2O*kgtoGg,IF('Net zero activities &amp; levers'!$C$14="On",'Net zero Activity data'!BL56*ManureNEF*NtoN2O*kgtoGg,"ERROR"))</f>
        <v>6.1789168671151508E-2</v>
      </c>
      <c r="AT1126" s="101">
        <f>IF('Net zero activities &amp; levers'!$C$14="Off",'Activity data'!BM56*ManureNEF*NtoN2O*kgtoGg,IF('Net zero activities &amp; levers'!$C$14="On",'Net zero Activity data'!BM56*ManureNEF*NtoN2O*kgtoGg,"ERROR"))</f>
        <v>6.1813351976033624E-2</v>
      </c>
      <c r="AU1126" s="101">
        <f>IF('Net zero activities &amp; levers'!$C$14="Off",'Activity data'!BN56*ManureNEF*NtoN2O*kgtoGg,IF('Net zero activities &amp; levers'!$C$14="On",'Net zero Activity data'!BN56*ManureNEF*NtoN2O*kgtoGg,"ERROR"))</f>
        <v>6.1840687921458311E-2</v>
      </c>
      <c r="AV1126" s="101">
        <f>IF('Net zero activities &amp; levers'!$C$14="Off",'Activity data'!BO56*ManureNEF*NtoN2O*kgtoGg,IF('Net zero activities &amp; levers'!$C$14="On",'Net zero Activity data'!BO56*ManureNEF*NtoN2O*kgtoGg,"ERROR"))</f>
        <v>6.1872822010568602E-2</v>
      </c>
      <c r="AW1126" s="101">
        <f>IF('Net zero activities &amp; levers'!$C$14="Off",'Activity data'!BP56*ManureNEF*NtoN2O*kgtoGg,IF('Net zero activities &amp; levers'!$C$14="On",'Net zero Activity data'!BP56*ManureNEF*NtoN2O*kgtoGg,"ERROR"))</f>
        <v>6.190798154091523E-2</v>
      </c>
      <c r="AY1126" s="85"/>
    </row>
    <row r="1127" spans="1:51" x14ac:dyDescent="0.25">
      <c r="A1127" s="102" t="str">
        <f t="shared" si="374"/>
        <v>CM Organic</v>
      </c>
      <c r="B1127" s="102" t="s">
        <v>1323</v>
      </c>
      <c r="C1127" s="102" t="s">
        <v>1128</v>
      </c>
      <c r="D1127" t="s">
        <v>369</v>
      </c>
      <c r="E1127" t="s">
        <v>55</v>
      </c>
      <c r="F1127" t="s">
        <v>421</v>
      </c>
      <c r="G1127" t="s">
        <v>1167</v>
      </c>
      <c r="H1127" t="s">
        <v>1168</v>
      </c>
      <c r="I1127" t="s">
        <v>139</v>
      </c>
      <c r="J1127" t="s">
        <v>287</v>
      </c>
      <c r="K1127" s="101">
        <f>IF('Net zero activities &amp; levers'!$C$14="Off",'Activity data'!AD57*ManureNEF*NtoN2O*kgtoGg,IF('Net zero activities &amp; levers'!$C$14="On",'Net zero Activity data'!AD57*ManureNEF*NtoN2O*kgtoGg,"ERROR"))</f>
        <v>4.7490069351463909E-2</v>
      </c>
      <c r="L1127" s="101">
        <f>IF('Net zero activities &amp; levers'!$C$14="Off",'Activity data'!AE57*ManureNEF*NtoN2O*kgtoGg,IF('Net zero activities &amp; levers'!$C$14="On",'Net zero Activity data'!AE57*ManureNEF*NtoN2O*kgtoGg,"ERROR"))</f>
        <v>4.7515698836582541E-2</v>
      </c>
      <c r="M1127" s="101">
        <f>IF('Net zero activities &amp; levers'!$C$14="Off",'Activity data'!AF57*ManureNEF*NtoN2O*kgtoGg,IF('Net zero activities &amp; levers'!$C$14="On",'Net zero Activity data'!AF57*ManureNEF*NtoN2O*kgtoGg,"ERROR"))</f>
        <v>4.7574618837704238E-2</v>
      </c>
      <c r="N1127" s="101">
        <f>IF('Net zero activities &amp; levers'!$C$14="Off",'Activity data'!AG57*ManureNEF*NtoN2O*kgtoGg,IF('Net zero activities &amp; levers'!$C$14="On",'Net zero Activity data'!AG57*ManureNEF*NtoN2O*kgtoGg,"ERROR"))</f>
        <v>4.7662091068599664E-2</v>
      </c>
      <c r="O1127" s="101">
        <f>IF('Net zero activities &amp; levers'!$C$14="Off",'Activity data'!AH57*ManureNEF*NtoN2O*kgtoGg,IF('Net zero activities &amp; levers'!$C$14="On",'Net zero Activity data'!AH57*ManureNEF*NtoN2O*kgtoGg,"ERROR"))</f>
        <v>4.7780154741355184E-2</v>
      </c>
      <c r="P1127" s="101">
        <f>IF('Net zero activities &amp; levers'!$C$14="Off",'Activity data'!AI57*ManureNEF*NtoN2O*kgtoGg,IF('Net zero activities &amp; levers'!$C$14="On",'Net zero Activity data'!AI57*ManureNEF*NtoN2O*kgtoGg,"ERROR"))</f>
        <v>4.7931182612503523E-2</v>
      </c>
      <c r="Q1127" s="101">
        <f>IF('Net zero activities &amp; levers'!$C$14="Off",'Activity data'!AJ57*ManureNEF*NtoN2O*kgtoGg,IF('Net zero activities &amp; levers'!$C$14="On",'Net zero Activity data'!AJ57*ManureNEF*NtoN2O*kgtoGg,"ERROR"))</f>
        <v>4.809759961514163E-2</v>
      </c>
      <c r="R1127" s="101">
        <f>IF('Net zero activities &amp; levers'!$C$14="Off",'Activity data'!AK57*ManureNEF*NtoN2O*kgtoGg,IF('Net zero activities &amp; levers'!$C$14="On",'Net zero Activity data'!AK57*ManureNEF*NtoN2O*kgtoGg,"ERROR"))</f>
        <v>4.8276821031039585E-2</v>
      </c>
      <c r="S1127" s="101">
        <f>IF('Net zero activities &amp; levers'!$C$14="Off",'Activity data'!AL57*ManureNEF*NtoN2O*kgtoGg,IF('Net zero activities &amp; levers'!$C$14="On",'Net zero Activity data'!AL57*ManureNEF*NtoN2O*kgtoGg,"ERROR"))</f>
        <v>4.845438307520427E-2</v>
      </c>
      <c r="T1127" s="101">
        <f>IF('Net zero activities &amp; levers'!$C$14="Off",'Activity data'!AM57*ManureNEF*NtoN2O*kgtoGg,IF('Net zero activities &amp; levers'!$C$14="On",'Net zero Activity data'!AM57*ManureNEF*NtoN2O*kgtoGg,"ERROR"))</f>
        <v>4.8517343975706374E-2</v>
      </c>
      <c r="U1127" s="101">
        <f>IF('Net zero activities &amp; levers'!$C$14="Off",'Activity data'!AN57*ManureNEF*NtoN2O*kgtoGg,IF('Net zero activities &amp; levers'!$C$14="On",'Net zero Activity data'!AN57*ManureNEF*NtoN2O*kgtoGg,"ERROR"))</f>
        <v>4.8590120411440091E-2</v>
      </c>
      <c r="V1127" s="101">
        <f>IF('Net zero activities &amp; levers'!$C$14="Off",'Activity data'!AO57*ManureNEF*NtoN2O*kgtoGg,IF('Net zero activities &amp; levers'!$C$14="On",'Net zero Activity data'!AO57*ManureNEF*NtoN2O*kgtoGg,"ERROR"))</f>
        <v>4.8673660965917367E-2</v>
      </c>
      <c r="W1127" s="101">
        <f>IF('Net zero activities &amp; levers'!$C$14="Off",'Activity data'!AP57*ManureNEF*NtoN2O*kgtoGg,IF('Net zero activities &amp; levers'!$C$14="On",'Net zero Activity data'!AP57*ManureNEF*NtoN2O*kgtoGg,"ERROR"))</f>
        <v>4.8768635536948338E-2</v>
      </c>
      <c r="X1127" s="101">
        <f>IF('Net zero activities &amp; levers'!$C$14="Off",'Activity data'!AQ57*ManureNEF*NtoN2O*kgtoGg,IF('Net zero activities &amp; levers'!$C$14="On",'Net zero Activity data'!AQ57*ManureNEF*NtoN2O*kgtoGg,"ERROR"))</f>
        <v>4.8876517372637492E-2</v>
      </c>
      <c r="Y1127" s="101">
        <f>IF('Net zero activities &amp; levers'!$C$14="Off",'Activity data'!AR57*ManureNEF*NtoN2O*kgtoGg,IF('Net zero activities &amp; levers'!$C$14="On",'Net zero Activity data'!AR57*ManureNEF*NtoN2O*kgtoGg,"ERROR"))</f>
        <v>4.8940686503379939E-2</v>
      </c>
      <c r="Z1127" s="101">
        <f>IF('Net zero activities &amp; levers'!$C$14="Off",'Activity data'!AS57*ManureNEF*NtoN2O*kgtoGg,IF('Net zero activities &amp; levers'!$C$14="On",'Net zero Activity data'!AS57*ManureNEF*NtoN2O*kgtoGg,"ERROR"))</f>
        <v>4.9014146146785342E-2</v>
      </c>
      <c r="AA1127" s="101">
        <f>IF('Net zero activities &amp; levers'!$C$14="Off",'Activity data'!AT57*ManureNEF*NtoN2O*kgtoGg,IF('Net zero activities &amp; levers'!$C$14="On",'Net zero Activity data'!AT57*ManureNEF*NtoN2O*kgtoGg,"ERROR"))</f>
        <v>4.9094573939523732E-2</v>
      </c>
      <c r="AB1127" s="101">
        <f>IF('Net zero activities &amp; levers'!$C$14="Off",'Activity data'!AU57*ManureNEF*NtoN2O*kgtoGg,IF('Net zero activities &amp; levers'!$C$14="On",'Net zero Activity data'!AU57*ManureNEF*NtoN2O*kgtoGg,"ERROR"))</f>
        <v>4.9184081018212401E-2</v>
      </c>
      <c r="AC1127" s="101">
        <f>IF('Net zero activities &amp; levers'!$C$14="Off",'Activity data'!AV57*ManureNEF*NtoN2O*kgtoGg,IF('Net zero activities &amp; levers'!$C$14="On",'Net zero Activity data'!AV57*ManureNEF*NtoN2O*kgtoGg,"ERROR"))</f>
        <v>4.9282650530862067E-2</v>
      </c>
      <c r="AD1127" s="101">
        <f>IF('Net zero activities &amp; levers'!$C$14="Off",'Activity data'!AW57*ManureNEF*NtoN2O*kgtoGg,IF('Net zero activities &amp; levers'!$C$14="On",'Net zero Activity data'!AW57*ManureNEF*NtoN2O*kgtoGg,"ERROR"))</f>
        <v>4.93494689686979E-2</v>
      </c>
      <c r="AE1127" s="101">
        <f>IF('Net zero activities &amp; levers'!$C$14="Off",'Activity data'!AX57*ManureNEF*NtoN2O*kgtoGg,IF('Net zero activities &amp; levers'!$C$14="On",'Net zero Activity data'!AX57*ManureNEF*NtoN2O*kgtoGg,"ERROR"))</f>
        <v>4.9423253827976674E-2</v>
      </c>
      <c r="AF1127" s="101">
        <f>IF('Net zero activities &amp; levers'!$C$14="Off",'Activity data'!AY57*ManureNEF*NtoN2O*kgtoGg,IF('Net zero activities &amp; levers'!$C$14="On",'Net zero Activity data'!AY57*ManureNEF*NtoN2O*kgtoGg,"ERROR"))</f>
        <v>4.9503474177155865E-2</v>
      </c>
      <c r="AG1127" s="101">
        <f>IF('Net zero activities &amp; levers'!$C$14="Off",'Activity data'!AZ57*ManureNEF*NtoN2O*kgtoGg,IF('Net zero activities &amp; levers'!$C$14="On",'Net zero Activity data'!AZ57*ManureNEF*NtoN2O*kgtoGg,"ERROR"))</f>
        <v>4.9591049994068055E-2</v>
      </c>
      <c r="AH1127" s="101">
        <f>IF('Net zero activities &amp; levers'!$C$14="Off",'Activity data'!BA57*ManureNEF*NtoN2O*kgtoGg,IF('Net zero activities &amp; levers'!$C$14="On",'Net zero Activity data'!BA57*ManureNEF*NtoN2O*kgtoGg,"ERROR"))</f>
        <v>4.9682704725537721E-2</v>
      </c>
      <c r="AI1127" s="101">
        <f>IF('Net zero activities &amp; levers'!$C$14="Off",'Activity data'!BB57*ManureNEF*NtoN2O*kgtoGg,IF('Net zero activities &amp; levers'!$C$14="On",'Net zero Activity data'!BB57*ManureNEF*NtoN2O*kgtoGg,"ERROR"))</f>
        <v>4.9739536358554284E-2</v>
      </c>
      <c r="AJ1127" s="101">
        <f>IF('Net zero activities &amp; levers'!$C$14="Off",'Activity data'!BC57*ManureNEF*NtoN2O*kgtoGg,IF('Net zero activities &amp; levers'!$C$14="On",'Net zero Activity data'!BC57*ManureNEF*NtoN2O*kgtoGg,"ERROR"))</f>
        <v>4.9801598585174821E-2</v>
      </c>
      <c r="AK1127" s="101">
        <f>IF('Net zero activities &amp; levers'!$C$14="Off",'Activity data'!BD57*ManureNEF*NtoN2O*kgtoGg,IF('Net zero activities &amp; levers'!$C$14="On",'Net zero Activity data'!BD57*ManureNEF*NtoN2O*kgtoGg,"ERROR"))</f>
        <v>4.9867874473551767E-2</v>
      </c>
      <c r="AL1127" s="101">
        <f>IF('Net zero activities &amp; levers'!$C$14="Off",'Activity data'!BE57*ManureNEF*NtoN2O*kgtoGg,IF('Net zero activities &amp; levers'!$C$14="On",'Net zero Activity data'!BE57*ManureNEF*NtoN2O*kgtoGg,"ERROR"))</f>
        <v>4.9938752845250851E-2</v>
      </c>
      <c r="AM1127" s="101">
        <f>IF('Net zero activities &amp; levers'!$C$14="Off",'Activity data'!BF57*ManureNEF*NtoN2O*kgtoGg,IF('Net zero activities &amp; levers'!$C$14="On",'Net zero Activity data'!BF57*ManureNEF*NtoN2O*kgtoGg,"ERROR"))</f>
        <v>5.0014587750161987E-2</v>
      </c>
      <c r="AN1127" s="101">
        <f>IF('Net zero activities &amp; levers'!$C$14="Off",'Activity data'!BG57*ManureNEF*NtoN2O*kgtoGg,IF('Net zero activities &amp; levers'!$C$14="On",'Net zero Activity data'!BG57*ManureNEF*NtoN2O*kgtoGg,"ERROR"))</f>
        <v>5.0057214375893909E-2</v>
      </c>
      <c r="AO1127" s="101">
        <f>IF('Net zero activities &amp; levers'!$C$14="Off",'Activity data'!BH57*ManureNEF*NtoN2O*kgtoGg,IF('Net zero activities &amp; levers'!$C$14="On",'Net zero Activity data'!BH57*ManureNEF*NtoN2O*kgtoGg,"ERROR"))</f>
        <v>5.0102952843749951E-2</v>
      </c>
      <c r="AP1127" s="101">
        <f>IF('Net zero activities &amp; levers'!$C$14="Off",'Activity data'!BI57*ManureNEF*NtoN2O*kgtoGg,IF('Net zero activities &amp; levers'!$C$14="On",'Net zero Activity data'!BI57*ManureNEF*NtoN2O*kgtoGg,"ERROR"))</f>
        <v>5.0152696636845955E-2</v>
      </c>
      <c r="AQ1127" s="101">
        <f>IF('Net zero activities &amp; levers'!$C$14="Off",'Activity data'!BJ57*ManureNEF*NtoN2O*kgtoGg,IF('Net zero activities &amp; levers'!$C$14="On",'Net zero Activity data'!BJ57*ManureNEF*NtoN2O*kgtoGg,"ERROR"))</f>
        <v>5.0206347937804444E-2</v>
      </c>
      <c r="AR1127" s="101">
        <f>IF('Net zero activities &amp; levers'!$C$14="Off",'Activity data'!BK57*ManureNEF*NtoN2O*kgtoGg,IF('Net zero activities &amp; levers'!$C$14="On",'Net zero Activity data'!BK57*ManureNEF*NtoN2O*kgtoGg,"ERROR"))</f>
        <v>5.0264535552880796E-2</v>
      </c>
      <c r="AS1127" s="101">
        <f>IF('Net zero activities &amp; levers'!$C$14="Off",'Activity data'!BL57*ManureNEF*NtoN2O*kgtoGg,IF('Net zero activities &amp; levers'!$C$14="On",'Net zero Activity data'!BL57*ManureNEF*NtoN2O*kgtoGg,"ERROR"))</f>
        <v>5.0287984223824772E-2</v>
      </c>
      <c r="AT1127" s="101">
        <f>IF('Net zero activities &amp; levers'!$C$14="Off",'Activity data'!BM57*ManureNEF*NtoN2O*kgtoGg,IF('Net zero activities &amp; levers'!$C$14="On",'Net zero Activity data'!BM57*ManureNEF*NtoN2O*kgtoGg,"ERROR"))</f>
        <v>5.0307666146733696E-2</v>
      </c>
      <c r="AU1127" s="101">
        <f>IF('Net zero activities &amp; levers'!$C$14="Off",'Activity data'!BN57*ManureNEF*NtoN2O*kgtoGg,IF('Net zero activities &amp; levers'!$C$14="On",'Net zero Activity data'!BN57*ManureNEF*NtoN2O*kgtoGg,"ERROR"))</f>
        <v>5.0329913890502127E-2</v>
      </c>
      <c r="AV1127" s="101">
        <f>IF('Net zero activities &amp; levers'!$C$14="Off",'Activity data'!BO57*ManureNEF*NtoN2O*kgtoGg,IF('Net zero activities &amp; levers'!$C$14="On",'Net zero Activity data'!BO57*ManureNEF*NtoN2O*kgtoGg,"ERROR"))</f>
        <v>5.0356066671013291E-2</v>
      </c>
      <c r="AW1127" s="101">
        <f>IF('Net zero activities &amp; levers'!$C$14="Off",'Activity data'!BP57*ManureNEF*NtoN2O*kgtoGg,IF('Net zero activities &amp; levers'!$C$14="On",'Net zero Activity data'!BP57*ManureNEF*NtoN2O*kgtoGg,"ERROR"))</f>
        <v>5.0384681749439074E-2</v>
      </c>
      <c r="AY1127" s="85"/>
    </row>
    <row r="1128" spans="1:51" x14ac:dyDescent="0.25">
      <c r="A1128" s="102" t="str">
        <f t="shared" si="374"/>
        <v>CM Organic</v>
      </c>
      <c r="B1128" s="102" t="s">
        <v>1323</v>
      </c>
      <c r="C1128" s="102" t="s">
        <v>1128</v>
      </c>
      <c r="D1128" t="s">
        <v>369</v>
      </c>
      <c r="E1128" t="s">
        <v>55</v>
      </c>
      <c r="F1128" t="s">
        <v>421</v>
      </c>
      <c r="G1128" t="s">
        <v>1169</v>
      </c>
      <c r="H1128" t="s">
        <v>1170</v>
      </c>
      <c r="I1128" t="s">
        <v>139</v>
      </c>
      <c r="J1128" t="s">
        <v>287</v>
      </c>
      <c r="K1128" s="101">
        <f>IF('Net zero activities &amp; levers'!$C$14="Off",'Activity data'!AD58*ManureNEF*NtoN2O*kgtoGg,IF('Net zero activities &amp; levers'!$C$14="On",'Net zero Activity data'!AD58*ManureNEF*NtoN2O*kgtoGg,"ERROR"))</f>
        <v>7.2124379000375856E-3</v>
      </c>
      <c r="L1128" s="101">
        <f>IF('Net zero activities &amp; levers'!$C$14="Off",'Activity data'!AE58*ManureNEF*NtoN2O*kgtoGg,IF('Net zero activities &amp; levers'!$C$14="On",'Net zero Activity data'!AE58*ManureNEF*NtoN2O*kgtoGg,"ERROR"))</f>
        <v>7.2311842253661622E-3</v>
      </c>
      <c r="M1128" s="101">
        <f>IF('Net zero activities &amp; levers'!$C$14="Off",'Activity data'!AF58*ManureNEF*NtoN2O*kgtoGg,IF('Net zero activities &amp; levers'!$C$14="On",'Net zero Activity data'!AF58*ManureNEF*NtoN2O*kgtoGg,"ERROR"))</f>
        <v>7.2564640106272402E-3</v>
      </c>
      <c r="N1128" s="101">
        <f>IF('Net zero activities &amp; levers'!$C$14="Off",'Activity data'!AG58*ManureNEF*NtoN2O*kgtoGg,IF('Net zero activities &amp; levers'!$C$14="On",'Net zero Activity data'!AG58*ManureNEF*NtoN2O*kgtoGg,"ERROR"))</f>
        <v>7.287254147269725E-3</v>
      </c>
      <c r="O1128" s="101">
        <f>IF('Net zero activities &amp; levers'!$C$14="Off",'Activity data'!AH58*ManureNEF*NtoN2O*kgtoGg,IF('Net zero activities &amp; levers'!$C$14="On",'Net zero Activity data'!AH58*ManureNEF*NtoN2O*kgtoGg,"ERROR"))</f>
        <v>7.3241333035294473E-3</v>
      </c>
      <c r="P1128" s="101">
        <f>IF('Net zero activities &amp; levers'!$C$14="Off",'Activity data'!AI58*ManureNEF*NtoN2O*kgtoGg,IF('Net zero activities &amp; levers'!$C$14="On",'Net zero Activity data'!AI58*ManureNEF*NtoN2O*kgtoGg,"ERROR"))</f>
        <v>7.3677329801347495E-3</v>
      </c>
      <c r="Q1128" s="101">
        <f>IF('Net zero activities &amp; levers'!$C$14="Off",'Activity data'!AJ58*ManureNEF*NtoN2O*kgtoGg,IF('Net zero activities &amp; levers'!$C$14="On",'Net zero Activity data'!AJ58*ManureNEF*NtoN2O*kgtoGg,"ERROR"))</f>
        <v>7.4139400326720672E-3</v>
      </c>
      <c r="R1128" s="101">
        <f>IF('Net zero activities &amp; levers'!$C$14="Off",'Activity data'!AK58*ManureNEF*NtoN2O*kgtoGg,IF('Net zero activities &amp; levers'!$C$14="On",'Net zero Activity data'!AK58*ManureNEF*NtoN2O*kgtoGg,"ERROR"))</f>
        <v>7.4622138016085145E-3</v>
      </c>
      <c r="S1128" s="101">
        <f>IF('Net zero activities &amp; levers'!$C$14="Off",'Activity data'!AL58*ManureNEF*NtoN2O*kgtoGg,IF('Net zero activities &amp; levers'!$C$14="On",'Net zero Activity data'!AL58*ManureNEF*NtoN2O*kgtoGg,"ERROR"))</f>
        <v>7.509211214865451E-3</v>
      </c>
      <c r="T1128" s="101">
        <f>IF('Net zero activities &amp; levers'!$C$14="Off",'Activity data'!AM58*ManureNEF*NtoN2O*kgtoGg,IF('Net zero activities &amp; levers'!$C$14="On",'Net zero Activity data'!AM58*ManureNEF*NtoN2O*kgtoGg,"ERROR"))</f>
        <v>7.5307669987204583E-3</v>
      </c>
      <c r="U1128" s="101">
        <f>IF('Net zero activities &amp; levers'!$C$14="Off",'Activity data'!AN58*ManureNEF*NtoN2O*kgtoGg,IF('Net zero activities &amp; levers'!$C$14="On",'Net zero Activity data'!AN58*ManureNEF*NtoN2O*kgtoGg,"ERROR"))</f>
        <v>7.5540126929522231E-3</v>
      </c>
      <c r="V1128" s="101">
        <f>IF('Net zero activities &amp; levers'!$C$14="Off",'Activity data'!AO58*ManureNEF*NtoN2O*kgtoGg,IF('Net zero activities &amp; levers'!$C$14="On",'Net zero Activity data'!AO58*ManureNEF*NtoN2O*kgtoGg,"ERROR"))</f>
        <v>7.5792072480240892E-3</v>
      </c>
      <c r="W1128" s="101">
        <f>IF('Net zero activities &amp; levers'!$C$14="Off",'Activity data'!AP58*ManureNEF*NtoN2O*kgtoGg,IF('Net zero activities &amp; levers'!$C$14="On",'Net zero Activity data'!AP58*ManureNEF*NtoN2O*kgtoGg,"ERROR"))</f>
        <v>7.6065371736612122E-3</v>
      </c>
      <c r="X1128" s="101">
        <f>IF('Net zero activities &amp; levers'!$C$14="Off",'Activity data'!AQ58*ManureNEF*NtoN2O*kgtoGg,IF('Net zero activities &amp; levers'!$C$14="On",'Net zero Activity data'!AQ58*ManureNEF*NtoN2O*kgtoGg,"ERROR"))</f>
        <v>7.6363701343967012E-3</v>
      </c>
      <c r="Y1128" s="101">
        <f>IF('Net zero activities &amp; levers'!$C$14="Off",'Activity data'!AR58*ManureNEF*NtoN2O*kgtoGg,IF('Net zero activities &amp; levers'!$C$14="On",'Net zero Activity data'!AR58*ManureNEF*NtoN2O*kgtoGg,"ERROR"))</f>
        <v>7.6555716504049104E-3</v>
      </c>
      <c r="Z1128" s="101">
        <f>IF('Net zero activities &amp; levers'!$C$14="Off",'Activity data'!AS58*ManureNEF*NtoN2O*kgtoGg,IF('Net zero activities &amp; levers'!$C$14="On",'Net zero Activity data'!AS58*ManureNEF*NtoN2O*kgtoGg,"ERROR"))</f>
        <v>7.6765259853692923E-3</v>
      </c>
      <c r="AA1128" s="101">
        <f>IF('Net zero activities &amp; levers'!$C$14="Off",'Activity data'!AT58*ManureNEF*NtoN2O*kgtoGg,IF('Net zero activities &amp; levers'!$C$14="On",'Net zero Activity data'!AT58*ManureNEF*NtoN2O*kgtoGg,"ERROR"))</f>
        <v>7.6987119024127136E-3</v>
      </c>
      <c r="AB1128" s="101">
        <f>IF('Net zero activities &amp; levers'!$C$14="Off",'Activity data'!AU58*ManureNEF*NtoN2O*kgtoGg,IF('Net zero activities &amp; levers'!$C$14="On",'Net zero Activity data'!AU58*ManureNEF*NtoN2O*kgtoGg,"ERROR"))</f>
        <v>7.7226338019690602E-3</v>
      </c>
      <c r="AC1128" s="101">
        <f>IF('Net zero activities &amp; levers'!$C$14="Off",'Activity data'!AV58*ManureNEF*NtoN2O*kgtoGg,IF('Net zero activities &amp; levers'!$C$14="On",'Net zero Activity data'!AV58*ManureNEF*NtoN2O*kgtoGg,"ERROR"))</f>
        <v>7.7482997485057862E-3</v>
      </c>
      <c r="AD1128" s="101">
        <f>IF('Net zero activities &amp; levers'!$C$14="Off",'Activity data'!AW58*ManureNEF*NtoN2O*kgtoGg,IF('Net zero activities &amp; levers'!$C$14="On",'Net zero Activity data'!AW58*ManureNEF*NtoN2O*kgtoGg,"ERROR"))</f>
        <v>7.7651933997685552E-3</v>
      </c>
      <c r="AE1128" s="101">
        <f>IF('Net zero activities &amp; levers'!$C$14="Off",'Activity data'!AX58*ManureNEF*NtoN2O*kgtoGg,IF('Net zero activities &amp; levers'!$C$14="On",'Net zero Activity data'!AX58*ManureNEF*NtoN2O*kgtoGg,"ERROR"))</f>
        <v>7.7834037435669879E-3</v>
      </c>
      <c r="AF1128" s="101">
        <f>IF('Net zero activities &amp; levers'!$C$14="Off",'Activity data'!AY58*ManureNEF*NtoN2O*kgtoGg,IF('Net zero activities &amp; levers'!$C$14="On",'Net zero Activity data'!AY58*ManureNEF*NtoN2O*kgtoGg,"ERROR"))</f>
        <v>7.802817413015653E-3</v>
      </c>
      <c r="AG1128" s="101">
        <f>IF('Net zero activities &amp; levers'!$C$14="Off",'Activity data'!AZ58*ManureNEF*NtoN2O*kgtoGg,IF('Net zero activities &amp; levers'!$C$14="On",'Net zero Activity data'!AZ58*ManureNEF*NtoN2O*kgtoGg,"ERROR"))</f>
        <v>7.8236526131203795E-3</v>
      </c>
      <c r="AH1128" s="101">
        <f>IF('Net zero activities &amp; levers'!$C$14="Off",'Activity data'!BA58*ManureNEF*NtoN2O*kgtoGg,IF('Net zero activities &amp; levers'!$C$14="On",'Net zero Activity data'!BA58*ManureNEF*NtoN2O*kgtoGg,"ERROR"))</f>
        <v>7.8451669042542294E-3</v>
      </c>
      <c r="AI1128" s="101">
        <f>IF('Net zero activities &amp; levers'!$C$14="Off",'Activity data'!BB58*ManureNEF*NtoN2O*kgtoGg,IF('Net zero activities &amp; levers'!$C$14="On",'Net zero Activity data'!BB58*ManureNEF*NtoN2O*kgtoGg,"ERROR"))</f>
        <v>7.8585039220798909E-3</v>
      </c>
      <c r="AJ1128" s="101">
        <f>IF('Net zero activities &amp; levers'!$C$14="Off",'Activity data'!BC58*ManureNEF*NtoN2O*kgtoGg,IF('Net zero activities &amp; levers'!$C$14="On",'Net zero Activity data'!BC58*ManureNEF*NtoN2O*kgtoGg,"ERROR"))</f>
        <v>7.8728299564684995E-3</v>
      </c>
      <c r="AK1128" s="101">
        <f>IF('Net zero activities &amp; levers'!$C$14="Off",'Activity data'!BD58*ManureNEF*NtoN2O*kgtoGg,IF('Net zero activities &amp; levers'!$C$14="On",'Net zero Activity data'!BD58*ManureNEF*NtoN2O*kgtoGg,"ERROR"))</f>
        <v>7.8879188408277207E-3</v>
      </c>
      <c r="AL1128" s="101">
        <f>IF('Net zero activities &amp; levers'!$C$14="Off",'Activity data'!BE58*ManureNEF*NtoN2O*kgtoGg,IF('Net zero activities &amp; levers'!$C$14="On",'Net zero Activity data'!BE58*ManureNEF*NtoN2O*kgtoGg,"ERROR"))</f>
        <v>7.9038640214346874E-3</v>
      </c>
      <c r="AM1128" s="101">
        <f>IF('Net zero activities &amp; levers'!$C$14="Off",'Activity data'!BF58*ManureNEF*NtoN2O*kgtoGg,IF('Net zero activities &amp; levers'!$C$14="On",'Net zero Activity data'!BF58*ManureNEF*NtoN2O*kgtoGg,"ERROR"))</f>
        <v>7.9207498637461782E-3</v>
      </c>
      <c r="AN1128" s="101">
        <f>IF('Net zero activities &amp; levers'!$C$14="Off",'Activity data'!BG58*ManureNEF*NtoN2O*kgtoGg,IF('Net zero activities &amp; levers'!$C$14="On",'Net zero Activity data'!BG58*ManureNEF*NtoN2O*kgtoGg,"ERROR"))</f>
        <v>7.9299570033797458E-3</v>
      </c>
      <c r="AO1128" s="101">
        <f>IF('Net zero activities &amp; levers'!$C$14="Off",'Activity data'!BH58*ManureNEF*NtoN2O*kgtoGg,IF('Net zero activities &amp; levers'!$C$14="On",'Net zero Activity data'!BH58*ManureNEF*NtoN2O*kgtoGg,"ERROR"))</f>
        <v>7.9397231588042138E-3</v>
      </c>
      <c r="AP1128" s="101">
        <f>IF('Net zero activities &amp; levers'!$C$14="Off",'Activity data'!BI58*ManureNEF*NtoN2O*kgtoGg,IF('Net zero activities &amp; levers'!$C$14="On",'Net zero Activity data'!BI58*ManureNEF*NtoN2O*kgtoGg,"ERROR"))</f>
        <v>7.9502533101027516E-3</v>
      </c>
      <c r="AQ1128" s="101">
        <f>IF('Net zero activities &amp; levers'!$C$14="Off",'Activity data'!BJ58*ManureNEF*NtoN2O*kgtoGg,IF('Net zero activities &amp; levers'!$C$14="On",'Net zero Activity data'!BJ58*ManureNEF*NtoN2O*kgtoGg,"ERROR"))</f>
        <v>7.9615278668621423E-3</v>
      </c>
      <c r="AR1128" s="101">
        <f>IF('Net zero activities &amp; levers'!$C$14="Off",'Activity data'!BK58*ManureNEF*NtoN2O*kgtoGg,IF('Net zero activities &amp; levers'!$C$14="On",'Net zero Activity data'!BK58*ManureNEF*NtoN2O*kgtoGg,"ERROR"))</f>
        <v>7.9736901552170548E-3</v>
      </c>
      <c r="AS1128" s="101">
        <f>IF('Net zero activities &amp; levers'!$C$14="Off",'Activity data'!BL58*ManureNEF*NtoN2O*kgtoGg,IF('Net zero activities &amp; levers'!$C$14="On",'Net zero Activity data'!BL58*ManureNEF*NtoN2O*kgtoGg,"ERROR"))</f>
        <v>7.9779384467945549E-3</v>
      </c>
      <c r="AT1128" s="101">
        <f>IF('Net zero activities &amp; levers'!$C$14="Off",'Activity data'!BM58*ManureNEF*NtoN2O*kgtoGg,IF('Net zero activities &amp; levers'!$C$14="On",'Net zero Activity data'!BM58*ManureNEF*NtoN2O*kgtoGg,"ERROR"))</f>
        <v>7.9812454824287754E-3</v>
      </c>
      <c r="AU1128" s="101">
        <f>IF('Net zero activities &amp; levers'!$C$14="Off",'Activity data'!BN58*ManureNEF*NtoN2O*kgtoGg,IF('Net zero activities &amp; levers'!$C$14="On",'Net zero Activity data'!BN58*ManureNEF*NtoN2O*kgtoGg,"ERROR"))</f>
        <v>7.9850348723730785E-3</v>
      </c>
      <c r="AV1128" s="101">
        <f>IF('Net zero activities &amp; levers'!$C$14="Off",'Activity data'!BO58*ManureNEF*NtoN2O*kgtoGg,IF('Net zero activities &amp; levers'!$C$14="On",'Net zero Activity data'!BO58*ManureNEF*NtoN2O*kgtoGg,"ERROR"))</f>
        <v>7.9896072385955193E-3</v>
      </c>
      <c r="AW1128" s="101">
        <f>IF('Net zero activities &amp; levers'!$C$14="Off",'Activity data'!BP58*ManureNEF*NtoN2O*kgtoGg,IF('Net zero activities &amp; levers'!$C$14="On",'Net zero Activity data'!BP58*ManureNEF*NtoN2O*kgtoGg,"ERROR"))</f>
        <v>7.9946414377677251E-3</v>
      </c>
      <c r="AY1128" s="85"/>
    </row>
    <row r="1129" spans="1:51" x14ac:dyDescent="0.25">
      <c r="A1129" s="102" t="str">
        <f t="shared" si="374"/>
        <v>CM Organic</v>
      </c>
      <c r="B1129" s="102" t="s">
        <v>1323</v>
      </c>
      <c r="C1129" s="102" t="s">
        <v>1128</v>
      </c>
      <c r="D1129" t="s">
        <v>369</v>
      </c>
      <c r="E1129" t="s">
        <v>55</v>
      </c>
      <c r="F1129" t="s">
        <v>421</v>
      </c>
      <c r="G1129" t="s">
        <v>1171</v>
      </c>
      <c r="H1129" t="s">
        <v>1172</v>
      </c>
      <c r="I1129" t="s">
        <v>139</v>
      </c>
      <c r="J1129" t="s">
        <v>287</v>
      </c>
      <c r="K1129" s="101">
        <f>IF('Net zero activities &amp; levers'!$C$14="Off",'Activity data'!AD59*ManureNEF*NtoN2O*kgtoGg,IF('Net zero activities &amp; levers'!$C$14="On",'Net zero Activity data'!AD59*ManureNEF*NtoN2O*kgtoGg,"ERROR"))</f>
        <v>8.7025704097551199E-2</v>
      </c>
      <c r="L1129" s="101">
        <f>IF('Net zero activities &amp; levers'!$C$14="Off",'Activity data'!AE59*ManureNEF*NtoN2O*kgtoGg,IF('Net zero activities &amp; levers'!$C$14="On",'Net zero Activity data'!AE59*ManureNEF*NtoN2O*kgtoGg,"ERROR"))</f>
        <v>8.7251898372437478E-2</v>
      </c>
      <c r="M1129" s="101">
        <f>IF('Net zero activities &amp; levers'!$C$14="Off",'Activity data'!AF59*ManureNEF*NtoN2O*kgtoGg,IF('Net zero activities &amp; levers'!$C$14="On",'Net zero Activity data'!AF59*ManureNEF*NtoN2O*kgtoGg,"ERROR"))</f>
        <v>8.7556925762935861E-2</v>
      </c>
      <c r="N1129" s="101">
        <f>IF('Net zero activities &amp; levers'!$C$14="Off",'Activity data'!AG59*ManureNEF*NtoN2O*kgtoGg,IF('Net zero activities &amp; levers'!$C$14="On",'Net zero Activity data'!AG59*ManureNEF*NtoN2O*kgtoGg,"ERROR"))</f>
        <v>8.7928441380499503E-2</v>
      </c>
      <c r="O1129" s="101">
        <f>IF('Net zero activities &amp; levers'!$C$14="Off",'Activity data'!AH59*ManureNEF*NtoN2O*kgtoGg,IF('Net zero activities &amp; levers'!$C$14="On",'Net zero Activity data'!AH59*ManureNEF*NtoN2O*kgtoGg,"ERROR"))</f>
        <v>8.8373427470433044E-2</v>
      </c>
      <c r="P1129" s="101">
        <f>IF('Net zero activities &amp; levers'!$C$14="Off",'Activity data'!AI59*ManureNEF*NtoN2O*kgtoGg,IF('Net zero activities &amp; levers'!$C$14="On",'Net zero Activity data'!AI59*ManureNEF*NtoN2O*kgtoGg,"ERROR"))</f>
        <v>8.8899503758033641E-2</v>
      </c>
      <c r="Q1129" s="101">
        <f>IF('Net zero activities &amp; levers'!$C$14="Off",'Activity data'!AJ59*ManureNEF*NtoN2O*kgtoGg,IF('Net zero activities &amp; levers'!$C$14="On",'Net zero Activity data'!AJ59*ManureNEF*NtoN2O*kgtoGg,"ERROR"))</f>
        <v>8.9457040798499768E-2</v>
      </c>
      <c r="R1129" s="101">
        <f>IF('Net zero activities &amp; levers'!$C$14="Off",'Activity data'!AK59*ManureNEF*NtoN2O*kgtoGg,IF('Net zero activities &amp; levers'!$C$14="On",'Net zero Activity data'!AK59*ManureNEF*NtoN2O*kgtoGg,"ERROR"))</f>
        <v>9.0039514961794118E-2</v>
      </c>
      <c r="S1129" s="101">
        <f>IF('Net zero activities &amp; levers'!$C$14="Off",'Activity data'!AL59*ManureNEF*NtoN2O*kgtoGg,IF('Net zero activities &amp; levers'!$C$14="On",'Net zero Activity data'!AL59*ManureNEF*NtoN2O*kgtoGg,"ERROR"))</f>
        <v>9.0606588541648075E-2</v>
      </c>
      <c r="T1129" s="101">
        <f>IF('Net zero activities &amp; levers'!$C$14="Off",'Activity data'!AM59*ManureNEF*NtoN2O*kgtoGg,IF('Net zero activities &amp; levers'!$C$14="On",'Net zero Activity data'!AM59*ManureNEF*NtoN2O*kgtoGg,"ERROR"))</f>
        <v>9.0866681909987077E-2</v>
      </c>
      <c r="U1129" s="101">
        <f>IF('Net zero activities &amp; levers'!$C$14="Off",'Activity data'!AN59*ManureNEF*NtoN2O*kgtoGg,IF('Net zero activities &amp; levers'!$C$14="On",'Net zero Activity data'!AN59*ManureNEF*NtoN2O*kgtoGg,"ERROR"))</f>
        <v>9.1147165837307267E-2</v>
      </c>
      <c r="V1129" s="101">
        <f>IF('Net zero activities &amp; levers'!$C$14="Off",'Activity data'!AO59*ManureNEF*NtoN2O*kgtoGg,IF('Net zero activities &amp; levers'!$C$14="On",'Net zero Activity data'!AO59*ManureNEF*NtoN2O*kgtoGg,"ERROR"))</f>
        <v>9.1451164835280221E-2</v>
      </c>
      <c r="W1129" s="101">
        <f>IF('Net zero activities &amp; levers'!$C$14="Off",'Activity data'!AP59*ManureNEF*NtoN2O*kgtoGg,IF('Net zero activities &amp; levers'!$C$14="On",'Net zero Activity data'!AP59*ManureNEF*NtoN2O*kgtoGg,"ERROR"))</f>
        <v>9.1780929341327769E-2</v>
      </c>
      <c r="X1129" s="101">
        <f>IF('Net zero activities &amp; levers'!$C$14="Off",'Activity data'!AQ59*ManureNEF*NtoN2O*kgtoGg,IF('Net zero activities &amp; levers'!$C$14="On",'Net zero Activity data'!AQ59*ManureNEF*NtoN2O*kgtoGg,"ERROR"))</f>
        <v>9.2140895617544447E-2</v>
      </c>
      <c r="Y1129" s="101">
        <f>IF('Net zero activities &amp; levers'!$C$14="Off",'Activity data'!AR59*ManureNEF*NtoN2O*kgtoGg,IF('Net zero activities &amp; levers'!$C$14="On",'Net zero Activity data'!AR59*ManureNEF*NtoN2O*kgtoGg,"ERROR"))</f>
        <v>9.2372582250207988E-2</v>
      </c>
      <c r="Z1129" s="101">
        <f>IF('Net zero activities &amp; levers'!$C$14="Off",'Activity data'!AS59*ManureNEF*NtoN2O*kgtoGg,IF('Net zero activities &amp; levers'!$C$14="On",'Net zero Activity data'!AS59*ManureNEF*NtoN2O*kgtoGg,"ERROR"))</f>
        <v>9.2625418500508608E-2</v>
      </c>
      <c r="AA1129" s="101">
        <f>IF('Net zero activities &amp; levers'!$C$14="Off",'Activity data'!AT59*ManureNEF*NtoN2O*kgtoGg,IF('Net zero activities &amp; levers'!$C$14="On",'Net zero Activity data'!AT59*ManureNEF*NtoN2O*kgtoGg,"ERROR"))</f>
        <v>9.2893115093326858E-2</v>
      </c>
      <c r="AB1129" s="101">
        <f>IF('Net zero activities &amp; levers'!$C$14="Off",'Activity data'!AU59*ManureNEF*NtoN2O*kgtoGg,IF('Net zero activities &amp; levers'!$C$14="On",'Net zero Activity data'!AU59*ManureNEF*NtoN2O*kgtoGg,"ERROR"))</f>
        <v>9.3181758154257929E-2</v>
      </c>
      <c r="AC1129" s="101">
        <f>IF('Net zero activities &amp; levers'!$C$14="Off",'Activity data'!AV59*ManureNEF*NtoN2O*kgtoGg,IF('Net zero activities &amp; levers'!$C$14="On",'Net zero Activity data'!AV59*ManureNEF*NtoN2O*kgtoGg,"ERROR"))</f>
        <v>9.3491444989645012E-2</v>
      </c>
      <c r="AD1129" s="101">
        <f>IF('Net zero activities &amp; levers'!$C$14="Off",'Activity data'!AW59*ManureNEF*NtoN2O*kgtoGg,IF('Net zero activities &amp; levers'!$C$14="On",'Net zero Activity data'!AW59*ManureNEF*NtoN2O*kgtoGg,"ERROR"))</f>
        <v>9.3695284789210367E-2</v>
      </c>
      <c r="AE1129" s="101">
        <f>IF('Net zero activities &amp; levers'!$C$14="Off",'Activity data'!AX59*ManureNEF*NtoN2O*kgtoGg,IF('Net zero activities &amp; levers'!$C$14="On",'Net zero Activity data'!AX59*ManureNEF*NtoN2O*kgtoGg,"ERROR"))</f>
        <v>9.3915011879118299E-2</v>
      </c>
      <c r="AF1129" s="101">
        <f>IF('Net zero activities &amp; levers'!$C$14="Off",'Activity data'!AY59*ManureNEF*NtoN2O*kgtoGg,IF('Net zero activities &amp; levers'!$C$14="On",'Net zero Activity data'!AY59*ManureNEF*NtoN2O*kgtoGg,"ERROR"))</f>
        <v>9.4149258367795627E-2</v>
      </c>
      <c r="AG1129" s="101">
        <f>IF('Net zero activities &amp; levers'!$C$14="Off",'Activity data'!AZ59*ManureNEF*NtoN2O*kgtoGg,IF('Net zero activities &amp; levers'!$C$14="On",'Net zero Activity data'!AZ59*ManureNEF*NtoN2O*kgtoGg,"ERROR"))</f>
        <v>9.4400657129803389E-2</v>
      </c>
      <c r="AH1129" s="101">
        <f>IF('Net zero activities &amp; levers'!$C$14="Off",'Activity data'!BA59*ManureNEF*NtoN2O*kgtoGg,IF('Net zero activities &amp; levers'!$C$14="On",'Net zero Activity data'!BA59*ManureNEF*NtoN2O*kgtoGg,"ERROR"))</f>
        <v>9.4660249844504385E-2</v>
      </c>
      <c r="AI1129" s="101">
        <f>IF('Net zero activities &amp; levers'!$C$14="Off",'Activity data'!BB59*ManureNEF*NtoN2O*kgtoGg,IF('Net zero activities &amp; levers'!$C$14="On",'Net zero Activity data'!BB59*ManureNEF*NtoN2O*kgtoGg,"ERROR"))</f>
        <v>9.4821175093764906E-2</v>
      </c>
      <c r="AJ1129" s="101">
        <f>IF('Net zero activities &amp; levers'!$C$14="Off",'Activity data'!BC59*ManureNEF*NtoN2O*kgtoGg,IF('Net zero activities &amp; levers'!$C$14="On",'Net zero Activity data'!BC59*ManureNEF*NtoN2O*kgtoGg,"ERROR"))</f>
        <v>9.4994033875618389E-2</v>
      </c>
      <c r="AK1129" s="101">
        <f>IF('Net zero activities &amp; levers'!$C$14="Off",'Activity data'!BD59*ManureNEF*NtoN2O*kgtoGg,IF('Net zero activities &amp; levers'!$C$14="On",'Net zero Activity data'!BD59*ManureNEF*NtoN2O*kgtoGg,"ERROR"))</f>
        <v>9.5176097250528169E-2</v>
      </c>
      <c r="AL1129" s="101">
        <f>IF('Net zero activities &amp; levers'!$C$14="Off",'Activity data'!BE59*ManureNEF*NtoN2O*kgtoGg,IF('Net zero activities &amp; levers'!$C$14="On",'Net zero Activity data'!BE59*ManureNEF*NtoN2O*kgtoGg,"ERROR"))</f>
        <v>9.5368492746824421E-2</v>
      </c>
      <c r="AM1129" s="101">
        <f>IF('Net zero activities &amp; levers'!$C$14="Off",'Activity data'!BF59*ManureNEF*NtoN2O*kgtoGg,IF('Net zero activities &amp; levers'!$C$14="On",'Net zero Activity data'!BF59*ManureNEF*NtoN2O*kgtoGg,"ERROR"))</f>
        <v>9.5572238323119812E-2</v>
      </c>
      <c r="AN1129" s="101">
        <f>IF('Net zero activities &amp; levers'!$C$14="Off",'Activity data'!BG59*ManureNEF*NtoN2O*kgtoGg,IF('Net zero activities &amp; levers'!$C$14="On",'Net zero Activity data'!BG59*ManureNEF*NtoN2O*kgtoGg,"ERROR"))</f>
        <v>9.5683332216812994E-2</v>
      </c>
      <c r="AO1129" s="101">
        <f>IF('Net zero activities &amp; levers'!$C$14="Off",'Activity data'!BH59*ManureNEF*NtoN2O*kgtoGg,IF('Net zero activities &amp; levers'!$C$14="On",'Net zero Activity data'!BH59*ManureNEF*NtoN2O*kgtoGg,"ERROR"))</f>
        <v>9.5801171228242971E-2</v>
      </c>
      <c r="AP1129" s="101">
        <f>IF('Net zero activities &amp; levers'!$C$14="Off",'Activity data'!BI59*ManureNEF*NtoN2O*kgtoGg,IF('Net zero activities &amp; levers'!$C$14="On",'Net zero Activity data'!BI59*ManureNEF*NtoN2O*kgtoGg,"ERROR"))</f>
        <v>9.5928228659268394E-2</v>
      </c>
      <c r="AQ1129" s="101">
        <f>IF('Net zero activities &amp; levers'!$C$14="Off",'Activity data'!BJ59*ManureNEF*NtoN2O*kgtoGg,IF('Net zero activities &amp; levers'!$C$14="On",'Net zero Activity data'!BJ59*ManureNEF*NtoN2O*kgtoGg,"ERROR"))</f>
        <v>9.6064268130799754E-2</v>
      </c>
      <c r="AR1129" s="101">
        <f>IF('Net zero activities &amp; levers'!$C$14="Off",'Activity data'!BK59*ManureNEF*NtoN2O*kgtoGg,IF('Net zero activities &amp; levers'!$C$14="On",'Net zero Activity data'!BK59*ManureNEF*NtoN2O*kgtoGg,"ERROR"))</f>
        <v>9.6211019024491043E-2</v>
      </c>
      <c r="AS1129" s="101">
        <f>IF('Net zero activities &amp; levers'!$C$14="Off",'Activity data'!BL59*ManureNEF*NtoN2O*kgtoGg,IF('Net zero activities &amp; levers'!$C$14="On",'Net zero Activity data'!BL59*ManureNEF*NtoN2O*kgtoGg,"ERROR"))</f>
        <v>9.6262279163000078E-2</v>
      </c>
      <c r="AT1129" s="101">
        <f>IF('Net zero activities &amp; levers'!$C$14="Off",'Activity data'!BM59*ManureNEF*NtoN2O*kgtoGg,IF('Net zero activities &amp; levers'!$C$14="On",'Net zero Activity data'!BM59*ManureNEF*NtoN2O*kgtoGg,"ERROR"))</f>
        <v>9.6302182051389879E-2</v>
      </c>
      <c r="AU1129" s="101">
        <f>IF('Net zero activities &amp; levers'!$C$14="Off",'Activity data'!BN59*ManureNEF*NtoN2O*kgtoGg,IF('Net zero activities &amp; levers'!$C$14="On",'Net zero Activity data'!BN59*ManureNEF*NtoN2O*kgtoGg,"ERROR"))</f>
        <v>9.634790505553549E-2</v>
      </c>
      <c r="AV1129" s="101">
        <f>IF('Net zero activities &amp; levers'!$C$14="Off",'Activity data'!BO59*ManureNEF*NtoN2O*kgtoGg,IF('Net zero activities &amp; levers'!$C$14="On",'Net zero Activity data'!BO59*ManureNEF*NtoN2O*kgtoGg,"ERROR"))</f>
        <v>9.6403075497959345E-2</v>
      </c>
      <c r="AW1129" s="101">
        <f>IF('Net zero activities &amp; levers'!$C$14="Off",'Activity data'!BP59*ManureNEF*NtoN2O*kgtoGg,IF('Net zero activities &amp; levers'!$C$14="On",'Net zero Activity data'!BP59*ManureNEF*NtoN2O*kgtoGg,"ERROR"))</f>
        <v>9.6463818444186472E-2</v>
      </c>
      <c r="AY1129" s="85"/>
    </row>
    <row r="1130" spans="1:51" x14ac:dyDescent="0.25">
      <c r="A1130" s="102" t="str">
        <f t="shared" si="374"/>
        <v>CM Organic</v>
      </c>
      <c r="B1130" s="102" t="s">
        <v>1323</v>
      </c>
      <c r="C1130" s="102" t="s">
        <v>1128</v>
      </c>
      <c r="D1130" t="s">
        <v>369</v>
      </c>
      <c r="E1130" t="s">
        <v>55</v>
      </c>
      <c r="F1130" t="s">
        <v>421</v>
      </c>
      <c r="G1130" t="s">
        <v>1173</v>
      </c>
      <c r="H1130" t="s">
        <v>1174</v>
      </c>
      <c r="I1130" t="s">
        <v>139</v>
      </c>
      <c r="J1130" t="s">
        <v>287</v>
      </c>
      <c r="K1130" s="101">
        <f>IF('Net zero activities &amp; levers'!$C$14="Off",'Activity data'!AD60*ManureNEF*NtoN2O*kgtoGg,IF('Net zero activities &amp; levers'!$C$14="On",'Net zero Activity data'!AD60*ManureNEF*NtoN2O*kgtoGg,"ERROR"))</f>
        <v>0</v>
      </c>
      <c r="L1130" s="101">
        <f>IF('Net zero activities &amp; levers'!$C$14="Off",'Activity data'!AE60*ManureNEF*NtoN2O*kgtoGg,IF('Net zero activities &amp; levers'!$C$14="On",'Net zero Activity data'!AE60*ManureNEF*NtoN2O*kgtoGg,"ERROR"))</f>
        <v>0</v>
      </c>
      <c r="M1130" s="101">
        <f>IF('Net zero activities &amp; levers'!$C$14="Off",'Activity data'!AF60*ManureNEF*NtoN2O*kgtoGg,IF('Net zero activities &amp; levers'!$C$14="On",'Net zero Activity data'!AF60*ManureNEF*NtoN2O*kgtoGg,"ERROR"))</f>
        <v>0</v>
      </c>
      <c r="N1130" s="101">
        <f>IF('Net zero activities &amp; levers'!$C$14="Off",'Activity data'!AG60*ManureNEF*NtoN2O*kgtoGg,IF('Net zero activities &amp; levers'!$C$14="On",'Net zero Activity data'!AG60*ManureNEF*NtoN2O*kgtoGg,"ERROR"))</f>
        <v>0</v>
      </c>
      <c r="O1130" s="101">
        <f>IF('Net zero activities &amp; levers'!$C$14="Off",'Activity data'!AH60*ManureNEF*NtoN2O*kgtoGg,IF('Net zero activities &amp; levers'!$C$14="On",'Net zero Activity data'!AH60*ManureNEF*NtoN2O*kgtoGg,"ERROR"))</f>
        <v>0</v>
      </c>
      <c r="P1130" s="101">
        <f>IF('Net zero activities &amp; levers'!$C$14="Off",'Activity data'!AI60*ManureNEF*NtoN2O*kgtoGg,IF('Net zero activities &amp; levers'!$C$14="On",'Net zero Activity data'!AI60*ManureNEF*NtoN2O*kgtoGg,"ERROR"))</f>
        <v>0</v>
      </c>
      <c r="Q1130" s="101">
        <f>IF('Net zero activities &amp; levers'!$C$14="Off",'Activity data'!AJ60*ManureNEF*NtoN2O*kgtoGg,IF('Net zero activities &amp; levers'!$C$14="On",'Net zero Activity data'!AJ60*ManureNEF*NtoN2O*kgtoGg,"ERROR"))</f>
        <v>0</v>
      </c>
      <c r="R1130" s="101">
        <f>IF('Net zero activities &amp; levers'!$C$14="Off",'Activity data'!AK60*ManureNEF*NtoN2O*kgtoGg,IF('Net zero activities &amp; levers'!$C$14="On",'Net zero Activity data'!AK60*ManureNEF*NtoN2O*kgtoGg,"ERROR"))</f>
        <v>0</v>
      </c>
      <c r="S1130" s="101">
        <f>IF('Net zero activities &amp; levers'!$C$14="Off",'Activity data'!AL60*ManureNEF*NtoN2O*kgtoGg,IF('Net zero activities &amp; levers'!$C$14="On",'Net zero Activity data'!AL60*ManureNEF*NtoN2O*kgtoGg,"ERROR"))</f>
        <v>0</v>
      </c>
      <c r="T1130" s="101">
        <f>IF('Net zero activities &amp; levers'!$C$14="Off",'Activity data'!AM60*ManureNEF*NtoN2O*kgtoGg,IF('Net zero activities &amp; levers'!$C$14="On",'Net zero Activity data'!AM60*ManureNEF*NtoN2O*kgtoGg,"ERROR"))</f>
        <v>0</v>
      </c>
      <c r="U1130" s="101">
        <f>IF('Net zero activities &amp; levers'!$C$14="Off",'Activity data'!AN60*ManureNEF*NtoN2O*kgtoGg,IF('Net zero activities &amp; levers'!$C$14="On",'Net zero Activity data'!AN60*ManureNEF*NtoN2O*kgtoGg,"ERROR"))</f>
        <v>0</v>
      </c>
      <c r="V1130" s="101">
        <f>IF('Net zero activities &amp; levers'!$C$14="Off",'Activity data'!AO60*ManureNEF*NtoN2O*kgtoGg,IF('Net zero activities &amp; levers'!$C$14="On",'Net zero Activity data'!AO60*ManureNEF*NtoN2O*kgtoGg,"ERROR"))</f>
        <v>0</v>
      </c>
      <c r="W1130" s="101">
        <f>IF('Net zero activities &amp; levers'!$C$14="Off",'Activity data'!AP60*ManureNEF*NtoN2O*kgtoGg,IF('Net zero activities &amp; levers'!$C$14="On",'Net zero Activity data'!AP60*ManureNEF*NtoN2O*kgtoGg,"ERROR"))</f>
        <v>0</v>
      </c>
      <c r="X1130" s="101">
        <f>IF('Net zero activities &amp; levers'!$C$14="Off",'Activity data'!AQ60*ManureNEF*NtoN2O*kgtoGg,IF('Net zero activities &amp; levers'!$C$14="On",'Net zero Activity data'!AQ60*ManureNEF*NtoN2O*kgtoGg,"ERROR"))</f>
        <v>0</v>
      </c>
      <c r="Y1130" s="101">
        <f>IF('Net zero activities &amp; levers'!$C$14="Off",'Activity data'!AR60*ManureNEF*NtoN2O*kgtoGg,IF('Net zero activities &amp; levers'!$C$14="On",'Net zero Activity data'!AR60*ManureNEF*NtoN2O*kgtoGg,"ERROR"))</f>
        <v>0</v>
      </c>
      <c r="Z1130" s="101">
        <f>IF('Net zero activities &amp; levers'!$C$14="Off",'Activity data'!AS60*ManureNEF*NtoN2O*kgtoGg,IF('Net zero activities &amp; levers'!$C$14="On",'Net zero Activity data'!AS60*ManureNEF*NtoN2O*kgtoGg,"ERROR"))</f>
        <v>0</v>
      </c>
      <c r="AA1130" s="101">
        <f>IF('Net zero activities &amp; levers'!$C$14="Off",'Activity data'!AT60*ManureNEF*NtoN2O*kgtoGg,IF('Net zero activities &amp; levers'!$C$14="On",'Net zero Activity data'!AT60*ManureNEF*NtoN2O*kgtoGg,"ERROR"))</f>
        <v>0</v>
      </c>
      <c r="AB1130" s="101">
        <f>IF('Net zero activities &amp; levers'!$C$14="Off",'Activity data'!AU60*ManureNEF*NtoN2O*kgtoGg,IF('Net zero activities &amp; levers'!$C$14="On",'Net zero Activity data'!AU60*ManureNEF*NtoN2O*kgtoGg,"ERROR"))</f>
        <v>0</v>
      </c>
      <c r="AC1130" s="101">
        <f>IF('Net zero activities &amp; levers'!$C$14="Off",'Activity data'!AV60*ManureNEF*NtoN2O*kgtoGg,IF('Net zero activities &amp; levers'!$C$14="On",'Net zero Activity data'!AV60*ManureNEF*NtoN2O*kgtoGg,"ERROR"))</f>
        <v>0</v>
      </c>
      <c r="AD1130" s="101">
        <f>IF('Net zero activities &amp; levers'!$C$14="Off",'Activity data'!AW60*ManureNEF*NtoN2O*kgtoGg,IF('Net zero activities &amp; levers'!$C$14="On",'Net zero Activity data'!AW60*ManureNEF*NtoN2O*kgtoGg,"ERROR"))</f>
        <v>0</v>
      </c>
      <c r="AE1130" s="101">
        <f>IF('Net zero activities &amp; levers'!$C$14="Off",'Activity data'!AX60*ManureNEF*NtoN2O*kgtoGg,IF('Net zero activities &amp; levers'!$C$14="On",'Net zero Activity data'!AX60*ManureNEF*NtoN2O*kgtoGg,"ERROR"))</f>
        <v>0</v>
      </c>
      <c r="AF1130" s="101">
        <f>IF('Net zero activities &amp; levers'!$C$14="Off",'Activity data'!AY60*ManureNEF*NtoN2O*kgtoGg,IF('Net zero activities &amp; levers'!$C$14="On",'Net zero Activity data'!AY60*ManureNEF*NtoN2O*kgtoGg,"ERROR"))</f>
        <v>0</v>
      </c>
      <c r="AG1130" s="101">
        <f>IF('Net zero activities &amp; levers'!$C$14="Off",'Activity data'!AZ60*ManureNEF*NtoN2O*kgtoGg,IF('Net zero activities &amp; levers'!$C$14="On",'Net zero Activity data'!AZ60*ManureNEF*NtoN2O*kgtoGg,"ERROR"))</f>
        <v>0</v>
      </c>
      <c r="AH1130" s="101">
        <f>IF('Net zero activities &amp; levers'!$C$14="Off",'Activity data'!BA60*ManureNEF*NtoN2O*kgtoGg,IF('Net zero activities &amp; levers'!$C$14="On",'Net zero Activity data'!BA60*ManureNEF*NtoN2O*kgtoGg,"ERROR"))</f>
        <v>0</v>
      </c>
      <c r="AI1130" s="101">
        <f>IF('Net zero activities &amp; levers'!$C$14="Off",'Activity data'!BB60*ManureNEF*NtoN2O*kgtoGg,IF('Net zero activities &amp; levers'!$C$14="On",'Net zero Activity data'!BB60*ManureNEF*NtoN2O*kgtoGg,"ERROR"))</f>
        <v>0</v>
      </c>
      <c r="AJ1130" s="101">
        <f>IF('Net zero activities &amp; levers'!$C$14="Off",'Activity data'!BC60*ManureNEF*NtoN2O*kgtoGg,IF('Net zero activities &amp; levers'!$C$14="On",'Net zero Activity data'!BC60*ManureNEF*NtoN2O*kgtoGg,"ERROR"))</f>
        <v>0</v>
      </c>
      <c r="AK1130" s="101">
        <f>IF('Net zero activities &amp; levers'!$C$14="Off",'Activity data'!BD60*ManureNEF*NtoN2O*kgtoGg,IF('Net zero activities &amp; levers'!$C$14="On",'Net zero Activity data'!BD60*ManureNEF*NtoN2O*kgtoGg,"ERROR"))</f>
        <v>0</v>
      </c>
      <c r="AL1130" s="101">
        <f>IF('Net zero activities &amp; levers'!$C$14="Off",'Activity data'!BE60*ManureNEF*NtoN2O*kgtoGg,IF('Net zero activities &amp; levers'!$C$14="On",'Net zero Activity data'!BE60*ManureNEF*NtoN2O*kgtoGg,"ERROR"))</f>
        <v>0</v>
      </c>
      <c r="AM1130" s="101">
        <f>IF('Net zero activities &amp; levers'!$C$14="Off",'Activity data'!BF60*ManureNEF*NtoN2O*kgtoGg,IF('Net zero activities &amp; levers'!$C$14="On",'Net zero Activity data'!BF60*ManureNEF*NtoN2O*kgtoGg,"ERROR"))</f>
        <v>0</v>
      </c>
      <c r="AN1130" s="101">
        <f>IF('Net zero activities &amp; levers'!$C$14="Off",'Activity data'!BG60*ManureNEF*NtoN2O*kgtoGg,IF('Net zero activities &amp; levers'!$C$14="On",'Net zero Activity data'!BG60*ManureNEF*NtoN2O*kgtoGg,"ERROR"))</f>
        <v>0</v>
      </c>
      <c r="AO1130" s="101">
        <f>IF('Net zero activities &amp; levers'!$C$14="Off",'Activity data'!BH60*ManureNEF*NtoN2O*kgtoGg,IF('Net zero activities &amp; levers'!$C$14="On",'Net zero Activity data'!BH60*ManureNEF*NtoN2O*kgtoGg,"ERROR"))</f>
        <v>0</v>
      </c>
      <c r="AP1130" s="101">
        <f>IF('Net zero activities &amp; levers'!$C$14="Off",'Activity data'!BI60*ManureNEF*NtoN2O*kgtoGg,IF('Net zero activities &amp; levers'!$C$14="On",'Net zero Activity data'!BI60*ManureNEF*NtoN2O*kgtoGg,"ERROR"))</f>
        <v>0</v>
      </c>
      <c r="AQ1130" s="101">
        <f>IF('Net zero activities &amp; levers'!$C$14="Off",'Activity data'!BJ60*ManureNEF*NtoN2O*kgtoGg,IF('Net zero activities &amp; levers'!$C$14="On",'Net zero Activity data'!BJ60*ManureNEF*NtoN2O*kgtoGg,"ERROR"))</f>
        <v>0</v>
      </c>
      <c r="AR1130" s="101">
        <f>IF('Net zero activities &amp; levers'!$C$14="Off",'Activity data'!BK60*ManureNEF*NtoN2O*kgtoGg,IF('Net zero activities &amp; levers'!$C$14="On",'Net zero Activity data'!BK60*ManureNEF*NtoN2O*kgtoGg,"ERROR"))</f>
        <v>0</v>
      </c>
      <c r="AS1130" s="101">
        <f>IF('Net zero activities &amp; levers'!$C$14="Off",'Activity data'!BL60*ManureNEF*NtoN2O*kgtoGg,IF('Net zero activities &amp; levers'!$C$14="On",'Net zero Activity data'!BL60*ManureNEF*NtoN2O*kgtoGg,"ERROR"))</f>
        <v>0</v>
      </c>
      <c r="AT1130" s="101">
        <f>IF('Net zero activities &amp; levers'!$C$14="Off",'Activity data'!BM60*ManureNEF*NtoN2O*kgtoGg,IF('Net zero activities &amp; levers'!$C$14="On",'Net zero Activity data'!BM60*ManureNEF*NtoN2O*kgtoGg,"ERROR"))</f>
        <v>0</v>
      </c>
      <c r="AU1130" s="101">
        <f>IF('Net zero activities &amp; levers'!$C$14="Off",'Activity data'!BN60*ManureNEF*NtoN2O*kgtoGg,IF('Net zero activities &amp; levers'!$C$14="On",'Net zero Activity data'!BN60*ManureNEF*NtoN2O*kgtoGg,"ERROR"))</f>
        <v>0</v>
      </c>
      <c r="AV1130" s="101">
        <f>IF('Net zero activities &amp; levers'!$C$14="Off",'Activity data'!BO60*ManureNEF*NtoN2O*kgtoGg,IF('Net zero activities &amp; levers'!$C$14="On",'Net zero Activity data'!BO60*ManureNEF*NtoN2O*kgtoGg,"ERROR"))</f>
        <v>0</v>
      </c>
      <c r="AW1130" s="101">
        <f>IF('Net zero activities &amp; levers'!$C$14="Off",'Activity data'!BP60*ManureNEF*NtoN2O*kgtoGg,IF('Net zero activities &amp; levers'!$C$14="On",'Net zero Activity data'!BP60*ManureNEF*NtoN2O*kgtoGg,"ERROR"))</f>
        <v>0</v>
      </c>
      <c r="AY1130" s="85"/>
    </row>
    <row r="1131" spans="1:51" x14ac:dyDescent="0.25">
      <c r="A1131" s="102" t="str">
        <f t="shared" si="374"/>
        <v>CM Organic</v>
      </c>
      <c r="B1131" s="102" t="s">
        <v>1323</v>
      </c>
      <c r="C1131" s="102" t="s">
        <v>1128</v>
      </c>
      <c r="D1131" t="s">
        <v>369</v>
      </c>
      <c r="E1131" t="s">
        <v>55</v>
      </c>
      <c r="F1131" t="s">
        <v>421</v>
      </c>
      <c r="G1131" t="s">
        <v>1175</v>
      </c>
      <c r="H1131" t="s">
        <v>1176</v>
      </c>
      <c r="I1131" t="s">
        <v>139</v>
      </c>
      <c r="J1131" t="s">
        <v>287</v>
      </c>
      <c r="K1131" s="101">
        <f>IF('Net zero activities &amp; levers'!$C$14="Off",'Activity data'!AD61*ManureNEF*NtoN2O*kgtoGg,IF('Net zero activities &amp; levers'!$C$14="On",'Net zero Activity data'!AD61*ManureNEF*NtoN2O*kgtoGg,"ERROR"))</f>
        <v>0</v>
      </c>
      <c r="L1131" s="101">
        <f>IF('Net zero activities &amp; levers'!$C$14="Off",'Activity data'!AE61*ManureNEF*NtoN2O*kgtoGg,IF('Net zero activities &amp; levers'!$C$14="On",'Net zero Activity data'!AE61*ManureNEF*NtoN2O*kgtoGg,"ERROR"))</f>
        <v>0</v>
      </c>
      <c r="M1131" s="101">
        <f>IF('Net zero activities &amp; levers'!$C$14="Off",'Activity data'!AF61*ManureNEF*NtoN2O*kgtoGg,IF('Net zero activities &amp; levers'!$C$14="On",'Net zero Activity data'!AF61*ManureNEF*NtoN2O*kgtoGg,"ERROR"))</f>
        <v>0</v>
      </c>
      <c r="N1131" s="101">
        <f>IF('Net zero activities &amp; levers'!$C$14="Off",'Activity data'!AG61*ManureNEF*NtoN2O*kgtoGg,IF('Net zero activities &amp; levers'!$C$14="On",'Net zero Activity data'!AG61*ManureNEF*NtoN2O*kgtoGg,"ERROR"))</f>
        <v>0</v>
      </c>
      <c r="O1131" s="101">
        <f>IF('Net zero activities &amp; levers'!$C$14="Off",'Activity data'!AH61*ManureNEF*NtoN2O*kgtoGg,IF('Net zero activities &amp; levers'!$C$14="On",'Net zero Activity data'!AH61*ManureNEF*NtoN2O*kgtoGg,"ERROR"))</f>
        <v>0</v>
      </c>
      <c r="P1131" s="101">
        <f>IF('Net zero activities &amp; levers'!$C$14="Off",'Activity data'!AI61*ManureNEF*NtoN2O*kgtoGg,IF('Net zero activities &amp; levers'!$C$14="On",'Net zero Activity data'!AI61*ManureNEF*NtoN2O*kgtoGg,"ERROR"))</f>
        <v>0</v>
      </c>
      <c r="Q1131" s="101">
        <f>IF('Net zero activities &amp; levers'!$C$14="Off",'Activity data'!AJ61*ManureNEF*NtoN2O*kgtoGg,IF('Net zero activities &amp; levers'!$C$14="On",'Net zero Activity data'!AJ61*ManureNEF*NtoN2O*kgtoGg,"ERROR"))</f>
        <v>0</v>
      </c>
      <c r="R1131" s="101">
        <f>IF('Net zero activities &amp; levers'!$C$14="Off",'Activity data'!AK61*ManureNEF*NtoN2O*kgtoGg,IF('Net zero activities &amp; levers'!$C$14="On",'Net zero Activity data'!AK61*ManureNEF*NtoN2O*kgtoGg,"ERROR"))</f>
        <v>0</v>
      </c>
      <c r="S1131" s="101">
        <f>IF('Net zero activities &amp; levers'!$C$14="Off",'Activity data'!AL61*ManureNEF*NtoN2O*kgtoGg,IF('Net zero activities &amp; levers'!$C$14="On",'Net zero Activity data'!AL61*ManureNEF*NtoN2O*kgtoGg,"ERROR"))</f>
        <v>0</v>
      </c>
      <c r="T1131" s="101">
        <f>IF('Net zero activities &amp; levers'!$C$14="Off",'Activity data'!AM61*ManureNEF*NtoN2O*kgtoGg,IF('Net zero activities &amp; levers'!$C$14="On",'Net zero Activity data'!AM61*ManureNEF*NtoN2O*kgtoGg,"ERROR"))</f>
        <v>0</v>
      </c>
      <c r="U1131" s="101">
        <f>IF('Net zero activities &amp; levers'!$C$14="Off",'Activity data'!AN61*ManureNEF*NtoN2O*kgtoGg,IF('Net zero activities &amp; levers'!$C$14="On",'Net zero Activity data'!AN61*ManureNEF*NtoN2O*kgtoGg,"ERROR"))</f>
        <v>0</v>
      </c>
      <c r="V1131" s="101">
        <f>IF('Net zero activities &amp; levers'!$C$14="Off",'Activity data'!AO61*ManureNEF*NtoN2O*kgtoGg,IF('Net zero activities &amp; levers'!$C$14="On",'Net zero Activity data'!AO61*ManureNEF*NtoN2O*kgtoGg,"ERROR"))</f>
        <v>0</v>
      </c>
      <c r="W1131" s="101">
        <f>IF('Net zero activities &amp; levers'!$C$14="Off",'Activity data'!AP61*ManureNEF*NtoN2O*kgtoGg,IF('Net zero activities &amp; levers'!$C$14="On",'Net zero Activity data'!AP61*ManureNEF*NtoN2O*kgtoGg,"ERROR"))</f>
        <v>0</v>
      </c>
      <c r="X1131" s="101">
        <f>IF('Net zero activities &amp; levers'!$C$14="Off",'Activity data'!AQ61*ManureNEF*NtoN2O*kgtoGg,IF('Net zero activities &amp; levers'!$C$14="On",'Net zero Activity data'!AQ61*ManureNEF*NtoN2O*kgtoGg,"ERROR"))</f>
        <v>0</v>
      </c>
      <c r="Y1131" s="101">
        <f>IF('Net zero activities &amp; levers'!$C$14="Off",'Activity data'!AR61*ManureNEF*NtoN2O*kgtoGg,IF('Net zero activities &amp; levers'!$C$14="On",'Net zero Activity data'!AR61*ManureNEF*NtoN2O*kgtoGg,"ERROR"))</f>
        <v>0</v>
      </c>
      <c r="Z1131" s="101">
        <f>IF('Net zero activities &amp; levers'!$C$14="Off",'Activity data'!AS61*ManureNEF*NtoN2O*kgtoGg,IF('Net zero activities &amp; levers'!$C$14="On",'Net zero Activity data'!AS61*ManureNEF*NtoN2O*kgtoGg,"ERROR"))</f>
        <v>0</v>
      </c>
      <c r="AA1131" s="101">
        <f>IF('Net zero activities &amp; levers'!$C$14="Off",'Activity data'!AT61*ManureNEF*NtoN2O*kgtoGg,IF('Net zero activities &amp; levers'!$C$14="On",'Net zero Activity data'!AT61*ManureNEF*NtoN2O*kgtoGg,"ERROR"))</f>
        <v>0</v>
      </c>
      <c r="AB1131" s="101">
        <f>IF('Net zero activities &amp; levers'!$C$14="Off",'Activity data'!AU61*ManureNEF*NtoN2O*kgtoGg,IF('Net zero activities &amp; levers'!$C$14="On",'Net zero Activity data'!AU61*ManureNEF*NtoN2O*kgtoGg,"ERROR"))</f>
        <v>0</v>
      </c>
      <c r="AC1131" s="101">
        <f>IF('Net zero activities &amp; levers'!$C$14="Off",'Activity data'!AV61*ManureNEF*NtoN2O*kgtoGg,IF('Net zero activities &amp; levers'!$C$14="On",'Net zero Activity data'!AV61*ManureNEF*NtoN2O*kgtoGg,"ERROR"))</f>
        <v>0</v>
      </c>
      <c r="AD1131" s="101">
        <f>IF('Net zero activities &amp; levers'!$C$14="Off",'Activity data'!AW61*ManureNEF*NtoN2O*kgtoGg,IF('Net zero activities &amp; levers'!$C$14="On",'Net zero Activity data'!AW61*ManureNEF*NtoN2O*kgtoGg,"ERROR"))</f>
        <v>0</v>
      </c>
      <c r="AE1131" s="101">
        <f>IF('Net zero activities &amp; levers'!$C$14="Off",'Activity data'!AX61*ManureNEF*NtoN2O*kgtoGg,IF('Net zero activities &amp; levers'!$C$14="On",'Net zero Activity data'!AX61*ManureNEF*NtoN2O*kgtoGg,"ERROR"))</f>
        <v>0</v>
      </c>
      <c r="AF1131" s="101">
        <f>IF('Net zero activities &amp; levers'!$C$14="Off",'Activity data'!AY61*ManureNEF*NtoN2O*kgtoGg,IF('Net zero activities &amp; levers'!$C$14="On",'Net zero Activity data'!AY61*ManureNEF*NtoN2O*kgtoGg,"ERROR"))</f>
        <v>0</v>
      </c>
      <c r="AG1131" s="101">
        <f>IF('Net zero activities &amp; levers'!$C$14="Off",'Activity data'!AZ61*ManureNEF*NtoN2O*kgtoGg,IF('Net zero activities &amp; levers'!$C$14="On",'Net zero Activity data'!AZ61*ManureNEF*NtoN2O*kgtoGg,"ERROR"))</f>
        <v>0</v>
      </c>
      <c r="AH1131" s="101">
        <f>IF('Net zero activities &amp; levers'!$C$14="Off",'Activity data'!BA61*ManureNEF*NtoN2O*kgtoGg,IF('Net zero activities &amp; levers'!$C$14="On",'Net zero Activity data'!BA61*ManureNEF*NtoN2O*kgtoGg,"ERROR"))</f>
        <v>0</v>
      </c>
      <c r="AI1131" s="101">
        <f>IF('Net zero activities &amp; levers'!$C$14="Off",'Activity data'!BB61*ManureNEF*NtoN2O*kgtoGg,IF('Net zero activities &amp; levers'!$C$14="On",'Net zero Activity data'!BB61*ManureNEF*NtoN2O*kgtoGg,"ERROR"))</f>
        <v>0</v>
      </c>
      <c r="AJ1131" s="101">
        <f>IF('Net zero activities &amp; levers'!$C$14="Off",'Activity data'!BC61*ManureNEF*NtoN2O*kgtoGg,IF('Net zero activities &amp; levers'!$C$14="On",'Net zero Activity data'!BC61*ManureNEF*NtoN2O*kgtoGg,"ERROR"))</f>
        <v>0</v>
      </c>
      <c r="AK1131" s="101">
        <f>IF('Net zero activities &amp; levers'!$C$14="Off",'Activity data'!BD61*ManureNEF*NtoN2O*kgtoGg,IF('Net zero activities &amp; levers'!$C$14="On",'Net zero Activity data'!BD61*ManureNEF*NtoN2O*kgtoGg,"ERROR"))</f>
        <v>0</v>
      </c>
      <c r="AL1131" s="101">
        <f>IF('Net zero activities &amp; levers'!$C$14="Off",'Activity data'!BE61*ManureNEF*NtoN2O*kgtoGg,IF('Net zero activities &amp; levers'!$C$14="On",'Net zero Activity data'!BE61*ManureNEF*NtoN2O*kgtoGg,"ERROR"))</f>
        <v>0</v>
      </c>
      <c r="AM1131" s="101">
        <f>IF('Net zero activities &amp; levers'!$C$14="Off",'Activity data'!BF61*ManureNEF*NtoN2O*kgtoGg,IF('Net zero activities &amp; levers'!$C$14="On",'Net zero Activity data'!BF61*ManureNEF*NtoN2O*kgtoGg,"ERROR"))</f>
        <v>0</v>
      </c>
      <c r="AN1131" s="101">
        <f>IF('Net zero activities &amp; levers'!$C$14="Off",'Activity data'!BG61*ManureNEF*NtoN2O*kgtoGg,IF('Net zero activities &amp; levers'!$C$14="On",'Net zero Activity data'!BG61*ManureNEF*NtoN2O*kgtoGg,"ERROR"))</f>
        <v>0</v>
      </c>
      <c r="AO1131" s="101">
        <f>IF('Net zero activities &amp; levers'!$C$14="Off",'Activity data'!BH61*ManureNEF*NtoN2O*kgtoGg,IF('Net zero activities &amp; levers'!$C$14="On",'Net zero Activity data'!BH61*ManureNEF*NtoN2O*kgtoGg,"ERROR"))</f>
        <v>0</v>
      </c>
      <c r="AP1131" s="101">
        <f>IF('Net zero activities &amp; levers'!$C$14="Off",'Activity data'!BI61*ManureNEF*NtoN2O*kgtoGg,IF('Net zero activities &amp; levers'!$C$14="On",'Net zero Activity data'!BI61*ManureNEF*NtoN2O*kgtoGg,"ERROR"))</f>
        <v>0</v>
      </c>
      <c r="AQ1131" s="101">
        <f>IF('Net zero activities &amp; levers'!$C$14="Off",'Activity data'!BJ61*ManureNEF*NtoN2O*kgtoGg,IF('Net zero activities &amp; levers'!$C$14="On",'Net zero Activity data'!BJ61*ManureNEF*NtoN2O*kgtoGg,"ERROR"))</f>
        <v>0</v>
      </c>
      <c r="AR1131" s="101">
        <f>IF('Net zero activities &amp; levers'!$C$14="Off",'Activity data'!BK61*ManureNEF*NtoN2O*kgtoGg,IF('Net zero activities &amp; levers'!$C$14="On",'Net zero Activity data'!BK61*ManureNEF*NtoN2O*kgtoGg,"ERROR"))</f>
        <v>0</v>
      </c>
      <c r="AS1131" s="101">
        <f>IF('Net zero activities &amp; levers'!$C$14="Off",'Activity data'!BL61*ManureNEF*NtoN2O*kgtoGg,IF('Net zero activities &amp; levers'!$C$14="On",'Net zero Activity data'!BL61*ManureNEF*NtoN2O*kgtoGg,"ERROR"))</f>
        <v>0</v>
      </c>
      <c r="AT1131" s="101">
        <f>IF('Net zero activities &amp; levers'!$C$14="Off",'Activity data'!BM61*ManureNEF*NtoN2O*kgtoGg,IF('Net zero activities &amp; levers'!$C$14="On",'Net zero Activity data'!BM61*ManureNEF*NtoN2O*kgtoGg,"ERROR"))</f>
        <v>0</v>
      </c>
      <c r="AU1131" s="101">
        <f>IF('Net zero activities &amp; levers'!$C$14="Off",'Activity data'!BN61*ManureNEF*NtoN2O*kgtoGg,IF('Net zero activities &amp; levers'!$C$14="On",'Net zero Activity data'!BN61*ManureNEF*NtoN2O*kgtoGg,"ERROR"))</f>
        <v>0</v>
      </c>
      <c r="AV1131" s="101">
        <f>IF('Net zero activities &amp; levers'!$C$14="Off",'Activity data'!BO61*ManureNEF*NtoN2O*kgtoGg,IF('Net zero activities &amp; levers'!$C$14="On",'Net zero Activity data'!BO61*ManureNEF*NtoN2O*kgtoGg,"ERROR"))</f>
        <v>0</v>
      </c>
      <c r="AW1131" s="101">
        <f>IF('Net zero activities &amp; levers'!$C$14="Off",'Activity data'!BP61*ManureNEF*NtoN2O*kgtoGg,IF('Net zero activities &amp; levers'!$C$14="On",'Net zero Activity data'!BP61*ManureNEF*NtoN2O*kgtoGg,"ERROR"))</f>
        <v>0</v>
      </c>
      <c r="AY1131" s="85"/>
    </row>
    <row r="1132" spans="1:51" x14ac:dyDescent="0.25">
      <c r="A1132" s="102" t="str">
        <f t="shared" si="374"/>
        <v>CM Organic</v>
      </c>
      <c r="B1132" s="102" t="s">
        <v>1323</v>
      </c>
      <c r="C1132" s="102" t="s">
        <v>1128</v>
      </c>
      <c r="D1132" t="s">
        <v>369</v>
      </c>
      <c r="E1132" t="s">
        <v>55</v>
      </c>
      <c r="F1132" t="s">
        <v>421</v>
      </c>
      <c r="G1132" t="s">
        <v>1177</v>
      </c>
      <c r="H1132" t="s">
        <v>1178</v>
      </c>
      <c r="I1132" t="s">
        <v>139</v>
      </c>
      <c r="J1132" t="s">
        <v>287</v>
      </c>
      <c r="K1132" s="101">
        <f>IF('Net zero activities &amp; levers'!$C$14="Off",'Activity data'!AD62*ManureNEF*NtoN2O*kgtoGg,IF('Net zero activities &amp; levers'!$C$14="On",'Net zero Activity data'!AD62*ManureNEF*NtoN2O*kgtoGg,"ERROR"))</f>
        <v>0.12512489027733434</v>
      </c>
      <c r="L1132" s="101">
        <f>IF('Net zero activities &amp; levers'!$C$14="Off",'Activity data'!AE62*ManureNEF*NtoN2O*kgtoGg,IF('Net zero activities &amp; levers'!$C$14="On",'Net zero Activity data'!AE62*ManureNEF*NtoN2O*kgtoGg,"ERROR"))</f>
        <v>0.1249037465490002</v>
      </c>
      <c r="M1132" s="101">
        <f>IF('Net zero activities &amp; levers'!$C$14="Off",'Activity data'!AF62*ManureNEF*NtoN2O*kgtoGg,IF('Net zero activities &amp; levers'!$C$14="On",'Net zero Activity data'!AF62*ManureNEF*NtoN2O*kgtoGg,"ERROR"))</f>
        <v>0.12420297117813216</v>
      </c>
      <c r="N1132" s="101">
        <f>IF('Net zero activities &amp; levers'!$C$14="Off",'Activity data'!AG62*ManureNEF*NtoN2O*kgtoGg,IF('Net zero activities &amp; levers'!$C$14="On",'Net zero Activity data'!AG62*ManureNEF*NtoN2O*kgtoGg,"ERROR"))</f>
        <v>0.12146227380625023</v>
      </c>
      <c r="O1132" s="101">
        <f>IF('Net zero activities &amp; levers'!$C$14="Off",'Activity data'!AH62*ManureNEF*NtoN2O*kgtoGg,IF('Net zero activities &amp; levers'!$C$14="On",'Net zero Activity data'!AH62*ManureNEF*NtoN2O*kgtoGg,"ERROR"))</f>
        <v>0.11887050141065171</v>
      </c>
      <c r="P1132" s="101">
        <f>IF('Net zero activities &amp; levers'!$C$14="Off",'Activity data'!AI62*ManureNEF*NtoN2O*kgtoGg,IF('Net zero activities &amp; levers'!$C$14="On",'Net zero Activity data'!AI62*ManureNEF*NtoN2O*kgtoGg,"ERROR"))</f>
        <v>0.11845218382715161</v>
      </c>
      <c r="Q1132" s="101">
        <f>IF('Net zero activities &amp; levers'!$C$14="Off",'Activity data'!AJ62*ManureNEF*NtoN2O*kgtoGg,IF('Net zero activities &amp; levers'!$C$14="On",'Net zero Activity data'!AJ62*ManureNEF*NtoN2O*kgtoGg,"ERROR"))</f>
        <v>0.11743671165425351</v>
      </c>
      <c r="R1132" s="101">
        <f>IF('Net zero activities &amp; levers'!$C$14="Off",'Activity data'!AK62*ManureNEF*NtoN2O*kgtoGg,IF('Net zero activities &amp; levers'!$C$14="On",'Net zero Activity data'!AK62*ManureNEF*NtoN2O*kgtoGg,"ERROR"))</f>
        <v>0.11430912679136991</v>
      </c>
      <c r="S1132" s="101">
        <f>IF('Net zero activities &amp; levers'!$C$14="Off",'Activity data'!AL62*ManureNEF*NtoN2O*kgtoGg,IF('Net zero activities &amp; levers'!$C$14="On",'Net zero Activity data'!AL62*ManureNEF*NtoN2O*kgtoGg,"ERROR"))</f>
        <v>0.1019584522188007</v>
      </c>
      <c r="T1132" s="101">
        <f>IF('Net zero activities &amp; levers'!$C$14="Off",'Activity data'!AM62*ManureNEF*NtoN2O*kgtoGg,IF('Net zero activities &amp; levers'!$C$14="On",'Net zero Activity data'!AM62*ManureNEF*NtoN2O*kgtoGg,"ERROR"))</f>
        <v>0.10413081064031601</v>
      </c>
      <c r="U1132" s="101">
        <f>IF('Net zero activities &amp; levers'!$C$14="Off",'Activity data'!AN62*ManureNEF*NtoN2O*kgtoGg,IF('Net zero activities &amp; levers'!$C$14="On",'Net zero Activity data'!AN62*ManureNEF*NtoN2O*kgtoGg,"ERROR"))</f>
        <v>0.1051195001003086</v>
      </c>
      <c r="V1132" s="101">
        <f>IF('Net zero activities &amp; levers'!$C$14="Off",'Activity data'!AO62*ManureNEF*NtoN2O*kgtoGg,IF('Net zero activities &amp; levers'!$C$14="On",'Net zero Activity data'!AO62*ManureNEF*NtoN2O*kgtoGg,"ERROR"))</f>
        <v>0.10583356246260638</v>
      </c>
      <c r="W1132" s="101">
        <f>IF('Net zero activities &amp; levers'!$C$14="Off",'Activity data'!AP62*ManureNEF*NtoN2O*kgtoGg,IF('Net zero activities &amp; levers'!$C$14="On",'Net zero Activity data'!AP62*ManureNEF*NtoN2O*kgtoGg,"ERROR"))</f>
        <v>0.10694072559475733</v>
      </c>
      <c r="X1132" s="101">
        <f>IF('Net zero activities &amp; levers'!$C$14="Off",'Activity data'!AQ62*ManureNEF*NtoN2O*kgtoGg,IF('Net zero activities &amp; levers'!$C$14="On",'Net zero Activity data'!AQ62*ManureNEF*NtoN2O*kgtoGg,"ERROR"))</f>
        <v>0.10942452693280746</v>
      </c>
      <c r="Y1132" s="101">
        <f>IF('Net zero activities &amp; levers'!$C$14="Off",'Activity data'!AR62*ManureNEF*NtoN2O*kgtoGg,IF('Net zero activities &amp; levers'!$C$14="On",'Net zero Activity data'!AR62*ManureNEF*NtoN2O*kgtoGg,"ERROR"))</f>
        <v>0.11222152612704442</v>
      </c>
      <c r="Z1132" s="101">
        <f>IF('Net zero activities &amp; levers'!$C$14="Off",'Activity data'!AS62*ManureNEF*NtoN2O*kgtoGg,IF('Net zero activities &amp; levers'!$C$14="On",'Net zero Activity data'!AS62*ManureNEF*NtoN2O*kgtoGg,"ERROR"))</f>
        <v>0.11530039281707992</v>
      </c>
      <c r="AA1132" s="101">
        <f>IF('Net zero activities &amp; levers'!$C$14="Off",'Activity data'!AT62*ManureNEF*NtoN2O*kgtoGg,IF('Net zero activities &amp; levers'!$C$14="On",'Net zero Activity data'!AT62*ManureNEF*NtoN2O*kgtoGg,"ERROR"))</f>
        <v>0.11775675829500387</v>
      </c>
      <c r="AB1132" s="101">
        <f>IF('Net zero activities &amp; levers'!$C$14="Off",'Activity data'!AU62*ManureNEF*NtoN2O*kgtoGg,IF('Net zero activities &amp; levers'!$C$14="On",'Net zero Activity data'!AU62*ManureNEF*NtoN2O*kgtoGg,"ERROR"))</f>
        <v>0.12076945084934307</v>
      </c>
      <c r="AC1132" s="101">
        <f>IF('Net zero activities &amp; levers'!$C$14="Off",'Activity data'!AV62*ManureNEF*NtoN2O*kgtoGg,IF('Net zero activities &amp; levers'!$C$14="On",'Net zero Activity data'!AV62*ManureNEF*NtoN2O*kgtoGg,"ERROR"))</f>
        <v>0.124460219401565</v>
      </c>
      <c r="AD1132" s="101">
        <f>IF('Net zero activities &amp; levers'!$C$14="Off",'Activity data'!AW62*ManureNEF*NtoN2O*kgtoGg,IF('Net zero activities &amp; levers'!$C$14="On",'Net zero Activity data'!AW62*ManureNEF*NtoN2O*kgtoGg,"ERROR"))</f>
        <v>0.12796378809703265</v>
      </c>
      <c r="AE1132" s="101">
        <f>IF('Net zero activities &amp; levers'!$C$14="Off",'Activity data'!AX62*ManureNEF*NtoN2O*kgtoGg,IF('Net zero activities &amp; levers'!$C$14="On",'Net zero Activity data'!AX62*ManureNEF*NtoN2O*kgtoGg,"ERROR"))</f>
        <v>0.1316100194535921</v>
      </c>
      <c r="AF1132" s="101">
        <f>IF('Net zero activities &amp; levers'!$C$14="Off",'Activity data'!AY62*ManureNEF*NtoN2O*kgtoGg,IF('Net zero activities &amp; levers'!$C$14="On",'Net zero Activity data'!AY62*ManureNEF*NtoN2O*kgtoGg,"ERROR"))</f>
        <v>0.13527697019177207</v>
      </c>
      <c r="AG1132" s="101">
        <f>IF('Net zero activities &amp; levers'!$C$14="Off",'Activity data'!AZ62*ManureNEF*NtoN2O*kgtoGg,IF('Net zero activities &amp; levers'!$C$14="On",'Net zero Activity data'!AZ62*ManureNEF*NtoN2O*kgtoGg,"ERROR"))</f>
        <v>0.13946010761524794</v>
      </c>
      <c r="AH1132" s="101">
        <f>IF('Net zero activities &amp; levers'!$C$14="Off",'Activity data'!BA62*ManureNEF*NtoN2O*kgtoGg,IF('Net zero activities &amp; levers'!$C$14="On",'Net zero Activity data'!BA62*ManureNEF*NtoN2O*kgtoGg,"ERROR"))</f>
        <v>0.14284817697139035</v>
      </c>
      <c r="AI1132" s="101">
        <f>IF('Net zero activities &amp; levers'!$C$14="Off",'Activity data'!BB62*ManureNEF*NtoN2O*kgtoGg,IF('Net zero activities &amp; levers'!$C$14="On",'Net zero Activity data'!BB62*ManureNEF*NtoN2O*kgtoGg,"ERROR"))</f>
        <v>0.14647890128321844</v>
      </c>
      <c r="AJ1132" s="101">
        <f>IF('Net zero activities &amp; levers'!$C$14="Off",'Activity data'!BC62*ManureNEF*NtoN2O*kgtoGg,IF('Net zero activities &amp; levers'!$C$14="On",'Net zero Activity data'!BC62*ManureNEF*NtoN2O*kgtoGg,"ERROR"))</f>
        <v>0.1501095832853391</v>
      </c>
      <c r="AK1132" s="101">
        <f>IF('Net zero activities &amp; levers'!$C$14="Off",'Activity data'!BD62*ManureNEF*NtoN2O*kgtoGg,IF('Net zero activities &amp; levers'!$C$14="On",'Net zero Activity data'!BD62*ManureNEF*NtoN2O*kgtoGg,"ERROR"))</f>
        <v>0.15340271665405619</v>
      </c>
      <c r="AL1132" s="101">
        <f>IF('Net zero activities &amp; levers'!$C$14="Off",'Activity data'!BE62*ManureNEF*NtoN2O*kgtoGg,IF('Net zero activities &amp; levers'!$C$14="On",'Net zero Activity data'!BE62*ManureNEF*NtoN2O*kgtoGg,"ERROR"))</f>
        <v>0.1565925912655606</v>
      </c>
      <c r="AM1132" s="101">
        <f>IF('Net zero activities &amp; levers'!$C$14="Off",'Activity data'!BF62*ManureNEF*NtoN2O*kgtoGg,IF('Net zero activities &amp; levers'!$C$14="On",'Net zero Activity data'!BF62*ManureNEF*NtoN2O*kgtoGg,"ERROR"))</f>
        <v>0.15988112545957026</v>
      </c>
      <c r="AN1132" s="101">
        <f>IF('Net zero activities &amp; levers'!$C$14="Off",'Activity data'!BG62*ManureNEF*NtoN2O*kgtoGg,IF('Net zero activities &amp; levers'!$C$14="On",'Net zero Activity data'!BG62*ManureNEF*NtoN2O*kgtoGg,"ERROR"))</f>
        <v>0.16335799564884582</v>
      </c>
      <c r="AO1132" s="101">
        <f>IF('Net zero activities &amp; levers'!$C$14="Off",'Activity data'!BH62*ManureNEF*NtoN2O*kgtoGg,IF('Net zero activities &amp; levers'!$C$14="On",'Net zero Activity data'!BH62*ManureNEF*NtoN2O*kgtoGg,"ERROR"))</f>
        <v>0.16641226429288014</v>
      </c>
      <c r="AP1132" s="101">
        <f>IF('Net zero activities &amp; levers'!$C$14="Off",'Activity data'!BI62*ManureNEF*NtoN2O*kgtoGg,IF('Net zero activities &amp; levers'!$C$14="On",'Net zero Activity data'!BI62*ManureNEF*NtoN2O*kgtoGg,"ERROR"))</f>
        <v>0.16944354572835174</v>
      </c>
      <c r="AQ1132" s="101">
        <f>IF('Net zero activities &amp; levers'!$C$14="Off",'Activity data'!BJ62*ManureNEF*NtoN2O*kgtoGg,IF('Net zero activities &amp; levers'!$C$14="On",'Net zero Activity data'!BJ62*ManureNEF*NtoN2O*kgtoGg,"ERROR"))</f>
        <v>0.17245995001589273</v>
      </c>
      <c r="AR1132" s="101">
        <f>IF('Net zero activities &amp; levers'!$C$14="Off",'Activity data'!BK62*ManureNEF*NtoN2O*kgtoGg,IF('Net zero activities &amp; levers'!$C$14="On",'Net zero Activity data'!BK62*ManureNEF*NtoN2O*kgtoGg,"ERROR"))</f>
        <v>0.17572927548356043</v>
      </c>
      <c r="AS1132" s="101">
        <f>IF('Net zero activities &amp; levers'!$C$14="Off",'Activity data'!BL62*ManureNEF*NtoN2O*kgtoGg,IF('Net zero activities &amp; levers'!$C$14="On",'Net zero Activity data'!BL62*ManureNEF*NtoN2O*kgtoGg,"ERROR"))</f>
        <v>0.17904561616646369</v>
      </c>
      <c r="AT1132" s="101">
        <f>IF('Net zero activities &amp; levers'!$C$14="Off",'Activity data'!BM62*ManureNEF*NtoN2O*kgtoGg,IF('Net zero activities &amp; levers'!$C$14="On",'Net zero Activity data'!BM62*ManureNEF*NtoN2O*kgtoGg,"ERROR"))</f>
        <v>0.17980710058882077</v>
      </c>
      <c r="AU1132" s="101">
        <f>IF('Net zero activities &amp; levers'!$C$14="Off",'Activity data'!BN62*ManureNEF*NtoN2O*kgtoGg,IF('Net zero activities &amp; levers'!$C$14="On",'Net zero Activity data'!BN62*ManureNEF*NtoN2O*kgtoGg,"ERROR"))</f>
        <v>0.18035401622137509</v>
      </c>
      <c r="AV1132" s="101">
        <f>IF('Net zero activities &amp; levers'!$C$14="Off",'Activity data'!BO62*ManureNEF*NtoN2O*kgtoGg,IF('Net zero activities &amp; levers'!$C$14="On",'Net zero Activity data'!BO62*ManureNEF*NtoN2O*kgtoGg,"ERROR"))</f>
        <v>0.18118396304498949</v>
      </c>
      <c r="AW1132" s="101">
        <f>IF('Net zero activities &amp; levers'!$C$14="Off",'Activity data'!BP62*ManureNEF*NtoN2O*kgtoGg,IF('Net zero activities &amp; levers'!$C$14="On",'Net zero Activity data'!BP62*ManureNEF*NtoN2O*kgtoGg,"ERROR"))</f>
        <v>0.1818278667336056</v>
      </c>
      <c r="AY1132" s="85"/>
    </row>
    <row r="1133" spans="1:51" x14ac:dyDescent="0.25">
      <c r="A1133" s="102" t="str">
        <f t="shared" si="374"/>
        <v>CM Organic</v>
      </c>
      <c r="B1133" s="102" t="s">
        <v>1323</v>
      </c>
      <c r="C1133" s="102" t="s">
        <v>1128</v>
      </c>
      <c r="D1133" t="s">
        <v>369</v>
      </c>
      <c r="E1133" t="s">
        <v>55</v>
      </c>
      <c r="F1133" t="s">
        <v>421</v>
      </c>
      <c r="G1133" t="s">
        <v>1179</v>
      </c>
      <c r="H1133" t="s">
        <v>1180</v>
      </c>
      <c r="I1133" t="s">
        <v>139</v>
      </c>
      <c r="J1133" t="s">
        <v>287</v>
      </c>
      <c r="K1133" s="101">
        <f>IF('Net zero activities &amp; levers'!$C$14="Off",'Activity data'!AD63*ManureNEF*NtoN2O*kgtoGg,IF('Net zero activities &amp; levers'!$C$14="On",'Net zero Activity data'!AD63*ManureNEF*NtoN2O*kgtoGg,"ERROR"))</f>
        <v>3.1744662482237319E-2</v>
      </c>
      <c r="L1133" s="101">
        <f>IF('Net zero activities &amp; levers'!$C$14="Off",'Activity data'!AE63*ManureNEF*NtoN2O*kgtoGg,IF('Net zero activities &amp; levers'!$C$14="On",'Net zero Activity data'!AE63*ManureNEF*NtoN2O*kgtoGg,"ERROR"))</f>
        <v>3.1688557473869519E-2</v>
      </c>
      <c r="M1133" s="101">
        <f>IF('Net zero activities &amp; levers'!$C$14="Off",'Activity data'!AF63*ManureNEF*NtoN2O*kgtoGg,IF('Net zero activities &amp; levers'!$C$14="On",'Net zero Activity data'!AF63*ManureNEF*NtoN2O*kgtoGg,"ERROR"))</f>
        <v>3.151076808620442E-2</v>
      </c>
      <c r="N1133" s="101">
        <f>IF('Net zero activities &amp; levers'!$C$14="Off",'Activity data'!AG63*ManureNEF*NtoN2O*kgtoGg,IF('Net zero activities &amp; levers'!$C$14="On",'Net zero Activity data'!AG63*ManureNEF*NtoN2O*kgtoGg,"ERROR"))</f>
        <v>3.0815442696959246E-2</v>
      </c>
      <c r="O1133" s="101">
        <f>IF('Net zero activities &amp; levers'!$C$14="Off",'Activity data'!AH63*ManureNEF*NtoN2O*kgtoGg,IF('Net zero activities &amp; levers'!$C$14="On",'Net zero Activity data'!AH63*ManureNEF*NtoN2O*kgtoGg,"ERROR"))</f>
        <v>3.0157900142902292E-2</v>
      </c>
      <c r="P1133" s="101">
        <f>IF('Net zero activities &amp; levers'!$C$14="Off",'Activity data'!AI63*ManureNEF*NtoN2O*kgtoGg,IF('Net zero activities &amp; levers'!$C$14="On",'Net zero Activity data'!AI63*ManureNEF*NtoN2O*kgtoGg,"ERROR"))</f>
        <v>3.0051771374524052E-2</v>
      </c>
      <c r="Q1133" s="101">
        <f>IF('Net zero activities &amp; levers'!$C$14="Off",'Activity data'!AJ63*ManureNEF*NtoN2O*kgtoGg,IF('Net zero activities &amp; levers'!$C$14="On",'Net zero Activity data'!AJ63*ManureNEF*NtoN2O*kgtoGg,"ERROR"))</f>
        <v>2.9794142206440031E-2</v>
      </c>
      <c r="R1133" s="101">
        <f>IF('Net zero activities &amp; levers'!$C$14="Off",'Activity data'!AK63*ManureNEF*NtoN2O*kgtoGg,IF('Net zero activities &amp; levers'!$C$14="On",'Net zero Activity data'!AK63*ManureNEF*NtoN2O*kgtoGg,"ERROR"))</f>
        <v>2.9000661983306687E-2</v>
      </c>
      <c r="S1133" s="101">
        <f>IF('Net zero activities &amp; levers'!$C$14="Off",'Activity data'!AL63*ManureNEF*NtoN2O*kgtoGg,IF('Net zero activities &amp; levers'!$C$14="On",'Net zero Activity data'!AL63*ManureNEF*NtoN2O*kgtoGg,"ERROR"))</f>
        <v>2.5867248680284741E-2</v>
      </c>
      <c r="T1133" s="101">
        <f>IF('Net zero activities &amp; levers'!$C$14="Off",'Activity data'!AM63*ManureNEF*NtoN2O*kgtoGg,IF('Net zero activities &amp; levers'!$C$14="On",'Net zero Activity data'!AM63*ManureNEF*NtoN2O*kgtoGg,"ERROR"))</f>
        <v>2.6418384307485693E-2</v>
      </c>
      <c r="U1133" s="101">
        <f>IF('Net zero activities &amp; levers'!$C$14="Off",'Activity data'!AN63*ManureNEF*NtoN2O*kgtoGg,IF('Net zero activities &amp; levers'!$C$14="On",'Net zero Activity data'!AN63*ManureNEF*NtoN2O*kgtoGg,"ERROR"))</f>
        <v>2.6669218599029494E-2</v>
      </c>
      <c r="V1133" s="101">
        <f>IF('Net zero activities &amp; levers'!$C$14="Off",'Activity data'!AO63*ManureNEF*NtoN2O*kgtoGg,IF('Net zero activities &amp; levers'!$C$14="On",'Net zero Activity data'!AO63*ManureNEF*NtoN2O*kgtoGg,"ERROR"))</f>
        <v>2.6850378947159824E-2</v>
      </c>
      <c r="W1133" s="101">
        <f>IF('Net zero activities &amp; levers'!$C$14="Off",'Activity data'!AP63*ManureNEF*NtoN2O*kgtoGg,IF('Net zero activities &amp; levers'!$C$14="On",'Net zero Activity data'!AP63*ManureNEF*NtoN2O*kgtoGg,"ERROR"))</f>
        <v>2.7131270461749835E-2</v>
      </c>
      <c r="X1133" s="101">
        <f>IF('Net zero activities &amp; levers'!$C$14="Off",'Activity data'!AQ63*ManureNEF*NtoN2O*kgtoGg,IF('Net zero activities &amp; levers'!$C$14="On",'Net zero Activity data'!AQ63*ManureNEF*NtoN2O*kgtoGg,"ERROR"))</f>
        <v>2.7761420346193836E-2</v>
      </c>
      <c r="Y1133" s="101">
        <f>IF('Net zero activities &amp; levers'!$C$14="Off",'Activity data'!AR63*ManureNEF*NtoN2O*kgtoGg,IF('Net zero activities &amp; levers'!$C$14="On",'Net zero Activity data'!AR63*ManureNEF*NtoN2O*kgtoGg,"ERROR"))</f>
        <v>2.8471029722772257E-2</v>
      </c>
      <c r="Z1133" s="101">
        <f>IF('Net zero activities &amp; levers'!$C$14="Off",'Activity data'!AS63*ManureNEF*NtoN2O*kgtoGg,IF('Net zero activities &amp; levers'!$C$14="On",'Net zero Activity data'!AS63*ManureNEF*NtoN2O*kgtoGg,"ERROR"))</f>
        <v>2.9252149959412211E-2</v>
      </c>
      <c r="AA1133" s="101">
        <f>IF('Net zero activities &amp; levers'!$C$14="Off",'Activity data'!AT63*ManureNEF*NtoN2O*kgtoGg,IF('Net zero activities &amp; levers'!$C$14="On",'Net zero Activity data'!AT63*ManureNEF*NtoN2O*kgtoGg,"ERROR"))</f>
        <v>2.9875339261371911E-2</v>
      </c>
      <c r="AB1133" s="101">
        <f>IF('Net zero activities &amp; levers'!$C$14="Off",'Activity data'!AU63*ManureNEF*NtoN2O*kgtoGg,IF('Net zero activities &amp; levers'!$C$14="On",'Net zero Activity data'!AU63*ManureNEF*NtoN2O*kgtoGg,"ERROR"))</f>
        <v>3.063967086708418E-2</v>
      </c>
      <c r="AC1133" s="101">
        <f>IF('Net zero activities &amp; levers'!$C$14="Off",'Activity data'!AV63*ManureNEF*NtoN2O*kgtoGg,IF('Net zero activities &amp; levers'!$C$14="On",'Net zero Activity data'!AV63*ManureNEF*NtoN2O*kgtoGg,"ERROR"))</f>
        <v>3.1576032942852293E-2</v>
      </c>
      <c r="AD1133" s="101">
        <f>IF('Net zero activities &amp; levers'!$C$14="Off",'Activity data'!AW63*ManureNEF*NtoN2O*kgtoGg,IF('Net zero activities &amp; levers'!$C$14="On",'Net zero Activity data'!AW63*ManureNEF*NtoN2O*kgtoGg,"ERROR"))</f>
        <v>3.2464901700095063E-2</v>
      </c>
      <c r="AE1133" s="101">
        <f>IF('Net zero activities &amp; levers'!$C$14="Off",'Activity data'!AX63*ManureNEF*NtoN2O*kgtoGg,IF('Net zero activities &amp; levers'!$C$14="On",'Net zero Activity data'!AX63*ManureNEF*NtoN2O*kgtoGg,"ERROR"))</f>
        <v>3.3389964519247813E-2</v>
      </c>
      <c r="AF1133" s="101">
        <f>IF('Net zero activities &amp; levers'!$C$14="Off",'Activity data'!AY63*ManureNEF*NtoN2O*kgtoGg,IF('Net zero activities &amp; levers'!$C$14="On",'Net zero Activity data'!AY63*ManureNEF*NtoN2O*kgtoGg,"ERROR"))</f>
        <v>3.4320283924639539E-2</v>
      </c>
      <c r="AG1133" s="101">
        <f>IF('Net zero activities &amp; levers'!$C$14="Off",'Activity data'!AZ63*ManureNEF*NtoN2O*kgtoGg,IF('Net zero activities &amp; levers'!$C$14="On",'Net zero Activity data'!AZ63*ManureNEF*NtoN2O*kgtoGg,"ERROR"))</f>
        <v>3.5381561863271328E-2</v>
      </c>
      <c r="AH1133" s="101">
        <f>IF('Net zero activities &amp; levers'!$C$14="Off",'Activity data'!BA63*ManureNEF*NtoN2O*kgtoGg,IF('Net zero activities &amp; levers'!$C$14="On",'Net zero Activity data'!BA63*ManureNEF*NtoN2O*kgtoGg,"ERROR"))</f>
        <v>3.6241127997065845E-2</v>
      </c>
      <c r="AI1133" s="101">
        <f>IF('Net zero activities &amp; levers'!$C$14="Off",'Activity data'!BB63*ManureNEF*NtoN2O*kgtoGg,IF('Net zero activities &amp; levers'!$C$14="On",'Net zero Activity data'!BB63*ManureNEF*NtoN2O*kgtoGg,"ERROR"))</f>
        <v>3.7162256619752955E-2</v>
      </c>
      <c r="AJ1133" s="101">
        <f>IF('Net zero activities &amp; levers'!$C$14="Off",'Activity data'!BC63*ManureNEF*NtoN2O*kgtoGg,IF('Net zero activities &amp; levers'!$C$14="On",'Net zero Activity data'!BC63*ManureNEF*NtoN2O*kgtoGg,"ERROR"))</f>
        <v>3.8083374508305706E-2</v>
      </c>
      <c r="AK1133" s="101">
        <f>IF('Net zero activities &amp; levers'!$C$14="Off",'Activity data'!BD63*ManureNEF*NtoN2O*kgtoGg,IF('Net zero activities &amp; levers'!$C$14="On",'Net zero Activity data'!BD63*ManureNEF*NtoN2O*kgtoGg,"ERROR"))</f>
        <v>3.8918855019554971E-2</v>
      </c>
      <c r="AL1133" s="101">
        <f>IF('Net zero activities &amp; levers'!$C$14="Off",'Activity data'!BE63*ManureNEF*NtoN2O*kgtoGg,IF('Net zero activities &amp; levers'!$C$14="On",'Net zero Activity data'!BE63*ManureNEF*NtoN2O*kgtoGg,"ERROR"))</f>
        <v>3.9728138389781516E-2</v>
      </c>
      <c r="AM1133" s="101">
        <f>IF('Net zero activities &amp; levers'!$C$14="Off",'Activity data'!BF63*ManureNEF*NtoN2O*kgtoGg,IF('Net zero activities &amp; levers'!$C$14="On",'Net zero Activity data'!BF63*ManureNEF*NtoN2O*kgtoGg,"ERROR"))</f>
        <v>4.0562452072844486E-2</v>
      </c>
      <c r="AN1133" s="101">
        <f>IF('Net zero activities &amp; levers'!$C$14="Off",'Activity data'!BG63*ManureNEF*NtoN2O*kgtoGg,IF('Net zero activities &amp; levers'!$C$14="On",'Net zero Activity data'!BG63*ManureNEF*NtoN2O*kgtoGg,"ERROR"))</f>
        <v>4.1444547317111793E-2</v>
      </c>
      <c r="AO1133" s="101">
        <f>IF('Net zero activities &amp; levers'!$C$14="Off",'Activity data'!BH63*ManureNEF*NtoN2O*kgtoGg,IF('Net zero activities &amp; levers'!$C$14="On",'Net zero Activity data'!BH63*ManureNEF*NtoN2O*kgtoGg,"ERROR"))</f>
        <v>4.2219426935547817E-2</v>
      </c>
      <c r="AP1133" s="101">
        <f>IF('Net zero activities &amp; levers'!$C$14="Off",'Activity data'!BI63*ManureNEF*NtoN2O*kgtoGg,IF('Net zero activities &amp; levers'!$C$14="On",'Net zero Activity data'!BI63*ManureNEF*NtoN2O*kgtoGg,"ERROR"))</f>
        <v>4.2988474611389403E-2</v>
      </c>
      <c r="AQ1133" s="101">
        <f>IF('Net zero activities &amp; levers'!$C$14="Off",'Activity data'!BJ63*ManureNEF*NtoN2O*kgtoGg,IF('Net zero activities &amp; levers'!$C$14="On",'Net zero Activity data'!BJ63*ManureNEF*NtoN2O*kgtoGg,"ERROR"))</f>
        <v>4.3753747897989102E-2</v>
      </c>
      <c r="AR1133" s="101">
        <f>IF('Net zero activities &amp; levers'!$C$14="Off",'Activity data'!BK63*ManureNEF*NtoN2O*kgtoGg,IF('Net zero activities &amp; levers'!$C$14="On",'Net zero Activity data'!BK63*ManureNEF*NtoN2O*kgtoGg,"ERROR"))</f>
        <v>4.4583188253826081E-2</v>
      </c>
      <c r="AS1133" s="101">
        <f>IF('Net zero activities &amp; levers'!$C$14="Off",'Activity data'!BL63*ManureNEF*NtoN2O*kgtoGg,IF('Net zero activities &amp; levers'!$C$14="On",'Net zero Activity data'!BL63*ManureNEF*NtoN2O*kgtoGg,"ERROR"))</f>
        <v>4.542455654930698E-2</v>
      </c>
      <c r="AT1133" s="101">
        <f>IF('Net zero activities &amp; levers'!$C$14="Off",'Activity data'!BM63*ManureNEF*NtoN2O*kgtoGg,IF('Net zero activities &amp; levers'!$C$14="On",'Net zero Activity data'!BM63*ManureNEF*NtoN2O*kgtoGg,"ERROR"))</f>
        <v>4.5617748055166669E-2</v>
      </c>
      <c r="AU1133" s="101">
        <f>IF('Net zero activities &amp; levers'!$C$14="Off",'Activity data'!BN63*ManureNEF*NtoN2O*kgtoGg,IF('Net zero activities &amp; levers'!$C$14="On",'Net zero Activity data'!BN63*ManureNEF*NtoN2O*kgtoGg,"ERROR"))</f>
        <v>4.5756502639671924E-2</v>
      </c>
      <c r="AV1133" s="101">
        <f>IF('Net zero activities &amp; levers'!$C$14="Off",'Activity data'!BO63*ManureNEF*NtoN2O*kgtoGg,IF('Net zero activities &amp; levers'!$C$14="On",'Net zero Activity data'!BO63*ManureNEF*NtoN2O*kgtoGg,"ERROR"))</f>
        <v>4.5967063318170423E-2</v>
      </c>
      <c r="AW1133" s="101">
        <f>IF('Net zero activities &amp; levers'!$C$14="Off",'Activity data'!BP63*ManureNEF*NtoN2O*kgtoGg,IF('Net zero activities &amp; levers'!$C$14="On",'Net zero Activity data'!BP63*ManureNEF*NtoN2O*kgtoGg,"ERROR"))</f>
        <v>4.6130424142870274E-2</v>
      </c>
      <c r="AY1133" s="85"/>
    </row>
    <row r="1134" spans="1:51" x14ac:dyDescent="0.25">
      <c r="A1134" s="102" t="str">
        <f t="shared" si="374"/>
        <v>CM Organic</v>
      </c>
      <c r="B1134" s="102" t="s">
        <v>1323</v>
      </c>
      <c r="C1134" s="102" t="s">
        <v>1128</v>
      </c>
      <c r="D1134" t="s">
        <v>369</v>
      </c>
      <c r="E1134" t="s">
        <v>55</v>
      </c>
      <c r="F1134" t="s">
        <v>421</v>
      </c>
      <c r="G1134" t="s">
        <v>1181</v>
      </c>
      <c r="H1134" t="s">
        <v>1182</v>
      </c>
      <c r="I1134" t="s">
        <v>139</v>
      </c>
      <c r="J1134" t="s">
        <v>287</v>
      </c>
      <c r="K1134" s="101">
        <f>IF('Net zero activities &amp; levers'!$C$14="Off",'Activity data'!AD64*ManureNEF*NtoN2O*kgtoGg,IF('Net zero activities &amp; levers'!$C$14="On",'Net zero Activity data'!AD64*ManureNEF*NtoN2O*kgtoGg,"ERROR"))</f>
        <v>0.1574619566019842</v>
      </c>
      <c r="L1134" s="101">
        <f>IF('Net zero activities &amp; levers'!$C$14="Off",'Activity data'!AE64*ManureNEF*NtoN2O*kgtoGg,IF('Net zero activities &amp; levers'!$C$14="On",'Net zero Activity data'!AE64*ManureNEF*NtoN2O*kgtoGg,"ERROR"))</f>
        <v>0.16100119532971174</v>
      </c>
      <c r="M1134" s="101">
        <f>IF('Net zero activities &amp; levers'!$C$14="Off",'Activity data'!AF64*ManureNEF*NtoN2O*kgtoGg,IF('Net zero activities &amp; levers'!$C$14="On",'Net zero Activity data'!AF64*ManureNEF*NtoN2O*kgtoGg,"ERROR"))</f>
        <v>0.16420239799096348</v>
      </c>
      <c r="N1134" s="101">
        <f>IF('Net zero activities &amp; levers'!$C$14="Off",'Activity data'!AG64*ManureNEF*NtoN2O*kgtoGg,IF('Net zero activities &amp; levers'!$C$14="On",'Net zero Activity data'!AG64*ManureNEF*NtoN2O*kgtoGg,"ERROR"))</f>
        <v>0.16585503975435448</v>
      </c>
      <c r="O1134" s="101">
        <f>IF('Net zero activities &amp; levers'!$C$14="Off",'Activity data'!AH64*ManureNEF*NtoN2O*kgtoGg,IF('Net zero activities &amp; levers'!$C$14="On",'Net zero Activity data'!AH64*ManureNEF*NtoN2O*kgtoGg,"ERROR"))</f>
        <v>0.16755324219146345</v>
      </c>
      <c r="P1134" s="101">
        <f>IF('Net zero activities &amp; levers'!$C$14="Off",'Activity data'!AI64*ManureNEF*NtoN2O*kgtoGg,IF('Net zero activities &amp; levers'!$C$14="On",'Net zero Activity data'!AI64*ManureNEF*NtoN2O*kgtoGg,"ERROR"))</f>
        <v>0.1709343585165998</v>
      </c>
      <c r="Q1134" s="101">
        <f>IF('Net zero activities &amp; levers'!$C$14="Off",'Activity data'!AJ64*ManureNEF*NtoN2O*kgtoGg,IF('Net zero activities &amp; levers'!$C$14="On",'Net zero Activity data'!AJ64*ManureNEF*NtoN2O*kgtoGg,"ERROR"))</f>
        <v>0.17382552357996145</v>
      </c>
      <c r="R1134" s="101">
        <f>IF('Net zero activities &amp; levers'!$C$14="Off",'Activity data'!AK64*ManureNEF*NtoN2O*kgtoGg,IF('Net zero activities &amp; levers'!$C$14="On",'Net zero Activity data'!AK64*ManureNEF*NtoN2O*kgtoGg,"ERROR"))</f>
        <v>0.17492293808026785</v>
      </c>
      <c r="S1134" s="101">
        <f>IF('Net zero activities &amp; levers'!$C$14="Off",'Activity data'!AL64*ManureNEF*NtoN2O*kgtoGg,IF('Net zero activities &amp; levers'!$C$14="On",'Net zero Activity data'!AL64*ManureNEF*NtoN2O*kgtoGg,"ERROR"))</f>
        <v>0.16797595240358967</v>
      </c>
      <c r="T1134" s="101">
        <f>IF('Net zero activities &amp; levers'!$C$14="Off",'Activity data'!AM64*ManureNEF*NtoN2O*kgtoGg,IF('Net zero activities &amp; levers'!$C$14="On",'Net zero Activity data'!AM64*ManureNEF*NtoN2O*kgtoGg,"ERROR"))</f>
        <v>0.17297492730025818</v>
      </c>
      <c r="U1134" s="101">
        <f>IF('Net zero activities &amp; levers'!$C$14="Off",'Activity data'!AN64*ManureNEF*NtoN2O*kgtoGg,IF('Net zero activities &amp; levers'!$C$14="On",'Net zero Activity data'!AN64*ManureNEF*NtoN2O*kgtoGg,"ERROR"))</f>
        <v>0.17701513008922104</v>
      </c>
      <c r="V1134" s="101">
        <f>IF('Net zero activities &amp; levers'!$C$14="Off",'Activity data'!AO64*ManureNEF*NtoN2O*kgtoGg,IF('Net zero activities &amp; levers'!$C$14="On",'Net zero Activity data'!AO64*ManureNEF*NtoN2O*kgtoGg,"ERROR"))</f>
        <v>0.18086520723507568</v>
      </c>
      <c r="W1134" s="101">
        <f>IF('Net zero activities &amp; levers'!$C$14="Off",'Activity data'!AP64*ManureNEF*NtoN2O*kgtoGg,IF('Net zero activities &amp; levers'!$C$14="On",'Net zero Activity data'!AP64*ManureNEF*NtoN2O*kgtoGg,"ERROR"))</f>
        <v>0.18514026922037843</v>
      </c>
      <c r="X1134" s="101">
        <f>IF('Net zero activities &amp; levers'!$C$14="Off",'Activity data'!AQ64*ManureNEF*NtoN2O*kgtoGg,IF('Net zero activities &amp; levers'!$C$14="On",'Net zero Activity data'!AQ64*ManureNEF*NtoN2O*kgtoGg,"ERROR"))</f>
        <v>0.19081502616241675</v>
      </c>
      <c r="Y1134" s="101">
        <f>IF('Net zero activities &amp; levers'!$C$14="Off",'Activity data'!AR64*ManureNEF*NtoN2O*kgtoGg,IF('Net zero activities &amp; levers'!$C$14="On",'Net zero Activity data'!AR64*ManureNEF*NtoN2O*kgtoGg,"ERROR"))</f>
        <v>0.19677527630059505</v>
      </c>
      <c r="Z1134" s="101">
        <f>IF('Net zero activities &amp; levers'!$C$14="Off",'Activity data'!AS64*ManureNEF*NtoN2O*kgtoGg,IF('Net zero activities &amp; levers'!$C$14="On",'Net zero Activity data'!AS64*ManureNEF*NtoN2O*kgtoGg,"ERROR"))</f>
        <v>0.20316424040233105</v>
      </c>
      <c r="AA1134" s="101">
        <f>IF('Net zero activities &amp; levers'!$C$14="Off",'Activity data'!AT64*ManureNEF*NtoN2O*kgtoGg,IF('Net zero activities &amp; levers'!$C$14="On",'Net zero Activity data'!AT64*ManureNEF*NtoN2O*kgtoGg,"ERROR"))</f>
        <v>0.2090740458335611</v>
      </c>
      <c r="AB1134" s="101">
        <f>IF('Net zero activities &amp; levers'!$C$14="Off",'Activity data'!AU64*ManureNEF*NtoN2O*kgtoGg,IF('Net zero activities &amp; levers'!$C$14="On",'Net zero Activity data'!AU64*ManureNEF*NtoN2O*kgtoGg,"ERROR"))</f>
        <v>0.21570429527296558</v>
      </c>
      <c r="AC1134" s="101">
        <f>IF('Net zero activities &amp; levers'!$C$14="Off",'Activity data'!AV64*ManureNEF*NtoN2O*kgtoGg,IF('Net zero activities &amp; levers'!$C$14="On",'Net zero Activity data'!AV64*ManureNEF*NtoN2O*kgtoGg,"ERROR"))</f>
        <v>0.22322461413005179</v>
      </c>
      <c r="AD1134" s="101">
        <f>IF('Net zero activities &amp; levers'!$C$14="Off",'Activity data'!AW64*ManureNEF*NtoN2O*kgtoGg,IF('Net zero activities &amp; levers'!$C$14="On",'Net zero Activity data'!AW64*ManureNEF*NtoN2O*kgtoGg,"ERROR"))</f>
        <v>0.23059574512274245</v>
      </c>
      <c r="AE1134" s="101">
        <f>IF('Net zero activities &amp; levers'!$C$14="Off",'Activity data'!AX64*ManureNEF*NtoN2O*kgtoGg,IF('Net zero activities &amp; levers'!$C$14="On",'Net zero Activity data'!AX64*ManureNEF*NtoN2O*kgtoGg,"ERROR"))</f>
        <v>0.23831574484289472</v>
      </c>
      <c r="AF1134" s="101">
        <f>IF('Net zero activities &amp; levers'!$C$14="Off",'Activity data'!AY64*ManureNEF*NtoN2O*kgtoGg,IF('Net zero activities &amp; levers'!$C$14="On",'Net zero Activity data'!AY64*ManureNEF*NtoN2O*kgtoGg,"ERROR"))</f>
        <v>0.24625980781200643</v>
      </c>
      <c r="AG1134" s="101">
        <f>IF('Net zero activities &amp; levers'!$C$14="Off",'Activity data'!AZ64*ManureNEF*NtoN2O*kgtoGg,IF('Net zero activities &amp; levers'!$C$14="On",'Net zero Activity data'!AZ64*ManureNEF*NtoN2O*kgtoGg,"ERROR"))</f>
        <v>0.25500800669627088</v>
      </c>
      <c r="AH1134" s="101">
        <f>IF('Net zero activities &amp; levers'!$C$14="Off",'Activity data'!BA64*ManureNEF*NtoN2O*kgtoGg,IF('Net zero activities &amp; levers'!$C$14="On",'Net zero Activity data'!BA64*ManureNEF*NtoN2O*kgtoGg,"ERROR"))</f>
        <v>0.26305100817364307</v>
      </c>
      <c r="AI1134" s="101">
        <f>IF('Net zero activities &amp; levers'!$C$14="Off",'Activity data'!BB64*ManureNEF*NtoN2O*kgtoGg,IF('Net zero activities &amp; levers'!$C$14="On",'Net zero Activity data'!BB64*ManureNEF*NtoN2O*kgtoGg,"ERROR"))</f>
        <v>0.27146542700983761</v>
      </c>
      <c r="AJ1134" s="101">
        <f>IF('Net zero activities &amp; levers'!$C$14="Off",'Activity data'!BC64*ManureNEF*NtoN2O*kgtoGg,IF('Net zero activities &amp; levers'!$C$14="On",'Net zero Activity data'!BC64*ManureNEF*NtoN2O*kgtoGg,"ERROR"))</f>
        <v>0.28009700813609817</v>
      </c>
      <c r="AK1134" s="101">
        <f>IF('Net zero activities &amp; levers'!$C$14="Off",'Activity data'!BD64*ManureNEF*NtoN2O*kgtoGg,IF('Net zero activities &amp; levers'!$C$14="On",'Net zero Activity data'!BD64*ManureNEF*NtoN2O*kgtoGg,"ERROR"))</f>
        <v>0.28852863408778395</v>
      </c>
      <c r="AL1134" s="101">
        <f>IF('Net zero activities &amp; levers'!$C$14="Off",'Activity data'!BE64*ManureNEF*NtoN2O*kgtoGg,IF('Net zero activities &amp; levers'!$C$14="On",'Net zero Activity data'!BE64*ManureNEF*NtoN2O*kgtoGg,"ERROR"))</f>
        <v>0.29704040587124897</v>
      </c>
      <c r="AM1134" s="101">
        <f>IF('Net zero activities &amp; levers'!$C$14="Off",'Activity data'!BF64*ManureNEF*NtoN2O*kgtoGg,IF('Net zero activities &amp; levers'!$C$14="On",'Net zero Activity data'!BF64*ManureNEF*NtoN2O*kgtoGg,"ERROR"))</f>
        <v>0.30589267500220069</v>
      </c>
      <c r="AN1134" s="101">
        <f>IF('Net zero activities &amp; levers'!$C$14="Off",'Activity data'!BG64*ManureNEF*NtoN2O*kgtoGg,IF('Net zero activities &amp; levers'!$C$14="On",'Net zero Activity data'!BG64*ManureNEF*NtoN2O*kgtoGg,"ERROR"))</f>
        <v>0.31509949249948005</v>
      </c>
      <c r="AO1134" s="101">
        <f>IF('Net zero activities &amp; levers'!$C$14="Off",'Activity data'!BH64*ManureNEF*NtoN2O*kgtoGg,IF('Net zero activities &amp; levers'!$C$14="On",'Net zero Activity data'!BH64*ManureNEF*NtoN2O*kgtoGg,"ERROR"))</f>
        <v>0.32397232132243609</v>
      </c>
      <c r="AP1134" s="101">
        <f>IF('Net zero activities &amp; levers'!$C$14="Off",'Activity data'!BI64*ManureNEF*NtoN2O*kgtoGg,IF('Net zero activities &amp; levers'!$C$14="On",'Net zero Activity data'!BI64*ManureNEF*NtoN2O*kgtoGg,"ERROR"))</f>
        <v>0.33303470425340953</v>
      </c>
      <c r="AQ1134" s="101">
        <f>IF('Net zero activities &amp; levers'!$C$14="Off",'Activity data'!BJ64*ManureNEF*NtoN2O*kgtoGg,IF('Net zero activities &amp; levers'!$C$14="On",'Net zero Activity data'!BJ64*ManureNEF*NtoN2O*kgtoGg,"ERROR"))</f>
        <v>0.34230228220604159</v>
      </c>
      <c r="AR1134" s="101">
        <f>IF('Net zero activities &amp; levers'!$C$14="Off",'Activity data'!BK64*ManureNEF*NtoN2O*kgtoGg,IF('Net zero activities &amp; levers'!$C$14="On",'Net zero Activity data'!BK64*ManureNEF*NtoN2O*kgtoGg,"ERROR"))</f>
        <v>0.35216230168979662</v>
      </c>
      <c r="AS1134" s="101">
        <f>IF('Net zero activities &amp; levers'!$C$14="Off",'Activity data'!BL64*ManureNEF*NtoN2O*kgtoGg,IF('Net zero activities &amp; levers'!$C$14="On",'Net zero Activity data'!BL64*ManureNEF*NtoN2O*kgtoGg,"ERROR"))</f>
        <v>0.36222138179977098</v>
      </c>
      <c r="AT1134" s="101">
        <f>IF('Net zero activities &amp; levers'!$C$14="Off",'Activity data'!BM64*ManureNEF*NtoN2O*kgtoGg,IF('Net zero activities &amp; levers'!$C$14="On",'Net zero Activity data'!BM64*ManureNEF*NtoN2O*kgtoGg,"ERROR"))</f>
        <v>0.36875743363549901</v>
      </c>
      <c r="AU1134" s="101">
        <f>IF('Net zero activities &amp; levers'!$C$14="Off",'Activity data'!BN64*ManureNEF*NtoN2O*kgtoGg,IF('Net zero activities &amp; levers'!$C$14="On",'Net zero Activity data'!BN64*ManureNEF*NtoN2O*kgtoGg,"ERROR"))</f>
        <v>0.37509652822170919</v>
      </c>
      <c r="AV1134" s="101">
        <f>IF('Net zero activities &amp; levers'!$C$14="Off",'Activity data'!BO64*ManureNEF*NtoN2O*kgtoGg,IF('Net zero activities &amp; levers'!$C$14="On",'Net zero Activity data'!BO64*ManureNEF*NtoN2O*kgtoGg,"ERROR"))</f>
        <v>0.38198920884211868</v>
      </c>
      <c r="AW1134" s="101">
        <f>IF('Net zero activities &amp; levers'!$C$14="Off",'Activity data'!BP64*ManureNEF*NtoN2O*kgtoGg,IF('Net zero activities &amp; levers'!$C$14="On",'Net zero Activity data'!BP64*ManureNEF*NtoN2O*kgtoGg,"ERROR"))</f>
        <v>0.3887297225488785</v>
      </c>
      <c r="AY1134" s="85"/>
    </row>
    <row r="1135" spans="1:51" x14ac:dyDescent="0.25">
      <c r="A1135" s="102" t="str">
        <f t="shared" si="374"/>
        <v>CM Organic</v>
      </c>
      <c r="B1135" s="102" t="s">
        <v>1323</v>
      </c>
      <c r="C1135" s="102" t="s">
        <v>1128</v>
      </c>
      <c r="D1135" t="s">
        <v>369</v>
      </c>
      <c r="E1135" t="s">
        <v>55</v>
      </c>
      <c r="F1135" t="s">
        <v>421</v>
      </c>
      <c r="G1135" t="s">
        <v>1183</v>
      </c>
      <c r="H1135" t="s">
        <v>1184</v>
      </c>
      <c r="I1135" t="s">
        <v>139</v>
      </c>
      <c r="J1135" t="s">
        <v>287</v>
      </c>
      <c r="K1135" s="101">
        <f>IF('Net zero activities &amp; levers'!$C$14="Off",'Activity data'!AD65*ManureNEF*NtoN2O*kgtoGg,IF('Net zero activities &amp; levers'!$C$14="On",'Net zero Activity data'!AD65*ManureNEF*NtoN2O*kgtoGg,"ERROR"))</f>
        <v>0.79145317534147697</v>
      </c>
      <c r="L1135" s="101">
        <f>IF('Net zero activities &amp; levers'!$C$14="Off",'Activity data'!AE65*ManureNEF*NtoN2O*kgtoGg,IF('Net zero activities &amp; levers'!$C$14="On",'Net zero Activity data'!AE65*ManureNEF*NtoN2O*kgtoGg,"ERROR"))</f>
        <v>0.80614249446586472</v>
      </c>
      <c r="M1135" s="101">
        <f>IF('Net zero activities &amp; levers'!$C$14="Off",'Activity data'!AF65*ManureNEF*NtoN2O*kgtoGg,IF('Net zero activities &amp; levers'!$C$14="On",'Net zero Activity data'!AF65*ManureNEF*NtoN2O*kgtoGg,"ERROR"))</f>
        <v>0.81576351649757217</v>
      </c>
      <c r="N1135" s="101">
        <f>IF('Net zero activities &amp; levers'!$C$14="Off",'Activity data'!AG65*ManureNEF*NtoN2O*kgtoGg,IF('Net zero activities &amp; levers'!$C$14="On",'Net zero Activity data'!AG65*ManureNEF*NtoN2O*kgtoGg,"ERROR"))</f>
        <v>0.8051815142548906</v>
      </c>
      <c r="O1135" s="101">
        <f>IF('Net zero activities &amp; levers'!$C$14="Off",'Activity data'!AH65*ManureNEF*NtoN2O*kgtoGg,IF('Net zero activities &amp; levers'!$C$14="On",'Net zero Activity data'!AH65*ManureNEF*NtoN2O*kgtoGg,"ERROR"))</f>
        <v>0.79491912717906921</v>
      </c>
      <c r="P1135" s="101">
        <f>IF('Net zero activities &amp; levers'!$C$14="Off",'Activity data'!AI65*ManureNEF*NtoN2O*kgtoGg,IF('Net zero activities &amp; levers'!$C$14="On",'Net zero Activity data'!AI65*ManureNEF*NtoN2O*kgtoGg,"ERROR"))</f>
        <v>0.8050882404927846</v>
      </c>
      <c r="Q1135" s="101">
        <f>IF('Net zero activities &amp; levers'!$C$14="Off",'Activity data'!AJ65*ManureNEF*NtoN2O*kgtoGg,IF('Net zero activities &amp; levers'!$C$14="On",'Net zero Activity data'!AJ65*ManureNEF*NtoN2O*kgtoGg,"ERROR"))</f>
        <v>0.80900668851215218</v>
      </c>
      <c r="R1135" s="101">
        <f>IF('Net zero activities &amp; levers'!$C$14="Off",'Activity data'!AK65*ManureNEF*NtoN2O*kgtoGg,IF('Net zero activities &amp; levers'!$C$14="On",'Net zero Activity data'!AK65*ManureNEF*NtoN2O*kgtoGg,"ERROR"))</f>
        <v>0.79104206342465233</v>
      </c>
      <c r="S1135" s="101">
        <f>IF('Net zero activities &amp; levers'!$C$14="Off",'Activity data'!AL65*ManureNEF*NtoN2O*kgtoGg,IF('Net zero activities &amp; levers'!$C$14="On",'Net zero Activity data'!AL65*ManureNEF*NtoN2O*kgtoGg,"ERROR"))</f>
        <v>0.67708002243474696</v>
      </c>
      <c r="T1135" s="101">
        <f>IF('Net zero activities &amp; levers'!$C$14="Off",'Activity data'!AM65*ManureNEF*NtoN2O*kgtoGg,IF('Net zero activities &amp; levers'!$C$14="On",'Net zero Activity data'!AM65*ManureNEF*NtoN2O*kgtoGg,"ERROR"))</f>
        <v>0.71312706028393913</v>
      </c>
      <c r="U1135" s="101">
        <f>IF('Net zero activities &amp; levers'!$C$14="Off",'Activity data'!AN65*ManureNEF*NtoN2O*kgtoGg,IF('Net zero activities &amp; levers'!$C$14="On",'Net zero Activity data'!AN65*ManureNEF*NtoN2O*kgtoGg,"ERROR"))</f>
        <v>0.73720277704282655</v>
      </c>
      <c r="V1135" s="101">
        <f>IF('Net zero activities &amp; levers'!$C$14="Off",'Activity data'!AO65*ManureNEF*NtoN2O*kgtoGg,IF('Net zero activities &amp; levers'!$C$14="On",'Net zero Activity data'!AO65*ManureNEF*NtoN2O*kgtoGg,"ERROR"))</f>
        <v>0.75857801235032774</v>
      </c>
      <c r="W1135" s="101">
        <f>IF('Net zero activities &amp; levers'!$C$14="Off",'Activity data'!AP65*ManureNEF*NtoN2O*kgtoGg,IF('Net zero activities &amp; levers'!$C$14="On",'Net zero Activity data'!AP65*ManureNEF*NtoN2O*kgtoGg,"ERROR"))</f>
        <v>0.78441168639488434</v>
      </c>
      <c r="X1135" s="101">
        <f>IF('Net zero activities &amp; levers'!$C$14="Off",'Activity data'!AQ65*ManureNEF*NtoN2O*kgtoGg,IF('Net zero activities &amp; levers'!$C$14="On",'Net zero Activity data'!AQ65*ManureNEF*NtoN2O*kgtoGg,"ERROR"))</f>
        <v>0.8257185294427607</v>
      </c>
      <c r="Y1135" s="101">
        <f>IF('Net zero activities &amp; levers'!$C$14="Off",'Activity data'!AR65*ManureNEF*NtoN2O*kgtoGg,IF('Net zero activities &amp; levers'!$C$14="On",'Net zero Activity data'!AR65*ManureNEF*NtoN2O*kgtoGg,"ERROR"))</f>
        <v>0.87191666776276444</v>
      </c>
      <c r="Z1135" s="101">
        <f>IF('Net zero activities &amp; levers'!$C$14="Off",'Activity data'!AS65*ManureNEF*NtoN2O*kgtoGg,IF('Net zero activities &amp; levers'!$C$14="On",'Net zero Activity data'!AS65*ManureNEF*NtoN2O*kgtoGg,"ERROR"))</f>
        <v>0.92215078256472138</v>
      </c>
      <c r="AA1135" s="101">
        <f>IF('Net zero activities &amp; levers'!$C$14="Off",'Activity data'!AT65*ManureNEF*NtoN2O*kgtoGg,IF('Net zero activities &amp; levers'!$C$14="On",'Net zero Activity data'!AT65*ManureNEF*NtoN2O*kgtoGg,"ERROR"))</f>
        <v>0.9662204813572417</v>
      </c>
      <c r="AB1135" s="101">
        <f>IF('Net zero activities &amp; levers'!$C$14="Off",'Activity data'!AU65*ManureNEF*NtoN2O*kgtoGg,IF('Net zero activities &amp; levers'!$C$14="On",'Net zero Activity data'!AU65*ManureNEF*NtoN2O*kgtoGg,"ERROR"))</f>
        <v>1.0175406838733769</v>
      </c>
      <c r="AC1135" s="101">
        <f>IF('Net zero activities &amp; levers'!$C$14="Off",'Activity data'!AV65*ManureNEF*NtoN2O*kgtoGg,IF('Net zero activities &amp; levers'!$C$14="On",'Net zero Activity data'!AV65*ManureNEF*NtoN2O*kgtoGg,"ERROR"))</f>
        <v>1.0778137239531762</v>
      </c>
      <c r="AD1135" s="101">
        <f>IF('Net zero activities &amp; levers'!$C$14="Off",'Activity data'!AW65*ManureNEF*NtoN2O*kgtoGg,IF('Net zero activities &amp; levers'!$C$14="On",'Net zero Activity data'!AW65*ManureNEF*NtoN2O*kgtoGg,"ERROR"))</f>
        <v>1.1375737928435741</v>
      </c>
      <c r="AE1135" s="101">
        <f>IF('Net zero activities &amp; levers'!$C$14="Off",'Activity data'!AX65*ManureNEF*NtoN2O*kgtoGg,IF('Net zero activities &amp; levers'!$C$14="On",'Net zero Activity data'!AX65*ManureNEF*NtoN2O*kgtoGg,"ERROR"))</f>
        <v>1.2002515455691347</v>
      </c>
      <c r="AF1135" s="101">
        <f>IF('Net zero activities &amp; levers'!$C$14="Off",'Activity data'!AY65*ManureNEF*NtoN2O*kgtoGg,IF('Net zero activities &amp; levers'!$C$14="On",'Net zero Activity data'!AY65*ManureNEF*NtoN2O*kgtoGg,"ERROR"))</f>
        <v>1.2644570245103171</v>
      </c>
      <c r="AG1135" s="101">
        <f>IF('Net zero activities &amp; levers'!$C$14="Off",'Activity data'!AZ65*ManureNEF*NtoN2O*kgtoGg,IF('Net zero activities &amp; levers'!$C$14="On",'Net zero Activity data'!AZ65*ManureNEF*NtoN2O*kgtoGg,"ERROR"))</f>
        <v>1.3363527454856912</v>
      </c>
      <c r="AH1135" s="101">
        <f>IF('Net zero activities &amp; levers'!$C$14="Off",'Activity data'!BA65*ManureNEF*NtoN2O*kgtoGg,IF('Net zero activities &amp; levers'!$C$14="On",'Net zero Activity data'!BA65*ManureNEF*NtoN2O*kgtoGg,"ERROR"))</f>
        <v>1.3998148072361301</v>
      </c>
      <c r="AI1135" s="101">
        <f>IF('Net zero activities &amp; levers'!$C$14="Off",'Activity data'!BB65*ManureNEF*NtoN2O*kgtoGg,IF('Net zero activities &amp; levers'!$C$14="On",'Net zero Activity data'!BB65*ManureNEF*NtoN2O*kgtoGg,"ERROR"))</f>
        <v>1.4681394966911498</v>
      </c>
      <c r="AJ1135" s="101">
        <f>IF('Net zero activities &amp; levers'!$C$14="Off",'Activity data'!BC65*ManureNEF*NtoN2O*kgtoGg,IF('Net zero activities &amp; levers'!$C$14="On",'Net zero Activity data'!BC65*ManureNEF*NtoN2O*kgtoGg,"ERROR"))</f>
        <v>1.5378753189200036</v>
      </c>
      <c r="AK1135" s="101">
        <f>IF('Net zero activities &amp; levers'!$C$14="Off",'Activity data'!BD65*ManureNEF*NtoN2O*kgtoGg,IF('Net zero activities &amp; levers'!$C$14="On",'Net zero Activity data'!BD65*ManureNEF*NtoN2O*kgtoGg,"ERROR"))</f>
        <v>1.6046754590412589</v>
      </c>
      <c r="AL1135" s="101">
        <f>IF('Net zero activities &amp; levers'!$C$14="Off",'Activity data'!BE65*ManureNEF*NtoN2O*kgtoGg,IF('Net zero activities &amp; levers'!$C$14="On",'Net zero Activity data'!BE65*ManureNEF*NtoN2O*kgtoGg,"ERROR"))</f>
        <v>1.6714944768380475</v>
      </c>
      <c r="AM1135" s="101">
        <f>IF('Net zero activities &amp; levers'!$C$14="Off",'Activity data'!BF65*ManureNEF*NtoN2O*kgtoGg,IF('Net zero activities &amp; levers'!$C$14="On",'Net zero Activity data'!BF65*ManureNEF*NtoN2O*kgtoGg,"ERROR"))</f>
        <v>1.7410095887499677</v>
      </c>
      <c r="AN1135" s="101">
        <f>IF('Net zero activities &amp; levers'!$C$14="Off",'Activity data'!BG65*ManureNEF*NtoN2O*kgtoGg,IF('Net zero activities &amp; levers'!$C$14="On",'Net zero Activity data'!BG65*ManureNEF*NtoN2O*kgtoGg,"ERROR"))</f>
        <v>1.8149729571081432</v>
      </c>
      <c r="AO1135" s="101">
        <f>IF('Net zero activities &amp; levers'!$C$14="Off",'Activity data'!BH65*ManureNEF*NtoN2O*kgtoGg,IF('Net zero activities &amp; levers'!$C$14="On",'Net zero Activity data'!BH65*ManureNEF*NtoN2O*kgtoGg,"ERROR"))</f>
        <v>1.8847214478673355</v>
      </c>
      <c r="AP1135" s="101">
        <f>IF('Net zero activities &amp; levers'!$C$14="Off",'Activity data'!BI65*ManureNEF*NtoN2O*kgtoGg,IF('Net zero activities &amp; levers'!$C$14="On",'Net zero Activity data'!BI65*ManureNEF*NtoN2O*kgtoGg,"ERROR"))</f>
        <v>1.955609402212434</v>
      </c>
      <c r="AQ1135" s="101">
        <f>IF('Net zero activities &amp; levers'!$C$14="Off",'Activity data'!BJ65*ManureNEF*NtoN2O*kgtoGg,IF('Net zero activities &amp; levers'!$C$14="On",'Net zero Activity data'!BJ65*ManureNEF*NtoN2O*kgtoGg,"ERROR"))</f>
        <v>2.0277810547250867</v>
      </c>
      <c r="AR1135" s="101">
        <f>IF('Net zero activities &amp; levers'!$C$14="Off",'Activity data'!BK65*ManureNEF*NtoN2O*kgtoGg,IF('Net zero activities &amp; levers'!$C$14="On",'Net zero Activity data'!BK65*ManureNEF*NtoN2O*kgtoGg,"ERROR"))</f>
        <v>2.1050758671503762</v>
      </c>
      <c r="AS1135" s="101">
        <f>IF('Net zero activities &amp; levers'!$C$14="Off",'Activity data'!BL65*ManureNEF*NtoN2O*kgtoGg,IF('Net zero activities &amp; levers'!$C$14="On",'Net zero Activity data'!BL65*ManureNEF*NtoN2O*kgtoGg,"ERROR"))</f>
        <v>2.1851683996181452</v>
      </c>
      <c r="AT1135" s="101">
        <f>IF('Net zero activities &amp; levers'!$C$14="Off",'Activity data'!BM65*ManureNEF*NtoN2O*kgtoGg,IF('Net zero activities &amp; levers'!$C$14="On",'Net zero Activity data'!BM65*ManureNEF*NtoN2O*kgtoGg,"ERROR"))</f>
        <v>2.2297675385202269</v>
      </c>
      <c r="AU1135" s="101">
        <f>IF('Net zero activities &amp; levers'!$C$14="Off",'Activity data'!BN65*ManureNEF*NtoN2O*kgtoGg,IF('Net zero activities &amp; levers'!$C$14="On",'Net zero Activity data'!BN65*ManureNEF*NtoN2O*kgtoGg,"ERROR"))</f>
        <v>2.2720189069721362</v>
      </c>
      <c r="AV1135" s="101">
        <f>IF('Net zero activities &amp; levers'!$C$14="Off",'Activity data'!BO65*ManureNEF*NtoN2O*kgtoGg,IF('Net zero activities &amp; levers'!$C$14="On",'Net zero Activity data'!BO65*ManureNEF*NtoN2O*kgtoGg,"ERROR"))</f>
        <v>2.3192696472258065</v>
      </c>
      <c r="AW1135" s="101">
        <f>IF('Net zero activities &amp; levers'!$C$14="Off",'Activity data'!BP65*ManureNEF*NtoN2O*kgtoGg,IF('Net zero activities &amp; levers'!$C$14="On",'Net zero Activity data'!BP65*ManureNEF*NtoN2O*kgtoGg,"ERROR"))</f>
        <v>2.3646076401364016</v>
      </c>
      <c r="AY1135" s="85"/>
    </row>
    <row r="1136" spans="1:51" x14ac:dyDescent="0.25">
      <c r="A1136" s="102" t="str">
        <f t="shared" si="374"/>
        <v>CM U&amp;D</v>
      </c>
      <c r="B1136" s="102" t="s">
        <v>1323</v>
      </c>
      <c r="C1136" s="102" t="s">
        <v>1337</v>
      </c>
      <c r="D1136" t="s">
        <v>369</v>
      </c>
      <c r="E1136" t="s">
        <v>55</v>
      </c>
      <c r="F1136" t="s">
        <v>422</v>
      </c>
      <c r="G1136" t="s">
        <v>1153</v>
      </c>
      <c r="H1136" t="s">
        <v>1241</v>
      </c>
      <c r="I1136" t="s">
        <v>139</v>
      </c>
      <c r="J1136" t="s">
        <v>287</v>
      </c>
      <c r="K1136" s="101">
        <f>IF('Net zero activities &amp; levers'!$C$14="Off",'Activity data'!AD66*UDCPPEF*NtoN2O*kgtoGg,IF('Net zero activities &amp; levers'!$C$14="On",'Net zero Activity data'!AD66*UDCPPEF*NtoN2O*kgtoGg,"ERROR"))</f>
        <v>0</v>
      </c>
      <c r="L1136" s="101">
        <f>IF('Net zero activities &amp; levers'!$C$14="Off",'Activity data'!AE66*UDCPPEF*NtoN2O*kgtoGg,IF('Net zero activities &amp; levers'!$C$14="On",'Net zero Activity data'!AE66*UDCPPEF*NtoN2O*kgtoGg,"ERROR"))</f>
        <v>0</v>
      </c>
      <c r="M1136" s="101">
        <f>IF('Net zero activities &amp; levers'!$C$14="Off",'Activity data'!AF66*UDCPPEF*NtoN2O*kgtoGg,IF('Net zero activities &amp; levers'!$C$14="On",'Net zero Activity data'!AF66*UDCPPEF*NtoN2O*kgtoGg,"ERROR"))</f>
        <v>0</v>
      </c>
      <c r="N1136" s="101">
        <f>IF('Net zero activities &amp; levers'!$C$14="Off",'Activity data'!AG66*UDCPPEF*NtoN2O*kgtoGg,IF('Net zero activities &amp; levers'!$C$14="On",'Net zero Activity data'!AG66*UDCPPEF*NtoN2O*kgtoGg,"ERROR"))</f>
        <v>0</v>
      </c>
      <c r="O1136" s="101">
        <f>IF('Net zero activities &amp; levers'!$C$14="Off",'Activity data'!AH66*UDCPPEF*NtoN2O*kgtoGg,IF('Net zero activities &amp; levers'!$C$14="On",'Net zero Activity data'!AH66*UDCPPEF*NtoN2O*kgtoGg,"ERROR"))</f>
        <v>0</v>
      </c>
      <c r="P1136" s="101">
        <f>IF('Net zero activities &amp; levers'!$C$14="Off",'Activity data'!AI66*UDCPPEF*NtoN2O*kgtoGg,IF('Net zero activities &amp; levers'!$C$14="On",'Net zero Activity data'!AI66*UDCPPEF*NtoN2O*kgtoGg,"ERROR"))</f>
        <v>0</v>
      </c>
      <c r="Q1136" s="101">
        <f>IF('Net zero activities &amp; levers'!$C$14="Off",'Activity data'!AJ66*UDCPPEF*NtoN2O*kgtoGg,IF('Net zero activities &amp; levers'!$C$14="On",'Net zero Activity data'!AJ66*UDCPPEF*NtoN2O*kgtoGg,"ERROR"))</f>
        <v>0</v>
      </c>
      <c r="R1136" s="101">
        <f>IF('Net zero activities &amp; levers'!$C$14="Off",'Activity data'!AK66*UDCPPEF*NtoN2O*kgtoGg,IF('Net zero activities &amp; levers'!$C$14="On",'Net zero Activity data'!AK66*UDCPPEF*NtoN2O*kgtoGg,"ERROR"))</f>
        <v>0</v>
      </c>
      <c r="S1136" s="101">
        <f>IF('Net zero activities &amp; levers'!$C$14="Off",'Activity data'!AL66*UDCPPEF*NtoN2O*kgtoGg,IF('Net zero activities &amp; levers'!$C$14="On",'Net zero Activity data'!AL66*UDCPPEF*NtoN2O*kgtoGg,"ERROR"))</f>
        <v>0</v>
      </c>
      <c r="T1136" s="101">
        <f>IF('Net zero activities &amp; levers'!$C$14="Off",'Activity data'!AM66*UDCPPEF*NtoN2O*kgtoGg,IF('Net zero activities &amp; levers'!$C$14="On",'Net zero Activity data'!AM66*UDCPPEF*NtoN2O*kgtoGg,"ERROR"))</f>
        <v>0</v>
      </c>
      <c r="U1136" s="101">
        <f>IF('Net zero activities &amp; levers'!$C$14="Off",'Activity data'!AN66*UDCPPEF*NtoN2O*kgtoGg,IF('Net zero activities &amp; levers'!$C$14="On",'Net zero Activity data'!AN66*UDCPPEF*NtoN2O*kgtoGg,"ERROR"))</f>
        <v>0</v>
      </c>
      <c r="V1136" s="101">
        <f>IF('Net zero activities &amp; levers'!$C$14="Off",'Activity data'!AO66*UDCPPEF*NtoN2O*kgtoGg,IF('Net zero activities &amp; levers'!$C$14="On",'Net zero Activity data'!AO66*UDCPPEF*NtoN2O*kgtoGg,"ERROR"))</f>
        <v>0</v>
      </c>
      <c r="W1136" s="101">
        <f>IF('Net zero activities &amp; levers'!$C$14="Off",'Activity data'!AP66*UDCPPEF*NtoN2O*kgtoGg,IF('Net zero activities &amp; levers'!$C$14="On",'Net zero Activity data'!AP66*UDCPPEF*NtoN2O*kgtoGg,"ERROR"))</f>
        <v>0</v>
      </c>
      <c r="X1136" s="101">
        <f>IF('Net zero activities &amp; levers'!$C$14="Off",'Activity data'!AQ66*UDCPPEF*NtoN2O*kgtoGg,IF('Net zero activities &amp; levers'!$C$14="On",'Net zero Activity data'!AQ66*UDCPPEF*NtoN2O*kgtoGg,"ERROR"))</f>
        <v>0</v>
      </c>
      <c r="Y1136" s="101">
        <f>IF('Net zero activities &amp; levers'!$C$14="Off",'Activity data'!AR66*UDCPPEF*NtoN2O*kgtoGg,IF('Net zero activities &amp; levers'!$C$14="On",'Net zero Activity data'!AR66*UDCPPEF*NtoN2O*kgtoGg,"ERROR"))</f>
        <v>0</v>
      </c>
      <c r="Z1136" s="101">
        <f>IF('Net zero activities &amp; levers'!$C$14="Off",'Activity data'!AS66*UDCPPEF*NtoN2O*kgtoGg,IF('Net zero activities &amp; levers'!$C$14="On",'Net zero Activity data'!AS66*UDCPPEF*NtoN2O*kgtoGg,"ERROR"))</f>
        <v>0</v>
      </c>
      <c r="AA1136" s="101">
        <f>IF('Net zero activities &amp; levers'!$C$14="Off",'Activity data'!AT66*UDCPPEF*NtoN2O*kgtoGg,IF('Net zero activities &amp; levers'!$C$14="On",'Net zero Activity data'!AT66*UDCPPEF*NtoN2O*kgtoGg,"ERROR"))</f>
        <v>0</v>
      </c>
      <c r="AB1136" s="101">
        <f>IF('Net zero activities &amp; levers'!$C$14="Off",'Activity data'!AU66*UDCPPEF*NtoN2O*kgtoGg,IF('Net zero activities &amp; levers'!$C$14="On",'Net zero Activity data'!AU66*UDCPPEF*NtoN2O*kgtoGg,"ERROR"))</f>
        <v>0</v>
      </c>
      <c r="AC1136" s="101">
        <f>IF('Net zero activities &amp; levers'!$C$14="Off",'Activity data'!AV66*UDCPPEF*NtoN2O*kgtoGg,IF('Net zero activities &amp; levers'!$C$14="On",'Net zero Activity data'!AV66*UDCPPEF*NtoN2O*kgtoGg,"ERROR"))</f>
        <v>0</v>
      </c>
      <c r="AD1136" s="101">
        <f>IF('Net zero activities &amp; levers'!$C$14="Off",'Activity data'!AW66*UDCPPEF*NtoN2O*kgtoGg,IF('Net zero activities &amp; levers'!$C$14="On",'Net zero Activity data'!AW66*UDCPPEF*NtoN2O*kgtoGg,"ERROR"))</f>
        <v>0</v>
      </c>
      <c r="AE1136" s="101">
        <f>IF('Net zero activities &amp; levers'!$C$14="Off",'Activity data'!AX66*UDCPPEF*NtoN2O*kgtoGg,IF('Net zero activities &amp; levers'!$C$14="On",'Net zero Activity data'!AX66*UDCPPEF*NtoN2O*kgtoGg,"ERROR"))</f>
        <v>0</v>
      </c>
      <c r="AF1136" s="101">
        <f>IF('Net zero activities &amp; levers'!$C$14="Off",'Activity data'!AY66*UDCPPEF*NtoN2O*kgtoGg,IF('Net zero activities &amp; levers'!$C$14="On",'Net zero Activity data'!AY66*UDCPPEF*NtoN2O*kgtoGg,"ERROR"))</f>
        <v>0</v>
      </c>
      <c r="AG1136" s="101">
        <f>IF('Net zero activities &amp; levers'!$C$14="Off",'Activity data'!AZ66*UDCPPEF*NtoN2O*kgtoGg,IF('Net zero activities &amp; levers'!$C$14="On",'Net zero Activity data'!AZ66*UDCPPEF*NtoN2O*kgtoGg,"ERROR"))</f>
        <v>0</v>
      </c>
      <c r="AH1136" s="101">
        <f>IF('Net zero activities &amp; levers'!$C$14="Off",'Activity data'!BA66*UDCPPEF*NtoN2O*kgtoGg,IF('Net zero activities &amp; levers'!$C$14="On",'Net zero Activity data'!BA66*UDCPPEF*NtoN2O*kgtoGg,"ERROR"))</f>
        <v>0</v>
      </c>
      <c r="AI1136" s="101">
        <f>IF('Net zero activities &amp; levers'!$C$14="Off",'Activity data'!BB66*UDCPPEF*NtoN2O*kgtoGg,IF('Net zero activities &amp; levers'!$C$14="On",'Net zero Activity data'!BB66*UDCPPEF*NtoN2O*kgtoGg,"ERROR"))</f>
        <v>0</v>
      </c>
      <c r="AJ1136" s="101">
        <f>IF('Net zero activities &amp; levers'!$C$14="Off",'Activity data'!BC66*UDCPPEF*NtoN2O*kgtoGg,IF('Net zero activities &amp; levers'!$C$14="On",'Net zero Activity data'!BC66*UDCPPEF*NtoN2O*kgtoGg,"ERROR"))</f>
        <v>0</v>
      </c>
      <c r="AK1136" s="101">
        <f>IF('Net zero activities &amp; levers'!$C$14="Off",'Activity data'!BD66*UDCPPEF*NtoN2O*kgtoGg,IF('Net zero activities &amp; levers'!$C$14="On",'Net zero Activity data'!BD66*UDCPPEF*NtoN2O*kgtoGg,"ERROR"))</f>
        <v>0</v>
      </c>
      <c r="AL1136" s="101">
        <f>IF('Net zero activities &amp; levers'!$C$14="Off",'Activity data'!BE66*UDCPPEF*NtoN2O*kgtoGg,IF('Net zero activities &amp; levers'!$C$14="On",'Net zero Activity data'!BE66*UDCPPEF*NtoN2O*kgtoGg,"ERROR"))</f>
        <v>0</v>
      </c>
      <c r="AM1136" s="101">
        <f>IF('Net zero activities &amp; levers'!$C$14="Off",'Activity data'!BF66*UDCPPEF*NtoN2O*kgtoGg,IF('Net zero activities &amp; levers'!$C$14="On",'Net zero Activity data'!BF66*UDCPPEF*NtoN2O*kgtoGg,"ERROR"))</f>
        <v>0</v>
      </c>
      <c r="AN1136" s="101">
        <f>IF('Net zero activities &amp; levers'!$C$14="Off",'Activity data'!BG66*UDCPPEF*NtoN2O*kgtoGg,IF('Net zero activities &amp; levers'!$C$14="On",'Net zero Activity data'!BG66*UDCPPEF*NtoN2O*kgtoGg,"ERROR"))</f>
        <v>0</v>
      </c>
      <c r="AO1136" s="101">
        <f>IF('Net zero activities &amp; levers'!$C$14="Off",'Activity data'!BH66*UDCPPEF*NtoN2O*kgtoGg,IF('Net zero activities &amp; levers'!$C$14="On",'Net zero Activity data'!BH66*UDCPPEF*NtoN2O*kgtoGg,"ERROR"))</f>
        <v>0</v>
      </c>
      <c r="AP1136" s="101">
        <f>IF('Net zero activities &amp; levers'!$C$14="Off",'Activity data'!BI66*UDCPPEF*NtoN2O*kgtoGg,IF('Net zero activities &amp; levers'!$C$14="On",'Net zero Activity data'!BI66*UDCPPEF*NtoN2O*kgtoGg,"ERROR"))</f>
        <v>0</v>
      </c>
      <c r="AQ1136" s="101">
        <f>IF('Net zero activities &amp; levers'!$C$14="Off",'Activity data'!BJ66*UDCPPEF*NtoN2O*kgtoGg,IF('Net zero activities &amp; levers'!$C$14="On",'Net zero Activity data'!BJ66*UDCPPEF*NtoN2O*kgtoGg,"ERROR"))</f>
        <v>0</v>
      </c>
      <c r="AR1136" s="101">
        <f>IF('Net zero activities &amp; levers'!$C$14="Off",'Activity data'!BK66*UDCPPEF*NtoN2O*kgtoGg,IF('Net zero activities &amp; levers'!$C$14="On",'Net zero Activity data'!BK66*UDCPPEF*NtoN2O*kgtoGg,"ERROR"))</f>
        <v>0</v>
      </c>
      <c r="AS1136" s="101">
        <f>IF('Net zero activities &amp; levers'!$C$14="Off",'Activity data'!BL66*UDCPPEF*NtoN2O*kgtoGg,IF('Net zero activities &amp; levers'!$C$14="On",'Net zero Activity data'!BL66*UDCPPEF*NtoN2O*kgtoGg,"ERROR"))</f>
        <v>0</v>
      </c>
      <c r="AT1136" s="101">
        <f>IF('Net zero activities &amp; levers'!$C$14="Off",'Activity data'!BM66*UDCPPEF*NtoN2O*kgtoGg,IF('Net zero activities &amp; levers'!$C$14="On",'Net zero Activity data'!BM66*UDCPPEF*NtoN2O*kgtoGg,"ERROR"))</f>
        <v>0</v>
      </c>
      <c r="AU1136" s="101">
        <f>IF('Net zero activities &amp; levers'!$C$14="Off",'Activity data'!BN66*UDCPPEF*NtoN2O*kgtoGg,IF('Net zero activities &amp; levers'!$C$14="On",'Net zero Activity data'!BN66*UDCPPEF*NtoN2O*kgtoGg,"ERROR"))</f>
        <v>0</v>
      </c>
      <c r="AV1136" s="101">
        <f>IF('Net zero activities &amp; levers'!$C$14="Off",'Activity data'!BO66*UDCPPEF*NtoN2O*kgtoGg,IF('Net zero activities &amp; levers'!$C$14="On",'Net zero Activity data'!BO66*UDCPPEF*NtoN2O*kgtoGg,"ERROR"))</f>
        <v>0</v>
      </c>
      <c r="AW1136" s="101">
        <f>IF('Net zero activities &amp; levers'!$C$14="Off",'Activity data'!BP66*UDCPPEF*NtoN2O*kgtoGg,IF('Net zero activities &amp; levers'!$C$14="On",'Net zero Activity data'!BP66*UDCPPEF*NtoN2O*kgtoGg,"ERROR"))</f>
        <v>0</v>
      </c>
      <c r="AY1136" s="85"/>
    </row>
    <row r="1137" spans="1:51" x14ac:dyDescent="0.25">
      <c r="A1137" s="102" t="str">
        <f t="shared" si="374"/>
        <v>CM U&amp;D</v>
      </c>
      <c r="B1137" s="102" t="s">
        <v>1323</v>
      </c>
      <c r="C1137" s="102" t="s">
        <v>1337</v>
      </c>
      <c r="D1137" t="s">
        <v>369</v>
      </c>
      <c r="E1137" t="s">
        <v>55</v>
      </c>
      <c r="F1137" t="s">
        <v>422</v>
      </c>
      <c r="G1137" t="s">
        <v>1155</v>
      </c>
      <c r="H1137" t="s">
        <v>1242</v>
      </c>
      <c r="I1137" t="s">
        <v>139</v>
      </c>
      <c r="J1137" t="s">
        <v>287</v>
      </c>
      <c r="K1137" s="101">
        <f>IF('Net zero activities &amp; levers'!$C$14="Off",'Activity data'!AD67*UDCPPEF*NtoN2O*kgtoGg,IF('Net zero activities &amp; levers'!$C$14="On",'Net zero Activity data'!AD67*UDCPPEF*NtoN2O*kgtoGg,"ERROR"))</f>
        <v>1.0786753296429479</v>
      </c>
      <c r="L1137" s="101">
        <f>IF('Net zero activities &amp; levers'!$C$14="Off",'Activity data'!AE67*UDCPPEF*NtoN2O*kgtoGg,IF('Net zero activities &amp; levers'!$C$14="On",'Net zero Activity data'!AE67*UDCPPEF*NtoN2O*kgtoGg,"ERROR"))</f>
        <v>1.0859586060309057</v>
      </c>
      <c r="M1137" s="101">
        <f>IF('Net zero activities &amp; levers'!$C$14="Off",'Activity data'!AF67*UDCPPEF*NtoN2O*kgtoGg,IF('Net zero activities &amp; levers'!$C$14="On",'Net zero Activity data'!AF67*UDCPPEF*NtoN2O*kgtoGg,"ERROR"))</f>
        <v>1.0923296279678898</v>
      </c>
      <c r="N1137" s="101">
        <f>IF('Net zero activities &amp; levers'!$C$14="Off",'Activity data'!AG67*UDCPPEF*NtoN2O*kgtoGg,IF('Net zero activities &amp; levers'!$C$14="On",'Net zero Activity data'!AG67*UDCPPEF*NtoN2O*kgtoGg,"ERROR"))</f>
        <v>1.0931537330099066</v>
      </c>
      <c r="O1137" s="101">
        <f>IF('Net zero activities &amp; levers'!$C$14="Off",'Activity data'!AH67*UDCPPEF*NtoN2O*kgtoGg,IF('Net zero activities &amp; levers'!$C$14="On",'Net zero Activity data'!AH67*UDCPPEF*NtoN2O*kgtoGg,"ERROR"))</f>
        <v>1.0945731731430408</v>
      </c>
      <c r="P1137" s="101">
        <f>IF('Net zero activities &amp; levers'!$C$14="Off",'Activity data'!AI67*UDCPPEF*NtoN2O*kgtoGg,IF('Net zero activities &amp; levers'!$C$14="On",'Net zero Activity data'!AI67*UDCPPEF*NtoN2O*kgtoGg,"ERROR"))</f>
        <v>1.1027176588076981</v>
      </c>
      <c r="Q1137" s="101">
        <f>IF('Net zero activities &amp; levers'!$C$14="Off",'Activity data'!AJ67*UDCPPEF*NtoN2O*kgtoGg,IF('Net zero activities &amp; levers'!$C$14="On",'Net zero Activity data'!AJ67*UDCPPEF*NtoN2O*kgtoGg,"ERROR"))</f>
        <v>1.1092302651165924</v>
      </c>
      <c r="R1137" s="101">
        <f>IF('Net zero activities &amp; levers'!$C$14="Off",'Activity data'!AK67*UDCPPEF*NtoN2O*kgtoGg,IF('Net zero activities &amp; levers'!$C$14="On",'Net zero Activity data'!AK67*UDCPPEF*NtoN2O*kgtoGg,"ERROR"))</f>
        <v>1.109287368040317</v>
      </c>
      <c r="S1137" s="101">
        <f>IF('Net zero activities &amp; levers'!$C$14="Off",'Activity data'!AL67*UDCPPEF*NtoN2O*kgtoGg,IF('Net zero activities &amp; levers'!$C$14="On",'Net zero Activity data'!AL67*UDCPPEF*NtoN2O*kgtoGg,"ERROR"))</f>
        <v>1.0798981830298287</v>
      </c>
      <c r="T1137" s="101">
        <f>IF('Net zero activities &amp; levers'!$C$14="Off",'Activity data'!AM67*UDCPPEF*NtoN2O*kgtoGg,IF('Net zero activities &amp; levers'!$C$14="On",'Net zero Activity data'!AM67*UDCPPEF*NtoN2O*kgtoGg,"ERROR"))</f>
        <v>1.0853431681173318</v>
      </c>
      <c r="U1137" s="101">
        <f>IF('Net zero activities &amp; levers'!$C$14="Off",'Activity data'!AN67*UDCPPEF*NtoN2O*kgtoGg,IF('Net zero activities &amp; levers'!$C$14="On",'Net zero Activity data'!AN67*UDCPPEF*NtoN2O*kgtoGg,"ERROR"))</f>
        <v>1.0871658961160653</v>
      </c>
      <c r="V1137" s="101">
        <f>IF('Net zero activities &amp; levers'!$C$14="Off",'Activity data'!AO67*UDCPPEF*NtoN2O*kgtoGg,IF('Net zero activities &amp; levers'!$C$14="On",'Net zero Activity data'!AO67*UDCPPEF*NtoN2O*kgtoGg,"ERROR"))</f>
        <v>1.0882237589696442</v>
      </c>
      <c r="W1137" s="101">
        <f>IF('Net zero activities &amp; levers'!$C$14="Off",'Activity data'!AP67*UDCPPEF*NtoN2O*kgtoGg,IF('Net zero activities &amp; levers'!$C$14="On",'Net zero Activity data'!AP67*UDCPPEF*NtoN2O*kgtoGg,"ERROR"))</f>
        <v>1.0906852423365305</v>
      </c>
      <c r="X1137" s="101">
        <f>IF('Net zero activities &amp; levers'!$C$14="Off",'Activity data'!AQ67*UDCPPEF*NtoN2O*kgtoGg,IF('Net zero activities &amp; levers'!$C$14="On",'Net zero Activity data'!AQ67*UDCPPEF*NtoN2O*kgtoGg,"ERROR"))</f>
        <v>1.0978442913232778</v>
      </c>
      <c r="Y1137" s="101">
        <f>IF('Net zero activities &amp; levers'!$C$14="Off",'Activity data'!AR67*UDCPPEF*NtoN2O*kgtoGg,IF('Net zero activities &amp; levers'!$C$14="On",'Net zero Activity data'!AR67*UDCPPEF*NtoN2O*kgtoGg,"ERROR"))</f>
        <v>1.1053932231359584</v>
      </c>
      <c r="Z1137" s="101">
        <f>IF('Net zero activities &amp; levers'!$C$14="Off",'Activity data'!AS67*UDCPPEF*NtoN2O*kgtoGg,IF('Net zero activities &amp; levers'!$C$14="On",'Net zero Activity data'!AS67*UDCPPEF*NtoN2O*kgtoGg,"ERROR"))</f>
        <v>1.1140891893449847</v>
      </c>
      <c r="AA1137" s="101">
        <f>IF('Net zero activities &amp; levers'!$C$14="Off",'Activity data'!AT67*UDCPPEF*NtoN2O*kgtoGg,IF('Net zero activities &amp; levers'!$C$14="On",'Net zero Activity data'!AT67*UDCPPEF*NtoN2O*kgtoGg,"ERROR"))</f>
        <v>1.1208646552204375</v>
      </c>
      <c r="AB1137" s="101">
        <f>IF('Net zero activities &amp; levers'!$C$14="Off",'Activity data'!AU67*UDCPPEF*NtoN2O*kgtoGg,IF('Net zero activities &amp; levers'!$C$14="On",'Net zero Activity data'!AU67*UDCPPEF*NtoN2O*kgtoGg,"ERROR"))</f>
        <v>1.1297064172507854</v>
      </c>
      <c r="AC1137" s="101">
        <f>IF('Net zero activities &amp; levers'!$C$14="Off",'Activity data'!AV67*UDCPPEF*NtoN2O*kgtoGg,IF('Net zero activities &amp; levers'!$C$14="On",'Net zero Activity data'!AV67*UDCPPEF*NtoN2O*kgtoGg,"ERROR"))</f>
        <v>1.1410689353754782</v>
      </c>
      <c r="AD1137" s="101">
        <f>IF('Net zero activities &amp; levers'!$C$14="Off",'Activity data'!AW67*UDCPPEF*NtoN2O*kgtoGg,IF('Net zero activities &amp; levers'!$C$14="On",'Net zero Activity data'!AW67*UDCPPEF*NtoN2O*kgtoGg,"ERROR"))</f>
        <v>1.1594907700972652</v>
      </c>
      <c r="AE1137" s="101">
        <f>IF('Net zero activities &amp; levers'!$C$14="Off",'Activity data'!AX67*UDCPPEF*NtoN2O*kgtoGg,IF('Net zero activities &amp; levers'!$C$14="On",'Net zero Activity data'!AX67*UDCPPEF*NtoN2O*kgtoGg,"ERROR"))</f>
        <v>1.1789020275238946</v>
      </c>
      <c r="AF1137" s="101">
        <f>IF('Net zero activities &amp; levers'!$C$14="Off",'Activity data'!AY67*UDCPPEF*NtoN2O*kgtoGg,IF('Net zero activities &amp; levers'!$C$14="On",'Net zero Activity data'!AY67*UDCPPEF*NtoN2O*kgtoGg,"ERROR"))</f>
        <v>1.198888717612691</v>
      </c>
      <c r="AG1137" s="101">
        <f>IF('Net zero activities &amp; levers'!$C$14="Off",'Activity data'!AZ67*UDCPPEF*NtoN2O*kgtoGg,IF('Net zero activities &amp; levers'!$C$14="On",'Net zero Activity data'!AZ67*UDCPPEF*NtoN2O*kgtoGg,"ERROR"))</f>
        <v>1.2212697465836981</v>
      </c>
      <c r="AH1137" s="101">
        <f>IF('Net zero activities &amp; levers'!$C$14="Off",'Activity data'!BA67*UDCPPEF*NtoN2O*kgtoGg,IF('Net zero activities &amp; levers'!$C$14="On",'Net zero Activity data'!BA67*UDCPPEF*NtoN2O*kgtoGg,"ERROR"))</f>
        <v>1.2412709211031732</v>
      </c>
      <c r="AI1137" s="101">
        <f>IF('Net zero activities &amp; levers'!$C$14="Off",'Activity data'!BB67*UDCPPEF*NtoN2O*kgtoGg,IF('Net zero activities &amp; levers'!$C$14="On",'Net zero Activity data'!BB67*UDCPPEF*NtoN2O*kgtoGg,"ERROR"))</f>
        <v>1.2620589924620986</v>
      </c>
      <c r="AJ1137" s="101">
        <f>IF('Net zero activities &amp; levers'!$C$14="Off",'Activity data'!BC67*UDCPPEF*NtoN2O*kgtoGg,IF('Net zero activities &amp; levers'!$C$14="On",'Net zero Activity data'!BC67*UDCPPEF*NtoN2O*kgtoGg,"ERROR"))</f>
        <v>1.283367598296915</v>
      </c>
      <c r="AK1137" s="101">
        <f>IF('Net zero activities &amp; levers'!$C$14="Off",'Activity data'!BD67*UDCPPEF*NtoN2O*kgtoGg,IF('Net zero activities &amp; levers'!$C$14="On",'Net zero Activity data'!BD67*UDCPPEF*NtoN2O*kgtoGg,"ERROR"))</f>
        <v>1.303901127746476</v>
      </c>
      <c r="AL1137" s="101">
        <f>IF('Net zero activities &amp; levers'!$C$14="Off",'Activity data'!BE67*UDCPPEF*NtoN2O*kgtoGg,IF('Net zero activities &amp; levers'!$C$14="On",'Net zero Activity data'!BE67*UDCPPEF*NtoN2O*kgtoGg,"ERROR"))</f>
        <v>1.3245312060039569</v>
      </c>
      <c r="AM1137" s="101">
        <f>IF('Net zero activities &amp; levers'!$C$14="Off",'Activity data'!BF67*UDCPPEF*NtoN2O*kgtoGg,IF('Net zero activities &amp; levers'!$C$14="On",'Net zero Activity data'!BF67*UDCPPEF*NtoN2O*kgtoGg,"ERROR"))</f>
        <v>1.3460507796314076</v>
      </c>
      <c r="AN1137" s="101">
        <f>IF('Net zero activities &amp; levers'!$C$14="Off",'Activity data'!BG67*UDCPPEF*NtoN2O*kgtoGg,IF('Net zero activities &amp; levers'!$C$14="On",'Net zero Activity data'!BG67*UDCPPEF*NtoN2O*kgtoGg,"ERROR"))</f>
        <v>1.3682755587120194</v>
      </c>
      <c r="AO1137" s="101">
        <f>IF('Net zero activities &amp; levers'!$C$14="Off",'Activity data'!BH67*UDCPPEF*NtoN2O*kgtoGg,IF('Net zero activities &amp; levers'!$C$14="On",'Net zero Activity data'!BH67*UDCPPEF*NtoN2O*kgtoGg,"ERROR"))</f>
        <v>1.3893229507656393</v>
      </c>
      <c r="AP1137" s="101">
        <f>IF('Net zero activities &amp; levers'!$C$14="Off",'Activity data'!BI67*UDCPPEF*NtoN2O*kgtoGg,IF('Net zero activities &amp; levers'!$C$14="On",'Net zero Activity data'!BI67*UDCPPEF*NtoN2O*kgtoGg,"ERROR"))</f>
        <v>1.4107845569507815</v>
      </c>
      <c r="AQ1137" s="101">
        <f>IF('Net zero activities &amp; levers'!$C$14="Off",'Activity data'!BJ67*UDCPPEF*NtoN2O*kgtoGg,IF('Net zero activities &amp; levers'!$C$14="On",'Net zero Activity data'!BJ67*UDCPPEF*NtoN2O*kgtoGg,"ERROR"))</f>
        <v>1.4327006910826547</v>
      </c>
      <c r="AR1137" s="101">
        <f>IF('Net zero activities &amp; levers'!$C$14="Off",'Activity data'!BK67*UDCPPEF*NtoN2O*kgtoGg,IF('Net zero activities &amp; levers'!$C$14="On",'Net zero Activity data'!BK67*UDCPPEF*NtoN2O*kgtoGg,"ERROR"))</f>
        <v>1.4562171671275825</v>
      </c>
      <c r="AS1137" s="101">
        <f>IF('Net zero activities &amp; levers'!$C$14="Off",'Activity data'!BL67*UDCPPEF*NtoN2O*kgtoGg,IF('Net zero activities &amp; levers'!$C$14="On",'Net zero Activity data'!BL67*UDCPPEF*NtoN2O*kgtoGg,"ERROR"))</f>
        <v>1.4799316965726703</v>
      </c>
      <c r="AT1137" s="101">
        <f>IF('Net zero activities &amp; levers'!$C$14="Off",'Activity data'!BM67*UDCPPEF*NtoN2O*kgtoGg,IF('Net zero activities &amp; levers'!$C$14="On",'Net zero Activity data'!BM67*UDCPPEF*NtoN2O*kgtoGg,"ERROR"))</f>
        <v>1.4930780155299481</v>
      </c>
      <c r="AU1137" s="101">
        <f>IF('Net zero activities &amp; levers'!$C$14="Off",'Activity data'!BN67*UDCPPEF*NtoN2O*kgtoGg,IF('Net zero activities &amp; levers'!$C$14="On",'Net zero Activity data'!BN67*UDCPPEF*NtoN2O*kgtoGg,"ERROR"))</f>
        <v>1.5055659308918872</v>
      </c>
      <c r="AV1137" s="101">
        <f>IF('Net zero activities &amp; levers'!$C$14="Off",'Activity data'!BO67*UDCPPEF*NtoN2O*kgtoGg,IF('Net zero activities &amp; levers'!$C$14="On",'Net zero Activity data'!BO67*UDCPPEF*NtoN2O*kgtoGg,"ERROR"))</f>
        <v>1.5195956223115619</v>
      </c>
      <c r="AW1137" s="101">
        <f>IF('Net zero activities &amp; levers'!$C$14="Off",'Activity data'!BP67*UDCPPEF*NtoN2O*kgtoGg,IF('Net zero activities &amp; levers'!$C$14="On",'Net zero Activity data'!BP67*UDCPPEF*NtoN2O*kgtoGg,"ERROR"))</f>
        <v>1.5330931708191899</v>
      </c>
      <c r="AY1137" s="85"/>
    </row>
    <row r="1138" spans="1:51" x14ac:dyDescent="0.25">
      <c r="A1138" s="102" t="str">
        <f t="shared" si="374"/>
        <v>CM U&amp;D</v>
      </c>
      <c r="B1138" s="102" t="s">
        <v>1323</v>
      </c>
      <c r="C1138" s="102" t="s">
        <v>1337</v>
      </c>
      <c r="D1138" t="s">
        <v>369</v>
      </c>
      <c r="E1138" t="s">
        <v>55</v>
      </c>
      <c r="F1138" t="s">
        <v>422</v>
      </c>
      <c r="G1138" t="s">
        <v>1157</v>
      </c>
      <c r="H1138" t="s">
        <v>1243</v>
      </c>
      <c r="I1138" t="s">
        <v>139</v>
      </c>
      <c r="J1138" t="s">
        <v>287</v>
      </c>
      <c r="K1138" s="101">
        <f>IF('Net zero activities &amp; levers'!$C$14="Off",'Activity data'!AD68*UDCPPEF*NtoN2O*kgtoGg,IF('Net zero activities &amp; levers'!$C$14="On",'Net zero Activity data'!AD68*UDCPPEF*NtoN2O*kgtoGg,"ERROR"))</f>
        <v>0.73458527987811684</v>
      </c>
      <c r="L1138" s="101">
        <f>IF('Net zero activities &amp; levers'!$C$14="Off",'Activity data'!AE68*UDCPPEF*NtoN2O*kgtoGg,IF('Net zero activities &amp; levers'!$C$14="On",'Net zero Activity data'!AE68*UDCPPEF*NtoN2O*kgtoGg,"ERROR"))</f>
        <v>0.73954524093113228</v>
      </c>
      <c r="M1138" s="101">
        <f>IF('Net zero activities &amp; levers'!$C$14="Off",'Activity data'!AF68*UDCPPEF*NtoN2O*kgtoGg,IF('Net zero activities &amp; levers'!$C$14="On",'Net zero Activity data'!AF68*UDCPPEF*NtoN2O*kgtoGg,"ERROR"))</f>
        <v>0.74388395046130973</v>
      </c>
      <c r="N1138" s="101">
        <f>IF('Net zero activities &amp; levers'!$C$14="Off",'Activity data'!AG68*UDCPPEF*NtoN2O*kgtoGg,IF('Net zero activities &amp; levers'!$C$14="On",'Net zero Activity data'!AG68*UDCPPEF*NtoN2O*kgtoGg,"ERROR"))</f>
        <v>0.7444451716335222</v>
      </c>
      <c r="O1138" s="101">
        <f>IF('Net zero activities &amp; levers'!$C$14="Off",'Activity data'!AH68*UDCPPEF*NtoN2O*kgtoGg,IF('Net zero activities &amp; levers'!$C$14="On",'Net zero Activity data'!AH68*UDCPPEF*NtoN2O*kgtoGg,"ERROR"))</f>
        <v>0.7454118200761205</v>
      </c>
      <c r="P1138" s="101">
        <f>IF('Net zero activities &amp; levers'!$C$14="Off",'Activity data'!AI68*UDCPPEF*NtoN2O*kgtoGg,IF('Net zero activities &amp; levers'!$C$14="On",'Net zero Activity data'!AI68*UDCPPEF*NtoN2O*kgtoGg,"ERROR"))</f>
        <v>0.75095827053903796</v>
      </c>
      <c r="Q1138" s="101">
        <f>IF('Net zero activities &amp; levers'!$C$14="Off",'Activity data'!AJ68*UDCPPEF*NtoN2O*kgtoGg,IF('Net zero activities &amp; levers'!$C$14="On",'Net zero Activity data'!AJ68*UDCPPEF*NtoN2O*kgtoGg,"ERROR"))</f>
        <v>0.75539339999521871</v>
      </c>
      <c r="R1138" s="101">
        <f>IF('Net zero activities &amp; levers'!$C$14="Off",'Activity data'!AK68*UDCPPEF*NtoN2O*kgtoGg,IF('Net zero activities &amp; levers'!$C$14="On",'Net zero Activity data'!AK68*UDCPPEF*NtoN2O*kgtoGg,"ERROR"))</f>
        <v>0.75543228747697821</v>
      </c>
      <c r="S1138" s="101">
        <f>IF('Net zero activities &amp; levers'!$C$14="Off",'Activity data'!AL68*UDCPPEF*NtoN2O*kgtoGg,IF('Net zero activities &amp; levers'!$C$14="On",'Net zero Activity data'!AL68*UDCPPEF*NtoN2O*kgtoGg,"ERROR"))</f>
        <v>0.73541805140145267</v>
      </c>
      <c r="T1138" s="101">
        <f>IF('Net zero activities &amp; levers'!$C$14="Off",'Activity data'!AM68*UDCPPEF*NtoN2O*kgtoGg,IF('Net zero activities &amp; levers'!$C$14="On",'Net zero Activity data'!AM68*UDCPPEF*NtoN2O*kgtoGg,"ERROR"))</f>
        <v>0.73912612350110807</v>
      </c>
      <c r="U1138" s="101">
        <f>IF('Net zero activities &amp; levers'!$C$14="Off",'Activity data'!AN68*UDCPPEF*NtoN2O*kgtoGg,IF('Net zero activities &amp; levers'!$C$14="On",'Net zero Activity data'!AN68*UDCPPEF*NtoN2O*kgtoGg,"ERROR"))</f>
        <v>0.74036741373951076</v>
      </c>
      <c r="V1138" s="101">
        <f>IF('Net zero activities &amp; levers'!$C$14="Off",'Activity data'!AO68*UDCPPEF*NtoN2O*kgtoGg,IF('Net zero activities &amp; levers'!$C$14="On",'Net zero Activity data'!AO68*UDCPPEF*NtoN2O*kgtoGg,"ERROR"))</f>
        <v>0.74108782558078856</v>
      </c>
      <c r="W1138" s="101">
        <f>IF('Net zero activities &amp; levers'!$C$14="Off",'Activity data'!AP68*UDCPPEF*NtoN2O*kgtoGg,IF('Net zero activities &amp; levers'!$C$14="On",'Net zero Activity data'!AP68*UDCPPEF*NtoN2O*kgtoGg,"ERROR"))</f>
        <v>0.74276411259532316</v>
      </c>
      <c r="X1138" s="101">
        <f>IF('Net zero activities &amp; levers'!$C$14="Off",'Activity data'!AQ68*UDCPPEF*NtoN2O*kgtoGg,IF('Net zero activities &amp; levers'!$C$14="On",'Net zero Activity data'!AQ68*UDCPPEF*NtoN2O*kgtoGg,"ERROR"))</f>
        <v>0.74763947393813956</v>
      </c>
      <c r="Y1138" s="101">
        <f>IF('Net zero activities &amp; levers'!$C$14="Off",'Activity data'!AR68*UDCPPEF*NtoN2O*kgtoGg,IF('Net zero activities &amp; levers'!$C$14="On",'Net zero Activity data'!AR68*UDCPPEF*NtoN2O*kgtoGg,"ERROR"))</f>
        <v>0.75278034815302919</v>
      </c>
      <c r="Z1138" s="101">
        <f>IF('Net zero activities &amp; levers'!$C$14="Off",'Activity data'!AS68*UDCPPEF*NtoN2O*kgtoGg,IF('Net zero activities &amp; levers'!$C$14="On",'Net zero Activity data'!AS68*UDCPPEF*NtoN2O*kgtoGg,"ERROR"))</f>
        <v>0.7587023606399399</v>
      </c>
      <c r="AA1138" s="101">
        <f>IF('Net zero activities &amp; levers'!$C$14="Off",'Activity data'!AT68*UDCPPEF*NtoN2O*kgtoGg,IF('Net zero activities &amp; levers'!$C$14="On",'Net zero Activity data'!AT68*UDCPPEF*NtoN2O*kgtoGg,"ERROR"))</f>
        <v>0.76331649925945522</v>
      </c>
      <c r="AB1138" s="101">
        <f>IF('Net zero activities &amp; levers'!$C$14="Off",'Activity data'!AU68*UDCPPEF*NtoN2O*kgtoGg,IF('Net zero activities &amp; levers'!$C$14="On",'Net zero Activity data'!AU68*UDCPPEF*NtoN2O*kgtoGg,"ERROR"))</f>
        <v>0.76933779969823413</v>
      </c>
      <c r="AC1138" s="101">
        <f>IF('Net zero activities &amp; levers'!$C$14="Off",'Activity data'!AV68*UDCPPEF*NtoN2O*kgtoGg,IF('Net zero activities &amp; levers'!$C$14="On",'Net zero Activity data'!AV68*UDCPPEF*NtoN2O*kgtoGg,"ERROR"))</f>
        <v>0.77707575228449577</v>
      </c>
      <c r="AD1138" s="101">
        <f>IF('Net zero activities &amp; levers'!$C$14="Off",'Activity data'!AW68*UDCPPEF*NtoN2O*kgtoGg,IF('Net zero activities &amp; levers'!$C$14="On",'Net zero Activity data'!AW68*UDCPPEF*NtoN2O*kgtoGg,"ERROR"))</f>
        <v>0.78962114777384285</v>
      </c>
      <c r="AE1138" s="101">
        <f>IF('Net zero activities &amp; levers'!$C$14="Off",'Activity data'!AX68*UDCPPEF*NtoN2O*kgtoGg,IF('Net zero activities &amp; levers'!$C$14="On",'Net zero Activity data'!AX68*UDCPPEF*NtoN2O*kgtoGg,"ERROR"))</f>
        <v>0.80284034689490424</v>
      </c>
      <c r="AF1138" s="101">
        <f>IF('Net zero activities &amp; levers'!$C$14="Off",'Activity data'!AY68*UDCPPEF*NtoN2O*kgtoGg,IF('Net zero activities &amp; levers'!$C$14="On",'Net zero Activity data'!AY68*UDCPPEF*NtoN2O*kgtoGg,"ERROR"))</f>
        <v>0.81645141959606204</v>
      </c>
      <c r="AG1138" s="101">
        <f>IF('Net zero activities &amp; levers'!$C$14="Off",'Activity data'!AZ68*UDCPPEF*NtoN2O*kgtoGg,IF('Net zero activities &amp; levers'!$C$14="On",'Net zero Activity data'!AZ68*UDCPPEF*NtoN2O*kgtoGg,"ERROR"))</f>
        <v>0.83169305345828248</v>
      </c>
      <c r="AH1138" s="101">
        <f>IF('Net zero activities &amp; levers'!$C$14="Off",'Activity data'!BA68*UDCPPEF*NtoN2O*kgtoGg,IF('Net zero activities &amp; levers'!$C$14="On",'Net zero Activity data'!BA68*UDCPPEF*NtoN2O*kgtoGg,"ERROR"))</f>
        <v>0.84531399015583641</v>
      </c>
      <c r="AI1138" s="101">
        <f>IF('Net zero activities &amp; levers'!$C$14="Off",'Activity data'!BB68*UDCPPEF*NtoN2O*kgtoGg,IF('Net zero activities &amp; levers'!$C$14="On",'Net zero Activity data'!BB68*UDCPPEF*NtoN2O*kgtoGg,"ERROR"))</f>
        <v>0.85947080898507322</v>
      </c>
      <c r="AJ1138" s="101">
        <f>IF('Net zero activities &amp; levers'!$C$14="Off",'Activity data'!BC68*UDCPPEF*NtoN2O*kgtoGg,IF('Net zero activities &amp; levers'!$C$14="On",'Net zero Activity data'!BC68*UDCPPEF*NtoN2O*kgtoGg,"ERROR"))</f>
        <v>0.87398211535393444</v>
      </c>
      <c r="AK1138" s="101">
        <f>IF('Net zero activities &amp; levers'!$C$14="Off",'Activity data'!BD68*UDCPPEF*NtoN2O*kgtoGg,IF('Net zero activities &amp; levers'!$C$14="On",'Net zero Activity data'!BD68*UDCPPEF*NtoN2O*kgtoGg,"ERROR"))</f>
        <v>0.887965589401296</v>
      </c>
      <c r="AL1138" s="101">
        <f>IF('Net zero activities &amp; levers'!$C$14="Off",'Activity data'!BE68*UDCPPEF*NtoN2O*kgtoGg,IF('Net zero activities &amp; levers'!$C$14="On",'Net zero Activity data'!BE68*UDCPPEF*NtoN2O*kgtoGg,"ERROR"))</f>
        <v>0.9020148138474462</v>
      </c>
      <c r="AM1138" s="101">
        <f>IF('Net zero activities &amp; levers'!$C$14="Off",'Activity data'!BF68*UDCPPEF*NtoN2O*kgtoGg,IF('Net zero activities &amp; levers'!$C$14="On",'Net zero Activity data'!BF68*UDCPPEF*NtoN2O*kgtoGg,"ERROR"))</f>
        <v>0.91666979072655141</v>
      </c>
      <c r="AN1138" s="101">
        <f>IF('Net zero activities &amp; levers'!$C$14="Off",'Activity data'!BG68*UDCPPEF*NtoN2O*kgtoGg,IF('Net zero activities &amp; levers'!$C$14="On",'Net zero Activity data'!BG68*UDCPPEF*NtoN2O*kgtoGg,"ERROR"))</f>
        <v>0.93180501734433718</v>
      </c>
      <c r="AO1138" s="101">
        <f>IF('Net zero activities &amp; levers'!$C$14="Off",'Activity data'!BH68*UDCPPEF*NtoN2O*kgtoGg,IF('Net zero activities &amp; levers'!$C$14="On",'Net zero Activity data'!BH68*UDCPPEF*NtoN2O*kgtoGg,"ERROR"))</f>
        <v>0.94613843534095543</v>
      </c>
      <c r="AP1138" s="101">
        <f>IF('Net zero activities &amp; levers'!$C$14="Off",'Activity data'!BI68*UDCPPEF*NtoN2O*kgtoGg,IF('Net zero activities &amp; levers'!$C$14="On",'Net zero Activity data'!BI68*UDCPPEF*NtoN2O*kgtoGg,"ERROR"))</f>
        <v>0.96075393599523029</v>
      </c>
      <c r="AQ1138" s="101">
        <f>IF('Net zero activities &amp; levers'!$C$14="Off",'Activity data'!BJ68*UDCPPEF*NtoN2O*kgtoGg,IF('Net zero activities &amp; levers'!$C$14="On",'Net zero Activity data'!BJ68*UDCPPEF*NtoN2O*kgtoGg,"ERROR"))</f>
        <v>0.97567897329114905</v>
      </c>
      <c r="AR1138" s="101">
        <f>IF('Net zero activities &amp; levers'!$C$14="Off",'Activity data'!BK68*UDCPPEF*NtoN2O*kgtoGg,IF('Net zero activities &amp; levers'!$C$14="On",'Net zero Activity data'!BK68*UDCPPEF*NtoN2O*kgtoGg,"ERROR"))</f>
        <v>0.99169385437953794</v>
      </c>
      <c r="AS1138" s="101">
        <f>IF('Net zero activities &amp; levers'!$C$14="Off",'Activity data'!BL68*UDCPPEF*NtoN2O*kgtoGg,IF('Net zero activities &amp; levers'!$C$14="On",'Net zero Activity data'!BL68*UDCPPEF*NtoN2O*kgtoGg,"ERROR"))</f>
        <v>1.007843611188534</v>
      </c>
      <c r="AT1138" s="101">
        <f>IF('Net zero activities &amp; levers'!$C$14="Off",'Activity data'!BM68*UDCPPEF*NtoN2O*kgtoGg,IF('Net zero activities &amp; levers'!$C$14="On",'Net zero Activity data'!BM68*UDCPPEF*NtoN2O*kgtoGg,"ERROR"))</f>
        <v>1.0167963443467087</v>
      </c>
      <c r="AU1138" s="101">
        <f>IF('Net zero activities &amp; levers'!$C$14="Off",'Activity data'!BN68*UDCPPEF*NtoN2O*kgtoGg,IF('Net zero activities &amp; levers'!$C$14="On",'Net zero Activity data'!BN68*UDCPPEF*NtoN2O*kgtoGg,"ERROR"))</f>
        <v>1.0253007001516017</v>
      </c>
      <c r="AV1138" s="101">
        <f>IF('Net zero activities &amp; levers'!$C$14="Off",'Activity data'!BO68*UDCPPEF*NtoN2O*kgtoGg,IF('Net zero activities &amp; levers'!$C$14="On",'Net zero Activity data'!BO68*UDCPPEF*NtoN2O*kgtoGg,"ERROR"))</f>
        <v>1.0348550160007803</v>
      </c>
      <c r="AW1138" s="101">
        <f>IF('Net zero activities &amp; levers'!$C$14="Off",'Activity data'!BP68*UDCPPEF*NtoN2O*kgtoGg,IF('Net zero activities &amp; levers'!$C$14="On",'Net zero Activity data'!BP68*UDCPPEF*NtoN2O*kgtoGg,"ERROR"))</f>
        <v>1.0440469388858866</v>
      </c>
      <c r="AY1138" s="85"/>
    </row>
    <row r="1139" spans="1:51" x14ac:dyDescent="0.25">
      <c r="A1139" s="102" t="str">
        <f t="shared" si="374"/>
        <v>CM U&amp;D</v>
      </c>
      <c r="B1139" s="102" t="s">
        <v>1323</v>
      </c>
      <c r="C1139" s="102" t="s">
        <v>1337</v>
      </c>
      <c r="D1139" t="s">
        <v>369</v>
      </c>
      <c r="E1139" t="s">
        <v>55</v>
      </c>
      <c r="F1139" t="s">
        <v>422</v>
      </c>
      <c r="G1139" t="s">
        <v>1159</v>
      </c>
      <c r="H1139" t="s">
        <v>1244</v>
      </c>
      <c r="I1139" t="s">
        <v>139</v>
      </c>
      <c r="J1139" t="s">
        <v>287</v>
      </c>
      <c r="K1139" s="101">
        <f>IF('Net zero activities &amp; levers'!$C$14="Off",'Activity data'!AD69*UDCPPEF*NtoN2O*kgtoGg,IF('Net zero activities &amp; levers'!$C$14="On",'Net zero Activity data'!AD69*UDCPPEF*NtoN2O*kgtoGg,"ERROR"))</f>
        <v>15.429280800788639</v>
      </c>
      <c r="L1139" s="101">
        <f>IF('Net zero activities &amp; levers'!$C$14="Off",'Activity data'!AE69*UDCPPEF*NtoN2O*kgtoGg,IF('Net zero activities &amp; levers'!$C$14="On",'Net zero Activity data'!AE69*UDCPPEF*NtoN2O*kgtoGg,"ERROR"))</f>
        <v>15.35072698203709</v>
      </c>
      <c r="M1139" s="101">
        <f>IF('Net zero activities &amp; levers'!$C$14="Off",'Activity data'!AF69*UDCPPEF*NtoN2O*kgtoGg,IF('Net zero activities &amp; levers'!$C$14="On",'Net zero Activity data'!AF69*UDCPPEF*NtoN2O*kgtoGg,"ERROR"))</f>
        <v>15.207351875662043</v>
      </c>
      <c r="N1139" s="101">
        <f>IF('Net zero activities &amp; levers'!$C$14="Off",'Activity data'!AG69*UDCPPEF*NtoN2O*kgtoGg,IF('Net zero activities &amp; levers'!$C$14="On",'Net zero Activity data'!AG69*UDCPPEF*NtoN2O*kgtoGg,"ERROR"))</f>
        <v>14.814893699547214</v>
      </c>
      <c r="O1139" s="101">
        <f>IF('Net zero activities &amp; levers'!$C$14="Off",'Activity data'!AH69*UDCPPEF*NtoN2O*kgtoGg,IF('Net zero activities &amp; levers'!$C$14="On",'Net zero Activity data'!AH69*UDCPPEF*NtoN2O*kgtoGg,"ERROR"))</f>
        <v>14.438096972663228</v>
      </c>
      <c r="P1139" s="101">
        <f>IF('Net zero activities &amp; levers'!$C$14="Off",'Activity data'!AI69*UDCPPEF*NtoN2O*kgtoGg,IF('Net zero activities &amp; levers'!$C$14="On",'Net zero Activity data'!AI69*UDCPPEF*NtoN2O*kgtoGg,"ERROR"))</f>
        <v>14.314758846199135</v>
      </c>
      <c r="Q1139" s="101">
        <f>IF('Net zero activities &amp; levers'!$C$14="Off",'Activity data'!AJ69*UDCPPEF*NtoN2O*kgtoGg,IF('Net zero activities &amp; levers'!$C$14="On",'Net zero Activity data'!AJ69*UDCPPEF*NtoN2O*kgtoGg,"ERROR"))</f>
        <v>14.115554649678398</v>
      </c>
      <c r="R1139" s="101">
        <f>IF('Net zero activities &amp; levers'!$C$14="Off",'Activity data'!AK69*UDCPPEF*NtoN2O*kgtoGg,IF('Net zero activities &amp; levers'!$C$14="On",'Net zero Activity data'!AK69*UDCPPEF*NtoN2O*kgtoGg,"ERROR"))</f>
        <v>13.66798161990047</v>
      </c>
      <c r="S1139" s="101">
        <f>IF('Net zero activities &amp; levers'!$C$14="Off",'Activity data'!AL69*UDCPPEF*NtoN2O*kgtoGg,IF('Net zero activities &amp; levers'!$C$14="On",'Net zero Activity data'!AL69*UDCPPEF*NtoN2O*kgtoGg,"ERROR"))</f>
        <v>12.166328141225097</v>
      </c>
      <c r="T1139" s="101">
        <f>IF('Net zero activities &amp; levers'!$C$14="Off",'Activity data'!AM69*UDCPPEF*NtoN2O*kgtoGg,IF('Net zero activities &amp; levers'!$C$14="On",'Net zero Activity data'!AM69*UDCPPEF*NtoN2O*kgtoGg,"ERROR"))</f>
        <v>12.14779569134819</v>
      </c>
      <c r="U1139" s="101">
        <f>IF('Net zero activities &amp; levers'!$C$14="Off",'Activity data'!AN69*UDCPPEF*NtoN2O*kgtoGg,IF('Net zero activities &amp; levers'!$C$14="On",'Net zero Activity data'!AN69*UDCPPEF*NtoN2O*kgtoGg,"ERROR"))</f>
        <v>11.9897788796693</v>
      </c>
      <c r="V1139" s="101">
        <f>IF('Net zero activities &amp; levers'!$C$14="Off",'Activity data'!AO69*UDCPPEF*NtoN2O*kgtoGg,IF('Net zero activities &amp; levers'!$C$14="On",'Net zero Activity data'!AO69*UDCPPEF*NtoN2O*kgtoGg,"ERROR"))</f>
        <v>11.798374386755354</v>
      </c>
      <c r="W1139" s="101">
        <f>IF('Net zero activities &amp; levers'!$C$14="Off",'Activity data'!AP69*UDCPPEF*NtoN2O*kgtoGg,IF('Net zero activities &amp; levers'!$C$14="On",'Net zero Activity data'!AP69*UDCPPEF*NtoN2O*kgtoGg,"ERROR"))</f>
        <v>11.645643591787811</v>
      </c>
      <c r="X1139" s="101">
        <f>IF('Net zero activities &amp; levers'!$C$14="Off",'Activity data'!AQ69*UDCPPEF*NtoN2O*kgtoGg,IF('Net zero activities &amp; levers'!$C$14="On",'Net zero Activity data'!AQ69*UDCPPEF*NtoN2O*kgtoGg,"ERROR"))</f>
        <v>11.629551226641333</v>
      </c>
      <c r="Y1139" s="101">
        <f>IF('Net zero activities &amp; levers'!$C$14="Off",'Activity data'!AR69*UDCPPEF*NtoN2O*kgtoGg,IF('Net zero activities &amp; levers'!$C$14="On",'Net zero Activity data'!AR69*UDCPPEF*NtoN2O*kgtoGg,"ERROR"))</f>
        <v>11.630323820623747</v>
      </c>
      <c r="Z1139" s="101">
        <f>IF('Net zero activities &amp; levers'!$C$14="Off",'Activity data'!AS69*UDCPPEF*NtoN2O*kgtoGg,IF('Net zero activities &amp; levers'!$C$14="On",'Net zero Activity data'!AS69*UDCPPEF*NtoN2O*kgtoGg,"ERROR"))</f>
        <v>11.647121059466951</v>
      </c>
      <c r="AA1139" s="101">
        <f>IF('Net zero activities &amp; levers'!$C$14="Off",'Activity data'!AT69*UDCPPEF*NtoN2O*kgtoGg,IF('Net zero activities &amp; levers'!$C$14="On",'Net zero Activity data'!AT69*UDCPPEF*NtoN2O*kgtoGg,"ERROR"))</f>
        <v>11.592109563635155</v>
      </c>
      <c r="AB1139" s="101">
        <f>IF('Net zero activities &amp; levers'!$C$14="Off",'Activity data'!AU69*UDCPPEF*NtoN2O*kgtoGg,IF('Net zero activities &amp; levers'!$C$14="On",'Net zero Activity data'!AU69*UDCPPEF*NtoN2O*kgtoGg,"ERROR"))</f>
        <v>11.579376307576339</v>
      </c>
      <c r="AC1139" s="101">
        <f>IF('Net zero activities &amp; levers'!$C$14="Off",'Activity data'!AV69*UDCPPEF*NtoN2O*kgtoGg,IF('Net zero activities &amp; levers'!$C$14="On",'Net zero Activity data'!AV69*UDCPPEF*NtoN2O*kgtoGg,"ERROR"))</f>
        <v>11.616320337013743</v>
      </c>
      <c r="AD1139" s="101">
        <f>IF('Net zero activities &amp; levers'!$C$14="Off",'Activity data'!AW69*UDCPPEF*NtoN2O*kgtoGg,IF('Net zero activities &amp; levers'!$C$14="On",'Net zero Activity data'!AW69*UDCPPEF*NtoN2O*kgtoGg,"ERROR"))</f>
        <v>11.682111267667006</v>
      </c>
      <c r="AE1139" s="101">
        <f>IF('Net zero activities &amp; levers'!$C$14="Off",'Activity data'!AX69*UDCPPEF*NtoN2O*kgtoGg,IF('Net zero activities &amp; levers'!$C$14="On",'Net zero Activity data'!AX69*UDCPPEF*NtoN2O*kgtoGg,"ERROR"))</f>
        <v>11.747506469840328</v>
      </c>
      <c r="AF1139" s="101">
        <f>IF('Net zero activities &amp; levers'!$C$14="Off",'Activity data'!AY69*UDCPPEF*NtoN2O*kgtoGg,IF('Net zero activities &amp; levers'!$C$14="On",'Net zero Activity data'!AY69*UDCPPEF*NtoN2O*kgtoGg,"ERROR"))</f>
        <v>11.801475520910488</v>
      </c>
      <c r="AG1139" s="101">
        <f>IF('Net zero activities &amp; levers'!$C$14="Off",'Activity data'!AZ69*UDCPPEF*NtoN2O*kgtoGg,IF('Net zero activities &amp; levers'!$C$14="On",'Net zero Activity data'!AZ69*UDCPPEF*NtoN2O*kgtoGg,"ERROR"))</f>
        <v>11.885195821758302</v>
      </c>
      <c r="AH1139" s="101">
        <f>IF('Net zero activities &amp; levers'!$C$14="Off",'Activity data'!BA69*UDCPPEF*NtoN2O*kgtoGg,IF('Net zero activities &amp; levers'!$C$14="On",'Net zero Activity data'!BA69*UDCPPEF*NtoN2O*kgtoGg,"ERROR"))</f>
        <v>11.889439518360518</v>
      </c>
      <c r="AI1139" s="101">
        <f>IF('Net zero activities &amp; levers'!$C$14="Off",'Activity data'!BB69*UDCPPEF*NtoN2O*kgtoGg,IF('Net zero activities &amp; levers'!$C$14="On",'Net zero Activity data'!BB69*UDCPPEF*NtoN2O*kgtoGg,"ERROR"))</f>
        <v>11.899102336669783</v>
      </c>
      <c r="AJ1139" s="101">
        <f>IF('Net zero activities &amp; levers'!$C$14="Off",'Activity data'!BC69*UDCPPEF*NtoN2O*kgtoGg,IF('Net zero activities &amp; levers'!$C$14="On",'Net zero Activity data'!BC69*UDCPPEF*NtoN2O*kgtoGg,"ERROR"))</f>
        <v>11.896346735616886</v>
      </c>
      <c r="AK1139" s="101">
        <f>IF('Net zero activities &amp; levers'!$C$14="Off",'Activity data'!BD69*UDCPPEF*NtoN2O*kgtoGg,IF('Net zero activities &amp; levers'!$C$14="On",'Net zero Activity data'!BD69*UDCPPEF*NtoN2O*kgtoGg,"ERROR"))</f>
        <v>11.855791781155459</v>
      </c>
      <c r="AL1139" s="101">
        <f>IF('Net zero activities &amp; levers'!$C$14="Off",'Activity data'!BE69*UDCPPEF*NtoN2O*kgtoGg,IF('Net zero activities &amp; levers'!$C$14="On",'Net zero Activity data'!BE69*UDCPPEF*NtoN2O*kgtoGg,"ERROR"))</f>
        <v>11.79675001756854</v>
      </c>
      <c r="AM1139" s="101">
        <f>IF('Net zero activities &amp; levers'!$C$14="Off",'Activity data'!BF69*UDCPPEF*NtoN2O*kgtoGg,IF('Net zero activities &amp; levers'!$C$14="On",'Net zero Activity data'!BF69*UDCPPEF*NtoN2O*kgtoGg,"ERROR"))</f>
        <v>11.734477032438747</v>
      </c>
      <c r="AN1139" s="101">
        <f>IF('Net zero activities &amp; levers'!$C$14="Off",'Activity data'!BG69*UDCPPEF*NtoN2O*kgtoGg,IF('Net zero activities &amp; levers'!$C$14="On",'Net zero Activity data'!BG69*UDCPPEF*NtoN2O*kgtoGg,"ERROR"))</f>
        <v>11.819535661139511</v>
      </c>
      <c r="AO1139" s="101">
        <f>IF('Net zero activities &amp; levers'!$C$14="Off",'Activity data'!BH69*UDCPPEF*NtoN2O*kgtoGg,IF('Net zero activities &amp; levers'!$C$14="On",'Net zero Activity data'!BH69*UDCPPEF*NtoN2O*kgtoGg,"ERROR"))</f>
        <v>11.867684976367837</v>
      </c>
      <c r="AP1139" s="101">
        <f>IF('Net zero activities &amp; levers'!$C$14="Off",'Activity data'!BI69*UDCPPEF*NtoN2O*kgtoGg,IF('Net zero activities &amp; levers'!$C$14="On",'Net zero Activity data'!BI69*UDCPPEF*NtoN2O*kgtoGg,"ERROR"))</f>
        <v>11.907762535401377</v>
      </c>
      <c r="AQ1139" s="101">
        <f>IF('Net zero activities &amp; levers'!$C$14="Off",'Activity data'!BJ69*UDCPPEF*NtoN2O*kgtoGg,IF('Net zero activities &amp; levers'!$C$14="On",'Net zero Activity data'!BJ69*UDCPPEF*NtoN2O*kgtoGg,"ERROR"))</f>
        <v>11.940394463048884</v>
      </c>
      <c r="AR1139" s="101">
        <f>IF('Net zero activities &amp; levers'!$C$14="Off",'Activity data'!BK69*UDCPPEF*NtoN2O*kgtoGg,IF('Net zero activities &amp; levers'!$C$14="On",'Net zero Activity data'!BK69*UDCPPEF*NtoN2O*kgtoGg,"ERROR"))</f>
        <v>11.983582643708068</v>
      </c>
      <c r="AS1139" s="101">
        <f>IF('Net zero activities &amp; levers'!$C$14="Off",'Activity data'!BL69*UDCPPEF*NtoN2O*kgtoGg,IF('Net zero activities &amp; levers'!$C$14="On",'Net zero Activity data'!BL69*UDCPPEF*NtoN2O*kgtoGg,"ERROR"))</f>
        <v>12.021611789934351</v>
      </c>
      <c r="AT1139" s="101">
        <f>IF('Net zero activities &amp; levers'!$C$14="Off",'Activity data'!BM69*UDCPPEF*NtoN2O*kgtoGg,IF('Net zero activities &amp; levers'!$C$14="On",'Net zero Activity data'!BM69*UDCPPEF*NtoN2O*kgtoGg,"ERROR"))</f>
        <v>11.886563312557779</v>
      </c>
      <c r="AU1139" s="101">
        <f>IF('Net zero activities &amp; levers'!$C$14="Off",'Activity data'!BN69*UDCPPEF*NtoN2O*kgtoGg,IF('Net zero activities &amp; levers'!$C$14="On",'Net zero Activity data'!BN69*UDCPPEF*NtoN2O*kgtoGg,"ERROR"))</f>
        <v>11.735974825903247</v>
      </c>
      <c r="AV1139" s="101">
        <f>IF('Net zero activities &amp; levers'!$C$14="Off",'Activity data'!BO69*UDCPPEF*NtoN2O*kgtoGg,IF('Net zero activities &amp; levers'!$C$14="On",'Net zero Activity data'!BO69*UDCPPEF*NtoN2O*kgtoGg,"ERROR"))</f>
        <v>11.601873498304485</v>
      </c>
      <c r="AW1139" s="101">
        <f>IF('Net zero activities &amp; levers'!$C$14="Off",'Activity data'!BP69*UDCPPEF*NtoN2O*kgtoGg,IF('Net zero activities &amp; levers'!$C$14="On",'Net zero Activity data'!BP69*UDCPPEF*NtoN2O*kgtoGg,"ERROR"))</f>
        <v>11.454323112713356</v>
      </c>
      <c r="AY1139" s="85"/>
    </row>
    <row r="1140" spans="1:51" x14ac:dyDescent="0.25">
      <c r="A1140" s="102" t="str">
        <f t="shared" si="374"/>
        <v>CM U&amp;D</v>
      </c>
      <c r="B1140" s="102" t="s">
        <v>1323</v>
      </c>
      <c r="C1140" s="102" t="s">
        <v>1337</v>
      </c>
      <c r="D1140" t="s">
        <v>369</v>
      </c>
      <c r="E1140" t="s">
        <v>55</v>
      </c>
      <c r="F1140" t="s">
        <v>422</v>
      </c>
      <c r="G1140" t="s">
        <v>1161</v>
      </c>
      <c r="H1140" t="s">
        <v>1245</v>
      </c>
      <c r="I1140" t="s">
        <v>139</v>
      </c>
      <c r="J1140" t="s">
        <v>287</v>
      </c>
      <c r="K1140" s="101">
        <f>IF('Net zero activities &amp; levers'!$C$14="Off",'Activity data'!AD70*UDCPPEF*NtoN2O*kgtoGg,IF('Net zero activities &amp; levers'!$C$14="On",'Net zero Activity data'!AD70*UDCPPEF*NtoN2O*kgtoGg,"ERROR"))</f>
        <v>9.701944231797869</v>
      </c>
      <c r="L1140" s="101">
        <f>IF('Net zero activities &amp; levers'!$C$14="Off",'Activity data'!AE70*UDCPPEF*NtoN2O*kgtoGg,IF('Net zero activities &amp; levers'!$C$14="On",'Net zero Activity data'!AE70*UDCPPEF*NtoN2O*kgtoGg,"ERROR"))</f>
        <v>9.652549527108631</v>
      </c>
      <c r="M1140" s="101">
        <f>IF('Net zero activities &amp; levers'!$C$14="Off",'Activity data'!AF70*UDCPPEF*NtoN2O*kgtoGg,IF('Net zero activities &amp; levers'!$C$14="On",'Net zero Activity data'!AF70*UDCPPEF*NtoN2O*kgtoGg,"ERROR"))</f>
        <v>9.5623951443970494</v>
      </c>
      <c r="N1140" s="101">
        <f>IF('Net zero activities &amp; levers'!$C$14="Off",'Activity data'!AG70*UDCPPEF*NtoN2O*kgtoGg,IF('Net zero activities &amp; levers'!$C$14="On",'Net zero Activity data'!AG70*UDCPPEF*NtoN2O*kgtoGg,"ERROR"))</f>
        <v>9.3156171262158942</v>
      </c>
      <c r="O1140" s="101">
        <f>IF('Net zero activities &amp; levers'!$C$14="Off",'Activity data'!AH70*UDCPPEF*NtoN2O*kgtoGg,IF('Net zero activities &amp; levers'!$C$14="On",'Net zero Activity data'!AH70*UDCPPEF*NtoN2O*kgtoGg,"ERROR"))</f>
        <v>9.0786870399629098</v>
      </c>
      <c r="P1140" s="101">
        <f>IF('Net zero activities &amp; levers'!$C$14="Off",'Activity data'!AI70*UDCPPEF*NtoN2O*kgtoGg,IF('Net zero activities &amp; levers'!$C$14="On",'Net zero Activity data'!AI70*UDCPPEF*NtoN2O*kgtoGg,"ERROR"))</f>
        <v>9.0011319264058365</v>
      </c>
      <c r="Q1140" s="101">
        <f>IF('Net zero activities &amp; levers'!$C$14="Off",'Activity data'!AJ70*UDCPPEF*NtoN2O*kgtoGg,IF('Net zero activities &amp; levers'!$C$14="On",'Net zero Activity data'!AJ70*UDCPPEF*NtoN2O*kgtoGg,"ERROR"))</f>
        <v>8.8758721667101366</v>
      </c>
      <c r="R1140" s="101">
        <f>IF('Net zero activities &amp; levers'!$C$14="Off",'Activity data'!AK70*UDCPPEF*NtoN2O*kgtoGg,IF('Net zero activities &amp; levers'!$C$14="On",'Net zero Activity data'!AK70*UDCPPEF*NtoN2O*kgtoGg,"ERROR"))</f>
        <v>8.5944378840220992</v>
      </c>
      <c r="S1140" s="101">
        <f>IF('Net zero activities &amp; levers'!$C$14="Off",'Activity data'!AL70*UDCPPEF*NtoN2O*kgtoGg,IF('Net zero activities &amp; levers'!$C$14="On",'Net zero Activity data'!AL70*UDCPPEF*NtoN2O*kgtoGg,"ERROR"))</f>
        <v>7.6501969635477565</v>
      </c>
      <c r="T1140" s="101">
        <f>IF('Net zero activities &amp; levers'!$C$14="Off",'Activity data'!AM70*UDCPPEF*NtoN2O*kgtoGg,IF('Net zero activities &amp; levers'!$C$14="On",'Net zero Activity data'!AM70*UDCPPEF*NtoN2O*kgtoGg,"ERROR"))</f>
        <v>7.5366964941728023</v>
      </c>
      <c r="U1140" s="101">
        <f>IF('Net zero activities &amp; levers'!$C$14="Off",'Activity data'!AN70*UDCPPEF*NtoN2O*kgtoGg,IF('Net zero activities &amp; levers'!$C$14="On",'Net zero Activity data'!AN70*UDCPPEF*NtoN2O*kgtoGg,"ERROR"))</f>
        <v>7.3381377747191348</v>
      </c>
      <c r="V1140" s="101">
        <f>IF('Net zero activities &amp; levers'!$C$14="Off",'Activity data'!AO70*UDCPPEF*NtoN2O*kgtoGg,IF('Net zero activities &amp; levers'!$C$14="On",'Net zero Activity data'!AO70*UDCPPEF*NtoN2O*kgtoGg,"ERROR"))</f>
        <v>7.1220742516727826</v>
      </c>
      <c r="W1140" s="101">
        <f>IF('Net zero activities &amp; levers'!$C$14="Off",'Activity data'!AP70*UDCPPEF*NtoN2O*kgtoGg,IF('Net zero activities &amp; levers'!$C$14="On",'Net zero Activity data'!AP70*UDCPPEF*NtoN2O*kgtoGg,"ERROR"))</f>
        <v>6.9322412929968555</v>
      </c>
      <c r="X1140" s="101">
        <f>IF('Net zero activities &amp; levers'!$C$14="Off",'Activity data'!AQ70*UDCPPEF*NtoN2O*kgtoGg,IF('Net zero activities &amp; levers'!$C$14="On",'Net zero Activity data'!AQ70*UDCPPEF*NtoN2O*kgtoGg,"ERROR"))</f>
        <v>6.8251597922966125</v>
      </c>
      <c r="Y1140" s="101">
        <f>IF('Net zero activities &amp; levers'!$C$14="Off",'Activity data'!AR70*UDCPPEF*NtoN2O*kgtoGg,IF('Net zero activities &amp; levers'!$C$14="On",'Net zero Activity data'!AR70*UDCPPEF*NtoN2O*kgtoGg,"ERROR"))</f>
        <v>6.7281044526521656</v>
      </c>
      <c r="Z1140" s="101">
        <f>IF('Net zero activities &amp; levers'!$C$14="Off",'Activity data'!AS70*UDCPPEF*NtoN2O*kgtoGg,IF('Net zero activities &amp; levers'!$C$14="On",'Net zero Activity data'!AS70*UDCPPEF*NtoN2O*kgtoGg,"ERROR"))</f>
        <v>6.6401720122030445</v>
      </c>
      <c r="AA1140" s="101">
        <f>IF('Net zero activities &amp; levers'!$C$14="Off",'Activity data'!AT70*UDCPPEF*NtoN2O*kgtoGg,IF('Net zero activities &amp; levers'!$C$14="On",'Net zero Activity data'!AT70*UDCPPEF*NtoN2O*kgtoGg,"ERROR"))</f>
        <v>6.5116208865579326</v>
      </c>
      <c r="AB1140" s="101">
        <f>IF('Net zero activities &amp; levers'!$C$14="Off",'Activity data'!AU70*UDCPPEF*NtoN2O*kgtoGg,IF('Net zero activities &amp; levers'!$C$14="On",'Net zero Activity data'!AU70*UDCPPEF*NtoN2O*kgtoGg,"ERROR"))</f>
        <v>6.4073866352241922</v>
      </c>
      <c r="AC1140" s="101">
        <f>IF('Net zero activities &amp; levers'!$C$14="Off",'Activity data'!AV70*UDCPPEF*NtoN2O*kgtoGg,IF('Net zero activities &amp; levers'!$C$14="On",'Net zero Activity data'!AV70*UDCPPEF*NtoN2O*kgtoGg,"ERROR"))</f>
        <v>6.3304380636864677</v>
      </c>
      <c r="AD1140" s="101">
        <f>IF('Net zero activities &amp; levers'!$C$14="Off",'Activity data'!AW70*UDCPPEF*NtoN2O*kgtoGg,IF('Net zero activities &amp; levers'!$C$14="On",'Net zero Activity data'!AW70*UDCPPEF*NtoN2O*kgtoGg,"ERROR"))</f>
        <v>6.333643886417808</v>
      </c>
      <c r="AE1140" s="101">
        <f>IF('Net zero activities &amp; levers'!$C$14="Off",'Activity data'!AX70*UDCPPEF*NtoN2O*kgtoGg,IF('Net zero activities &amp; levers'!$C$14="On",'Net zero Activity data'!AX70*UDCPPEF*NtoN2O*kgtoGg,"ERROR"))</f>
        <v>6.3362685366267293</v>
      </c>
      <c r="AF1140" s="101">
        <f>IF('Net zero activities &amp; levers'!$C$14="Off",'Activity data'!AY70*UDCPPEF*NtoN2O*kgtoGg,IF('Net zero activities &amp; levers'!$C$14="On",'Net zero Activity data'!AY70*UDCPPEF*NtoN2O*kgtoGg,"ERROR"))</f>
        <v>6.332396664451772</v>
      </c>
      <c r="AG1140" s="101">
        <f>IF('Net zero activities &amp; levers'!$C$14="Off",'Activity data'!AZ70*UDCPPEF*NtoN2O*kgtoGg,IF('Net zero activities &amp; levers'!$C$14="On",'Net zero Activity data'!AZ70*UDCPPEF*NtoN2O*kgtoGg,"ERROR"))</f>
        <v>6.3441038230500117</v>
      </c>
      <c r="AH1140" s="101">
        <f>IF('Net zero activities &amp; levers'!$C$14="Off",'Activity data'!BA70*UDCPPEF*NtoN2O*kgtoGg,IF('Net zero activities &amp; levers'!$C$14="On",'Net zero Activity data'!BA70*UDCPPEF*NtoN2O*kgtoGg,"ERROR"))</f>
        <v>6.3131419689960451</v>
      </c>
      <c r="AI1140" s="101">
        <f>IF('Net zero activities &amp; levers'!$C$14="Off",'Activity data'!BB70*UDCPPEF*NtoN2O*kgtoGg,IF('Net zero activities &amp; levers'!$C$14="On",'Net zero Activity data'!BB70*UDCPPEF*NtoN2O*kgtoGg,"ERROR"))</f>
        <v>6.2850187358867187</v>
      </c>
      <c r="AJ1140" s="101">
        <f>IF('Net zero activities &amp; levers'!$C$14="Off",'Activity data'!BC70*UDCPPEF*NtoN2O*kgtoGg,IF('Net zero activities &amp; levers'!$C$14="On",'Net zero Activity data'!BC70*UDCPPEF*NtoN2O*kgtoGg,"ERROR"))</f>
        <v>6.2503168811961531</v>
      </c>
      <c r="AK1140" s="101">
        <f>IF('Net zero activities &amp; levers'!$C$14="Off",'Activity data'!BD70*UDCPPEF*NtoN2O*kgtoGg,IF('Net zero activities &amp; levers'!$C$14="On",'Net zero Activity data'!BD70*UDCPPEF*NtoN2O*kgtoGg,"ERROR"))</f>
        <v>6.1958763602302129</v>
      </c>
      <c r="AL1140" s="101">
        <f>IF('Net zero activities &amp; levers'!$C$14="Off",'Activity data'!BE70*UDCPPEF*NtoN2O*kgtoGg,IF('Net zero activities &amp; levers'!$C$14="On",'Net zero Activity data'!BE70*UDCPPEF*NtoN2O*kgtoGg,"ERROR"))</f>
        <v>6.1320529110907565</v>
      </c>
      <c r="AM1140" s="101">
        <f>IF('Net zero activities &amp; levers'!$C$14="Off",'Activity data'!BF70*UDCPPEF*NtoN2O*kgtoGg,IF('Net zero activities &amp; levers'!$C$14="On",'Net zero Activity data'!BF70*UDCPPEF*NtoN2O*kgtoGg,"ERROR"))</f>
        <v>6.0668888797056875</v>
      </c>
      <c r="AN1140" s="101">
        <f>IF('Net zero activities &amp; levers'!$C$14="Off",'Activity data'!BG70*UDCPPEF*NtoN2O*kgtoGg,IF('Net zero activities &amp; levers'!$C$14="On",'Net zero Activity data'!BG70*UDCPPEF*NtoN2O*kgtoGg,"ERROR"))</f>
        <v>6.0778336765923431</v>
      </c>
      <c r="AO1140" s="101">
        <f>IF('Net zero activities &amp; levers'!$C$14="Off",'Activity data'!BH70*UDCPPEF*NtoN2O*kgtoGg,IF('Net zero activities &amp; levers'!$C$14="On",'Net zero Activity data'!BH70*UDCPPEF*NtoN2O*kgtoGg,"ERROR"))</f>
        <v>6.0694267188554409</v>
      </c>
      <c r="AP1140" s="101">
        <f>IF('Net zero activities &amp; levers'!$C$14="Off",'Activity data'!BI70*UDCPPEF*NtoN2O*kgtoGg,IF('Net zero activities &amp; levers'!$C$14="On",'Net zero Activity data'!BI70*UDCPPEF*NtoN2O*kgtoGg,"ERROR"))</f>
        <v>6.0566451009535678</v>
      </c>
      <c r="AQ1140" s="101">
        <f>IF('Net zero activities &amp; levers'!$C$14="Off",'Activity data'!BJ70*UDCPPEF*NtoN2O*kgtoGg,IF('Net zero activities &amp; levers'!$C$14="On",'Net zero Activity data'!BJ70*UDCPPEF*NtoN2O*kgtoGg,"ERROR"))</f>
        <v>6.0398732126184207</v>
      </c>
      <c r="AR1140" s="101">
        <f>IF('Net zero activities &amp; levers'!$C$14="Off",'Activity data'!BK70*UDCPPEF*NtoN2O*kgtoGg,IF('Net zero activities &amp; levers'!$C$14="On",'Net zero Activity data'!BK70*UDCPPEF*NtoN2O*kgtoGg,"ERROR"))</f>
        <v>6.0282291576651552</v>
      </c>
      <c r="AS1140" s="101">
        <f>IF('Net zero activities &amp; levers'!$C$14="Off",'Activity data'!BL70*UDCPPEF*NtoN2O*kgtoGg,IF('Net zero activities &amp; levers'!$C$14="On",'Net zero Activity data'!BL70*UDCPPEF*NtoN2O*kgtoGg,"ERROR"))</f>
        <v>6.0137629230488576</v>
      </c>
      <c r="AT1140" s="101">
        <f>IF('Net zero activities &amp; levers'!$C$14="Off",'Activity data'!BM70*UDCPPEF*NtoN2O*kgtoGg,IF('Net zero activities &amp; levers'!$C$14="On",'Net zero Activity data'!BM70*UDCPPEF*NtoN2O*kgtoGg,"ERROR"))</f>
        <v>5.9129864407272699</v>
      </c>
      <c r="AU1140" s="101">
        <f>IF('Net zero activities &amp; levers'!$C$14="Off",'Activity data'!BN70*UDCPPEF*NtoN2O*kgtoGg,IF('Net zero activities &amp; levers'!$C$14="On",'Net zero Activity data'!BN70*UDCPPEF*NtoN2O*kgtoGg,"ERROR"))</f>
        <v>5.8052778216266612</v>
      </c>
      <c r="AV1140" s="101">
        <f>IF('Net zero activities &amp; levers'!$C$14="Off",'Activity data'!BO70*UDCPPEF*NtoN2O*kgtoGg,IF('Net zero activities &amp; levers'!$C$14="On",'Net zero Activity data'!BO70*UDCPPEF*NtoN2O*kgtoGg,"ERROR"))</f>
        <v>5.7065202993098101</v>
      </c>
      <c r="AW1140" s="101">
        <f>IF('Net zero activities &amp; levers'!$C$14="Off",'Activity data'!BP70*UDCPPEF*NtoN2O*kgtoGg,IF('Net zero activities &amp; levers'!$C$14="On",'Net zero Activity data'!BP70*UDCPPEF*NtoN2O*kgtoGg,"ERROR"))</f>
        <v>5.6019348205639385</v>
      </c>
      <c r="AY1140" s="85"/>
    </row>
    <row r="1141" spans="1:51" x14ac:dyDescent="0.25">
      <c r="A1141" s="102" t="str">
        <f t="shared" si="374"/>
        <v>CM U&amp;D</v>
      </c>
      <c r="B1141" s="102" t="s">
        <v>1323</v>
      </c>
      <c r="C1141" s="102" t="s">
        <v>1337</v>
      </c>
      <c r="D1141" t="s">
        <v>369</v>
      </c>
      <c r="E1141" t="s">
        <v>55</v>
      </c>
      <c r="F1141" t="s">
        <v>422</v>
      </c>
      <c r="G1141" t="s">
        <v>1163</v>
      </c>
      <c r="H1141" t="s">
        <v>1246</v>
      </c>
      <c r="I1141" t="s">
        <v>139</v>
      </c>
      <c r="J1141" t="s">
        <v>287</v>
      </c>
      <c r="K1141" s="101">
        <f>IF('Net zero activities &amp; levers'!$C$14="Off",'Activity data'!AD71*UDCPPEF*NtoN2O*kgtoGg,IF('Net zero activities &amp; levers'!$C$14="On",'Net zero Activity data'!AD71*UDCPPEF*NtoN2O*kgtoGg,"ERROR"))</f>
        <v>0</v>
      </c>
      <c r="L1141" s="101">
        <f>IF('Net zero activities &amp; levers'!$C$14="Off",'Activity data'!AE71*UDCPPEF*NtoN2O*kgtoGg,IF('Net zero activities &amp; levers'!$C$14="On",'Net zero Activity data'!AE71*UDCPPEF*NtoN2O*kgtoGg,"ERROR"))</f>
        <v>0</v>
      </c>
      <c r="M1141" s="101">
        <f>IF('Net zero activities &amp; levers'!$C$14="Off",'Activity data'!AF71*UDCPPEF*NtoN2O*kgtoGg,IF('Net zero activities &amp; levers'!$C$14="On",'Net zero Activity data'!AF71*UDCPPEF*NtoN2O*kgtoGg,"ERROR"))</f>
        <v>0</v>
      </c>
      <c r="N1141" s="101">
        <f>IF('Net zero activities &amp; levers'!$C$14="Off",'Activity data'!AG71*UDCPPEF*NtoN2O*kgtoGg,IF('Net zero activities &amp; levers'!$C$14="On",'Net zero Activity data'!AG71*UDCPPEF*NtoN2O*kgtoGg,"ERROR"))</f>
        <v>0</v>
      </c>
      <c r="O1141" s="101">
        <f>IF('Net zero activities &amp; levers'!$C$14="Off",'Activity data'!AH71*UDCPPEF*NtoN2O*kgtoGg,IF('Net zero activities &amp; levers'!$C$14="On",'Net zero Activity data'!AH71*UDCPPEF*NtoN2O*kgtoGg,"ERROR"))</f>
        <v>0</v>
      </c>
      <c r="P1141" s="101">
        <f>IF('Net zero activities &amp; levers'!$C$14="Off",'Activity data'!AI71*UDCPPEF*NtoN2O*kgtoGg,IF('Net zero activities &amp; levers'!$C$14="On",'Net zero Activity data'!AI71*UDCPPEF*NtoN2O*kgtoGg,"ERROR"))</f>
        <v>0</v>
      </c>
      <c r="Q1141" s="101">
        <f>IF('Net zero activities &amp; levers'!$C$14="Off",'Activity data'!AJ71*UDCPPEF*NtoN2O*kgtoGg,IF('Net zero activities &amp; levers'!$C$14="On",'Net zero Activity data'!AJ71*UDCPPEF*NtoN2O*kgtoGg,"ERROR"))</f>
        <v>0</v>
      </c>
      <c r="R1141" s="101">
        <f>IF('Net zero activities &amp; levers'!$C$14="Off",'Activity data'!AK71*UDCPPEF*NtoN2O*kgtoGg,IF('Net zero activities &amp; levers'!$C$14="On",'Net zero Activity data'!AK71*UDCPPEF*NtoN2O*kgtoGg,"ERROR"))</f>
        <v>0</v>
      </c>
      <c r="S1141" s="101">
        <f>IF('Net zero activities &amp; levers'!$C$14="Off",'Activity data'!AL71*UDCPPEF*NtoN2O*kgtoGg,IF('Net zero activities &amp; levers'!$C$14="On",'Net zero Activity data'!AL71*UDCPPEF*NtoN2O*kgtoGg,"ERROR"))</f>
        <v>0</v>
      </c>
      <c r="T1141" s="101">
        <f>IF('Net zero activities &amp; levers'!$C$14="Off",'Activity data'!AM71*UDCPPEF*NtoN2O*kgtoGg,IF('Net zero activities &amp; levers'!$C$14="On",'Net zero Activity data'!AM71*UDCPPEF*NtoN2O*kgtoGg,"ERROR"))</f>
        <v>0</v>
      </c>
      <c r="U1141" s="101">
        <f>IF('Net zero activities &amp; levers'!$C$14="Off",'Activity data'!AN71*UDCPPEF*NtoN2O*kgtoGg,IF('Net zero activities &amp; levers'!$C$14="On",'Net zero Activity data'!AN71*UDCPPEF*NtoN2O*kgtoGg,"ERROR"))</f>
        <v>0</v>
      </c>
      <c r="V1141" s="101">
        <f>IF('Net zero activities &amp; levers'!$C$14="Off",'Activity data'!AO71*UDCPPEF*NtoN2O*kgtoGg,IF('Net zero activities &amp; levers'!$C$14="On",'Net zero Activity data'!AO71*UDCPPEF*NtoN2O*kgtoGg,"ERROR"))</f>
        <v>0</v>
      </c>
      <c r="W1141" s="101">
        <f>IF('Net zero activities &amp; levers'!$C$14="Off",'Activity data'!AP71*UDCPPEF*NtoN2O*kgtoGg,IF('Net zero activities &amp; levers'!$C$14="On",'Net zero Activity data'!AP71*UDCPPEF*NtoN2O*kgtoGg,"ERROR"))</f>
        <v>0</v>
      </c>
      <c r="X1141" s="101">
        <f>IF('Net zero activities &amp; levers'!$C$14="Off",'Activity data'!AQ71*UDCPPEF*NtoN2O*kgtoGg,IF('Net zero activities &amp; levers'!$C$14="On",'Net zero Activity data'!AQ71*UDCPPEF*NtoN2O*kgtoGg,"ERROR"))</f>
        <v>0</v>
      </c>
      <c r="Y1141" s="101">
        <f>IF('Net zero activities &amp; levers'!$C$14="Off",'Activity data'!AR71*UDCPPEF*NtoN2O*kgtoGg,IF('Net zero activities &amp; levers'!$C$14="On",'Net zero Activity data'!AR71*UDCPPEF*NtoN2O*kgtoGg,"ERROR"))</f>
        <v>0</v>
      </c>
      <c r="Z1141" s="101">
        <f>IF('Net zero activities &amp; levers'!$C$14="Off",'Activity data'!AS71*UDCPPEF*NtoN2O*kgtoGg,IF('Net zero activities &amp; levers'!$C$14="On",'Net zero Activity data'!AS71*UDCPPEF*NtoN2O*kgtoGg,"ERROR"))</f>
        <v>0</v>
      </c>
      <c r="AA1141" s="101">
        <f>IF('Net zero activities &amp; levers'!$C$14="Off",'Activity data'!AT71*UDCPPEF*NtoN2O*kgtoGg,IF('Net zero activities &amp; levers'!$C$14="On",'Net zero Activity data'!AT71*UDCPPEF*NtoN2O*kgtoGg,"ERROR"))</f>
        <v>0</v>
      </c>
      <c r="AB1141" s="101">
        <f>IF('Net zero activities &amp; levers'!$C$14="Off",'Activity data'!AU71*UDCPPEF*NtoN2O*kgtoGg,IF('Net zero activities &amp; levers'!$C$14="On",'Net zero Activity data'!AU71*UDCPPEF*NtoN2O*kgtoGg,"ERROR"))</f>
        <v>0</v>
      </c>
      <c r="AC1141" s="101">
        <f>IF('Net zero activities &amp; levers'!$C$14="Off",'Activity data'!AV71*UDCPPEF*NtoN2O*kgtoGg,IF('Net zero activities &amp; levers'!$C$14="On",'Net zero Activity data'!AV71*UDCPPEF*NtoN2O*kgtoGg,"ERROR"))</f>
        <v>0</v>
      </c>
      <c r="AD1141" s="101">
        <f>IF('Net zero activities &amp; levers'!$C$14="Off",'Activity data'!AW71*UDCPPEF*NtoN2O*kgtoGg,IF('Net zero activities &amp; levers'!$C$14="On",'Net zero Activity data'!AW71*UDCPPEF*NtoN2O*kgtoGg,"ERROR"))</f>
        <v>0</v>
      </c>
      <c r="AE1141" s="101">
        <f>IF('Net zero activities &amp; levers'!$C$14="Off",'Activity data'!AX71*UDCPPEF*NtoN2O*kgtoGg,IF('Net zero activities &amp; levers'!$C$14="On",'Net zero Activity data'!AX71*UDCPPEF*NtoN2O*kgtoGg,"ERROR"))</f>
        <v>0</v>
      </c>
      <c r="AF1141" s="101">
        <f>IF('Net zero activities &amp; levers'!$C$14="Off",'Activity data'!AY71*UDCPPEF*NtoN2O*kgtoGg,IF('Net zero activities &amp; levers'!$C$14="On",'Net zero Activity data'!AY71*UDCPPEF*NtoN2O*kgtoGg,"ERROR"))</f>
        <v>0</v>
      </c>
      <c r="AG1141" s="101">
        <f>IF('Net zero activities &amp; levers'!$C$14="Off",'Activity data'!AZ71*UDCPPEF*NtoN2O*kgtoGg,IF('Net zero activities &amp; levers'!$C$14="On",'Net zero Activity data'!AZ71*UDCPPEF*NtoN2O*kgtoGg,"ERROR"))</f>
        <v>0</v>
      </c>
      <c r="AH1141" s="101">
        <f>IF('Net zero activities &amp; levers'!$C$14="Off",'Activity data'!BA71*UDCPPEF*NtoN2O*kgtoGg,IF('Net zero activities &amp; levers'!$C$14="On",'Net zero Activity data'!BA71*UDCPPEF*NtoN2O*kgtoGg,"ERROR"))</f>
        <v>0</v>
      </c>
      <c r="AI1141" s="101">
        <f>IF('Net zero activities &amp; levers'!$C$14="Off",'Activity data'!BB71*UDCPPEF*NtoN2O*kgtoGg,IF('Net zero activities &amp; levers'!$C$14="On",'Net zero Activity data'!BB71*UDCPPEF*NtoN2O*kgtoGg,"ERROR"))</f>
        <v>0</v>
      </c>
      <c r="AJ1141" s="101">
        <f>IF('Net zero activities &amp; levers'!$C$14="Off",'Activity data'!BC71*UDCPPEF*NtoN2O*kgtoGg,IF('Net zero activities &amp; levers'!$C$14="On",'Net zero Activity data'!BC71*UDCPPEF*NtoN2O*kgtoGg,"ERROR"))</f>
        <v>0</v>
      </c>
      <c r="AK1141" s="101">
        <f>IF('Net zero activities &amp; levers'!$C$14="Off",'Activity data'!BD71*UDCPPEF*NtoN2O*kgtoGg,IF('Net zero activities &amp; levers'!$C$14="On",'Net zero Activity data'!BD71*UDCPPEF*NtoN2O*kgtoGg,"ERROR"))</f>
        <v>0</v>
      </c>
      <c r="AL1141" s="101">
        <f>IF('Net zero activities &amp; levers'!$C$14="Off",'Activity data'!BE71*UDCPPEF*NtoN2O*kgtoGg,IF('Net zero activities &amp; levers'!$C$14="On",'Net zero Activity data'!BE71*UDCPPEF*NtoN2O*kgtoGg,"ERROR"))</f>
        <v>0</v>
      </c>
      <c r="AM1141" s="101">
        <f>IF('Net zero activities &amp; levers'!$C$14="Off",'Activity data'!BF71*UDCPPEF*NtoN2O*kgtoGg,IF('Net zero activities &amp; levers'!$C$14="On",'Net zero Activity data'!BF71*UDCPPEF*NtoN2O*kgtoGg,"ERROR"))</f>
        <v>0</v>
      </c>
      <c r="AN1141" s="101">
        <f>IF('Net zero activities &amp; levers'!$C$14="Off",'Activity data'!BG71*UDCPPEF*NtoN2O*kgtoGg,IF('Net zero activities &amp; levers'!$C$14="On",'Net zero Activity data'!BG71*UDCPPEF*NtoN2O*kgtoGg,"ERROR"))</f>
        <v>0</v>
      </c>
      <c r="AO1141" s="101">
        <f>IF('Net zero activities &amp; levers'!$C$14="Off",'Activity data'!BH71*UDCPPEF*NtoN2O*kgtoGg,IF('Net zero activities &amp; levers'!$C$14="On",'Net zero Activity data'!BH71*UDCPPEF*NtoN2O*kgtoGg,"ERROR"))</f>
        <v>0</v>
      </c>
      <c r="AP1141" s="101">
        <f>IF('Net zero activities &amp; levers'!$C$14="Off",'Activity data'!BI71*UDCPPEF*NtoN2O*kgtoGg,IF('Net zero activities &amp; levers'!$C$14="On",'Net zero Activity data'!BI71*UDCPPEF*NtoN2O*kgtoGg,"ERROR"))</f>
        <v>0</v>
      </c>
      <c r="AQ1141" s="101">
        <f>IF('Net zero activities &amp; levers'!$C$14="Off",'Activity data'!BJ71*UDCPPEF*NtoN2O*kgtoGg,IF('Net zero activities &amp; levers'!$C$14="On",'Net zero Activity data'!BJ71*UDCPPEF*NtoN2O*kgtoGg,"ERROR"))</f>
        <v>0</v>
      </c>
      <c r="AR1141" s="101">
        <f>IF('Net zero activities &amp; levers'!$C$14="Off",'Activity data'!BK71*UDCPPEF*NtoN2O*kgtoGg,IF('Net zero activities &amp; levers'!$C$14="On",'Net zero Activity data'!BK71*UDCPPEF*NtoN2O*kgtoGg,"ERROR"))</f>
        <v>0</v>
      </c>
      <c r="AS1141" s="101">
        <f>IF('Net zero activities &amp; levers'!$C$14="Off",'Activity data'!BL71*UDCPPEF*NtoN2O*kgtoGg,IF('Net zero activities &amp; levers'!$C$14="On",'Net zero Activity data'!BL71*UDCPPEF*NtoN2O*kgtoGg,"ERROR"))</f>
        <v>0</v>
      </c>
      <c r="AT1141" s="101">
        <f>IF('Net zero activities &amp; levers'!$C$14="Off",'Activity data'!BM71*UDCPPEF*NtoN2O*kgtoGg,IF('Net zero activities &amp; levers'!$C$14="On",'Net zero Activity data'!BM71*UDCPPEF*NtoN2O*kgtoGg,"ERROR"))</f>
        <v>0</v>
      </c>
      <c r="AU1141" s="101">
        <f>IF('Net zero activities &amp; levers'!$C$14="Off",'Activity data'!BN71*UDCPPEF*NtoN2O*kgtoGg,IF('Net zero activities &amp; levers'!$C$14="On",'Net zero Activity data'!BN71*UDCPPEF*NtoN2O*kgtoGg,"ERROR"))</f>
        <v>0</v>
      </c>
      <c r="AV1141" s="101">
        <f>IF('Net zero activities &amp; levers'!$C$14="Off",'Activity data'!BO71*UDCPPEF*NtoN2O*kgtoGg,IF('Net zero activities &amp; levers'!$C$14="On",'Net zero Activity data'!BO71*UDCPPEF*NtoN2O*kgtoGg,"ERROR"))</f>
        <v>0</v>
      </c>
      <c r="AW1141" s="101">
        <f>IF('Net zero activities &amp; levers'!$C$14="Off",'Activity data'!BP71*UDCPPEF*NtoN2O*kgtoGg,IF('Net zero activities &amp; levers'!$C$14="On",'Net zero Activity data'!BP71*UDCPPEF*NtoN2O*kgtoGg,"ERROR"))</f>
        <v>0</v>
      </c>
      <c r="AY1141" s="85"/>
    </row>
    <row r="1142" spans="1:51" x14ac:dyDescent="0.25">
      <c r="A1142" s="102" t="str">
        <f t="shared" si="374"/>
        <v>CM U&amp;D</v>
      </c>
      <c r="B1142" s="102" t="s">
        <v>1323</v>
      </c>
      <c r="C1142" s="102" t="s">
        <v>1337</v>
      </c>
      <c r="D1142" t="s">
        <v>369</v>
      </c>
      <c r="E1142" t="s">
        <v>55</v>
      </c>
      <c r="F1142" t="s">
        <v>422</v>
      </c>
      <c r="G1142" t="s">
        <v>1165</v>
      </c>
      <c r="H1142" t="s">
        <v>1247</v>
      </c>
      <c r="I1142" t="s">
        <v>139</v>
      </c>
      <c r="J1142" t="s">
        <v>287</v>
      </c>
      <c r="K1142" s="101">
        <f>IF('Net zero activities &amp; levers'!$C$14="Off",'Activity data'!AD72*UDSOEF*NtoN2O*kgtoGg,IF('Net zero activities &amp; levers'!$C$14="On",'Net zero Activity data'!AD72*UDSOEF*NtoN2O*kgtoGg,"ERROR"))</f>
        <v>5.7999838553710088</v>
      </c>
      <c r="L1142" s="101">
        <f>IF('Net zero activities &amp; levers'!$C$14="Off",'Activity data'!AE72*UDSOEF*NtoN2O*kgtoGg,IF('Net zero activities &amp; levers'!$C$14="On",'Net zero Activity data'!AE72*UDSOEF*NtoN2O*kgtoGg,"ERROR"))</f>
        <v>5.8031139960917857</v>
      </c>
      <c r="M1142" s="101">
        <f>IF('Net zero activities &amp; levers'!$C$14="Off",'Activity data'!AF72*UDSOEF*NtoN2O*kgtoGg,IF('Net zero activities &amp; levers'!$C$14="On",'Net zero Activity data'!AF72*UDSOEF*NtoN2O*kgtoGg,"ERROR"))</f>
        <v>5.8103099227335253</v>
      </c>
      <c r="N1142" s="101">
        <f>IF('Net zero activities &amp; levers'!$C$14="Off",'Activity data'!AG72*UDSOEF*NtoN2O*kgtoGg,IF('Net zero activities &amp; levers'!$C$14="On",'Net zero Activity data'!AG72*UDSOEF*NtoN2O*kgtoGg,"ERROR"))</f>
        <v>5.8209929462353873</v>
      </c>
      <c r="O1142" s="101">
        <f>IF('Net zero activities &amp; levers'!$C$14="Off",'Activity data'!AH72*UDSOEF*NtoN2O*kgtoGg,IF('Net zero activities &amp; levers'!$C$14="On",'Net zero Activity data'!AH72*UDSOEF*NtoN2O*kgtoGg,"ERROR"))</f>
        <v>5.8354121165006498</v>
      </c>
      <c r="P1142" s="101">
        <f>IF('Net zero activities &amp; levers'!$C$14="Off",'Activity data'!AI72*UDSOEF*NtoN2O*kgtoGg,IF('Net zero activities &amp; levers'!$C$14="On",'Net zero Activity data'!AI72*UDSOEF*NtoN2O*kgtoGg,"ERROR"))</f>
        <v>5.8538572193681269</v>
      </c>
      <c r="Q1142" s="101">
        <f>IF('Net zero activities &amp; levers'!$C$14="Off",'Activity data'!AJ72*UDSOEF*NtoN2O*kgtoGg,IF('Net zero activities &amp; levers'!$C$14="On",'Net zero Activity data'!AJ72*UDSOEF*NtoN2O*kgtoGg,"ERROR"))</f>
        <v>5.8741818038916174</v>
      </c>
      <c r="R1142" s="101">
        <f>IF('Net zero activities &amp; levers'!$C$14="Off",'Activity data'!AK72*UDSOEF*NtoN2O*kgtoGg,IF('Net zero activities &amp; levers'!$C$14="On",'Net zero Activity data'!AK72*UDSOEF*NtoN2O*kgtoGg,"ERROR"))</f>
        <v>5.8960701972534357</v>
      </c>
      <c r="S1142" s="101">
        <f>IF('Net zero activities &amp; levers'!$C$14="Off",'Activity data'!AL72*UDSOEF*NtoN2O*kgtoGg,IF('Net zero activities &amp; levers'!$C$14="On",'Net zero Activity data'!AL72*UDSOEF*NtoN2O*kgtoGg,"ERROR"))</f>
        <v>5.9177559307877479</v>
      </c>
      <c r="T1142" s="101">
        <f>IF('Net zero activities &amp; levers'!$C$14="Off",'Activity data'!AM72*UDSOEF*NtoN2O*kgtoGg,IF('Net zero activities &amp; levers'!$C$14="On",'Net zero Activity data'!AM72*UDSOEF*NtoN2O*kgtoGg,"ERROR"))</f>
        <v>5.9254453743160216</v>
      </c>
      <c r="U1142" s="101">
        <f>IF('Net zero activities &amp; levers'!$C$14="Off",'Activity data'!AN72*UDSOEF*NtoN2O*kgtoGg,IF('Net zero activities &amp; levers'!$C$14="On",'Net zero Activity data'!AN72*UDSOEF*NtoN2O*kgtoGg,"ERROR"))</f>
        <v>5.9343335936442152</v>
      </c>
      <c r="V1142" s="101">
        <f>IF('Net zero activities &amp; levers'!$C$14="Off",'Activity data'!AO72*UDSOEF*NtoN2O*kgtoGg,IF('Net zero activities &amp; levers'!$C$14="On",'Net zero Activity data'!AO72*UDSOEF*NtoN2O*kgtoGg,"ERROR"))</f>
        <v>5.9445364397098013</v>
      </c>
      <c r="W1142" s="101">
        <f>IF('Net zero activities &amp; levers'!$C$14="Off",'Activity data'!AP72*UDSOEF*NtoN2O*kgtoGg,IF('Net zero activities &amp; levers'!$C$14="On",'Net zero Activity data'!AP72*UDSOEF*NtoN2O*kgtoGg,"ERROR"))</f>
        <v>5.9561357274382241</v>
      </c>
      <c r="X1142" s="101">
        <f>IF('Net zero activities &amp; levers'!$C$14="Off",'Activity data'!AQ72*UDSOEF*NtoN2O*kgtoGg,IF('Net zero activities &amp; levers'!$C$14="On",'Net zero Activity data'!AQ72*UDSOEF*NtoN2O*kgtoGg,"ERROR"))</f>
        <v>5.9693113852932198</v>
      </c>
      <c r="Y1142" s="101">
        <f>IF('Net zero activities &amp; levers'!$C$14="Off",'Activity data'!AR72*UDSOEF*NtoN2O*kgtoGg,IF('Net zero activities &amp; levers'!$C$14="On",'Net zero Activity data'!AR72*UDSOEF*NtoN2O*kgtoGg,"ERROR"))</f>
        <v>5.9771483905324612</v>
      </c>
      <c r="Z1142" s="101">
        <f>IF('Net zero activities &amp; levers'!$C$14="Off",'Activity data'!AS72*UDSOEF*NtoN2O*kgtoGg,IF('Net zero activities &amp; levers'!$C$14="On",'Net zero Activity data'!AS72*UDSOEF*NtoN2O*kgtoGg,"ERROR"))</f>
        <v>5.9861200503255718</v>
      </c>
      <c r="AA1142" s="101">
        <f>IF('Net zero activities &amp; levers'!$C$14="Off",'Activity data'!AT72*UDSOEF*NtoN2O*kgtoGg,IF('Net zero activities &amp; levers'!$C$14="On",'Net zero Activity data'!AT72*UDSOEF*NtoN2O*kgtoGg,"ERROR"))</f>
        <v>5.9959427333786008</v>
      </c>
      <c r="AB1142" s="101">
        <f>IF('Net zero activities &amp; levers'!$C$14="Off",'Activity data'!AU72*UDSOEF*NtoN2O*kgtoGg,IF('Net zero activities &amp; levers'!$C$14="On",'Net zero Activity data'!AU72*UDSOEF*NtoN2O*kgtoGg,"ERROR"))</f>
        <v>6.0068742737706309</v>
      </c>
      <c r="AC1142" s="101">
        <f>IF('Net zero activities &amp; levers'!$C$14="Off",'Activity data'!AV72*UDSOEF*NtoN2O*kgtoGg,IF('Net zero activities &amp; levers'!$C$14="On",'Net zero Activity data'!AV72*UDSOEF*NtoN2O*kgtoGg,"ERROR"))</f>
        <v>6.0189126133605111</v>
      </c>
      <c r="AD1142" s="101">
        <f>IF('Net zero activities &amp; levers'!$C$14="Off",'Activity data'!AW72*UDSOEF*NtoN2O*kgtoGg,IF('Net zero activities &amp; levers'!$C$14="On",'Net zero Activity data'!AW72*UDSOEF*NtoN2O*kgtoGg,"ERROR"))</f>
        <v>6.0270731796848249</v>
      </c>
      <c r="AE1142" s="101">
        <f>IF('Net zero activities &amp; levers'!$C$14="Off",'Activity data'!AX72*UDSOEF*NtoN2O*kgtoGg,IF('Net zero activities &amp; levers'!$C$14="On",'Net zero Activity data'!AX72*UDSOEF*NtoN2O*kgtoGg,"ERROR"))</f>
        <v>6.0360845582410558</v>
      </c>
      <c r="AF1142" s="101">
        <f>IF('Net zero activities &amp; levers'!$C$14="Off",'Activity data'!AY72*UDSOEF*NtoN2O*kgtoGg,IF('Net zero activities &amp; levers'!$C$14="On",'Net zero Activity data'!AY72*UDSOEF*NtoN2O*kgtoGg,"ERROR"))</f>
        <v>6.0458819061174731</v>
      </c>
      <c r="AG1142" s="101">
        <f>IF('Net zero activities &amp; levers'!$C$14="Off",'Activity data'!AZ72*UDSOEF*NtoN2O*kgtoGg,IF('Net zero activities &amp; levers'!$C$14="On",'Net zero Activity data'!AZ72*UDSOEF*NtoN2O*kgtoGg,"ERROR"))</f>
        <v>6.0565775806268647</v>
      </c>
      <c r="AH1142" s="101">
        <f>IF('Net zero activities &amp; levers'!$C$14="Off",'Activity data'!BA72*UDSOEF*NtoN2O*kgtoGg,IF('Net zero activities &amp; levers'!$C$14="On",'Net zero Activity data'!BA72*UDSOEF*NtoN2O*kgtoGg,"ERROR"))</f>
        <v>6.0677714148337216</v>
      </c>
      <c r="AI1142" s="101">
        <f>IF('Net zero activities &amp; levers'!$C$14="Off",'Activity data'!BB72*UDSOEF*NtoN2O*kgtoGg,IF('Net zero activities &amp; levers'!$C$14="On",'Net zero Activity data'!BB72*UDSOEF*NtoN2O*kgtoGg,"ERROR"))</f>
        <v>6.0747122881251663</v>
      </c>
      <c r="AJ1142" s="101">
        <f>IF('Net zero activities &amp; levers'!$C$14="Off",'Activity data'!BC72*UDSOEF*NtoN2O*kgtoGg,IF('Net zero activities &amp; levers'!$C$14="On",'Net zero Activity data'!BC72*UDSOEF*NtoN2O*kgtoGg,"ERROR"))</f>
        <v>6.0822919762019199</v>
      </c>
      <c r="AK1142" s="101">
        <f>IF('Net zero activities &amp; levers'!$C$14="Off",'Activity data'!BD72*UDSOEF*NtoN2O*kgtoGg,IF('Net zero activities &amp; levers'!$C$14="On",'Net zero Activity data'!BD72*UDSOEF*NtoN2O*kgtoGg,"ERROR"))</f>
        <v>6.0903862807130738</v>
      </c>
      <c r="AL1142" s="101">
        <f>IF('Net zero activities &amp; levers'!$C$14="Off",'Activity data'!BE72*UDSOEF*NtoN2O*kgtoGg,IF('Net zero activities &amp; levers'!$C$14="On",'Net zero Activity data'!BE72*UDSOEF*NtoN2O*kgtoGg,"ERROR"))</f>
        <v>6.099042688614003</v>
      </c>
      <c r="AM1142" s="101">
        <f>IF('Net zero activities &amp; levers'!$C$14="Off",'Activity data'!BF72*UDSOEF*NtoN2O*kgtoGg,IF('Net zero activities &amp; levers'!$C$14="On",'Net zero Activity data'!BF72*UDSOEF*NtoN2O*kgtoGg,"ERROR"))</f>
        <v>6.1083044401794346</v>
      </c>
      <c r="AN1142" s="101">
        <f>IF('Net zero activities &amp; levers'!$C$14="Off",'Activity data'!BG72*UDSOEF*NtoN2O*kgtoGg,IF('Net zero activities &amp; levers'!$C$14="On",'Net zero Activity data'!BG72*UDSOEF*NtoN2O*kgtoGg,"ERROR"))</f>
        <v>6.1135104494447452</v>
      </c>
      <c r="AO1142" s="101">
        <f>IF('Net zero activities &amp; levers'!$C$14="Off",'Activity data'!BH72*UDSOEF*NtoN2O*kgtoGg,IF('Net zero activities &amp; levers'!$C$14="On",'Net zero Activity data'!BH72*UDSOEF*NtoN2O*kgtoGg,"ERROR"))</f>
        <v>6.1190965094096423</v>
      </c>
      <c r="AP1142" s="101">
        <f>IF('Net zero activities &amp; levers'!$C$14="Off",'Activity data'!BI72*UDSOEF*NtoN2O*kgtoGg,IF('Net zero activities &amp; levers'!$C$14="On",'Net zero Activity data'!BI72*UDSOEF*NtoN2O*kgtoGg,"ERROR"))</f>
        <v>6.1251717415750555</v>
      </c>
      <c r="AQ1142" s="101">
        <f>IF('Net zero activities &amp; levers'!$C$14="Off",'Activity data'!BJ72*UDSOEF*NtoN2O*kgtoGg,IF('Net zero activities &amp; levers'!$C$14="On",'Net zero Activity data'!BJ72*UDSOEF*NtoN2O*kgtoGg,"ERROR"))</f>
        <v>6.1317241994600078</v>
      </c>
      <c r="AR1142" s="101">
        <f>IF('Net zero activities &amp; levers'!$C$14="Off",'Activity data'!BK72*UDSOEF*NtoN2O*kgtoGg,IF('Net zero activities &amp; levers'!$C$14="On",'Net zero Activity data'!BK72*UDSOEF*NtoN2O*kgtoGg,"ERROR"))</f>
        <v>6.1388306794596001</v>
      </c>
      <c r="AS1142" s="101">
        <f>IF('Net zero activities &amp; levers'!$C$14="Off",'Activity data'!BL72*UDSOEF*NtoN2O*kgtoGg,IF('Net zero activities &amp; levers'!$C$14="On",'Net zero Activity data'!BL72*UDSOEF*NtoN2O*kgtoGg,"ERROR"))</f>
        <v>6.1416944763493966</v>
      </c>
      <c r="AT1142" s="101">
        <f>IF('Net zero activities &amp; levers'!$C$14="Off",'Activity data'!BM72*UDSOEF*NtoN2O*kgtoGg,IF('Net zero activities &amp; levers'!$C$14="On",'Net zero Activity data'!BM72*UDSOEF*NtoN2O*kgtoGg,"ERROR"))</f>
        <v>6.1440982385816554</v>
      </c>
      <c r="AU1142" s="101">
        <f>IF('Net zero activities &amp; levers'!$C$14="Off",'Activity data'!BN72*UDSOEF*NtoN2O*kgtoGg,IF('Net zero activities &amp; levers'!$C$14="On",'Net zero Activity data'!BN72*UDSOEF*NtoN2O*kgtoGg,"ERROR"))</f>
        <v>6.1468153656871216</v>
      </c>
      <c r="AV1142" s="101">
        <f>IF('Net zero activities &amp; levers'!$C$14="Off",'Activity data'!BO72*UDSOEF*NtoN2O*kgtoGg,IF('Net zero activities &amp; levers'!$C$14="On",'Net zero Activity data'!BO72*UDSOEF*NtoN2O*kgtoGg,"ERROR"))</f>
        <v>6.1500094167131421</v>
      </c>
      <c r="AW1142" s="101">
        <f>IF('Net zero activities &amp; levers'!$C$14="Off",'Activity data'!BP72*UDSOEF*NtoN2O*kgtoGg,IF('Net zero activities &amp; levers'!$C$14="On",'Net zero Activity data'!BP72*UDSOEF*NtoN2O*kgtoGg,"ERROR"))</f>
        <v>6.1535041893078395</v>
      </c>
      <c r="AY1142" s="85"/>
    </row>
    <row r="1143" spans="1:51" x14ac:dyDescent="0.25">
      <c r="A1143" s="102" t="str">
        <f t="shared" si="374"/>
        <v>CM U&amp;D</v>
      </c>
      <c r="B1143" s="102" t="s">
        <v>1323</v>
      </c>
      <c r="C1143" s="102" t="s">
        <v>1337</v>
      </c>
      <c r="D1143" t="s">
        <v>369</v>
      </c>
      <c r="E1143" t="s">
        <v>55</v>
      </c>
      <c r="F1143" t="s">
        <v>422</v>
      </c>
      <c r="G1143" t="s">
        <v>1167</v>
      </c>
      <c r="H1143" t="s">
        <v>1248</v>
      </c>
      <c r="I1143" t="s">
        <v>139</v>
      </c>
      <c r="J1143" t="s">
        <v>287</v>
      </c>
      <c r="K1143" s="101">
        <f>IF('Net zero activities &amp; levers'!$C$14="Off",'Activity data'!AD73*UDSOEF*NtoN2O*kgtoGg,IF('Net zero activities &amp; levers'!$C$14="On",'Net zero Activity data'!AD73*UDSOEF*NtoN2O*kgtoGg,"ERROR"))</f>
        <v>0.64744945388640951</v>
      </c>
      <c r="L1143" s="101">
        <f>IF('Net zero activities &amp; levers'!$C$14="Off",'Activity data'!AE73*UDSOEF*NtoN2O*kgtoGg,IF('Net zero activities &amp; levers'!$C$14="On",'Net zero Activity data'!AE73*UDSOEF*NtoN2O*kgtoGg,"ERROR"))</f>
        <v>0.64779887001424552</v>
      </c>
      <c r="M1143" s="101">
        <f>IF('Net zero activities &amp; levers'!$C$14="Off",'Activity data'!AF73*UDSOEF*NtoN2O*kgtoGg,IF('Net zero activities &amp; levers'!$C$14="On",'Net zero Activity data'!AF73*UDSOEF*NtoN2O*kgtoGg,"ERROR"))</f>
        <v>0.64860214790097404</v>
      </c>
      <c r="N1143" s="101">
        <f>IF('Net zero activities &amp; levers'!$C$14="Off",'Activity data'!AG73*UDSOEF*NtoN2O*kgtoGg,IF('Net zero activities &amp; levers'!$C$14="On",'Net zero Activity data'!AG73*UDSOEF*NtoN2O*kgtoGg,"ERROR"))</f>
        <v>0.64979468876050261</v>
      </c>
      <c r="O1143" s="101">
        <f>IF('Net zero activities &amp; levers'!$C$14="Off",'Activity data'!AH73*UDSOEF*NtoN2O*kgtoGg,IF('Net zero activities &amp; levers'!$C$14="On",'Net zero Activity data'!AH73*UDSOEF*NtoN2O*kgtoGg,"ERROR"))</f>
        <v>0.65140429391571231</v>
      </c>
      <c r="P1143" s="101">
        <f>IF('Net zero activities &amp; levers'!$C$14="Off",'Activity data'!AI73*UDSOEF*NtoN2O*kgtoGg,IF('Net zero activities &amp; levers'!$C$14="On",'Net zero Activity data'!AI73*UDSOEF*NtoN2O*kgtoGg,"ERROR"))</f>
        <v>0.6534633120226967</v>
      </c>
      <c r="Q1143" s="101">
        <f>IF('Net zero activities &amp; levers'!$C$14="Off",'Activity data'!AJ73*UDSOEF*NtoN2O*kgtoGg,IF('Net zero activities &amp; levers'!$C$14="On",'Net zero Activity data'!AJ73*UDSOEF*NtoN2O*kgtoGg,"ERROR"))</f>
        <v>0.65573213577778644</v>
      </c>
      <c r="R1143" s="101">
        <f>IF('Net zero activities &amp; levers'!$C$14="Off",'Activity data'!AK73*UDSOEF*NtoN2O*kgtoGg,IF('Net zero activities &amp; levers'!$C$14="On",'Net zero Activity data'!AK73*UDSOEF*NtoN2O*kgtoGg,"ERROR"))</f>
        <v>0.65817552677368318</v>
      </c>
      <c r="S1143" s="101">
        <f>IF('Net zero activities &amp; levers'!$C$14="Off",'Activity data'!AL73*UDSOEF*NtoN2O*kgtoGg,IF('Net zero activities &amp; levers'!$C$14="On",'Net zero Activity data'!AL73*UDSOEF*NtoN2O*kgtoGg,"ERROR"))</f>
        <v>0.66059629494891092</v>
      </c>
      <c r="T1143" s="101">
        <f>IF('Net zero activities &amp; levers'!$C$14="Off",'Activity data'!AM73*UDSOEF*NtoN2O*kgtoGg,IF('Net zero activities &amp; levers'!$C$14="On",'Net zero Activity data'!AM73*UDSOEF*NtoN2O*kgtoGg,"ERROR"))</f>
        <v>0.6614546638922072</v>
      </c>
      <c r="U1143" s="101">
        <f>IF('Net zero activities &amp; levers'!$C$14="Off",'Activity data'!AN73*UDSOEF*NtoN2O*kgtoGg,IF('Net zero activities &amp; levers'!$C$14="On",'Net zero Activity data'!AN73*UDSOEF*NtoN2O*kgtoGg,"ERROR"))</f>
        <v>0.66244685161092531</v>
      </c>
      <c r="V1143" s="101">
        <f>IF('Net zero activities &amp; levers'!$C$14="Off",'Activity data'!AO73*UDSOEF*NtoN2O*kgtoGg,IF('Net zero activities &amp; levers'!$C$14="On",'Net zero Activity data'!AO73*UDSOEF*NtoN2O*kgtoGg,"ERROR"))</f>
        <v>0.66358579049040756</v>
      </c>
      <c r="W1143" s="101">
        <f>IF('Net zero activities &amp; levers'!$C$14="Off",'Activity data'!AP73*UDSOEF*NtoN2O*kgtoGg,IF('Net zero activities &amp; levers'!$C$14="On",'Net zero Activity data'!AP73*UDSOEF*NtoN2O*kgtoGg,"ERROR"))</f>
        <v>0.66488061349207583</v>
      </c>
      <c r="X1143" s="101">
        <f>IF('Net zero activities &amp; levers'!$C$14="Off",'Activity data'!AQ73*UDSOEF*NtoN2O*kgtoGg,IF('Net zero activities &amp; levers'!$C$14="On",'Net zero Activity data'!AQ73*UDSOEF*NtoN2O*kgtoGg,"ERROR"))</f>
        <v>0.66635140594521525</v>
      </c>
      <c r="Y1143" s="101">
        <f>IF('Net zero activities &amp; levers'!$C$14="Off",'Activity data'!AR73*UDSOEF*NtoN2O*kgtoGg,IF('Net zero activities &amp; levers'!$C$14="On",'Net zero Activity data'!AR73*UDSOEF*NtoN2O*kgtoGg,"ERROR"))</f>
        <v>0.66722624713249756</v>
      </c>
      <c r="Z1143" s="101">
        <f>IF('Net zero activities &amp; levers'!$C$14="Off",'Activity data'!AS73*UDSOEF*NtoN2O*kgtoGg,IF('Net zero activities &amp; levers'!$C$14="On",'Net zero Activity data'!AS73*UDSOEF*NtoN2O*kgtoGg,"ERROR"))</f>
        <v>0.66822774927084017</v>
      </c>
      <c r="AA1143" s="101">
        <f>IF('Net zero activities &amp; levers'!$C$14="Off",'Activity data'!AT73*UDSOEF*NtoN2O*kgtoGg,IF('Net zero activities &amp; levers'!$C$14="On",'Net zero Activity data'!AT73*UDSOEF*NtoN2O*kgtoGg,"ERROR"))</f>
        <v>0.66932425073308011</v>
      </c>
      <c r="AB1143" s="101">
        <f>IF('Net zero activities &amp; levers'!$C$14="Off",'Activity data'!AU73*UDSOEF*NtoN2O*kgtoGg,IF('Net zero activities &amp; levers'!$C$14="On",'Net zero Activity data'!AU73*UDSOEF*NtoN2O*kgtoGg,"ERROR"))</f>
        <v>0.67054453341548814</v>
      </c>
      <c r="AC1143" s="101">
        <f>IF('Net zero activities &amp; levers'!$C$14="Off",'Activity data'!AV73*UDSOEF*NtoN2O*kgtoGg,IF('Net zero activities &amp; levers'!$C$14="On",'Net zero Activity data'!AV73*UDSOEF*NtoN2O*kgtoGg,"ERROR"))</f>
        <v>0.67188836756874171</v>
      </c>
      <c r="AD1143" s="101">
        <f>IF('Net zero activities &amp; levers'!$C$14="Off",'Activity data'!AW73*UDSOEF*NtoN2O*kgtoGg,IF('Net zero activities &amp; levers'!$C$14="On",'Net zero Activity data'!AW73*UDSOEF*NtoN2O*kgtoGg,"ERROR"))</f>
        <v>0.67279932772687889</v>
      </c>
      <c r="AE1143" s="101">
        <f>IF('Net zero activities &amp; levers'!$C$14="Off",'Activity data'!AX73*UDSOEF*NtoN2O*kgtoGg,IF('Net zero activities &amp; levers'!$C$14="On",'Net zero Activity data'!AX73*UDSOEF*NtoN2O*kgtoGg,"ERROR"))</f>
        <v>0.6738052636519577</v>
      </c>
      <c r="AF1143" s="101">
        <f>IF('Net zero activities &amp; levers'!$C$14="Off",'Activity data'!AY73*UDSOEF*NtoN2O*kgtoGg,IF('Net zero activities &amp; levers'!$C$14="On",'Net zero Activity data'!AY73*UDSOEF*NtoN2O*kgtoGg,"ERROR"))</f>
        <v>0.67489893696041836</v>
      </c>
      <c r="AG1143" s="101">
        <f>IF('Net zero activities &amp; levers'!$C$14="Off",'Activity data'!AZ73*UDSOEF*NtoN2O*kgtoGg,IF('Net zero activities &amp; levers'!$C$14="On",'Net zero Activity data'!AZ73*UDSOEF*NtoN2O*kgtoGg,"ERROR"))</f>
        <v>0.67609289004593254</v>
      </c>
      <c r="AH1143" s="101">
        <f>IF('Net zero activities &amp; levers'!$C$14="Off",'Activity data'!BA73*UDSOEF*NtoN2O*kgtoGg,IF('Net zero activities &amp; levers'!$C$14="On",'Net zero Activity data'!BA73*UDSOEF*NtoN2O*kgtoGg,"ERROR"))</f>
        <v>0.67734245246280245</v>
      </c>
      <c r="AI1143" s="101">
        <f>IF('Net zero activities &amp; levers'!$C$14="Off",'Activity data'!BB73*UDSOEF*NtoN2O*kgtoGg,IF('Net zero activities &amp; levers'!$C$14="On",'Net zero Activity data'!BB73*UDSOEF*NtoN2O*kgtoGg,"ERROR"))</f>
        <v>0.67811725886469953</v>
      </c>
      <c r="AJ1143" s="101">
        <f>IF('Net zero activities &amp; levers'!$C$14="Off",'Activity data'!BC73*UDSOEF*NtoN2O*kgtoGg,IF('Net zero activities &amp; levers'!$C$14="On",'Net zero Activity data'!BC73*UDSOEF*NtoN2O*kgtoGg,"ERROR"))</f>
        <v>0.67896337585886646</v>
      </c>
      <c r="AK1143" s="101">
        <f>IF('Net zero activities &amp; levers'!$C$14="Off",'Activity data'!BD73*UDSOEF*NtoN2O*kgtoGg,IF('Net zero activities &amp; levers'!$C$14="On",'Net zero Activity data'!BD73*UDSOEF*NtoN2O*kgtoGg,"ERROR"))</f>
        <v>0.67986693924214803</v>
      </c>
      <c r="AL1143" s="101">
        <f>IF('Net zero activities &amp; levers'!$C$14="Off",'Activity data'!BE73*UDSOEF*NtoN2O*kgtoGg,IF('Net zero activities &amp; levers'!$C$14="On",'Net zero Activity data'!BE73*UDSOEF*NtoN2O*kgtoGg,"ERROR"))</f>
        <v>0.68083324996090722</v>
      </c>
      <c r="AM1143" s="101">
        <f>IF('Net zero activities &amp; levers'!$C$14="Off",'Activity data'!BF73*UDSOEF*NtoN2O*kgtoGg,IF('Net zero activities &amp; levers'!$C$14="On",'Net zero Activity data'!BF73*UDSOEF*NtoN2O*kgtoGg,"ERROR"))</f>
        <v>0.68186713490655504</v>
      </c>
      <c r="AN1143" s="101">
        <f>IF('Net zero activities &amp; levers'!$C$14="Off",'Activity data'!BG73*UDSOEF*NtoN2O*kgtoGg,IF('Net zero activities &amp; levers'!$C$14="On",'Net zero Activity data'!BG73*UDSOEF*NtoN2O*kgtoGg,"ERROR"))</f>
        <v>0.68244827925795393</v>
      </c>
      <c r="AO1143" s="101">
        <f>IF('Net zero activities &amp; levers'!$C$14="Off",'Activity data'!BH73*UDSOEF*NtoN2O*kgtoGg,IF('Net zero activities &amp; levers'!$C$14="On",'Net zero Activity data'!BH73*UDSOEF*NtoN2O*kgtoGg,"ERROR"))</f>
        <v>0.68307184848915115</v>
      </c>
      <c r="AP1143" s="101">
        <f>IF('Net zero activities &amp; levers'!$C$14="Off",'Activity data'!BI73*UDSOEF*NtoN2O*kgtoGg,IF('Net zero activities &amp; levers'!$C$14="On",'Net zero Activity data'!BI73*UDSOEF*NtoN2O*kgtoGg,"ERROR"))</f>
        <v>0.68375002378167149</v>
      </c>
      <c r="AQ1143" s="101">
        <f>IF('Net zero activities &amp; levers'!$C$14="Off",'Activity data'!BJ73*UDSOEF*NtoN2O*kgtoGg,IF('Net zero activities &amp; levers'!$C$14="On",'Net zero Activity data'!BJ73*UDSOEF*NtoN2O*kgtoGg,"ERROR"))</f>
        <v>0.68448147155549544</v>
      </c>
      <c r="AR1143" s="101">
        <f>IF('Net zero activities &amp; levers'!$C$14="Off",'Activity data'!BK73*UDSOEF*NtoN2O*kgtoGg,IF('Net zero activities &amp; levers'!$C$14="On",'Net zero Activity data'!BK73*UDSOEF*NtoN2O*kgtoGg,"ERROR"))</f>
        <v>0.68527476455587666</v>
      </c>
      <c r="AS1143" s="101">
        <f>IF('Net zero activities &amp; levers'!$C$14="Off",'Activity data'!BL73*UDSOEF*NtoN2O*kgtoGg,IF('Net zero activities &amp; levers'!$C$14="On",'Net zero Activity data'!BL73*UDSOEF*NtoN2O*kgtoGg,"ERROR"))</f>
        <v>0.68559444884786391</v>
      </c>
      <c r="AT1143" s="101">
        <f>IF('Net zero activities &amp; levers'!$C$14="Off",'Activity data'!BM73*UDSOEF*NtoN2O*kgtoGg,IF('Net zero activities &amp; levers'!$C$14="On",'Net zero Activity data'!BM73*UDSOEF*NtoN2O*kgtoGg,"ERROR"))</f>
        <v>0.68586277968866571</v>
      </c>
      <c r="AU1143" s="101">
        <f>IF('Net zero activities &amp; levers'!$C$14="Off",'Activity data'!BN73*UDSOEF*NtoN2O*kgtoGg,IF('Net zero activities &amp; levers'!$C$14="On",'Net zero Activity data'!BN73*UDSOEF*NtoN2O*kgtoGg,"ERROR"))</f>
        <v>0.68616609130201511</v>
      </c>
      <c r="AV1143" s="101">
        <f>IF('Net zero activities &amp; levers'!$C$14="Off",'Activity data'!BO73*UDSOEF*NtoN2O*kgtoGg,IF('Net zero activities &amp; levers'!$C$14="On",'Net zero Activity data'!BO73*UDSOEF*NtoN2O*kgtoGg,"ERROR"))</f>
        <v>0.6865226417069904</v>
      </c>
      <c r="AW1143" s="101">
        <f>IF('Net zero activities &amp; levers'!$C$14="Off",'Activity data'!BP73*UDSOEF*NtoN2O*kgtoGg,IF('Net zero activities &amp; levers'!$C$14="On",'Net zero Activity data'!BP73*UDSOEF*NtoN2O*kgtoGg,"ERROR"))</f>
        <v>0.68691276151840996</v>
      </c>
      <c r="AY1143" s="85"/>
    </row>
    <row r="1144" spans="1:51" x14ac:dyDescent="0.25">
      <c r="A1144" s="102" t="str">
        <f t="shared" si="374"/>
        <v>CM U&amp;D</v>
      </c>
      <c r="B1144" s="102" t="s">
        <v>1323</v>
      </c>
      <c r="C1144" s="102" t="s">
        <v>1337</v>
      </c>
      <c r="D1144" t="s">
        <v>369</v>
      </c>
      <c r="E1144" t="s">
        <v>55</v>
      </c>
      <c r="F1144" t="s">
        <v>422</v>
      </c>
      <c r="G1144" t="s">
        <v>1169</v>
      </c>
      <c r="H1144" t="s">
        <v>1249</v>
      </c>
      <c r="I1144" t="s">
        <v>139</v>
      </c>
      <c r="J1144" t="s">
        <v>287</v>
      </c>
      <c r="K1144" s="101">
        <f>IF('Net zero activities &amp; levers'!$C$14="Off",'Activity data'!AD74*UDSOEF*NtoN2O*kgtoGg,IF('Net zero activities &amp; levers'!$C$14="On",'Net zero Activity data'!AD74*UDSOEF*NtoN2O*kgtoGg,"ERROR"))</f>
        <v>0.71689894789530229</v>
      </c>
      <c r="L1144" s="101">
        <f>IF('Net zero activities &amp; levers'!$C$14="Off",'Activity data'!AE74*UDSOEF*NtoN2O*kgtoGg,IF('Net zero activities &amp; levers'!$C$14="On",'Net zero Activity data'!AE74*UDSOEF*NtoN2O*kgtoGg,"ERROR"))</f>
        <v>0.71876228746109427</v>
      </c>
      <c r="M1144" s="101">
        <f>IF('Net zero activities &amp; levers'!$C$14="Off",'Activity data'!AF74*UDSOEF*NtoN2O*kgtoGg,IF('Net zero activities &amp; levers'!$C$14="On",'Net zero Activity data'!AF74*UDSOEF*NtoN2O*kgtoGg,"ERROR"))</f>
        <v>0.72127503720090047</v>
      </c>
      <c r="N1144" s="101">
        <f>IF('Net zero activities &amp; levers'!$C$14="Off",'Activity data'!AG74*UDSOEF*NtoN2O*kgtoGg,IF('Net zero activities &amp; levers'!$C$14="On",'Net zero Activity data'!AG74*UDSOEF*NtoN2O*kgtoGg,"ERROR"))</f>
        <v>0.72433550259006296</v>
      </c>
      <c r="O1144" s="101">
        <f>IF('Net zero activities &amp; levers'!$C$14="Off",'Activity data'!AH74*UDSOEF*NtoN2O*kgtoGg,IF('Net zero activities &amp; levers'!$C$14="On",'Net zero Activity data'!AH74*UDSOEF*NtoN2O*kgtoGg,"ERROR"))</f>
        <v>0.72800120185684258</v>
      </c>
      <c r="P1144" s="101">
        <f>IF('Net zero activities &amp; levers'!$C$14="Off",'Activity data'!AI74*UDSOEF*NtoN2O*kgtoGg,IF('Net zero activities &amp; levers'!$C$14="On",'Net zero Activity data'!AI74*UDSOEF*NtoN2O*kgtoGg,"ERROR"))</f>
        <v>0.73233490465194795</v>
      </c>
      <c r="Q1144" s="101">
        <f>IF('Net zero activities &amp; levers'!$C$14="Off",'Activity data'!AJ74*UDSOEF*NtoN2O*kgtoGg,IF('Net zero activities &amp; levers'!$C$14="On",'Net zero Activity data'!AJ74*UDSOEF*NtoN2O*kgtoGg,"ERROR"))</f>
        <v>0.73692777433186207</v>
      </c>
      <c r="R1144" s="101">
        <f>IF('Net zero activities &amp; levers'!$C$14="Off",'Activity data'!AK74*UDSOEF*NtoN2O*kgtoGg,IF('Net zero activities &amp; levers'!$C$14="On",'Net zero Activity data'!AK74*UDSOEF*NtoN2O*kgtoGg,"ERROR"))</f>
        <v>0.74172607064181018</v>
      </c>
      <c r="S1144" s="101">
        <f>IF('Net zero activities &amp; levers'!$C$14="Off",'Activity data'!AL74*UDSOEF*NtoN2O*kgtoGg,IF('Net zero activities &amp; levers'!$C$14="On",'Net zero Activity data'!AL74*UDSOEF*NtoN2O*kgtoGg,"ERROR"))</f>
        <v>0.74639750027277085</v>
      </c>
      <c r="T1144" s="101">
        <f>IF('Net zero activities &amp; levers'!$C$14="Off",'Activity data'!AM74*UDSOEF*NtoN2O*kgtoGg,IF('Net zero activities &amp; levers'!$C$14="On",'Net zero Activity data'!AM74*UDSOEF*NtoN2O*kgtoGg,"ERROR"))</f>
        <v>0.74854009324631066</v>
      </c>
      <c r="U1144" s="101">
        <f>IF('Net zero activities &amp; levers'!$C$14="Off",'Activity data'!AN74*UDSOEF*NtoN2O*kgtoGg,IF('Net zero activities &amp; levers'!$C$14="On",'Net zero Activity data'!AN74*UDSOEF*NtoN2O*kgtoGg,"ERROR"))</f>
        <v>0.75085065923922678</v>
      </c>
      <c r="V1144" s="101">
        <f>IF('Net zero activities &amp; levers'!$C$14="Off",'Activity data'!AO74*UDSOEF*NtoN2O*kgtoGg,IF('Net zero activities &amp; levers'!$C$14="On",'Net zero Activity data'!AO74*UDSOEF*NtoN2O*kgtoGg,"ERROR"))</f>
        <v>0.75335493730359926</v>
      </c>
      <c r="W1144" s="101">
        <f>IF('Net zero activities &amp; levers'!$C$14="Off",'Activity data'!AP74*UDSOEF*NtoN2O*kgtoGg,IF('Net zero activities &amp; levers'!$C$14="On",'Net zero Activity data'!AP74*UDSOEF*NtoN2O*kgtoGg,"ERROR"))</f>
        <v>0.75607146605668685</v>
      </c>
      <c r="X1144" s="101">
        <f>IF('Net zero activities &amp; levers'!$C$14="Off",'Activity data'!AQ74*UDSOEF*NtoN2O*kgtoGg,IF('Net zero activities &amp; levers'!$C$14="On",'Net zero Activity data'!AQ74*UDSOEF*NtoN2O*kgtoGg,"ERROR"))</f>
        <v>0.75903679046714201</v>
      </c>
      <c r="Y1144" s="101">
        <f>IF('Net zero activities &amp; levers'!$C$14="Off",'Activity data'!AR74*UDSOEF*NtoN2O*kgtoGg,IF('Net zero activities &amp; levers'!$C$14="On",'Net zero Activity data'!AR74*UDSOEF*NtoN2O*kgtoGg,"ERROR"))</f>
        <v>0.76094537488964475</v>
      </c>
      <c r="Z1144" s="101">
        <f>IF('Net zero activities &amp; levers'!$C$14="Off",'Activity data'!AS74*UDSOEF*NtoN2O*kgtoGg,IF('Net zero activities &amp; levers'!$C$14="On",'Net zero Activity data'!AS74*UDSOEF*NtoN2O*kgtoGg,"ERROR"))</f>
        <v>0.76302818529273087</v>
      </c>
      <c r="AA1144" s="101">
        <f>IF('Net zero activities &amp; levers'!$C$14="Off",'Activity data'!AT74*UDSOEF*NtoN2O*kgtoGg,IF('Net zero activities &amp; levers'!$C$14="On",'Net zero Activity data'!AT74*UDSOEF*NtoN2O*kgtoGg,"ERROR"))</f>
        <v>0.76523341198680583</v>
      </c>
      <c r="AB1144" s="101">
        <f>IF('Net zero activities &amp; levers'!$C$14="Off",'Activity data'!AU74*UDSOEF*NtoN2O*kgtoGg,IF('Net zero activities &amp; levers'!$C$14="On",'Net zero Activity data'!AU74*UDSOEF*NtoN2O*kgtoGg,"ERROR"))</f>
        <v>0.76761119115957532</v>
      </c>
      <c r="AC1144" s="101">
        <f>IF('Net zero activities &amp; levers'!$C$14="Off",'Activity data'!AV74*UDSOEF*NtoN2O*kgtoGg,IF('Net zero activities &amp; levers'!$C$14="On",'Net zero Activity data'!AV74*UDSOEF*NtoN2O*kgtoGg,"ERROR"))</f>
        <v>0.77016232439967147</v>
      </c>
      <c r="AD1144" s="101">
        <f>IF('Net zero activities &amp; levers'!$C$14="Off",'Activity data'!AW74*UDSOEF*NtoN2O*kgtoGg,IF('Net zero activities &amp; levers'!$C$14="On",'Net zero Activity data'!AW74*UDSOEF*NtoN2O*kgtoGg,"ERROR"))</f>
        <v>0.77184151262759737</v>
      </c>
      <c r="AE1144" s="101">
        <f>IF('Net zero activities &amp; levers'!$C$14="Off",'Activity data'!AX74*UDSOEF*NtoN2O*kgtoGg,IF('Net zero activities &amp; levers'!$C$14="On",'Net zero Activity data'!AX74*UDSOEF*NtoN2O*kgtoGg,"ERROR"))</f>
        <v>0.7736515769208151</v>
      </c>
      <c r="AF1144" s="101">
        <f>IF('Net zero activities &amp; levers'!$C$14="Off",'Activity data'!AY74*UDSOEF*NtoN2O*kgtoGg,IF('Net zero activities &amp; levers'!$C$14="On",'Net zero Activity data'!AY74*UDSOEF*NtoN2O*kgtoGg,"ERROR"))</f>
        <v>0.77558124888408586</v>
      </c>
      <c r="AG1144" s="101">
        <f>IF('Net zero activities &amp; levers'!$C$14="Off",'Activity data'!AZ74*UDSOEF*NtoN2O*kgtoGg,IF('Net zero activities &amp; levers'!$C$14="On",'Net zero Activity data'!AZ74*UDSOEF*NtoN2O*kgtoGg,"ERROR"))</f>
        <v>0.77765221756919434</v>
      </c>
      <c r="AH1144" s="101">
        <f>IF('Net zero activities &amp; levers'!$C$14="Off",'Activity data'!BA74*UDSOEF*NtoN2O*kgtoGg,IF('Net zero activities &amp; levers'!$C$14="On",'Net zero Activity data'!BA74*UDSOEF*NtoN2O*kgtoGg,"ERROR"))</f>
        <v>0.7797906862662336</v>
      </c>
      <c r="AI1144" s="101">
        <f>IF('Net zero activities &amp; levers'!$C$14="Off",'Activity data'!BB74*UDSOEF*NtoN2O*kgtoGg,IF('Net zero activities &amp; levers'!$C$14="On",'Net zero Activity data'!BB74*UDSOEF*NtoN2O*kgtoGg,"ERROR"))</f>
        <v>0.7811163537007122</v>
      </c>
      <c r="AJ1144" s="101">
        <f>IF('Net zero activities &amp; levers'!$C$14="Off",'Activity data'!BC74*UDSOEF*NtoN2O*kgtoGg,IF('Net zero activities &amp; levers'!$C$14="On",'Net zero Activity data'!BC74*UDSOEF*NtoN2O*kgtoGg,"ERROR"))</f>
        <v>0.78254032699837495</v>
      </c>
      <c r="AK1144" s="101">
        <f>IF('Net zero activities &amp; levers'!$C$14="Off",'Activity data'!BD74*UDSOEF*NtoN2O*kgtoGg,IF('Net zero activities &amp; levers'!$C$14="On",'Net zero Activity data'!BD74*UDSOEF*NtoN2O*kgtoGg,"ERROR"))</f>
        <v>0.78404012574492399</v>
      </c>
      <c r="AL1144" s="101">
        <f>IF('Net zero activities &amp; levers'!$C$14="Off",'Activity data'!BE74*UDSOEF*NtoN2O*kgtoGg,IF('Net zero activities &amp; levers'!$C$14="On",'Net zero Activity data'!BE74*UDSOEF*NtoN2O*kgtoGg,"ERROR"))</f>
        <v>0.78562503827513464</v>
      </c>
      <c r="AM1144" s="101">
        <f>IF('Net zero activities &amp; levers'!$C$14="Off",'Activity data'!BF74*UDSOEF*NtoN2O*kgtoGg,IF('Net zero activities &amp; levers'!$C$14="On",'Net zero Activity data'!BF74*UDSOEF*NtoN2O*kgtoGg,"ERROR"))</f>
        <v>0.78730345031212023</v>
      </c>
      <c r="AN1144" s="101">
        <f>IF('Net zero activities &amp; levers'!$C$14="Off",'Activity data'!BG74*UDSOEF*NtoN2O*kgtoGg,IF('Net zero activities &amp; levers'!$C$14="On",'Net zero Activity data'!BG74*UDSOEF*NtoN2O*kgtoGg,"ERROR"))</f>
        <v>0.78821861780581803</v>
      </c>
      <c r="AO1144" s="101">
        <f>IF('Net zero activities &amp; levers'!$C$14="Off",'Activity data'!BH74*UDSOEF*NtoN2O*kgtoGg,IF('Net zero activities &amp; levers'!$C$14="On",'Net zero Activity data'!BH74*UDSOEF*NtoN2O*kgtoGg,"ERROR"))</f>
        <v>0.78918935012210545</v>
      </c>
      <c r="AP1144" s="101">
        <f>IF('Net zero activities &amp; levers'!$C$14="Off",'Activity data'!BI74*UDSOEF*NtoN2O*kgtoGg,IF('Net zero activities &amp; levers'!$C$14="On",'Net zero Activity data'!BI74*UDSOEF*NtoN2O*kgtoGg,"ERROR"))</f>
        <v>0.79023602178732166</v>
      </c>
      <c r="AQ1144" s="101">
        <f>IF('Net zero activities &amp; levers'!$C$14="Off",'Activity data'!BJ74*UDSOEF*NtoN2O*kgtoGg,IF('Net zero activities &amp; levers'!$C$14="On",'Net zero Activity data'!BJ74*UDSOEF*NtoN2O*kgtoGg,"ERROR"))</f>
        <v>0.79135668556159844</v>
      </c>
      <c r="AR1144" s="101">
        <f>IF('Net zero activities &amp; levers'!$C$14="Off",'Activity data'!BK74*UDSOEF*NtoN2O*kgtoGg,IF('Net zero activities &amp; levers'!$C$14="On",'Net zero Activity data'!BK74*UDSOEF*NtoN2O*kgtoGg,"ERROR"))</f>
        <v>0.79256558771735774</v>
      </c>
      <c r="AS1144" s="101">
        <f>IF('Net zero activities &amp; levers'!$C$14="Off",'Activity data'!BL74*UDSOEF*NtoN2O*kgtoGg,IF('Net zero activities &amp; levers'!$C$14="On",'Net zero Activity data'!BL74*UDSOEF*NtoN2O*kgtoGg,"ERROR"))</f>
        <v>0.79298785766331426</v>
      </c>
      <c r="AT1144" s="101">
        <f>IF('Net zero activities &amp; levers'!$C$14="Off",'Activity data'!BM74*UDSOEF*NtoN2O*kgtoGg,IF('Net zero activities &amp; levers'!$C$14="On",'Net zero Activity data'!BM74*UDSOEF*NtoN2O*kgtoGg,"ERROR"))</f>
        <v>0.79331656903659509</v>
      </c>
      <c r="AU1144" s="101">
        <f>IF('Net zero activities &amp; levers'!$C$14="Off",'Activity data'!BN74*UDSOEF*NtoN2O*kgtoGg,IF('Net zero activities &amp; levers'!$C$14="On",'Net zero Activity data'!BN74*UDSOEF*NtoN2O*kgtoGg,"ERROR"))</f>
        <v>0.79369322526599873</v>
      </c>
      <c r="AV1144" s="101">
        <f>IF('Net zero activities &amp; levers'!$C$14="Off",'Activity data'!BO74*UDSOEF*NtoN2O*kgtoGg,IF('Net zero activities &amp; levers'!$C$14="On",'Net zero Activity data'!BO74*UDSOEF*NtoN2O*kgtoGg,"ERROR"))</f>
        <v>0.79414770745075947</v>
      </c>
      <c r="AW1144" s="101">
        <f>IF('Net zero activities &amp; levers'!$C$14="Off",'Activity data'!BP74*UDSOEF*NtoN2O*kgtoGg,IF('Net zero activities &amp; levers'!$C$14="On",'Net zero Activity data'!BP74*UDSOEF*NtoN2O*kgtoGg,"ERROR"))</f>
        <v>0.79464809471787612</v>
      </c>
      <c r="AY1144" s="85"/>
    </row>
    <row r="1145" spans="1:51" x14ac:dyDescent="0.25">
      <c r="A1145" s="102" t="str">
        <f t="shared" si="374"/>
        <v>CM U&amp;D</v>
      </c>
      <c r="B1145" s="102" t="s">
        <v>1323</v>
      </c>
      <c r="C1145" s="102" t="s">
        <v>1337</v>
      </c>
      <c r="D1145" t="s">
        <v>369</v>
      </c>
      <c r="E1145" t="s">
        <v>55</v>
      </c>
      <c r="F1145" t="s">
        <v>422</v>
      </c>
      <c r="G1145" t="s">
        <v>1171</v>
      </c>
      <c r="H1145" t="s">
        <v>1250</v>
      </c>
      <c r="I1145" t="s">
        <v>139</v>
      </c>
      <c r="J1145" t="s">
        <v>287</v>
      </c>
      <c r="K1145" s="101">
        <f>IF('Net zero activities &amp; levers'!$C$14="Off",'Activity data'!AD75*UDSOEF*NtoN2O*kgtoGg,IF('Net zero activities &amp; levers'!$C$14="On",'Net zero Activity data'!AD75*UDSOEF*NtoN2O*kgtoGg,"ERROR"))</f>
        <v>1.1864531966682197</v>
      </c>
      <c r="L1145" s="101">
        <f>IF('Net zero activities &amp; levers'!$C$14="Off",'Activity data'!AE75*UDSOEF*NtoN2O*kgtoGg,IF('Net zero activities &amp; levers'!$C$14="On",'Net zero Activity data'!AE75*UDSOEF*NtoN2O*kgtoGg,"ERROR"))</f>
        <v>1.1895369858002907</v>
      </c>
      <c r="M1145" s="101">
        <f>IF('Net zero activities &amp; levers'!$C$14="Off",'Activity data'!AF75*UDSOEF*NtoN2O*kgtoGg,IF('Net zero activities &amp; levers'!$C$14="On",'Net zero Activity data'!AF75*UDSOEF*NtoN2O*kgtoGg,"ERROR"))</f>
        <v>1.1936955355791294</v>
      </c>
      <c r="N1145" s="101">
        <f>IF('Net zero activities &amp; levers'!$C$14="Off",'Activity data'!AG75*UDSOEF*NtoN2O*kgtoGg,IF('Net zero activities &amp; levers'!$C$14="On",'Net zero Activity data'!AG75*UDSOEF*NtoN2O*kgtoGg,"ERROR"))</f>
        <v>1.1987605436321125</v>
      </c>
      <c r="O1145" s="101">
        <f>IF('Net zero activities &amp; levers'!$C$14="Off",'Activity data'!AH75*UDSOEF*NtoN2O*kgtoGg,IF('Net zero activities &amp; levers'!$C$14="On",'Net zero Activity data'!AH75*UDSOEF*NtoN2O*kgtoGg,"ERROR"))</f>
        <v>1.2048272014586632</v>
      </c>
      <c r="P1145" s="101">
        <f>IF('Net zero activities &amp; levers'!$C$14="Off",'Activity data'!AI75*UDSOEF*NtoN2O*kgtoGg,IF('Net zero activities &amp; levers'!$C$14="On",'Net zero Activity data'!AI75*UDSOEF*NtoN2O*kgtoGg,"ERROR"))</f>
        <v>1.2119993915556884</v>
      </c>
      <c r="Q1145" s="101">
        <f>IF('Net zero activities &amp; levers'!$C$14="Off",'Activity data'!AJ75*UDSOEF*NtoN2O*kgtoGg,IF('Net zero activities &amp; levers'!$C$14="On",'Net zero Activity data'!AJ75*UDSOEF*NtoN2O*kgtoGg,"ERROR"))</f>
        <v>1.2196004975827131</v>
      </c>
      <c r="R1145" s="101">
        <f>IF('Net zero activities &amp; levers'!$C$14="Off",'Activity data'!AK75*UDSOEF*NtoN2O*kgtoGg,IF('Net zero activities &amp; levers'!$C$14="On",'Net zero Activity data'!AK75*UDSOEF*NtoN2O*kgtoGg,"ERROR"))</f>
        <v>1.2275415805096901</v>
      </c>
      <c r="S1145" s="101">
        <f>IF('Net zero activities &amp; levers'!$C$14="Off",'Activity data'!AL75*UDSOEF*NtoN2O*kgtoGg,IF('Net zero activities &amp; levers'!$C$14="On",'Net zero Activity data'!AL75*UDSOEF*NtoN2O*kgtoGg,"ERROR"))</f>
        <v>1.2352727016599383</v>
      </c>
      <c r="T1145" s="101">
        <f>IF('Net zero activities &amp; levers'!$C$14="Off",'Activity data'!AM75*UDSOEF*NtoN2O*kgtoGg,IF('Net zero activities &amp; levers'!$C$14="On",'Net zero Activity data'!AM75*UDSOEF*NtoN2O*kgtoGg,"ERROR"))</f>
        <v>1.238818649509462</v>
      </c>
      <c r="U1145" s="101">
        <f>IF('Net zero activities &amp; levers'!$C$14="Off",'Activity data'!AN75*UDSOEF*NtoN2O*kgtoGg,IF('Net zero activities &amp; levers'!$C$14="On",'Net zero Activity data'!AN75*UDSOEF*NtoN2O*kgtoGg,"ERROR"))</f>
        <v>1.2426425892940813</v>
      </c>
      <c r="V1145" s="101">
        <f>IF('Net zero activities &amp; levers'!$C$14="Off",'Activity data'!AO75*UDSOEF*NtoN2O*kgtoGg,IF('Net zero activities &amp; levers'!$C$14="On",'Net zero Activity data'!AO75*UDSOEF*NtoN2O*kgtoGg,"ERROR"))</f>
        <v>1.2467871186221595</v>
      </c>
      <c r="W1145" s="101">
        <f>IF('Net zero activities &amp; levers'!$C$14="Off",'Activity data'!AP75*UDSOEF*NtoN2O*kgtoGg,IF('Net zero activities &amp; levers'!$C$14="On",'Net zero Activity data'!AP75*UDSOEF*NtoN2O*kgtoGg,"ERROR"))</f>
        <v>1.2512829185286929</v>
      </c>
      <c r="X1145" s="101">
        <f>IF('Net zero activities &amp; levers'!$C$14="Off",'Activity data'!AQ75*UDSOEF*NtoN2O*kgtoGg,IF('Net zero activities &amp; levers'!$C$14="On",'Net zero Activity data'!AQ75*UDSOEF*NtoN2O*kgtoGg,"ERROR"))</f>
        <v>1.2561904701944779</v>
      </c>
      <c r="Y1145" s="101">
        <f>IF('Net zero activities &amp; levers'!$C$14="Off",'Activity data'!AR75*UDSOEF*NtoN2O*kgtoGg,IF('Net zero activities &amp; levers'!$C$14="On",'Net zero Activity data'!AR75*UDSOEF*NtoN2O*kgtoGg,"ERROR"))</f>
        <v>1.2593491386453628</v>
      </c>
      <c r="Z1145" s="101">
        <f>IF('Net zero activities &amp; levers'!$C$14="Off",'Activity data'!AS75*UDSOEF*NtoN2O*kgtoGg,IF('Net zero activities &amp; levers'!$C$14="On",'Net zero Activity data'!AS75*UDSOEF*NtoN2O*kgtoGg,"ERROR"))</f>
        <v>1.2627961475551268</v>
      </c>
      <c r="AA1145" s="101">
        <f>IF('Net zero activities &amp; levers'!$C$14="Off",'Activity data'!AT75*UDSOEF*NtoN2O*kgtoGg,IF('Net zero activities &amp; levers'!$C$14="On",'Net zero Activity data'!AT75*UDSOEF*NtoN2O*kgtoGg,"ERROR"))</f>
        <v>1.2664457529398805</v>
      </c>
      <c r="AB1145" s="101">
        <f>IF('Net zero activities &amp; levers'!$C$14="Off",'Activity data'!AU75*UDSOEF*NtoN2O*kgtoGg,IF('Net zero activities &amp; levers'!$C$14="On",'Net zero Activity data'!AU75*UDSOEF*NtoN2O*kgtoGg,"ERROR"))</f>
        <v>1.2703809291718808</v>
      </c>
      <c r="AC1145" s="101">
        <f>IF('Net zero activities &amp; levers'!$C$14="Off",'Activity data'!AV75*UDSOEF*NtoN2O*kgtoGg,IF('Net zero activities &amp; levers'!$C$14="On",'Net zero Activity data'!AV75*UDSOEF*NtoN2O*kgtoGg,"ERROR"))</f>
        <v>1.2746030028640307</v>
      </c>
      <c r="AD1145" s="101">
        <f>IF('Net zero activities &amp; levers'!$C$14="Off",'Activity data'!AW75*UDSOEF*NtoN2O*kgtoGg,IF('Net zero activities &amp; levers'!$C$14="On",'Net zero Activity data'!AW75*UDSOEF*NtoN2O*kgtoGg,"ERROR"))</f>
        <v>1.2773820252725296</v>
      </c>
      <c r="AE1145" s="101">
        <f>IF('Net zero activities &amp; levers'!$C$14="Off",'Activity data'!AX75*UDSOEF*NtoN2O*kgtoGg,IF('Net zero activities &amp; levers'!$C$14="On",'Net zero Activity data'!AX75*UDSOEF*NtoN2O*kgtoGg,"ERROR"))</f>
        <v>1.2803776449106503</v>
      </c>
      <c r="AF1145" s="101">
        <f>IF('Net zero activities &amp; levers'!$C$14="Off",'Activity data'!AY75*UDSOEF*NtoN2O*kgtoGg,IF('Net zero activities &amp; levers'!$C$14="On",'Net zero Activity data'!AY75*UDSOEF*NtoN2O*kgtoGg,"ERROR"))</f>
        <v>1.2835712128131631</v>
      </c>
      <c r="AG1145" s="101">
        <f>IF('Net zero activities &amp; levers'!$C$14="Off",'Activity data'!AZ75*UDSOEF*NtoN2O*kgtoGg,IF('Net zero activities &amp; levers'!$C$14="On",'Net zero Activity data'!AZ75*UDSOEF*NtoN2O*kgtoGg,"ERROR"))</f>
        <v>1.2869986239202102</v>
      </c>
      <c r="AH1145" s="101">
        <f>IF('Net zero activities &amp; levers'!$C$14="Off",'Activity data'!BA75*UDSOEF*NtoN2O*kgtoGg,IF('Net zero activities &amp; levers'!$C$14="On",'Net zero Activity data'!BA75*UDSOEF*NtoN2O*kgtoGg,"ERROR"))</f>
        <v>1.2905377461759007</v>
      </c>
      <c r="AI1145" s="101">
        <f>IF('Net zero activities &amp; levers'!$C$14="Off",'Activity data'!BB75*UDSOEF*NtoN2O*kgtoGg,IF('Net zero activities &amp; levers'!$C$14="On",'Net zero Activity data'!BB75*UDSOEF*NtoN2O*kgtoGg,"ERROR"))</f>
        <v>1.2927316988521784</v>
      </c>
      <c r="AJ1145" s="101">
        <f>IF('Net zero activities &amp; levers'!$C$14="Off",'Activity data'!BC75*UDSOEF*NtoN2O*kgtoGg,IF('Net zero activities &amp; levers'!$C$14="On",'Net zero Activity data'!BC75*UDSOEF*NtoN2O*kgtoGg,"ERROR"))</f>
        <v>1.2950883457351767</v>
      </c>
      <c r="AK1145" s="101">
        <f>IF('Net zero activities &amp; levers'!$C$14="Off",'Activity data'!BD75*UDSOEF*NtoN2O*kgtoGg,IF('Net zero activities &amp; levers'!$C$14="On",'Net zero Activity data'!BD75*UDSOEF*NtoN2O*kgtoGg,"ERROR"))</f>
        <v>1.2975704821958689</v>
      </c>
      <c r="AL1145" s="101">
        <f>IF('Net zero activities &amp; levers'!$C$14="Off",'Activity data'!BE75*UDSOEF*NtoN2O*kgtoGg,IF('Net zero activities &amp; levers'!$C$14="On",'Net zero Activity data'!BE75*UDSOEF*NtoN2O*kgtoGg,"ERROR"))</f>
        <v>1.3001934802396349</v>
      </c>
      <c r="AM1145" s="101">
        <f>IF('Net zero activities &amp; levers'!$C$14="Off",'Activity data'!BF75*UDSOEF*NtoN2O*kgtoGg,IF('Net zero activities &amp; levers'!$C$14="On",'Net zero Activity data'!BF75*UDSOEF*NtoN2O*kgtoGg,"ERROR"))</f>
        <v>1.3029712180678941</v>
      </c>
      <c r="AN1145" s="101">
        <f>IF('Net zero activities &amp; levers'!$C$14="Off",'Activity data'!BG75*UDSOEF*NtoN2O*kgtoGg,IF('Net zero activities &amp; levers'!$C$14="On",'Net zero Activity data'!BG75*UDSOEF*NtoN2O*kgtoGg,"ERROR"))</f>
        <v>1.3044858016805112</v>
      </c>
      <c r="AO1145" s="101">
        <f>IF('Net zero activities &amp; levers'!$C$14="Off",'Activity data'!BH75*UDSOEF*NtoN2O*kgtoGg,IF('Net zero activities &amp; levers'!$C$14="On",'Net zero Activity data'!BH75*UDSOEF*NtoN2O*kgtoGg,"ERROR"))</f>
        <v>1.3060923439458467</v>
      </c>
      <c r="AP1145" s="101">
        <f>IF('Net zero activities &amp; levers'!$C$14="Off",'Activity data'!BI75*UDSOEF*NtoN2O*kgtoGg,IF('Net zero activities &amp; levers'!$C$14="On",'Net zero Activity data'!BI75*UDSOEF*NtoN2O*kgtoGg,"ERROR"))</f>
        <v>1.3078245642911324</v>
      </c>
      <c r="AQ1145" s="101">
        <f>IF('Net zero activities &amp; levers'!$C$14="Off",'Activity data'!BJ75*UDSOEF*NtoN2O*kgtoGg,IF('Net zero activities &amp; levers'!$C$14="On",'Net zero Activity data'!BJ75*UDSOEF*NtoN2O*kgtoGg,"ERROR"))</f>
        <v>1.309679240073939</v>
      </c>
      <c r="AR1145" s="101">
        <f>IF('Net zero activities &amp; levers'!$C$14="Off",'Activity data'!BK75*UDSOEF*NtoN2O*kgtoGg,IF('Net zero activities &amp; levers'!$C$14="On",'Net zero Activity data'!BK75*UDSOEF*NtoN2O*kgtoGg,"ERROR"))</f>
        <v>1.3116799485857458</v>
      </c>
      <c r="AS1145" s="101">
        <f>IF('Net zero activities &amp; levers'!$C$14="Off",'Activity data'!BL75*UDSOEF*NtoN2O*kgtoGg,IF('Net zero activities &amp; levers'!$C$14="On",'Net zero Activity data'!BL75*UDSOEF*NtoN2O*kgtoGg,"ERROR"))</f>
        <v>1.3123787967688931</v>
      </c>
      <c r="AT1145" s="101">
        <f>IF('Net zero activities &amp; levers'!$C$14="Off",'Activity data'!BM75*UDSOEF*NtoN2O*kgtoGg,IF('Net zero activities &amp; levers'!$C$14="On",'Net zero Activity data'!BM75*UDSOEF*NtoN2O*kgtoGg,"ERROR"))</f>
        <v>1.3129228074146826</v>
      </c>
      <c r="AU1145" s="101">
        <f>IF('Net zero activities &amp; levers'!$C$14="Off",'Activity data'!BN75*UDSOEF*NtoN2O*kgtoGg,IF('Net zero activities &amp; levers'!$C$14="On",'Net zero Activity data'!BN75*UDSOEF*NtoN2O*kgtoGg,"ERROR"))</f>
        <v>1.3135461658234697</v>
      </c>
      <c r="AV1145" s="101">
        <f>IF('Net zero activities &amp; levers'!$C$14="Off",'Activity data'!BO75*UDSOEF*NtoN2O*kgtoGg,IF('Net zero activities &amp; levers'!$C$14="On",'Net zero Activity data'!BO75*UDSOEF*NtoN2O*kgtoGg,"ERROR"))</f>
        <v>1.3142983246075228</v>
      </c>
      <c r="AW1145" s="101">
        <f>IF('Net zero activities &amp; levers'!$C$14="Off",'Activity data'!BP75*UDSOEF*NtoN2O*kgtoGg,IF('Net zero activities &amp; levers'!$C$14="On",'Net zero Activity data'!BP75*UDSOEF*NtoN2O*kgtoGg,"ERROR"))</f>
        <v>1.3151264553704232</v>
      </c>
      <c r="AY1145" s="85"/>
    </row>
    <row r="1146" spans="1:51" x14ac:dyDescent="0.25">
      <c r="A1146" s="102" t="str">
        <f t="shared" si="374"/>
        <v>CM U&amp;D</v>
      </c>
      <c r="B1146" s="102" t="s">
        <v>1323</v>
      </c>
      <c r="C1146" s="102" t="s">
        <v>1337</v>
      </c>
      <c r="D1146" t="s">
        <v>369</v>
      </c>
      <c r="E1146" t="s">
        <v>55</v>
      </c>
      <c r="F1146" t="s">
        <v>422</v>
      </c>
      <c r="G1146" t="s">
        <v>1173</v>
      </c>
      <c r="H1146" t="s">
        <v>1251</v>
      </c>
      <c r="I1146" t="s">
        <v>139</v>
      </c>
      <c r="J1146" t="s">
        <v>287</v>
      </c>
      <c r="K1146" s="101">
        <f>IF('Net zero activities &amp; levers'!$C$14="Off",'Activity data'!AD76*UDSOEF*NtoN2O*kgtoGg,IF('Net zero activities &amp; levers'!$C$14="On",'Net zero Activity data'!AD76*UDSOEF*NtoN2O*kgtoGg,"ERROR"))</f>
        <v>0.19181822763057532</v>
      </c>
      <c r="L1146" s="101">
        <f>IF('Net zero activities &amp; levers'!$C$14="Off",'Activity data'!AE76*UDSOEF*NtoN2O*kgtoGg,IF('Net zero activities &amp; levers'!$C$14="On",'Net zero Activity data'!AE76*UDSOEF*NtoN2O*kgtoGg,"ERROR"))</f>
        <v>0.19311010534642395</v>
      </c>
      <c r="M1146" s="101">
        <f>IF('Net zero activities &amp; levers'!$C$14="Off",'Activity data'!AF76*UDSOEF*NtoN2O*kgtoGg,IF('Net zero activities &amp; levers'!$C$14="On",'Net zero Activity data'!AF76*UDSOEF*NtoN2O*kgtoGg,"ERROR"))</f>
        <v>0.19389173119299405</v>
      </c>
      <c r="N1146" s="101">
        <f>IF('Net zero activities &amp; levers'!$C$14="Off",'Activity data'!AG76*UDSOEF*NtoN2O*kgtoGg,IF('Net zero activities &amp; levers'!$C$14="On",'Net zero Activity data'!AG76*UDSOEF*NtoN2O*kgtoGg,"ERROR"))</f>
        <v>0.19286331841675533</v>
      </c>
      <c r="O1146" s="101">
        <f>IF('Net zero activities &amp; levers'!$C$14="Off",'Activity data'!AH76*UDSOEF*NtoN2O*kgtoGg,IF('Net zero activities &amp; levers'!$C$14="On",'Net zero Activity data'!AH76*UDSOEF*NtoN2O*kgtoGg,"ERROR"))</f>
        <v>0.19181235815879408</v>
      </c>
      <c r="P1146" s="101">
        <f>IF('Net zero activities &amp; levers'!$C$14="Off",'Activity data'!AI76*UDSOEF*NtoN2O*kgtoGg,IF('Net zero activities &amp; levers'!$C$14="On",'Net zero Activity data'!AI76*UDSOEF*NtoN2O*kgtoGg,"ERROR"))</f>
        <v>0.19246355732374573</v>
      </c>
      <c r="Q1146" s="101">
        <f>IF('Net zero activities &amp; levers'!$C$14="Off",'Activity data'!AJ76*UDSOEF*NtoN2O*kgtoGg,IF('Net zero activities &amp; levers'!$C$14="On",'Net zero Activity data'!AJ76*UDSOEF*NtoN2O*kgtoGg,"ERROR"))</f>
        <v>0.19254768245204176</v>
      </c>
      <c r="R1146" s="101">
        <f>IF('Net zero activities &amp; levers'!$C$14="Off",'Activity data'!AK76*UDSOEF*NtoN2O*kgtoGg,IF('Net zero activities &amp; levers'!$C$14="On",'Net zero Activity data'!AK76*UDSOEF*NtoN2O*kgtoGg,"ERROR"))</f>
        <v>0.1907519738898287</v>
      </c>
      <c r="S1146" s="101">
        <f>IF('Net zero activities &amp; levers'!$C$14="Off",'Activity data'!AL76*UDSOEF*NtoN2O*kgtoGg,IF('Net zero activities &amp; levers'!$C$14="On",'Net zero Activity data'!AL76*UDSOEF*NtoN2O*kgtoGg,"ERROR"))</f>
        <v>0.18088699682644091</v>
      </c>
      <c r="T1146" s="101">
        <f>IF('Net zero activities &amp; levers'!$C$14="Off",'Activity data'!AM76*UDSOEF*NtoN2O*kgtoGg,IF('Net zero activities &amp; levers'!$C$14="On",'Net zero Activity data'!AM76*UDSOEF*NtoN2O*kgtoGg,"ERROR"))</f>
        <v>0.1838972381660133</v>
      </c>
      <c r="U1146" s="101">
        <f>IF('Net zero activities &amp; levers'!$C$14="Off",'Activity data'!AN76*UDSOEF*NtoN2O*kgtoGg,IF('Net zero activities &amp; levers'!$C$14="On",'Net zero Activity data'!AN76*UDSOEF*NtoN2O*kgtoGg,"ERROR"))</f>
        <v>0.18587548996919678</v>
      </c>
      <c r="V1146" s="101">
        <f>IF('Net zero activities &amp; levers'!$C$14="Off",'Activity data'!AO76*UDSOEF*NtoN2O*kgtoGg,IF('Net zero activities &amp; levers'!$C$14="On",'Net zero Activity data'!AO76*UDSOEF*NtoN2O*kgtoGg,"ERROR"))</f>
        <v>0.18760159282395869</v>
      </c>
      <c r="W1146" s="101">
        <f>IF('Net zero activities &amp; levers'!$C$14="Off",'Activity data'!AP76*UDSOEF*NtoN2O*kgtoGg,IF('Net zero activities &amp; levers'!$C$14="On",'Net zero Activity data'!AP76*UDSOEF*NtoN2O*kgtoGg,"ERROR"))</f>
        <v>0.1896732782375587</v>
      </c>
      <c r="X1146" s="101">
        <f>IF('Net zero activities &amp; levers'!$C$14="Off",'Activity data'!AQ76*UDSOEF*NtoN2O*kgtoGg,IF('Net zero activities &amp; levers'!$C$14="On",'Net zero Activity data'!AQ76*UDSOEF*NtoN2O*kgtoGg,"ERROR"))</f>
        <v>0.1930022477976579</v>
      </c>
      <c r="Y1146" s="101">
        <f>IF('Net zero activities &amp; levers'!$C$14="Off",'Activity data'!AR76*UDSOEF*NtoN2O*kgtoGg,IF('Net zero activities &amp; levers'!$C$14="On",'Net zero Activity data'!AR76*UDSOEF*NtoN2O*kgtoGg,"ERROR"))</f>
        <v>0.19680822491201644</v>
      </c>
      <c r="Z1146" s="101">
        <f>IF('Net zero activities &amp; levers'!$C$14="Off",'Activity data'!AS76*UDSOEF*NtoN2O*kgtoGg,IF('Net zero activities &amp; levers'!$C$14="On",'Net zero Activity data'!AS76*UDSOEF*NtoN2O*kgtoGg,"ERROR"))</f>
        <v>0.20092114686502896</v>
      </c>
      <c r="AA1146" s="101">
        <f>IF('Net zero activities &amp; levers'!$C$14="Off",'Activity data'!AT76*UDSOEF*NtoN2O*kgtoGg,IF('Net zero activities &amp; levers'!$C$14="On",'Net zero Activity data'!AT76*UDSOEF*NtoN2O*kgtoGg,"ERROR"))</f>
        <v>0.20449468327122119</v>
      </c>
      <c r="AB1146" s="101">
        <f>IF('Net zero activities &amp; levers'!$C$14="Off",'Activity data'!AU76*UDSOEF*NtoN2O*kgtoGg,IF('Net zero activities &amp; levers'!$C$14="On",'Net zero Activity data'!AU76*UDSOEF*NtoN2O*kgtoGg,"ERROR"))</f>
        <v>0.20863723377024176</v>
      </c>
      <c r="AC1146" s="101">
        <f>IF('Net zero activities &amp; levers'!$C$14="Off",'Activity data'!AV76*UDSOEF*NtoN2O*kgtoGg,IF('Net zero activities &amp; levers'!$C$14="On",'Net zero Activity data'!AV76*UDSOEF*NtoN2O*kgtoGg,"ERROR"))</f>
        <v>0.21348409201000912</v>
      </c>
      <c r="AD1146" s="101">
        <f>IF('Net zero activities &amp; levers'!$C$14="Off",'Activity data'!AW76*UDSOEF*NtoN2O*kgtoGg,IF('Net zero activities &amp; levers'!$C$14="On",'Net zero Activity data'!AW76*UDSOEF*NtoN2O*kgtoGg,"ERROR"))</f>
        <v>0.21835511855598433</v>
      </c>
      <c r="AE1146" s="101">
        <f>IF('Net zero activities &amp; levers'!$C$14="Off",'Activity data'!AX76*UDSOEF*NtoN2O*kgtoGg,IF('Net zero activities &amp; levers'!$C$14="On",'Net zero Activity data'!AX76*UDSOEF*NtoN2O*kgtoGg,"ERROR"))</f>
        <v>0.22343868148870985</v>
      </c>
      <c r="AF1146" s="101">
        <f>IF('Net zero activities &amp; levers'!$C$14="Off",'Activity data'!AY76*UDSOEF*NtoN2O*kgtoGg,IF('Net zero activities &amp; levers'!$C$14="On",'Net zero Activity data'!AY76*UDSOEF*NtoN2O*kgtoGg,"ERROR"))</f>
        <v>0.22861834548683552</v>
      </c>
      <c r="AG1146" s="101">
        <f>IF('Net zero activities &amp; levers'!$C$14="Off",'Activity data'!AZ76*UDSOEF*NtoN2O*kgtoGg,IF('Net zero activities &amp; levers'!$C$14="On",'Net zero Activity data'!AZ76*UDSOEF*NtoN2O*kgtoGg,"ERROR"))</f>
        <v>0.23439670920107816</v>
      </c>
      <c r="AH1146" s="101">
        <f>IF('Net zero activities &amp; levers'!$C$14="Off",'Activity data'!BA76*UDSOEF*NtoN2O*kgtoGg,IF('Net zero activities &amp; levers'!$C$14="On",'Net zero Activity data'!BA76*UDSOEF*NtoN2O*kgtoGg,"ERROR"))</f>
        <v>0.23945118587989581</v>
      </c>
      <c r="AI1146" s="101">
        <f>IF('Net zero activities &amp; levers'!$C$14="Off",'Activity data'!BB76*UDSOEF*NtoN2O*kgtoGg,IF('Net zero activities &amp; levers'!$C$14="On",'Net zero Activity data'!BB76*UDSOEF*NtoN2O*kgtoGg,"ERROR"))</f>
        <v>0.24500563890300198</v>
      </c>
      <c r="AJ1146" s="101">
        <f>IF('Net zero activities &amp; levers'!$C$14="Off",'Activity data'!BC76*UDSOEF*NtoN2O*kgtoGg,IF('Net zero activities &amp; levers'!$C$14="On",'Net zero Activity data'!BC76*UDSOEF*NtoN2O*kgtoGg,"ERROR"))</f>
        <v>0.25065226424650994</v>
      </c>
      <c r="AK1146" s="101">
        <f>IF('Net zero activities &amp; levers'!$C$14="Off",'Activity data'!BD76*UDSOEF*NtoN2O*kgtoGg,IF('Net zero activities &amp; levers'!$C$14="On",'Net zero Activity data'!BD76*UDSOEF*NtoN2O*kgtoGg,"ERROR"))</f>
        <v>0.25603495440723167</v>
      </c>
      <c r="AL1146" s="101">
        <f>IF('Net zero activities &amp; levers'!$C$14="Off",'Activity data'!BE76*UDSOEF*NtoN2O*kgtoGg,IF('Net zero activities &amp; levers'!$C$14="On",'Net zero Activity data'!BE76*UDSOEF*NtoN2O*kgtoGg,"ERROR"))</f>
        <v>0.26139389266760604</v>
      </c>
      <c r="AM1146" s="101">
        <f>IF('Net zero activities &amp; levers'!$C$14="Off",'Activity data'!BF76*UDSOEF*NtoN2O*kgtoGg,IF('Net zero activities &amp; levers'!$C$14="On",'Net zero Activity data'!BF76*UDSOEF*NtoN2O*kgtoGg,"ERROR"))</f>
        <v>0.26694586167829398</v>
      </c>
      <c r="AN1146" s="101">
        <f>IF('Net zero activities &amp; levers'!$C$14="Off",'Activity data'!BG76*UDSOEF*NtoN2O*kgtoGg,IF('Net zero activities &amp; levers'!$C$14="On",'Net zero Activity data'!BG76*UDSOEF*NtoN2O*kgtoGg,"ERROR"))</f>
        <v>0.2729875481925238</v>
      </c>
      <c r="AO1146" s="101">
        <f>IF('Net zero activities &amp; levers'!$C$14="Off",'Activity data'!BH76*UDSOEF*NtoN2O*kgtoGg,IF('Net zero activities &amp; levers'!$C$14="On",'Net zero Activity data'!BH76*UDSOEF*NtoN2O*kgtoGg,"ERROR"))</f>
        <v>0.27866949697835908</v>
      </c>
      <c r="AP1146" s="101">
        <f>IF('Net zero activities &amp; levers'!$C$14="Off",'Activity data'!BI76*UDSOEF*NtoN2O*kgtoGg,IF('Net zero activities &amp; levers'!$C$14="On",'Net zero Activity data'!BI76*UDSOEF*NtoN2O*kgtoGg,"ERROR"))</f>
        <v>0.28442636508269281</v>
      </c>
      <c r="AQ1146" s="101">
        <f>IF('Net zero activities &amp; levers'!$C$14="Off",'Activity data'!BJ76*UDSOEF*NtoN2O*kgtoGg,IF('Net zero activities &amp; levers'!$C$14="On",'Net zero Activity data'!BJ76*UDSOEF*NtoN2O*kgtoGg,"ERROR"))</f>
        <v>0.29026877942449542</v>
      </c>
      <c r="AR1146" s="101">
        <f>IF('Net zero activities &amp; levers'!$C$14="Off",'Activity data'!BK76*UDSOEF*NtoN2O*kgtoGg,IF('Net zero activities &amp; levers'!$C$14="On",'Net zero Activity data'!BK76*UDSOEF*NtoN2O*kgtoGg,"ERROR"))</f>
        <v>0.2965076361345787</v>
      </c>
      <c r="AS1146" s="101">
        <f>IF('Net zero activities &amp; levers'!$C$14="Off",'Activity data'!BL76*UDSOEF*NtoN2O*kgtoGg,IF('Net zero activities &amp; levers'!$C$14="On",'Net zero Activity data'!BL76*UDSOEF*NtoN2O*kgtoGg,"ERROR"))</f>
        <v>0.30314124222534444</v>
      </c>
      <c r="AT1146" s="101">
        <f>IF('Net zero activities &amp; levers'!$C$14="Off",'Activity data'!BM76*UDSOEF*NtoN2O*kgtoGg,IF('Net zero activities &amp; levers'!$C$14="On",'Net zero Activity data'!BM76*UDSOEF*NtoN2O*kgtoGg,"ERROR"))</f>
        <v>0.30687944467675132</v>
      </c>
      <c r="AU1146" s="101">
        <f>IF('Net zero activities &amp; levers'!$C$14="Off",'Activity data'!BN76*UDSOEF*NtoN2O*kgtoGg,IF('Net zero activities &amp; levers'!$C$14="On",'Net zero Activity data'!BN76*UDSOEF*NtoN2O*kgtoGg,"ERROR"))</f>
        <v>0.31041516575775774</v>
      </c>
      <c r="AV1146" s="101">
        <f>IF('Net zero activities &amp; levers'!$C$14="Off",'Activity data'!BO76*UDSOEF*NtoN2O*kgtoGg,IF('Net zero activities &amp; levers'!$C$14="On",'Net zero Activity data'!BO76*UDSOEF*NtoN2O*kgtoGg,"ERROR"))</f>
        <v>0.31434593932944749</v>
      </c>
      <c r="AW1146" s="101">
        <f>IF('Net zero activities &amp; levers'!$C$14="Off",'Activity data'!BP76*UDSOEF*NtoN2O*kgtoGg,IF('Net zero activities &amp; levers'!$C$14="On",'Net zero Activity data'!BP76*UDSOEF*NtoN2O*kgtoGg,"ERROR"))</f>
        <v>0.31810899011348942</v>
      </c>
      <c r="AY1146" s="85"/>
    </row>
    <row r="1147" spans="1:51" x14ac:dyDescent="0.25">
      <c r="A1147" s="102" t="str">
        <f t="shared" si="374"/>
        <v>CM U&amp;D</v>
      </c>
      <c r="B1147" s="102" t="s">
        <v>1323</v>
      </c>
      <c r="C1147" s="102" t="s">
        <v>1337</v>
      </c>
      <c r="D1147" t="s">
        <v>369</v>
      </c>
      <c r="E1147" t="s">
        <v>55</v>
      </c>
      <c r="F1147" t="s">
        <v>422</v>
      </c>
      <c r="G1147" t="s">
        <v>1175</v>
      </c>
      <c r="H1147" t="s">
        <v>1252</v>
      </c>
      <c r="I1147" t="s">
        <v>139</v>
      </c>
      <c r="J1147" t="s">
        <v>287</v>
      </c>
      <c r="K1147" s="101">
        <f>IF('Net zero activities &amp; levers'!$C$14="Off",'Activity data'!AD77*UDSOEF*NtoN2O*kgtoGg,IF('Net zero activities &amp; levers'!$C$14="On",'Net zero Activity data'!AD77*UDSOEF*NtoN2O*kgtoGg,"ERROR"))</f>
        <v>3.4640571428571423E-2</v>
      </c>
      <c r="L1147" s="101">
        <f>IF('Net zero activities &amp; levers'!$C$14="Off",'Activity data'!AE77*UDSOEF*NtoN2O*kgtoGg,IF('Net zero activities &amp; levers'!$C$14="On",'Net zero Activity data'!AE77*UDSOEF*NtoN2O*kgtoGg,"ERROR"))</f>
        <v>3.4640571428571423E-2</v>
      </c>
      <c r="M1147" s="101">
        <f>IF('Net zero activities &amp; levers'!$C$14="Off",'Activity data'!AF77*UDSOEF*NtoN2O*kgtoGg,IF('Net zero activities &amp; levers'!$C$14="On",'Net zero Activity data'!AF77*UDSOEF*NtoN2O*kgtoGg,"ERROR"))</f>
        <v>3.4640571428571423E-2</v>
      </c>
      <c r="N1147" s="101">
        <f>IF('Net zero activities &amp; levers'!$C$14="Off",'Activity data'!AG77*UDSOEF*NtoN2O*kgtoGg,IF('Net zero activities &amp; levers'!$C$14="On",'Net zero Activity data'!AG77*UDSOEF*NtoN2O*kgtoGg,"ERROR"))</f>
        <v>3.4640571428571423E-2</v>
      </c>
      <c r="O1147" s="101">
        <f>IF('Net zero activities &amp; levers'!$C$14="Off",'Activity data'!AH77*UDSOEF*NtoN2O*kgtoGg,IF('Net zero activities &amp; levers'!$C$14="On",'Net zero Activity data'!AH77*UDSOEF*NtoN2O*kgtoGg,"ERROR"))</f>
        <v>3.4640571428571423E-2</v>
      </c>
      <c r="P1147" s="101">
        <f>IF('Net zero activities &amp; levers'!$C$14="Off",'Activity data'!AI77*UDSOEF*NtoN2O*kgtoGg,IF('Net zero activities &amp; levers'!$C$14="On",'Net zero Activity data'!AI77*UDSOEF*NtoN2O*kgtoGg,"ERROR"))</f>
        <v>3.4640571428571423E-2</v>
      </c>
      <c r="Q1147" s="101">
        <f>IF('Net zero activities &amp; levers'!$C$14="Off",'Activity data'!AJ77*UDSOEF*NtoN2O*kgtoGg,IF('Net zero activities &amp; levers'!$C$14="On",'Net zero Activity data'!AJ77*UDSOEF*NtoN2O*kgtoGg,"ERROR"))</f>
        <v>3.4640571428571423E-2</v>
      </c>
      <c r="R1147" s="101">
        <f>IF('Net zero activities &amp; levers'!$C$14="Off",'Activity data'!AK77*UDSOEF*NtoN2O*kgtoGg,IF('Net zero activities &amp; levers'!$C$14="On",'Net zero Activity data'!AK77*UDSOEF*NtoN2O*kgtoGg,"ERROR"))</f>
        <v>3.4640571428571423E-2</v>
      </c>
      <c r="S1147" s="101">
        <f>IF('Net zero activities &amp; levers'!$C$14="Off",'Activity data'!AL77*UDSOEF*NtoN2O*kgtoGg,IF('Net zero activities &amp; levers'!$C$14="On",'Net zero Activity data'!AL77*UDSOEF*NtoN2O*kgtoGg,"ERROR"))</f>
        <v>3.4640571428571423E-2</v>
      </c>
      <c r="T1147" s="101">
        <f>IF('Net zero activities &amp; levers'!$C$14="Off",'Activity data'!AM77*UDSOEF*NtoN2O*kgtoGg,IF('Net zero activities &amp; levers'!$C$14="On",'Net zero Activity data'!AM77*UDSOEF*NtoN2O*kgtoGg,"ERROR"))</f>
        <v>3.4640571428571423E-2</v>
      </c>
      <c r="U1147" s="101">
        <f>IF('Net zero activities &amp; levers'!$C$14="Off",'Activity data'!AN77*UDSOEF*NtoN2O*kgtoGg,IF('Net zero activities &amp; levers'!$C$14="On",'Net zero Activity data'!AN77*UDSOEF*NtoN2O*kgtoGg,"ERROR"))</f>
        <v>3.4640571428571423E-2</v>
      </c>
      <c r="V1147" s="101">
        <f>IF('Net zero activities &amp; levers'!$C$14="Off",'Activity data'!AO77*UDSOEF*NtoN2O*kgtoGg,IF('Net zero activities &amp; levers'!$C$14="On",'Net zero Activity data'!AO77*UDSOEF*NtoN2O*kgtoGg,"ERROR"))</f>
        <v>3.4640571428571423E-2</v>
      </c>
      <c r="W1147" s="101">
        <f>IF('Net zero activities &amp; levers'!$C$14="Off",'Activity data'!AP77*UDSOEF*NtoN2O*kgtoGg,IF('Net zero activities &amp; levers'!$C$14="On",'Net zero Activity data'!AP77*UDSOEF*NtoN2O*kgtoGg,"ERROR"))</f>
        <v>3.4640571428571423E-2</v>
      </c>
      <c r="X1147" s="101">
        <f>IF('Net zero activities &amp; levers'!$C$14="Off",'Activity data'!AQ77*UDSOEF*NtoN2O*kgtoGg,IF('Net zero activities &amp; levers'!$C$14="On",'Net zero Activity data'!AQ77*UDSOEF*NtoN2O*kgtoGg,"ERROR"))</f>
        <v>3.4640571428571423E-2</v>
      </c>
      <c r="Y1147" s="101">
        <f>IF('Net zero activities &amp; levers'!$C$14="Off",'Activity data'!AR77*UDSOEF*NtoN2O*kgtoGg,IF('Net zero activities &amp; levers'!$C$14="On",'Net zero Activity data'!AR77*UDSOEF*NtoN2O*kgtoGg,"ERROR"))</f>
        <v>3.4640571428571423E-2</v>
      </c>
      <c r="Z1147" s="101">
        <f>IF('Net zero activities &amp; levers'!$C$14="Off",'Activity data'!AS77*UDSOEF*NtoN2O*kgtoGg,IF('Net zero activities &amp; levers'!$C$14="On",'Net zero Activity data'!AS77*UDSOEF*NtoN2O*kgtoGg,"ERROR"))</f>
        <v>3.4640571428571423E-2</v>
      </c>
      <c r="AA1147" s="101">
        <f>IF('Net zero activities &amp; levers'!$C$14="Off",'Activity data'!AT77*UDSOEF*NtoN2O*kgtoGg,IF('Net zero activities &amp; levers'!$C$14="On",'Net zero Activity data'!AT77*UDSOEF*NtoN2O*kgtoGg,"ERROR"))</f>
        <v>3.4640571428571423E-2</v>
      </c>
      <c r="AB1147" s="101">
        <f>IF('Net zero activities &amp; levers'!$C$14="Off",'Activity data'!AU77*UDSOEF*NtoN2O*kgtoGg,IF('Net zero activities &amp; levers'!$C$14="On",'Net zero Activity data'!AU77*UDSOEF*NtoN2O*kgtoGg,"ERROR"))</f>
        <v>3.4640571428571423E-2</v>
      </c>
      <c r="AC1147" s="101">
        <f>IF('Net zero activities &amp; levers'!$C$14="Off",'Activity data'!AV77*UDSOEF*NtoN2O*kgtoGg,IF('Net zero activities &amp; levers'!$C$14="On",'Net zero Activity data'!AV77*UDSOEF*NtoN2O*kgtoGg,"ERROR"))</f>
        <v>3.4640571428571423E-2</v>
      </c>
      <c r="AD1147" s="101">
        <f>IF('Net zero activities &amp; levers'!$C$14="Off",'Activity data'!AW77*UDSOEF*NtoN2O*kgtoGg,IF('Net zero activities &amp; levers'!$C$14="On",'Net zero Activity data'!AW77*UDSOEF*NtoN2O*kgtoGg,"ERROR"))</f>
        <v>3.4640571428571423E-2</v>
      </c>
      <c r="AE1147" s="101">
        <f>IF('Net zero activities &amp; levers'!$C$14="Off",'Activity data'!AX77*UDSOEF*NtoN2O*kgtoGg,IF('Net zero activities &amp; levers'!$C$14="On",'Net zero Activity data'!AX77*UDSOEF*NtoN2O*kgtoGg,"ERROR"))</f>
        <v>3.4640571428571423E-2</v>
      </c>
      <c r="AF1147" s="101">
        <f>IF('Net zero activities &amp; levers'!$C$14="Off",'Activity data'!AY77*UDSOEF*NtoN2O*kgtoGg,IF('Net zero activities &amp; levers'!$C$14="On",'Net zero Activity data'!AY77*UDSOEF*NtoN2O*kgtoGg,"ERROR"))</f>
        <v>3.4640571428571423E-2</v>
      </c>
      <c r="AG1147" s="101">
        <f>IF('Net zero activities &amp; levers'!$C$14="Off",'Activity data'!AZ77*UDSOEF*NtoN2O*kgtoGg,IF('Net zero activities &amp; levers'!$C$14="On",'Net zero Activity data'!AZ77*UDSOEF*NtoN2O*kgtoGg,"ERROR"))</f>
        <v>3.4640571428571423E-2</v>
      </c>
      <c r="AH1147" s="101">
        <f>IF('Net zero activities &amp; levers'!$C$14="Off",'Activity data'!BA77*UDSOEF*NtoN2O*kgtoGg,IF('Net zero activities &amp; levers'!$C$14="On",'Net zero Activity data'!BA77*UDSOEF*NtoN2O*kgtoGg,"ERROR"))</f>
        <v>3.4640571428571423E-2</v>
      </c>
      <c r="AI1147" s="101">
        <f>IF('Net zero activities &amp; levers'!$C$14="Off",'Activity data'!BB77*UDSOEF*NtoN2O*kgtoGg,IF('Net zero activities &amp; levers'!$C$14="On",'Net zero Activity data'!BB77*UDSOEF*NtoN2O*kgtoGg,"ERROR"))</f>
        <v>3.4640571428571423E-2</v>
      </c>
      <c r="AJ1147" s="101">
        <f>IF('Net zero activities &amp; levers'!$C$14="Off",'Activity data'!BC77*UDSOEF*NtoN2O*kgtoGg,IF('Net zero activities &amp; levers'!$C$14="On",'Net zero Activity data'!BC77*UDSOEF*NtoN2O*kgtoGg,"ERROR"))</f>
        <v>3.4640571428571423E-2</v>
      </c>
      <c r="AK1147" s="101">
        <f>IF('Net zero activities &amp; levers'!$C$14="Off",'Activity data'!BD77*UDSOEF*NtoN2O*kgtoGg,IF('Net zero activities &amp; levers'!$C$14="On",'Net zero Activity data'!BD77*UDSOEF*NtoN2O*kgtoGg,"ERROR"))</f>
        <v>3.4640571428571423E-2</v>
      </c>
      <c r="AL1147" s="101">
        <f>IF('Net zero activities &amp; levers'!$C$14="Off",'Activity data'!BE77*UDSOEF*NtoN2O*kgtoGg,IF('Net zero activities &amp; levers'!$C$14="On",'Net zero Activity data'!BE77*UDSOEF*NtoN2O*kgtoGg,"ERROR"))</f>
        <v>3.4640571428571423E-2</v>
      </c>
      <c r="AM1147" s="101">
        <f>IF('Net zero activities &amp; levers'!$C$14="Off",'Activity data'!BF77*UDSOEF*NtoN2O*kgtoGg,IF('Net zero activities &amp; levers'!$C$14="On",'Net zero Activity data'!BF77*UDSOEF*NtoN2O*kgtoGg,"ERROR"))</f>
        <v>3.4640571428571423E-2</v>
      </c>
      <c r="AN1147" s="101">
        <f>IF('Net zero activities &amp; levers'!$C$14="Off",'Activity data'!BG77*UDSOEF*NtoN2O*kgtoGg,IF('Net zero activities &amp; levers'!$C$14="On",'Net zero Activity data'!BG77*UDSOEF*NtoN2O*kgtoGg,"ERROR"))</f>
        <v>3.4640571428571423E-2</v>
      </c>
      <c r="AO1147" s="101">
        <f>IF('Net zero activities &amp; levers'!$C$14="Off",'Activity data'!BH77*UDSOEF*NtoN2O*kgtoGg,IF('Net zero activities &amp; levers'!$C$14="On",'Net zero Activity data'!BH77*UDSOEF*NtoN2O*kgtoGg,"ERROR"))</f>
        <v>3.4640571428571423E-2</v>
      </c>
      <c r="AP1147" s="101">
        <f>IF('Net zero activities &amp; levers'!$C$14="Off",'Activity data'!BI77*UDSOEF*NtoN2O*kgtoGg,IF('Net zero activities &amp; levers'!$C$14="On",'Net zero Activity data'!BI77*UDSOEF*NtoN2O*kgtoGg,"ERROR"))</f>
        <v>3.4640571428571423E-2</v>
      </c>
      <c r="AQ1147" s="101">
        <f>IF('Net zero activities &amp; levers'!$C$14="Off",'Activity data'!BJ77*UDSOEF*NtoN2O*kgtoGg,IF('Net zero activities &amp; levers'!$C$14="On",'Net zero Activity data'!BJ77*UDSOEF*NtoN2O*kgtoGg,"ERROR"))</f>
        <v>3.4640571428571423E-2</v>
      </c>
      <c r="AR1147" s="101">
        <f>IF('Net zero activities &amp; levers'!$C$14="Off",'Activity data'!BK77*UDSOEF*NtoN2O*kgtoGg,IF('Net zero activities &amp; levers'!$C$14="On",'Net zero Activity data'!BK77*UDSOEF*NtoN2O*kgtoGg,"ERROR"))</f>
        <v>3.4640571428571423E-2</v>
      </c>
      <c r="AS1147" s="101">
        <f>IF('Net zero activities &amp; levers'!$C$14="Off",'Activity data'!BL77*UDSOEF*NtoN2O*kgtoGg,IF('Net zero activities &amp; levers'!$C$14="On",'Net zero Activity data'!BL77*UDSOEF*NtoN2O*kgtoGg,"ERROR"))</f>
        <v>3.4640571428571423E-2</v>
      </c>
      <c r="AT1147" s="101">
        <f>IF('Net zero activities &amp; levers'!$C$14="Off",'Activity data'!BM77*UDSOEF*NtoN2O*kgtoGg,IF('Net zero activities &amp; levers'!$C$14="On",'Net zero Activity data'!BM77*UDSOEF*NtoN2O*kgtoGg,"ERROR"))</f>
        <v>3.4640571428571423E-2</v>
      </c>
      <c r="AU1147" s="101">
        <f>IF('Net zero activities &amp; levers'!$C$14="Off",'Activity data'!BN77*UDSOEF*NtoN2O*kgtoGg,IF('Net zero activities &amp; levers'!$C$14="On",'Net zero Activity data'!BN77*UDSOEF*NtoN2O*kgtoGg,"ERROR"))</f>
        <v>3.4640571428571423E-2</v>
      </c>
      <c r="AV1147" s="101">
        <f>IF('Net zero activities &amp; levers'!$C$14="Off",'Activity data'!BO77*UDSOEF*NtoN2O*kgtoGg,IF('Net zero activities &amp; levers'!$C$14="On",'Net zero Activity data'!BO77*UDSOEF*NtoN2O*kgtoGg,"ERROR"))</f>
        <v>3.4640571428571423E-2</v>
      </c>
      <c r="AW1147" s="101">
        <f>IF('Net zero activities &amp; levers'!$C$14="Off",'Activity data'!BP77*UDSOEF*NtoN2O*kgtoGg,IF('Net zero activities &amp; levers'!$C$14="On",'Net zero Activity data'!BP77*UDSOEF*NtoN2O*kgtoGg,"ERROR"))</f>
        <v>3.4640571428571423E-2</v>
      </c>
      <c r="AY1147" s="85"/>
    </row>
    <row r="1148" spans="1:51" x14ac:dyDescent="0.25">
      <c r="A1148" s="102" t="str">
        <f t="shared" si="374"/>
        <v>CM U&amp;D</v>
      </c>
      <c r="B1148" s="102" t="s">
        <v>1323</v>
      </c>
      <c r="C1148" s="102" t="s">
        <v>1337</v>
      </c>
      <c r="D1148" t="s">
        <v>369</v>
      </c>
      <c r="E1148" t="s">
        <v>55</v>
      </c>
      <c r="F1148" t="s">
        <v>422</v>
      </c>
      <c r="G1148" t="s">
        <v>1177</v>
      </c>
      <c r="H1148" t="s">
        <v>1253</v>
      </c>
      <c r="I1148" t="s">
        <v>139</v>
      </c>
      <c r="J1148" t="s">
        <v>287</v>
      </c>
      <c r="K1148" s="101">
        <f>IF('Net zero activities &amp; levers'!$C$14="Off",'Activity data'!AD78*UDCPPEF*NtoN2O*kgtoGg,IF('Net zero activities &amp; levers'!$C$14="On",'Net zero Activity data'!AD78*UDCPPEF*NtoN2O*kgtoGg,"ERROR"))</f>
        <v>0</v>
      </c>
      <c r="L1148" s="101">
        <f>IF('Net zero activities &amp; levers'!$C$14="Off",'Activity data'!AE78*UDCPPEF*NtoN2O*kgtoGg,IF('Net zero activities &amp; levers'!$C$14="On",'Net zero Activity data'!AE78*UDCPPEF*NtoN2O*kgtoGg,"ERROR"))</f>
        <v>0</v>
      </c>
      <c r="M1148" s="101">
        <f>IF('Net zero activities &amp; levers'!$C$14="Off",'Activity data'!AF78*UDCPPEF*NtoN2O*kgtoGg,IF('Net zero activities &amp; levers'!$C$14="On",'Net zero Activity data'!AF78*UDCPPEF*NtoN2O*kgtoGg,"ERROR"))</f>
        <v>0</v>
      </c>
      <c r="N1148" s="101">
        <f>IF('Net zero activities &amp; levers'!$C$14="Off",'Activity data'!AG78*UDCPPEF*NtoN2O*kgtoGg,IF('Net zero activities &amp; levers'!$C$14="On",'Net zero Activity data'!AG78*UDCPPEF*NtoN2O*kgtoGg,"ERROR"))</f>
        <v>0</v>
      </c>
      <c r="O1148" s="101">
        <f>IF('Net zero activities &amp; levers'!$C$14="Off",'Activity data'!AH78*UDCPPEF*NtoN2O*kgtoGg,IF('Net zero activities &amp; levers'!$C$14="On",'Net zero Activity data'!AH78*UDCPPEF*NtoN2O*kgtoGg,"ERROR"))</f>
        <v>0</v>
      </c>
      <c r="P1148" s="101">
        <f>IF('Net zero activities &amp; levers'!$C$14="Off",'Activity data'!AI78*UDCPPEF*NtoN2O*kgtoGg,IF('Net zero activities &amp; levers'!$C$14="On",'Net zero Activity data'!AI78*UDCPPEF*NtoN2O*kgtoGg,"ERROR"))</f>
        <v>0</v>
      </c>
      <c r="Q1148" s="101">
        <f>IF('Net zero activities &amp; levers'!$C$14="Off",'Activity data'!AJ78*UDCPPEF*NtoN2O*kgtoGg,IF('Net zero activities &amp; levers'!$C$14="On",'Net zero Activity data'!AJ78*UDCPPEF*NtoN2O*kgtoGg,"ERROR"))</f>
        <v>0</v>
      </c>
      <c r="R1148" s="101">
        <f>IF('Net zero activities &amp; levers'!$C$14="Off",'Activity data'!AK78*UDCPPEF*NtoN2O*kgtoGg,IF('Net zero activities &amp; levers'!$C$14="On",'Net zero Activity data'!AK78*UDCPPEF*NtoN2O*kgtoGg,"ERROR"))</f>
        <v>0</v>
      </c>
      <c r="S1148" s="101">
        <f>IF('Net zero activities &amp; levers'!$C$14="Off",'Activity data'!AL78*UDCPPEF*NtoN2O*kgtoGg,IF('Net zero activities &amp; levers'!$C$14="On",'Net zero Activity data'!AL78*UDCPPEF*NtoN2O*kgtoGg,"ERROR"))</f>
        <v>0</v>
      </c>
      <c r="T1148" s="101">
        <f>IF('Net zero activities &amp; levers'!$C$14="Off",'Activity data'!AM78*UDCPPEF*NtoN2O*kgtoGg,IF('Net zero activities &amp; levers'!$C$14="On",'Net zero Activity data'!AM78*UDCPPEF*NtoN2O*kgtoGg,"ERROR"))</f>
        <v>0</v>
      </c>
      <c r="U1148" s="101">
        <f>IF('Net zero activities &amp; levers'!$C$14="Off",'Activity data'!AN78*UDCPPEF*NtoN2O*kgtoGg,IF('Net zero activities &amp; levers'!$C$14="On",'Net zero Activity data'!AN78*UDCPPEF*NtoN2O*kgtoGg,"ERROR"))</f>
        <v>0</v>
      </c>
      <c r="V1148" s="101">
        <f>IF('Net zero activities &amp; levers'!$C$14="Off",'Activity data'!AO78*UDCPPEF*NtoN2O*kgtoGg,IF('Net zero activities &amp; levers'!$C$14="On",'Net zero Activity data'!AO78*UDCPPEF*NtoN2O*kgtoGg,"ERROR"))</f>
        <v>0</v>
      </c>
      <c r="W1148" s="101">
        <f>IF('Net zero activities &amp; levers'!$C$14="Off",'Activity data'!AP78*UDCPPEF*NtoN2O*kgtoGg,IF('Net zero activities &amp; levers'!$C$14="On",'Net zero Activity data'!AP78*UDCPPEF*NtoN2O*kgtoGg,"ERROR"))</f>
        <v>0</v>
      </c>
      <c r="X1148" s="101">
        <f>IF('Net zero activities &amp; levers'!$C$14="Off",'Activity data'!AQ78*UDCPPEF*NtoN2O*kgtoGg,IF('Net zero activities &amp; levers'!$C$14="On",'Net zero Activity data'!AQ78*UDCPPEF*NtoN2O*kgtoGg,"ERROR"))</f>
        <v>0</v>
      </c>
      <c r="Y1148" s="101">
        <f>IF('Net zero activities &amp; levers'!$C$14="Off",'Activity data'!AR78*UDCPPEF*NtoN2O*kgtoGg,IF('Net zero activities &amp; levers'!$C$14="On",'Net zero Activity data'!AR78*UDCPPEF*NtoN2O*kgtoGg,"ERROR"))</f>
        <v>0</v>
      </c>
      <c r="Z1148" s="101">
        <f>IF('Net zero activities &amp; levers'!$C$14="Off",'Activity data'!AS78*UDCPPEF*NtoN2O*kgtoGg,IF('Net zero activities &amp; levers'!$C$14="On",'Net zero Activity data'!AS78*UDCPPEF*NtoN2O*kgtoGg,"ERROR"))</f>
        <v>0</v>
      </c>
      <c r="AA1148" s="101">
        <f>IF('Net zero activities &amp; levers'!$C$14="Off",'Activity data'!AT78*UDCPPEF*NtoN2O*kgtoGg,IF('Net zero activities &amp; levers'!$C$14="On",'Net zero Activity data'!AT78*UDCPPEF*NtoN2O*kgtoGg,"ERROR"))</f>
        <v>0</v>
      </c>
      <c r="AB1148" s="101">
        <f>IF('Net zero activities &amp; levers'!$C$14="Off",'Activity data'!AU78*UDCPPEF*NtoN2O*kgtoGg,IF('Net zero activities &amp; levers'!$C$14="On",'Net zero Activity data'!AU78*UDCPPEF*NtoN2O*kgtoGg,"ERROR"))</f>
        <v>0</v>
      </c>
      <c r="AC1148" s="101">
        <f>IF('Net zero activities &amp; levers'!$C$14="Off",'Activity data'!AV78*UDCPPEF*NtoN2O*kgtoGg,IF('Net zero activities &amp; levers'!$C$14="On",'Net zero Activity data'!AV78*UDCPPEF*NtoN2O*kgtoGg,"ERROR"))</f>
        <v>0</v>
      </c>
      <c r="AD1148" s="101">
        <f>IF('Net zero activities &amp; levers'!$C$14="Off",'Activity data'!AW78*UDCPPEF*NtoN2O*kgtoGg,IF('Net zero activities &amp; levers'!$C$14="On",'Net zero Activity data'!AW78*UDCPPEF*NtoN2O*kgtoGg,"ERROR"))</f>
        <v>0</v>
      </c>
      <c r="AE1148" s="101">
        <f>IF('Net zero activities &amp; levers'!$C$14="Off",'Activity data'!AX78*UDCPPEF*NtoN2O*kgtoGg,IF('Net zero activities &amp; levers'!$C$14="On",'Net zero Activity data'!AX78*UDCPPEF*NtoN2O*kgtoGg,"ERROR"))</f>
        <v>0</v>
      </c>
      <c r="AF1148" s="101">
        <f>IF('Net zero activities &amp; levers'!$C$14="Off",'Activity data'!AY78*UDCPPEF*NtoN2O*kgtoGg,IF('Net zero activities &amp; levers'!$C$14="On",'Net zero Activity data'!AY78*UDCPPEF*NtoN2O*kgtoGg,"ERROR"))</f>
        <v>0</v>
      </c>
      <c r="AG1148" s="101">
        <f>IF('Net zero activities &amp; levers'!$C$14="Off",'Activity data'!AZ78*UDCPPEF*NtoN2O*kgtoGg,IF('Net zero activities &amp; levers'!$C$14="On",'Net zero Activity data'!AZ78*UDCPPEF*NtoN2O*kgtoGg,"ERROR"))</f>
        <v>0</v>
      </c>
      <c r="AH1148" s="101">
        <f>IF('Net zero activities &amp; levers'!$C$14="Off",'Activity data'!BA78*UDCPPEF*NtoN2O*kgtoGg,IF('Net zero activities &amp; levers'!$C$14="On",'Net zero Activity data'!BA78*UDCPPEF*NtoN2O*kgtoGg,"ERROR"))</f>
        <v>0</v>
      </c>
      <c r="AI1148" s="101">
        <f>IF('Net zero activities &amp; levers'!$C$14="Off",'Activity data'!BB78*UDCPPEF*NtoN2O*kgtoGg,IF('Net zero activities &amp; levers'!$C$14="On",'Net zero Activity data'!BB78*UDCPPEF*NtoN2O*kgtoGg,"ERROR"))</f>
        <v>0</v>
      </c>
      <c r="AJ1148" s="101">
        <f>IF('Net zero activities &amp; levers'!$C$14="Off",'Activity data'!BC78*UDCPPEF*NtoN2O*kgtoGg,IF('Net zero activities &amp; levers'!$C$14="On",'Net zero Activity data'!BC78*UDCPPEF*NtoN2O*kgtoGg,"ERROR"))</f>
        <v>0</v>
      </c>
      <c r="AK1148" s="101">
        <f>IF('Net zero activities &amp; levers'!$C$14="Off",'Activity data'!BD78*UDCPPEF*NtoN2O*kgtoGg,IF('Net zero activities &amp; levers'!$C$14="On",'Net zero Activity data'!BD78*UDCPPEF*NtoN2O*kgtoGg,"ERROR"))</f>
        <v>0</v>
      </c>
      <c r="AL1148" s="101">
        <f>IF('Net zero activities &amp; levers'!$C$14="Off",'Activity data'!BE78*UDCPPEF*NtoN2O*kgtoGg,IF('Net zero activities &amp; levers'!$C$14="On",'Net zero Activity data'!BE78*UDCPPEF*NtoN2O*kgtoGg,"ERROR"))</f>
        <v>0</v>
      </c>
      <c r="AM1148" s="101">
        <f>IF('Net zero activities &amp; levers'!$C$14="Off",'Activity data'!BF78*UDCPPEF*NtoN2O*kgtoGg,IF('Net zero activities &amp; levers'!$C$14="On",'Net zero Activity data'!BF78*UDCPPEF*NtoN2O*kgtoGg,"ERROR"))</f>
        <v>0</v>
      </c>
      <c r="AN1148" s="101">
        <f>IF('Net zero activities &amp; levers'!$C$14="Off",'Activity data'!BG78*UDCPPEF*NtoN2O*kgtoGg,IF('Net zero activities &amp; levers'!$C$14="On",'Net zero Activity data'!BG78*UDCPPEF*NtoN2O*kgtoGg,"ERROR"))</f>
        <v>0</v>
      </c>
      <c r="AO1148" s="101">
        <f>IF('Net zero activities &amp; levers'!$C$14="Off",'Activity data'!BH78*UDCPPEF*NtoN2O*kgtoGg,IF('Net zero activities &amp; levers'!$C$14="On",'Net zero Activity data'!BH78*UDCPPEF*NtoN2O*kgtoGg,"ERROR"))</f>
        <v>0</v>
      </c>
      <c r="AP1148" s="101">
        <f>IF('Net zero activities &amp; levers'!$C$14="Off",'Activity data'!BI78*UDCPPEF*NtoN2O*kgtoGg,IF('Net zero activities &amp; levers'!$C$14="On",'Net zero Activity data'!BI78*UDCPPEF*NtoN2O*kgtoGg,"ERROR"))</f>
        <v>0</v>
      </c>
      <c r="AQ1148" s="101">
        <f>IF('Net zero activities &amp; levers'!$C$14="Off",'Activity data'!BJ78*UDCPPEF*NtoN2O*kgtoGg,IF('Net zero activities &amp; levers'!$C$14="On",'Net zero Activity data'!BJ78*UDCPPEF*NtoN2O*kgtoGg,"ERROR"))</f>
        <v>0</v>
      </c>
      <c r="AR1148" s="101">
        <f>IF('Net zero activities &amp; levers'!$C$14="Off",'Activity data'!BK78*UDCPPEF*NtoN2O*kgtoGg,IF('Net zero activities &amp; levers'!$C$14="On",'Net zero Activity data'!BK78*UDCPPEF*NtoN2O*kgtoGg,"ERROR"))</f>
        <v>0</v>
      </c>
      <c r="AS1148" s="101">
        <f>IF('Net zero activities &amp; levers'!$C$14="Off",'Activity data'!BL78*UDCPPEF*NtoN2O*kgtoGg,IF('Net zero activities &amp; levers'!$C$14="On",'Net zero Activity data'!BL78*UDCPPEF*NtoN2O*kgtoGg,"ERROR"))</f>
        <v>0</v>
      </c>
      <c r="AT1148" s="101">
        <f>IF('Net zero activities &amp; levers'!$C$14="Off",'Activity data'!BM78*UDCPPEF*NtoN2O*kgtoGg,IF('Net zero activities &amp; levers'!$C$14="On",'Net zero Activity data'!BM78*UDCPPEF*NtoN2O*kgtoGg,"ERROR"))</f>
        <v>0</v>
      </c>
      <c r="AU1148" s="101">
        <f>IF('Net zero activities &amp; levers'!$C$14="Off",'Activity data'!BN78*UDCPPEF*NtoN2O*kgtoGg,IF('Net zero activities &amp; levers'!$C$14="On",'Net zero Activity data'!BN78*UDCPPEF*NtoN2O*kgtoGg,"ERROR"))</f>
        <v>0</v>
      </c>
      <c r="AV1148" s="101">
        <f>IF('Net zero activities &amp; levers'!$C$14="Off",'Activity data'!BO78*UDCPPEF*NtoN2O*kgtoGg,IF('Net zero activities &amp; levers'!$C$14="On",'Net zero Activity data'!BO78*UDCPPEF*NtoN2O*kgtoGg,"ERROR"))</f>
        <v>0</v>
      </c>
      <c r="AW1148" s="101">
        <f>IF('Net zero activities &amp; levers'!$C$14="Off",'Activity data'!BP78*UDCPPEF*NtoN2O*kgtoGg,IF('Net zero activities &amp; levers'!$C$14="On",'Net zero Activity data'!BP78*UDCPPEF*NtoN2O*kgtoGg,"ERROR"))</f>
        <v>0</v>
      </c>
      <c r="AY1148" s="85"/>
    </row>
    <row r="1149" spans="1:51" x14ac:dyDescent="0.25">
      <c r="A1149" s="102" t="str">
        <f t="shared" si="374"/>
        <v>CM U&amp;D</v>
      </c>
      <c r="B1149" s="102" t="s">
        <v>1323</v>
      </c>
      <c r="C1149" s="102" t="s">
        <v>1337</v>
      </c>
      <c r="D1149" t="s">
        <v>369</v>
      </c>
      <c r="E1149" t="s">
        <v>55</v>
      </c>
      <c r="F1149" t="s">
        <v>422</v>
      </c>
      <c r="G1149" t="s">
        <v>1179</v>
      </c>
      <c r="H1149" t="s">
        <v>1254</v>
      </c>
      <c r="I1149" t="s">
        <v>139</v>
      </c>
      <c r="J1149" t="s">
        <v>287</v>
      </c>
      <c r="K1149" s="101">
        <f>IF('Net zero activities &amp; levers'!$C$14="Off",'Activity data'!AD79*UDCPPEF*NtoN2O*kgtoGg,IF('Net zero activities &amp; levers'!$C$14="On",'Net zero Activity data'!AD79*UDCPPEF*NtoN2O*kgtoGg,"ERROR"))</f>
        <v>0</v>
      </c>
      <c r="L1149" s="101">
        <f>IF('Net zero activities &amp; levers'!$C$14="Off",'Activity data'!AE79*UDCPPEF*NtoN2O*kgtoGg,IF('Net zero activities &amp; levers'!$C$14="On",'Net zero Activity data'!AE79*UDCPPEF*NtoN2O*kgtoGg,"ERROR"))</f>
        <v>0</v>
      </c>
      <c r="M1149" s="101">
        <f>IF('Net zero activities &amp; levers'!$C$14="Off",'Activity data'!AF79*UDCPPEF*NtoN2O*kgtoGg,IF('Net zero activities &amp; levers'!$C$14="On",'Net zero Activity data'!AF79*UDCPPEF*NtoN2O*kgtoGg,"ERROR"))</f>
        <v>0</v>
      </c>
      <c r="N1149" s="101">
        <f>IF('Net zero activities &amp; levers'!$C$14="Off",'Activity data'!AG79*UDCPPEF*NtoN2O*kgtoGg,IF('Net zero activities &amp; levers'!$C$14="On",'Net zero Activity data'!AG79*UDCPPEF*NtoN2O*kgtoGg,"ERROR"))</f>
        <v>0</v>
      </c>
      <c r="O1149" s="101">
        <f>IF('Net zero activities &amp; levers'!$C$14="Off",'Activity data'!AH79*UDCPPEF*NtoN2O*kgtoGg,IF('Net zero activities &amp; levers'!$C$14="On",'Net zero Activity data'!AH79*UDCPPEF*NtoN2O*kgtoGg,"ERROR"))</f>
        <v>0</v>
      </c>
      <c r="P1149" s="101">
        <f>IF('Net zero activities &amp; levers'!$C$14="Off",'Activity data'!AI79*UDCPPEF*NtoN2O*kgtoGg,IF('Net zero activities &amp; levers'!$C$14="On",'Net zero Activity data'!AI79*UDCPPEF*NtoN2O*kgtoGg,"ERROR"))</f>
        <v>0</v>
      </c>
      <c r="Q1149" s="101">
        <f>IF('Net zero activities &amp; levers'!$C$14="Off",'Activity data'!AJ79*UDCPPEF*NtoN2O*kgtoGg,IF('Net zero activities &amp; levers'!$C$14="On",'Net zero Activity data'!AJ79*UDCPPEF*NtoN2O*kgtoGg,"ERROR"))</f>
        <v>0</v>
      </c>
      <c r="R1149" s="101">
        <f>IF('Net zero activities &amp; levers'!$C$14="Off",'Activity data'!AK79*UDCPPEF*NtoN2O*kgtoGg,IF('Net zero activities &amp; levers'!$C$14="On",'Net zero Activity data'!AK79*UDCPPEF*NtoN2O*kgtoGg,"ERROR"))</f>
        <v>0</v>
      </c>
      <c r="S1149" s="101">
        <f>IF('Net zero activities &amp; levers'!$C$14="Off",'Activity data'!AL79*UDCPPEF*NtoN2O*kgtoGg,IF('Net zero activities &amp; levers'!$C$14="On",'Net zero Activity data'!AL79*UDCPPEF*NtoN2O*kgtoGg,"ERROR"))</f>
        <v>0</v>
      </c>
      <c r="T1149" s="101">
        <f>IF('Net zero activities &amp; levers'!$C$14="Off",'Activity data'!AM79*UDCPPEF*NtoN2O*kgtoGg,IF('Net zero activities &amp; levers'!$C$14="On",'Net zero Activity data'!AM79*UDCPPEF*NtoN2O*kgtoGg,"ERROR"))</f>
        <v>0</v>
      </c>
      <c r="U1149" s="101">
        <f>IF('Net zero activities &amp; levers'!$C$14="Off",'Activity data'!AN79*UDCPPEF*NtoN2O*kgtoGg,IF('Net zero activities &amp; levers'!$C$14="On",'Net zero Activity data'!AN79*UDCPPEF*NtoN2O*kgtoGg,"ERROR"))</f>
        <v>0</v>
      </c>
      <c r="V1149" s="101">
        <f>IF('Net zero activities &amp; levers'!$C$14="Off",'Activity data'!AO79*UDCPPEF*NtoN2O*kgtoGg,IF('Net zero activities &amp; levers'!$C$14="On",'Net zero Activity data'!AO79*UDCPPEF*NtoN2O*kgtoGg,"ERROR"))</f>
        <v>0</v>
      </c>
      <c r="W1149" s="101">
        <f>IF('Net zero activities &amp; levers'!$C$14="Off",'Activity data'!AP79*UDCPPEF*NtoN2O*kgtoGg,IF('Net zero activities &amp; levers'!$C$14="On",'Net zero Activity data'!AP79*UDCPPEF*NtoN2O*kgtoGg,"ERROR"))</f>
        <v>0</v>
      </c>
      <c r="X1149" s="101">
        <f>IF('Net zero activities &amp; levers'!$C$14="Off",'Activity data'!AQ79*UDCPPEF*NtoN2O*kgtoGg,IF('Net zero activities &amp; levers'!$C$14="On",'Net zero Activity data'!AQ79*UDCPPEF*NtoN2O*kgtoGg,"ERROR"))</f>
        <v>0</v>
      </c>
      <c r="Y1149" s="101">
        <f>IF('Net zero activities &amp; levers'!$C$14="Off",'Activity data'!AR79*UDCPPEF*NtoN2O*kgtoGg,IF('Net zero activities &amp; levers'!$C$14="On",'Net zero Activity data'!AR79*UDCPPEF*NtoN2O*kgtoGg,"ERROR"))</f>
        <v>0</v>
      </c>
      <c r="Z1149" s="101">
        <f>IF('Net zero activities &amp; levers'!$C$14="Off",'Activity data'!AS79*UDCPPEF*NtoN2O*kgtoGg,IF('Net zero activities &amp; levers'!$C$14="On",'Net zero Activity data'!AS79*UDCPPEF*NtoN2O*kgtoGg,"ERROR"))</f>
        <v>0</v>
      </c>
      <c r="AA1149" s="101">
        <f>IF('Net zero activities &amp; levers'!$C$14="Off",'Activity data'!AT79*UDCPPEF*NtoN2O*kgtoGg,IF('Net zero activities &amp; levers'!$C$14="On",'Net zero Activity data'!AT79*UDCPPEF*NtoN2O*kgtoGg,"ERROR"))</f>
        <v>0</v>
      </c>
      <c r="AB1149" s="101">
        <f>IF('Net zero activities &amp; levers'!$C$14="Off",'Activity data'!AU79*UDCPPEF*NtoN2O*kgtoGg,IF('Net zero activities &amp; levers'!$C$14="On",'Net zero Activity data'!AU79*UDCPPEF*NtoN2O*kgtoGg,"ERROR"))</f>
        <v>0</v>
      </c>
      <c r="AC1149" s="101">
        <f>IF('Net zero activities &amp; levers'!$C$14="Off",'Activity data'!AV79*UDCPPEF*NtoN2O*kgtoGg,IF('Net zero activities &amp; levers'!$C$14="On",'Net zero Activity data'!AV79*UDCPPEF*NtoN2O*kgtoGg,"ERROR"))</f>
        <v>0</v>
      </c>
      <c r="AD1149" s="101">
        <f>IF('Net zero activities &amp; levers'!$C$14="Off",'Activity data'!AW79*UDCPPEF*NtoN2O*kgtoGg,IF('Net zero activities &amp; levers'!$C$14="On",'Net zero Activity data'!AW79*UDCPPEF*NtoN2O*kgtoGg,"ERROR"))</f>
        <v>0</v>
      </c>
      <c r="AE1149" s="101">
        <f>IF('Net zero activities &amp; levers'!$C$14="Off",'Activity data'!AX79*UDCPPEF*NtoN2O*kgtoGg,IF('Net zero activities &amp; levers'!$C$14="On",'Net zero Activity data'!AX79*UDCPPEF*NtoN2O*kgtoGg,"ERROR"))</f>
        <v>0</v>
      </c>
      <c r="AF1149" s="101">
        <f>IF('Net zero activities &amp; levers'!$C$14="Off",'Activity data'!AY79*UDCPPEF*NtoN2O*kgtoGg,IF('Net zero activities &amp; levers'!$C$14="On",'Net zero Activity data'!AY79*UDCPPEF*NtoN2O*kgtoGg,"ERROR"))</f>
        <v>0</v>
      </c>
      <c r="AG1149" s="101">
        <f>IF('Net zero activities &amp; levers'!$C$14="Off",'Activity data'!AZ79*UDCPPEF*NtoN2O*kgtoGg,IF('Net zero activities &amp; levers'!$C$14="On",'Net zero Activity data'!AZ79*UDCPPEF*NtoN2O*kgtoGg,"ERROR"))</f>
        <v>0</v>
      </c>
      <c r="AH1149" s="101">
        <f>IF('Net zero activities &amp; levers'!$C$14="Off",'Activity data'!BA79*UDCPPEF*NtoN2O*kgtoGg,IF('Net zero activities &amp; levers'!$C$14="On",'Net zero Activity data'!BA79*UDCPPEF*NtoN2O*kgtoGg,"ERROR"))</f>
        <v>0</v>
      </c>
      <c r="AI1149" s="101">
        <f>IF('Net zero activities &amp; levers'!$C$14="Off",'Activity data'!BB79*UDCPPEF*NtoN2O*kgtoGg,IF('Net zero activities &amp; levers'!$C$14="On",'Net zero Activity data'!BB79*UDCPPEF*NtoN2O*kgtoGg,"ERROR"))</f>
        <v>0</v>
      </c>
      <c r="AJ1149" s="101">
        <f>IF('Net zero activities &amp; levers'!$C$14="Off",'Activity data'!BC79*UDCPPEF*NtoN2O*kgtoGg,IF('Net zero activities &amp; levers'!$C$14="On",'Net zero Activity data'!BC79*UDCPPEF*NtoN2O*kgtoGg,"ERROR"))</f>
        <v>0</v>
      </c>
      <c r="AK1149" s="101">
        <f>IF('Net zero activities &amp; levers'!$C$14="Off",'Activity data'!BD79*UDCPPEF*NtoN2O*kgtoGg,IF('Net zero activities &amp; levers'!$C$14="On",'Net zero Activity data'!BD79*UDCPPEF*NtoN2O*kgtoGg,"ERROR"))</f>
        <v>0</v>
      </c>
      <c r="AL1149" s="101">
        <f>IF('Net zero activities &amp; levers'!$C$14="Off",'Activity data'!BE79*UDCPPEF*NtoN2O*kgtoGg,IF('Net zero activities &amp; levers'!$C$14="On",'Net zero Activity data'!BE79*UDCPPEF*NtoN2O*kgtoGg,"ERROR"))</f>
        <v>0</v>
      </c>
      <c r="AM1149" s="101">
        <f>IF('Net zero activities &amp; levers'!$C$14="Off",'Activity data'!BF79*UDCPPEF*NtoN2O*kgtoGg,IF('Net zero activities &amp; levers'!$C$14="On",'Net zero Activity data'!BF79*UDCPPEF*NtoN2O*kgtoGg,"ERROR"))</f>
        <v>0</v>
      </c>
      <c r="AN1149" s="101">
        <f>IF('Net zero activities &amp; levers'!$C$14="Off",'Activity data'!BG79*UDCPPEF*NtoN2O*kgtoGg,IF('Net zero activities &amp; levers'!$C$14="On",'Net zero Activity data'!BG79*UDCPPEF*NtoN2O*kgtoGg,"ERROR"))</f>
        <v>0</v>
      </c>
      <c r="AO1149" s="101">
        <f>IF('Net zero activities &amp; levers'!$C$14="Off",'Activity data'!BH79*UDCPPEF*NtoN2O*kgtoGg,IF('Net zero activities &amp; levers'!$C$14="On",'Net zero Activity data'!BH79*UDCPPEF*NtoN2O*kgtoGg,"ERROR"))</f>
        <v>0</v>
      </c>
      <c r="AP1149" s="101">
        <f>IF('Net zero activities &amp; levers'!$C$14="Off",'Activity data'!BI79*UDCPPEF*NtoN2O*kgtoGg,IF('Net zero activities &amp; levers'!$C$14="On",'Net zero Activity data'!BI79*UDCPPEF*NtoN2O*kgtoGg,"ERROR"))</f>
        <v>0</v>
      </c>
      <c r="AQ1149" s="101">
        <f>IF('Net zero activities &amp; levers'!$C$14="Off",'Activity data'!BJ79*UDCPPEF*NtoN2O*kgtoGg,IF('Net zero activities &amp; levers'!$C$14="On",'Net zero Activity data'!BJ79*UDCPPEF*NtoN2O*kgtoGg,"ERROR"))</f>
        <v>0</v>
      </c>
      <c r="AR1149" s="101">
        <f>IF('Net zero activities &amp; levers'!$C$14="Off",'Activity data'!BK79*UDCPPEF*NtoN2O*kgtoGg,IF('Net zero activities &amp; levers'!$C$14="On",'Net zero Activity data'!BK79*UDCPPEF*NtoN2O*kgtoGg,"ERROR"))</f>
        <v>0</v>
      </c>
      <c r="AS1149" s="101">
        <f>IF('Net zero activities &amp; levers'!$C$14="Off",'Activity data'!BL79*UDCPPEF*NtoN2O*kgtoGg,IF('Net zero activities &amp; levers'!$C$14="On",'Net zero Activity data'!BL79*UDCPPEF*NtoN2O*kgtoGg,"ERROR"))</f>
        <v>0</v>
      </c>
      <c r="AT1149" s="101">
        <f>IF('Net zero activities &amp; levers'!$C$14="Off",'Activity data'!BM79*UDCPPEF*NtoN2O*kgtoGg,IF('Net zero activities &amp; levers'!$C$14="On",'Net zero Activity data'!BM79*UDCPPEF*NtoN2O*kgtoGg,"ERROR"))</f>
        <v>0</v>
      </c>
      <c r="AU1149" s="101">
        <f>IF('Net zero activities &amp; levers'!$C$14="Off",'Activity data'!BN79*UDCPPEF*NtoN2O*kgtoGg,IF('Net zero activities &amp; levers'!$C$14="On",'Net zero Activity data'!BN79*UDCPPEF*NtoN2O*kgtoGg,"ERROR"))</f>
        <v>0</v>
      </c>
      <c r="AV1149" s="101">
        <f>IF('Net zero activities &amp; levers'!$C$14="Off",'Activity data'!BO79*UDCPPEF*NtoN2O*kgtoGg,IF('Net zero activities &amp; levers'!$C$14="On",'Net zero Activity data'!BO79*UDCPPEF*NtoN2O*kgtoGg,"ERROR"))</f>
        <v>0</v>
      </c>
      <c r="AW1149" s="101">
        <f>IF('Net zero activities &amp; levers'!$C$14="Off",'Activity data'!BP79*UDCPPEF*NtoN2O*kgtoGg,IF('Net zero activities &amp; levers'!$C$14="On",'Net zero Activity data'!BP79*UDCPPEF*NtoN2O*kgtoGg,"ERROR"))</f>
        <v>0</v>
      </c>
      <c r="AY1149" s="85"/>
    </row>
    <row r="1150" spans="1:51" x14ac:dyDescent="0.25">
      <c r="A1150" s="102" t="str">
        <f t="shared" si="374"/>
        <v>CM U&amp;D</v>
      </c>
      <c r="B1150" s="102" t="s">
        <v>1323</v>
      </c>
      <c r="C1150" s="102" t="s">
        <v>1337</v>
      </c>
      <c r="D1150" t="s">
        <v>369</v>
      </c>
      <c r="E1150" t="s">
        <v>55</v>
      </c>
      <c r="F1150" t="s">
        <v>422</v>
      </c>
      <c r="G1150" t="s">
        <v>1181</v>
      </c>
      <c r="H1150" t="s">
        <v>1255</v>
      </c>
      <c r="I1150" t="s">
        <v>139</v>
      </c>
      <c r="J1150" t="s">
        <v>287</v>
      </c>
      <c r="K1150" s="101">
        <f>IF('Net zero activities &amp; levers'!$C$14="Off",'Activity data'!AD80*UDCPPEF*NtoN2O*kgtoGg,IF('Net zero activities &amp; levers'!$C$14="On",'Net zero Activity data'!AD80*UDCPPEF*NtoN2O*kgtoGg,"ERROR"))</f>
        <v>0</v>
      </c>
      <c r="L1150" s="101">
        <f>IF('Net zero activities &amp; levers'!$C$14="Off",'Activity data'!AE80*UDCPPEF*NtoN2O*kgtoGg,IF('Net zero activities &amp; levers'!$C$14="On",'Net zero Activity data'!AE80*UDCPPEF*NtoN2O*kgtoGg,"ERROR"))</f>
        <v>0</v>
      </c>
      <c r="M1150" s="101">
        <f>IF('Net zero activities &amp; levers'!$C$14="Off",'Activity data'!AF80*UDCPPEF*NtoN2O*kgtoGg,IF('Net zero activities &amp; levers'!$C$14="On",'Net zero Activity data'!AF80*UDCPPEF*NtoN2O*kgtoGg,"ERROR"))</f>
        <v>0</v>
      </c>
      <c r="N1150" s="101">
        <f>IF('Net zero activities &amp; levers'!$C$14="Off",'Activity data'!AG80*UDCPPEF*NtoN2O*kgtoGg,IF('Net zero activities &amp; levers'!$C$14="On",'Net zero Activity data'!AG80*UDCPPEF*NtoN2O*kgtoGg,"ERROR"))</f>
        <v>0</v>
      </c>
      <c r="O1150" s="101">
        <f>IF('Net zero activities &amp; levers'!$C$14="Off",'Activity data'!AH80*UDCPPEF*NtoN2O*kgtoGg,IF('Net zero activities &amp; levers'!$C$14="On",'Net zero Activity data'!AH80*UDCPPEF*NtoN2O*kgtoGg,"ERROR"))</f>
        <v>0</v>
      </c>
      <c r="P1150" s="101">
        <f>IF('Net zero activities &amp; levers'!$C$14="Off",'Activity data'!AI80*UDCPPEF*NtoN2O*kgtoGg,IF('Net zero activities &amp; levers'!$C$14="On",'Net zero Activity data'!AI80*UDCPPEF*NtoN2O*kgtoGg,"ERROR"))</f>
        <v>0</v>
      </c>
      <c r="Q1150" s="101">
        <f>IF('Net zero activities &amp; levers'!$C$14="Off",'Activity data'!AJ80*UDCPPEF*NtoN2O*kgtoGg,IF('Net zero activities &amp; levers'!$C$14="On",'Net zero Activity data'!AJ80*UDCPPEF*NtoN2O*kgtoGg,"ERROR"))</f>
        <v>0</v>
      </c>
      <c r="R1150" s="101">
        <f>IF('Net zero activities &amp; levers'!$C$14="Off",'Activity data'!AK80*UDCPPEF*NtoN2O*kgtoGg,IF('Net zero activities &amp; levers'!$C$14="On",'Net zero Activity data'!AK80*UDCPPEF*NtoN2O*kgtoGg,"ERROR"))</f>
        <v>0</v>
      </c>
      <c r="S1150" s="101">
        <f>IF('Net zero activities &amp; levers'!$C$14="Off",'Activity data'!AL80*UDCPPEF*NtoN2O*kgtoGg,IF('Net zero activities &amp; levers'!$C$14="On",'Net zero Activity data'!AL80*UDCPPEF*NtoN2O*kgtoGg,"ERROR"))</f>
        <v>0</v>
      </c>
      <c r="T1150" s="101">
        <f>IF('Net zero activities &amp; levers'!$C$14="Off",'Activity data'!AM80*UDCPPEF*NtoN2O*kgtoGg,IF('Net zero activities &amp; levers'!$C$14="On",'Net zero Activity data'!AM80*UDCPPEF*NtoN2O*kgtoGg,"ERROR"))</f>
        <v>0</v>
      </c>
      <c r="U1150" s="101">
        <f>IF('Net zero activities &amp; levers'!$C$14="Off",'Activity data'!AN80*UDCPPEF*NtoN2O*kgtoGg,IF('Net zero activities &amp; levers'!$C$14="On",'Net zero Activity data'!AN80*UDCPPEF*NtoN2O*kgtoGg,"ERROR"))</f>
        <v>0</v>
      </c>
      <c r="V1150" s="101">
        <f>IF('Net zero activities &amp; levers'!$C$14="Off",'Activity data'!AO80*UDCPPEF*NtoN2O*kgtoGg,IF('Net zero activities &amp; levers'!$C$14="On",'Net zero Activity data'!AO80*UDCPPEF*NtoN2O*kgtoGg,"ERROR"))</f>
        <v>0</v>
      </c>
      <c r="W1150" s="101">
        <f>IF('Net zero activities &amp; levers'!$C$14="Off",'Activity data'!AP80*UDCPPEF*NtoN2O*kgtoGg,IF('Net zero activities &amp; levers'!$C$14="On",'Net zero Activity data'!AP80*UDCPPEF*NtoN2O*kgtoGg,"ERROR"))</f>
        <v>0</v>
      </c>
      <c r="X1150" s="101">
        <f>IF('Net zero activities &amp; levers'!$C$14="Off",'Activity data'!AQ80*UDCPPEF*NtoN2O*kgtoGg,IF('Net zero activities &amp; levers'!$C$14="On",'Net zero Activity data'!AQ80*UDCPPEF*NtoN2O*kgtoGg,"ERROR"))</f>
        <v>0</v>
      </c>
      <c r="Y1150" s="101">
        <f>IF('Net zero activities &amp; levers'!$C$14="Off",'Activity data'!AR80*UDCPPEF*NtoN2O*kgtoGg,IF('Net zero activities &amp; levers'!$C$14="On",'Net zero Activity data'!AR80*UDCPPEF*NtoN2O*kgtoGg,"ERROR"))</f>
        <v>0</v>
      </c>
      <c r="Z1150" s="101">
        <f>IF('Net zero activities &amp; levers'!$C$14="Off",'Activity data'!AS80*UDCPPEF*NtoN2O*kgtoGg,IF('Net zero activities &amp; levers'!$C$14="On",'Net zero Activity data'!AS80*UDCPPEF*NtoN2O*kgtoGg,"ERROR"))</f>
        <v>0</v>
      </c>
      <c r="AA1150" s="101">
        <f>IF('Net zero activities &amp; levers'!$C$14="Off",'Activity data'!AT80*UDCPPEF*NtoN2O*kgtoGg,IF('Net zero activities &amp; levers'!$C$14="On",'Net zero Activity data'!AT80*UDCPPEF*NtoN2O*kgtoGg,"ERROR"))</f>
        <v>0</v>
      </c>
      <c r="AB1150" s="101">
        <f>IF('Net zero activities &amp; levers'!$C$14="Off",'Activity data'!AU80*UDCPPEF*NtoN2O*kgtoGg,IF('Net zero activities &amp; levers'!$C$14="On",'Net zero Activity data'!AU80*UDCPPEF*NtoN2O*kgtoGg,"ERROR"))</f>
        <v>0</v>
      </c>
      <c r="AC1150" s="101">
        <f>IF('Net zero activities &amp; levers'!$C$14="Off",'Activity data'!AV80*UDCPPEF*NtoN2O*kgtoGg,IF('Net zero activities &amp; levers'!$C$14="On",'Net zero Activity data'!AV80*UDCPPEF*NtoN2O*kgtoGg,"ERROR"))</f>
        <v>0</v>
      </c>
      <c r="AD1150" s="101">
        <f>IF('Net zero activities &amp; levers'!$C$14="Off",'Activity data'!AW80*UDCPPEF*NtoN2O*kgtoGg,IF('Net zero activities &amp; levers'!$C$14="On",'Net zero Activity data'!AW80*UDCPPEF*NtoN2O*kgtoGg,"ERROR"))</f>
        <v>0</v>
      </c>
      <c r="AE1150" s="101">
        <f>IF('Net zero activities &amp; levers'!$C$14="Off",'Activity data'!AX80*UDCPPEF*NtoN2O*kgtoGg,IF('Net zero activities &amp; levers'!$C$14="On",'Net zero Activity data'!AX80*UDCPPEF*NtoN2O*kgtoGg,"ERROR"))</f>
        <v>0</v>
      </c>
      <c r="AF1150" s="101">
        <f>IF('Net zero activities &amp; levers'!$C$14="Off",'Activity data'!AY80*UDCPPEF*NtoN2O*kgtoGg,IF('Net zero activities &amp; levers'!$C$14="On",'Net zero Activity data'!AY80*UDCPPEF*NtoN2O*kgtoGg,"ERROR"))</f>
        <v>0</v>
      </c>
      <c r="AG1150" s="101">
        <f>IF('Net zero activities &amp; levers'!$C$14="Off",'Activity data'!AZ80*UDCPPEF*NtoN2O*kgtoGg,IF('Net zero activities &amp; levers'!$C$14="On",'Net zero Activity data'!AZ80*UDCPPEF*NtoN2O*kgtoGg,"ERROR"))</f>
        <v>0</v>
      </c>
      <c r="AH1150" s="101">
        <f>IF('Net zero activities &amp; levers'!$C$14="Off",'Activity data'!BA80*UDCPPEF*NtoN2O*kgtoGg,IF('Net zero activities &amp; levers'!$C$14="On",'Net zero Activity data'!BA80*UDCPPEF*NtoN2O*kgtoGg,"ERROR"))</f>
        <v>0</v>
      </c>
      <c r="AI1150" s="101">
        <f>IF('Net zero activities &amp; levers'!$C$14="Off",'Activity data'!BB80*UDCPPEF*NtoN2O*kgtoGg,IF('Net zero activities &amp; levers'!$C$14="On",'Net zero Activity data'!BB80*UDCPPEF*NtoN2O*kgtoGg,"ERROR"))</f>
        <v>0</v>
      </c>
      <c r="AJ1150" s="101">
        <f>IF('Net zero activities &amp; levers'!$C$14="Off",'Activity data'!BC80*UDCPPEF*NtoN2O*kgtoGg,IF('Net zero activities &amp; levers'!$C$14="On",'Net zero Activity data'!BC80*UDCPPEF*NtoN2O*kgtoGg,"ERROR"))</f>
        <v>0</v>
      </c>
      <c r="AK1150" s="101">
        <f>IF('Net zero activities &amp; levers'!$C$14="Off",'Activity data'!BD80*UDCPPEF*NtoN2O*kgtoGg,IF('Net zero activities &amp; levers'!$C$14="On",'Net zero Activity data'!BD80*UDCPPEF*NtoN2O*kgtoGg,"ERROR"))</f>
        <v>0</v>
      </c>
      <c r="AL1150" s="101">
        <f>IF('Net zero activities &amp; levers'!$C$14="Off",'Activity data'!BE80*UDCPPEF*NtoN2O*kgtoGg,IF('Net zero activities &amp; levers'!$C$14="On",'Net zero Activity data'!BE80*UDCPPEF*NtoN2O*kgtoGg,"ERROR"))</f>
        <v>0</v>
      </c>
      <c r="AM1150" s="101">
        <f>IF('Net zero activities &amp; levers'!$C$14="Off",'Activity data'!BF80*UDCPPEF*NtoN2O*kgtoGg,IF('Net zero activities &amp; levers'!$C$14="On",'Net zero Activity data'!BF80*UDCPPEF*NtoN2O*kgtoGg,"ERROR"))</f>
        <v>0</v>
      </c>
      <c r="AN1150" s="101">
        <f>IF('Net zero activities &amp; levers'!$C$14="Off",'Activity data'!BG80*UDCPPEF*NtoN2O*kgtoGg,IF('Net zero activities &amp; levers'!$C$14="On",'Net zero Activity data'!BG80*UDCPPEF*NtoN2O*kgtoGg,"ERROR"))</f>
        <v>0</v>
      </c>
      <c r="AO1150" s="101">
        <f>IF('Net zero activities &amp; levers'!$C$14="Off",'Activity data'!BH80*UDCPPEF*NtoN2O*kgtoGg,IF('Net zero activities &amp; levers'!$C$14="On",'Net zero Activity data'!BH80*UDCPPEF*NtoN2O*kgtoGg,"ERROR"))</f>
        <v>0</v>
      </c>
      <c r="AP1150" s="101">
        <f>IF('Net zero activities &amp; levers'!$C$14="Off",'Activity data'!BI80*UDCPPEF*NtoN2O*kgtoGg,IF('Net zero activities &amp; levers'!$C$14="On",'Net zero Activity data'!BI80*UDCPPEF*NtoN2O*kgtoGg,"ERROR"))</f>
        <v>0</v>
      </c>
      <c r="AQ1150" s="101">
        <f>IF('Net zero activities &amp; levers'!$C$14="Off",'Activity data'!BJ80*UDCPPEF*NtoN2O*kgtoGg,IF('Net zero activities &amp; levers'!$C$14="On",'Net zero Activity data'!BJ80*UDCPPEF*NtoN2O*kgtoGg,"ERROR"))</f>
        <v>0</v>
      </c>
      <c r="AR1150" s="101">
        <f>IF('Net zero activities &amp; levers'!$C$14="Off",'Activity data'!BK80*UDCPPEF*NtoN2O*kgtoGg,IF('Net zero activities &amp; levers'!$C$14="On",'Net zero Activity data'!BK80*UDCPPEF*NtoN2O*kgtoGg,"ERROR"))</f>
        <v>0</v>
      </c>
      <c r="AS1150" s="101">
        <f>IF('Net zero activities &amp; levers'!$C$14="Off",'Activity data'!BL80*UDCPPEF*NtoN2O*kgtoGg,IF('Net zero activities &amp; levers'!$C$14="On",'Net zero Activity data'!BL80*UDCPPEF*NtoN2O*kgtoGg,"ERROR"))</f>
        <v>0</v>
      </c>
      <c r="AT1150" s="101">
        <f>IF('Net zero activities &amp; levers'!$C$14="Off",'Activity data'!BM80*UDCPPEF*NtoN2O*kgtoGg,IF('Net zero activities &amp; levers'!$C$14="On",'Net zero Activity data'!BM80*UDCPPEF*NtoN2O*kgtoGg,"ERROR"))</f>
        <v>0</v>
      </c>
      <c r="AU1150" s="101">
        <f>IF('Net zero activities &amp; levers'!$C$14="Off",'Activity data'!BN80*UDCPPEF*NtoN2O*kgtoGg,IF('Net zero activities &amp; levers'!$C$14="On",'Net zero Activity data'!BN80*UDCPPEF*NtoN2O*kgtoGg,"ERROR"))</f>
        <v>0</v>
      </c>
      <c r="AV1150" s="101">
        <f>IF('Net zero activities &amp; levers'!$C$14="Off",'Activity data'!BO80*UDCPPEF*NtoN2O*kgtoGg,IF('Net zero activities &amp; levers'!$C$14="On",'Net zero Activity data'!BO80*UDCPPEF*NtoN2O*kgtoGg,"ERROR"))</f>
        <v>0</v>
      </c>
      <c r="AW1150" s="101">
        <f>IF('Net zero activities &amp; levers'!$C$14="Off",'Activity data'!BP80*UDCPPEF*NtoN2O*kgtoGg,IF('Net zero activities &amp; levers'!$C$14="On",'Net zero Activity data'!BP80*UDCPPEF*NtoN2O*kgtoGg,"ERROR"))</f>
        <v>0</v>
      </c>
      <c r="AY1150" s="85"/>
    </row>
    <row r="1151" spans="1:51" x14ac:dyDescent="0.25">
      <c r="A1151" s="102" t="str">
        <f t="shared" si="374"/>
        <v>CM U&amp;D</v>
      </c>
      <c r="B1151" s="102" t="s">
        <v>1323</v>
      </c>
      <c r="C1151" s="102" t="s">
        <v>1337</v>
      </c>
      <c r="D1151" t="s">
        <v>369</v>
      </c>
      <c r="E1151" t="s">
        <v>55</v>
      </c>
      <c r="F1151" t="s">
        <v>422</v>
      </c>
      <c r="G1151" t="s">
        <v>1183</v>
      </c>
      <c r="H1151" t="s">
        <v>1256</v>
      </c>
      <c r="I1151" t="s">
        <v>139</v>
      </c>
      <c r="J1151" t="s">
        <v>287</v>
      </c>
      <c r="K1151" s="101">
        <f>IF('Net zero activities &amp; levers'!$C$14="Off",'Activity data'!AD81*UDCPPEF*NtoN2O*kgtoGg,IF('Net zero activities &amp; levers'!$C$14="On",'Net zero Activity data'!AD81*UDCPPEF*NtoN2O*kgtoGg,"ERROR"))</f>
        <v>0</v>
      </c>
      <c r="L1151" s="101">
        <f>IF('Net zero activities &amp; levers'!$C$14="Off",'Activity data'!AE81*UDCPPEF*NtoN2O*kgtoGg,IF('Net zero activities &amp; levers'!$C$14="On",'Net zero Activity data'!AE81*UDCPPEF*NtoN2O*kgtoGg,"ERROR"))</f>
        <v>0</v>
      </c>
      <c r="M1151" s="101">
        <f>IF('Net zero activities &amp; levers'!$C$14="Off",'Activity data'!AF81*UDCPPEF*NtoN2O*kgtoGg,IF('Net zero activities &amp; levers'!$C$14="On",'Net zero Activity data'!AF81*UDCPPEF*NtoN2O*kgtoGg,"ERROR"))</f>
        <v>0</v>
      </c>
      <c r="N1151" s="101">
        <f>IF('Net zero activities &amp; levers'!$C$14="Off",'Activity data'!AG81*UDCPPEF*NtoN2O*kgtoGg,IF('Net zero activities &amp; levers'!$C$14="On",'Net zero Activity data'!AG81*UDCPPEF*NtoN2O*kgtoGg,"ERROR"))</f>
        <v>0</v>
      </c>
      <c r="O1151" s="101">
        <f>IF('Net zero activities &amp; levers'!$C$14="Off",'Activity data'!AH81*UDCPPEF*NtoN2O*kgtoGg,IF('Net zero activities &amp; levers'!$C$14="On",'Net zero Activity data'!AH81*UDCPPEF*NtoN2O*kgtoGg,"ERROR"))</f>
        <v>0</v>
      </c>
      <c r="P1151" s="101">
        <f>IF('Net zero activities &amp; levers'!$C$14="Off",'Activity data'!AI81*UDCPPEF*NtoN2O*kgtoGg,IF('Net zero activities &amp; levers'!$C$14="On",'Net zero Activity data'!AI81*UDCPPEF*NtoN2O*kgtoGg,"ERROR"))</f>
        <v>0</v>
      </c>
      <c r="Q1151" s="101">
        <f>IF('Net zero activities &amp; levers'!$C$14="Off",'Activity data'!AJ81*UDCPPEF*NtoN2O*kgtoGg,IF('Net zero activities &amp; levers'!$C$14="On",'Net zero Activity data'!AJ81*UDCPPEF*NtoN2O*kgtoGg,"ERROR"))</f>
        <v>0</v>
      </c>
      <c r="R1151" s="101">
        <f>IF('Net zero activities &amp; levers'!$C$14="Off",'Activity data'!AK81*UDCPPEF*NtoN2O*kgtoGg,IF('Net zero activities &amp; levers'!$C$14="On",'Net zero Activity data'!AK81*UDCPPEF*NtoN2O*kgtoGg,"ERROR"))</f>
        <v>0</v>
      </c>
      <c r="S1151" s="101">
        <f>IF('Net zero activities &amp; levers'!$C$14="Off",'Activity data'!AL81*UDCPPEF*NtoN2O*kgtoGg,IF('Net zero activities &amp; levers'!$C$14="On",'Net zero Activity data'!AL81*UDCPPEF*NtoN2O*kgtoGg,"ERROR"))</f>
        <v>0</v>
      </c>
      <c r="T1151" s="101">
        <f>IF('Net zero activities &amp; levers'!$C$14="Off",'Activity data'!AM81*UDCPPEF*NtoN2O*kgtoGg,IF('Net zero activities &amp; levers'!$C$14="On",'Net zero Activity data'!AM81*UDCPPEF*NtoN2O*kgtoGg,"ERROR"))</f>
        <v>0</v>
      </c>
      <c r="U1151" s="101">
        <f>IF('Net zero activities &amp; levers'!$C$14="Off",'Activity data'!AN81*UDCPPEF*NtoN2O*kgtoGg,IF('Net zero activities &amp; levers'!$C$14="On",'Net zero Activity data'!AN81*UDCPPEF*NtoN2O*kgtoGg,"ERROR"))</f>
        <v>0</v>
      </c>
      <c r="V1151" s="101">
        <f>IF('Net zero activities &amp; levers'!$C$14="Off",'Activity data'!AO81*UDCPPEF*NtoN2O*kgtoGg,IF('Net zero activities &amp; levers'!$C$14="On",'Net zero Activity data'!AO81*UDCPPEF*NtoN2O*kgtoGg,"ERROR"))</f>
        <v>0</v>
      </c>
      <c r="W1151" s="101">
        <f>IF('Net zero activities &amp; levers'!$C$14="Off",'Activity data'!AP81*UDCPPEF*NtoN2O*kgtoGg,IF('Net zero activities &amp; levers'!$C$14="On",'Net zero Activity data'!AP81*UDCPPEF*NtoN2O*kgtoGg,"ERROR"))</f>
        <v>0</v>
      </c>
      <c r="X1151" s="101">
        <f>IF('Net zero activities &amp; levers'!$C$14="Off",'Activity data'!AQ81*UDCPPEF*NtoN2O*kgtoGg,IF('Net zero activities &amp; levers'!$C$14="On",'Net zero Activity data'!AQ81*UDCPPEF*NtoN2O*kgtoGg,"ERROR"))</f>
        <v>0</v>
      </c>
      <c r="Y1151" s="101">
        <f>IF('Net zero activities &amp; levers'!$C$14="Off",'Activity data'!AR81*UDCPPEF*NtoN2O*kgtoGg,IF('Net zero activities &amp; levers'!$C$14="On",'Net zero Activity data'!AR81*UDCPPEF*NtoN2O*kgtoGg,"ERROR"))</f>
        <v>0</v>
      </c>
      <c r="Z1151" s="101">
        <f>IF('Net zero activities &amp; levers'!$C$14="Off",'Activity data'!AS81*UDCPPEF*NtoN2O*kgtoGg,IF('Net zero activities &amp; levers'!$C$14="On",'Net zero Activity data'!AS81*UDCPPEF*NtoN2O*kgtoGg,"ERROR"))</f>
        <v>0</v>
      </c>
      <c r="AA1151" s="101">
        <f>IF('Net zero activities &amp; levers'!$C$14="Off",'Activity data'!AT81*UDCPPEF*NtoN2O*kgtoGg,IF('Net zero activities &amp; levers'!$C$14="On",'Net zero Activity data'!AT81*UDCPPEF*NtoN2O*kgtoGg,"ERROR"))</f>
        <v>0</v>
      </c>
      <c r="AB1151" s="101">
        <f>IF('Net zero activities &amp; levers'!$C$14="Off",'Activity data'!AU81*UDCPPEF*NtoN2O*kgtoGg,IF('Net zero activities &amp; levers'!$C$14="On",'Net zero Activity data'!AU81*UDCPPEF*NtoN2O*kgtoGg,"ERROR"))</f>
        <v>0</v>
      </c>
      <c r="AC1151" s="101">
        <f>IF('Net zero activities &amp; levers'!$C$14="Off",'Activity data'!AV81*UDCPPEF*NtoN2O*kgtoGg,IF('Net zero activities &amp; levers'!$C$14="On",'Net zero Activity data'!AV81*UDCPPEF*NtoN2O*kgtoGg,"ERROR"))</f>
        <v>0</v>
      </c>
      <c r="AD1151" s="101">
        <f>IF('Net zero activities &amp; levers'!$C$14="Off",'Activity data'!AW81*UDCPPEF*NtoN2O*kgtoGg,IF('Net zero activities &amp; levers'!$C$14="On",'Net zero Activity data'!AW81*UDCPPEF*NtoN2O*kgtoGg,"ERROR"))</f>
        <v>0</v>
      </c>
      <c r="AE1151" s="101">
        <f>IF('Net zero activities &amp; levers'!$C$14="Off",'Activity data'!AX81*UDCPPEF*NtoN2O*kgtoGg,IF('Net zero activities &amp; levers'!$C$14="On",'Net zero Activity data'!AX81*UDCPPEF*NtoN2O*kgtoGg,"ERROR"))</f>
        <v>0</v>
      </c>
      <c r="AF1151" s="101">
        <f>IF('Net zero activities &amp; levers'!$C$14="Off",'Activity data'!AY81*UDCPPEF*NtoN2O*kgtoGg,IF('Net zero activities &amp; levers'!$C$14="On",'Net zero Activity data'!AY81*UDCPPEF*NtoN2O*kgtoGg,"ERROR"))</f>
        <v>0</v>
      </c>
      <c r="AG1151" s="101">
        <f>IF('Net zero activities &amp; levers'!$C$14="Off",'Activity data'!AZ81*UDCPPEF*NtoN2O*kgtoGg,IF('Net zero activities &amp; levers'!$C$14="On",'Net zero Activity data'!AZ81*UDCPPEF*NtoN2O*kgtoGg,"ERROR"))</f>
        <v>0</v>
      </c>
      <c r="AH1151" s="101">
        <f>IF('Net zero activities &amp; levers'!$C$14="Off",'Activity data'!BA81*UDCPPEF*NtoN2O*kgtoGg,IF('Net zero activities &amp; levers'!$C$14="On",'Net zero Activity data'!BA81*UDCPPEF*NtoN2O*kgtoGg,"ERROR"))</f>
        <v>0</v>
      </c>
      <c r="AI1151" s="101">
        <f>IF('Net zero activities &amp; levers'!$C$14="Off",'Activity data'!BB81*UDCPPEF*NtoN2O*kgtoGg,IF('Net zero activities &amp; levers'!$C$14="On",'Net zero Activity data'!BB81*UDCPPEF*NtoN2O*kgtoGg,"ERROR"))</f>
        <v>0</v>
      </c>
      <c r="AJ1151" s="101">
        <f>IF('Net zero activities &amp; levers'!$C$14="Off",'Activity data'!BC81*UDCPPEF*NtoN2O*kgtoGg,IF('Net zero activities &amp; levers'!$C$14="On",'Net zero Activity data'!BC81*UDCPPEF*NtoN2O*kgtoGg,"ERROR"))</f>
        <v>0</v>
      </c>
      <c r="AK1151" s="101">
        <f>IF('Net zero activities &amp; levers'!$C$14="Off",'Activity data'!BD81*UDCPPEF*NtoN2O*kgtoGg,IF('Net zero activities &amp; levers'!$C$14="On",'Net zero Activity data'!BD81*UDCPPEF*NtoN2O*kgtoGg,"ERROR"))</f>
        <v>0</v>
      </c>
      <c r="AL1151" s="101">
        <f>IF('Net zero activities &amp; levers'!$C$14="Off",'Activity data'!BE81*UDCPPEF*NtoN2O*kgtoGg,IF('Net zero activities &amp; levers'!$C$14="On",'Net zero Activity data'!BE81*UDCPPEF*NtoN2O*kgtoGg,"ERROR"))</f>
        <v>0</v>
      </c>
      <c r="AM1151" s="101">
        <f>IF('Net zero activities &amp; levers'!$C$14="Off",'Activity data'!BF81*UDCPPEF*NtoN2O*kgtoGg,IF('Net zero activities &amp; levers'!$C$14="On",'Net zero Activity data'!BF81*UDCPPEF*NtoN2O*kgtoGg,"ERROR"))</f>
        <v>0</v>
      </c>
      <c r="AN1151" s="101">
        <f>IF('Net zero activities &amp; levers'!$C$14="Off",'Activity data'!BG81*UDCPPEF*NtoN2O*kgtoGg,IF('Net zero activities &amp; levers'!$C$14="On",'Net zero Activity data'!BG81*UDCPPEF*NtoN2O*kgtoGg,"ERROR"))</f>
        <v>0</v>
      </c>
      <c r="AO1151" s="101">
        <f>IF('Net zero activities &amp; levers'!$C$14="Off",'Activity data'!BH81*UDCPPEF*NtoN2O*kgtoGg,IF('Net zero activities &amp; levers'!$C$14="On",'Net zero Activity data'!BH81*UDCPPEF*NtoN2O*kgtoGg,"ERROR"))</f>
        <v>0</v>
      </c>
      <c r="AP1151" s="101">
        <f>IF('Net zero activities &amp; levers'!$C$14="Off",'Activity data'!BI81*UDCPPEF*NtoN2O*kgtoGg,IF('Net zero activities &amp; levers'!$C$14="On",'Net zero Activity data'!BI81*UDCPPEF*NtoN2O*kgtoGg,"ERROR"))</f>
        <v>0</v>
      </c>
      <c r="AQ1151" s="101">
        <f>IF('Net zero activities &amp; levers'!$C$14="Off",'Activity data'!BJ81*UDCPPEF*NtoN2O*kgtoGg,IF('Net zero activities &amp; levers'!$C$14="On",'Net zero Activity data'!BJ81*UDCPPEF*NtoN2O*kgtoGg,"ERROR"))</f>
        <v>0</v>
      </c>
      <c r="AR1151" s="101">
        <f>IF('Net zero activities &amp; levers'!$C$14="Off",'Activity data'!BK81*UDCPPEF*NtoN2O*kgtoGg,IF('Net zero activities &amp; levers'!$C$14="On",'Net zero Activity data'!BK81*UDCPPEF*NtoN2O*kgtoGg,"ERROR"))</f>
        <v>0</v>
      </c>
      <c r="AS1151" s="101">
        <f>IF('Net zero activities &amp; levers'!$C$14="Off",'Activity data'!BL81*UDCPPEF*NtoN2O*kgtoGg,IF('Net zero activities &amp; levers'!$C$14="On",'Net zero Activity data'!BL81*UDCPPEF*NtoN2O*kgtoGg,"ERROR"))</f>
        <v>0</v>
      </c>
      <c r="AT1151" s="101">
        <f>IF('Net zero activities &amp; levers'!$C$14="Off",'Activity data'!BM81*UDCPPEF*NtoN2O*kgtoGg,IF('Net zero activities &amp; levers'!$C$14="On",'Net zero Activity data'!BM81*UDCPPEF*NtoN2O*kgtoGg,"ERROR"))</f>
        <v>0</v>
      </c>
      <c r="AU1151" s="101">
        <f>IF('Net zero activities &amp; levers'!$C$14="Off",'Activity data'!BN81*UDCPPEF*NtoN2O*kgtoGg,IF('Net zero activities &amp; levers'!$C$14="On",'Net zero Activity data'!BN81*UDCPPEF*NtoN2O*kgtoGg,"ERROR"))</f>
        <v>0</v>
      </c>
      <c r="AV1151" s="101">
        <f>IF('Net zero activities &amp; levers'!$C$14="Off",'Activity data'!BO81*UDCPPEF*NtoN2O*kgtoGg,IF('Net zero activities &amp; levers'!$C$14="On",'Net zero Activity data'!BO81*UDCPPEF*NtoN2O*kgtoGg,"ERROR"))</f>
        <v>0</v>
      </c>
      <c r="AW1151" s="101">
        <f>IF('Net zero activities &amp; levers'!$C$14="Off",'Activity data'!BP81*UDCPPEF*NtoN2O*kgtoGg,IF('Net zero activities &amp; levers'!$C$14="On",'Net zero Activity data'!BP81*UDCPPEF*NtoN2O*kgtoGg,"ERROR"))</f>
        <v>0</v>
      </c>
      <c r="AY1151" s="85"/>
    </row>
    <row r="1152" spans="1:51" x14ac:dyDescent="0.25">
      <c r="A1152" s="102" t="str">
        <f t="shared" si="374"/>
        <v>CM FSOM</v>
      </c>
      <c r="B1152" s="102" t="s">
        <v>1323</v>
      </c>
      <c r="C1152" s="102" t="s">
        <v>60</v>
      </c>
      <c r="D1152" t="s">
        <v>369</v>
      </c>
      <c r="E1152" t="s">
        <v>55</v>
      </c>
      <c r="F1152" t="s">
        <v>60</v>
      </c>
      <c r="G1152" t="s">
        <v>1267</v>
      </c>
      <c r="H1152" t="s">
        <v>1268</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85"/>
    </row>
    <row r="1153" spans="1:51" x14ac:dyDescent="0.25">
      <c r="A1153" s="102" t="str">
        <f t="shared" si="374"/>
        <v>CM FSOM</v>
      </c>
      <c r="B1153" s="102" t="s">
        <v>1323</v>
      </c>
      <c r="C1153" s="102" t="s">
        <v>60</v>
      </c>
      <c r="D1153" t="s">
        <v>369</v>
      </c>
      <c r="E1153" t="s">
        <v>55</v>
      </c>
      <c r="F1153" t="s">
        <v>60</v>
      </c>
      <c r="G1153" t="s">
        <v>1269</v>
      </c>
      <c r="H1153" t="s">
        <v>1270</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85"/>
    </row>
    <row r="1154" spans="1:51" x14ac:dyDescent="0.25">
      <c r="A1154" s="102" t="str">
        <f t="shared" si="374"/>
        <v>CM FSOM</v>
      </c>
      <c r="B1154" s="102" t="s">
        <v>1323</v>
      </c>
      <c r="C1154" s="102" t="s">
        <v>60</v>
      </c>
      <c r="D1154" t="s">
        <v>369</v>
      </c>
      <c r="E1154" t="s">
        <v>55</v>
      </c>
      <c r="F1154" t="s">
        <v>60</v>
      </c>
      <c r="G1154" t="s">
        <v>1271</v>
      </c>
      <c r="H1154" t="s">
        <v>1272</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85"/>
    </row>
    <row r="1155" spans="1:51" x14ac:dyDescent="0.25">
      <c r="A1155" s="102" t="str">
        <f t="shared" si="374"/>
        <v>CM FSOM</v>
      </c>
      <c r="B1155" s="102" t="s">
        <v>1323</v>
      </c>
      <c r="C1155" s="102" t="s">
        <v>60</v>
      </c>
      <c r="D1155" t="s">
        <v>369</v>
      </c>
      <c r="E1155" t="s">
        <v>55</v>
      </c>
      <c r="F1155" t="s">
        <v>60</v>
      </c>
      <c r="G1155" t="s">
        <v>1273</v>
      </c>
      <c r="H1155" t="s">
        <v>1274</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85"/>
    </row>
    <row r="1156" spans="1:51" x14ac:dyDescent="0.25">
      <c r="A1156" s="102" t="str">
        <f t="shared" si="374"/>
        <v>CM FSOM</v>
      </c>
      <c r="B1156" s="102" t="s">
        <v>1323</v>
      </c>
      <c r="C1156" s="102" t="s">
        <v>60</v>
      </c>
      <c r="D1156" t="s">
        <v>369</v>
      </c>
      <c r="E1156" t="s">
        <v>55</v>
      </c>
      <c r="F1156" t="s">
        <v>60</v>
      </c>
      <c r="G1156" t="s">
        <v>1275</v>
      </c>
      <c r="H1156" t="s">
        <v>1276</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85"/>
    </row>
    <row r="1157" spans="1:51" x14ac:dyDescent="0.25">
      <c r="A1157" s="102" t="str">
        <f t="shared" si="374"/>
        <v>CM FSOM</v>
      </c>
      <c r="B1157" s="102" t="s">
        <v>1323</v>
      </c>
      <c r="C1157" s="102" t="s">
        <v>60</v>
      </c>
      <c r="D1157" t="s">
        <v>369</v>
      </c>
      <c r="E1157" t="s">
        <v>55</v>
      </c>
      <c r="F1157" t="s">
        <v>60</v>
      </c>
      <c r="G1157" t="s">
        <v>1277</v>
      </c>
      <c r="H1157" t="s">
        <v>1278</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85"/>
    </row>
    <row r="1158" spans="1:51" x14ac:dyDescent="0.25">
      <c r="A1158" s="102" t="str">
        <f t="shared" si="374"/>
        <v>CM FSOM</v>
      </c>
      <c r="B1158" s="102" t="s">
        <v>1323</v>
      </c>
      <c r="C1158" s="102" t="s">
        <v>60</v>
      </c>
      <c r="D1158" t="s">
        <v>369</v>
      </c>
      <c r="E1158" t="s">
        <v>55</v>
      </c>
      <c r="F1158" t="s">
        <v>60</v>
      </c>
      <c r="G1158" t="s">
        <v>1279</v>
      </c>
      <c r="H1158" t="s">
        <v>1280</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85"/>
    </row>
    <row r="1159" spans="1:51" x14ac:dyDescent="0.25">
      <c r="A1159" s="102" t="str">
        <f t="shared" si="374"/>
        <v>CM FSOM</v>
      </c>
      <c r="B1159" s="102" t="s">
        <v>1323</v>
      </c>
      <c r="C1159" s="102" t="s">
        <v>60</v>
      </c>
      <c r="D1159" t="s">
        <v>369</v>
      </c>
      <c r="E1159" t="s">
        <v>55</v>
      </c>
      <c r="F1159" t="s">
        <v>60</v>
      </c>
      <c r="G1159" t="s">
        <v>1281</v>
      </c>
      <c r="H1159" t="s">
        <v>1282</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85"/>
    </row>
    <row r="1160" spans="1:51" x14ac:dyDescent="0.25">
      <c r="A1160" s="102" t="str">
        <f t="shared" si="374"/>
        <v>CM FSOM</v>
      </c>
      <c r="B1160" s="102" t="s">
        <v>1323</v>
      </c>
      <c r="C1160" s="102" t="s">
        <v>60</v>
      </c>
      <c r="D1160" t="s">
        <v>369</v>
      </c>
      <c r="E1160" t="s">
        <v>55</v>
      </c>
      <c r="F1160" t="s">
        <v>60</v>
      </c>
      <c r="G1160" t="s">
        <v>1283</v>
      </c>
      <c r="H1160" t="s">
        <v>1284</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85"/>
    </row>
    <row r="1161" spans="1:51" x14ac:dyDescent="0.25">
      <c r="A1161" s="102" t="str">
        <f t="shared" si="374"/>
        <v>CM FSOM</v>
      </c>
      <c r="B1161" s="102" t="s">
        <v>1323</v>
      </c>
      <c r="C1161" s="102" t="s">
        <v>60</v>
      </c>
      <c r="D1161" t="s">
        <v>369</v>
      </c>
      <c r="E1161" t="s">
        <v>55</v>
      </c>
      <c r="F1161" t="s">
        <v>60</v>
      </c>
      <c r="G1161" t="s">
        <v>1285</v>
      </c>
      <c r="H1161" t="s">
        <v>1286</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85"/>
    </row>
    <row r="1162" spans="1:51" x14ac:dyDescent="0.25">
      <c r="A1162" s="102" t="str">
        <f t="shared" si="374"/>
        <v>CM FSOM</v>
      </c>
      <c r="B1162" s="102" t="s">
        <v>1323</v>
      </c>
      <c r="C1162" s="102" t="s">
        <v>60</v>
      </c>
      <c r="D1162" t="s">
        <v>369</v>
      </c>
      <c r="E1162" t="s">
        <v>55</v>
      </c>
      <c r="F1162" t="s">
        <v>60</v>
      </c>
      <c r="G1162" t="s">
        <v>1287</v>
      </c>
      <c r="H1162" t="s">
        <v>1288</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85"/>
    </row>
    <row r="1163" spans="1:51" x14ac:dyDescent="0.25">
      <c r="A1163" s="102" t="str">
        <f t="shared" si="374"/>
        <v>CM FSOM</v>
      </c>
      <c r="B1163" s="102" t="s">
        <v>1323</v>
      </c>
      <c r="C1163" s="102" t="s">
        <v>60</v>
      </c>
      <c r="D1163" t="s">
        <v>369</v>
      </c>
      <c r="E1163" t="s">
        <v>55</v>
      </c>
      <c r="F1163" t="s">
        <v>60</v>
      </c>
      <c r="G1163" t="s">
        <v>1289</v>
      </c>
      <c r="H1163" t="s">
        <v>1290</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85"/>
    </row>
    <row r="1164" spans="1:51" x14ac:dyDescent="0.25">
      <c r="A1164" s="102" t="str">
        <f t="shared" si="374"/>
        <v>CM Volatilisation</v>
      </c>
      <c r="B1164" s="102" t="s">
        <v>1323</v>
      </c>
      <c r="C1164" s="102" t="s">
        <v>62</v>
      </c>
      <c r="D1164" t="s">
        <v>369</v>
      </c>
      <c r="E1164" t="s">
        <v>61</v>
      </c>
      <c r="F1164" t="s">
        <v>62</v>
      </c>
      <c r="G1164" t="s">
        <v>435</v>
      </c>
      <c r="H1164" t="s">
        <v>1185</v>
      </c>
      <c r="I1164" t="s">
        <v>139</v>
      </c>
      <c r="J1164" t="s">
        <v>287</v>
      </c>
      <c r="K1164" s="101">
        <f>IF('Net zero activities &amp; levers'!$C$14="Off",'Activity data'!AD47*ttokg*FracGASF*MSVolatEF*NtoN2O*kgtoGg,IF('Net zero activities &amp; levers'!$C$14="On",'Net zero Activity data'!AD47*ttokg*FracGASF*MSVolatEF*NtoN2O*kgtoGg,"ERROR"))</f>
        <v>0.66064812063358536</v>
      </c>
      <c r="L1164" s="101">
        <f>IF('Net zero activities &amp; levers'!$C$14="Off",'Activity data'!AE47*ttokg*FracGASF*MSVolatEF*NtoN2O*kgtoGg,IF('Net zero activities &amp; levers'!$C$14="On",'Net zero Activity data'!AE47*ttokg*FracGASF*MSVolatEF*NtoN2O*kgtoGg,"ERROR"))</f>
        <v>0.66056660352543128</v>
      </c>
      <c r="M1164" s="101">
        <f>IF('Net zero activities &amp; levers'!$C$14="Off",'Activity data'!AF47*ttokg*FracGASF*MSVolatEF*NtoN2O*kgtoGg,IF('Net zero activities &amp; levers'!$C$14="On",'Net zero Activity data'!AF47*ttokg*FracGASF*MSVolatEF*NtoN2O*kgtoGg,"ERROR"))</f>
        <v>0.66042995522505377</v>
      </c>
      <c r="N1164" s="101">
        <f>IF('Net zero activities &amp; levers'!$C$14="Off",'Activity data'!AG47*ttokg*FracGASF*MSVolatEF*NtoN2O*kgtoGg,IF('Net zero activities &amp; levers'!$C$14="On",'Net zero Activity data'!AG47*ttokg*FracGASF*MSVolatEF*NtoN2O*kgtoGg,"ERROR"))</f>
        <v>0.66031365898338112</v>
      </c>
      <c r="O1164" s="101">
        <f>IF('Net zero activities &amp; levers'!$C$14="Off",'Activity data'!AH47*ttokg*FracGASF*MSVolatEF*NtoN2O*kgtoGg,IF('Net zero activities &amp; levers'!$C$14="On",'Net zero Activity data'!AH47*ttokg*FracGASF*MSVolatEF*NtoN2O*kgtoGg,"ERROR"))</f>
        <v>0.66027560568732091</v>
      </c>
      <c r="P1164" s="101">
        <f>IF('Net zero activities &amp; levers'!$C$14="Off",'Activity data'!AI47*ttokg*FracGASF*MSVolatEF*NtoN2O*kgtoGg,IF('Net zero activities &amp; levers'!$C$14="On",'Net zero Activity data'!AI47*ttokg*FracGASF*MSVolatEF*NtoN2O*kgtoGg,"ERROR"))</f>
        <v>0.66023708971175277</v>
      </c>
      <c r="Q1164" s="101">
        <f>IF('Net zero activities &amp; levers'!$C$14="Off",'Activity data'!AJ47*ttokg*FracGASF*MSVolatEF*NtoN2O*kgtoGg,IF('Net zero activities &amp; levers'!$C$14="On",'Net zero Activity data'!AJ47*ttokg*FracGASF*MSVolatEF*NtoN2O*kgtoGg,"ERROR"))</f>
        <v>0.66011966991986881</v>
      </c>
      <c r="R1164" s="101">
        <f>IF('Net zero activities &amp; levers'!$C$14="Off",'Activity data'!AK47*ttokg*FracGASF*MSVolatEF*NtoN2O*kgtoGg,IF('Net zero activities &amp; levers'!$C$14="On",'Net zero Activity data'!AK47*ttokg*FracGASF*MSVolatEF*NtoN2O*kgtoGg,"ERROR"))</f>
        <v>0.66002765167075472</v>
      </c>
      <c r="S1164" s="101">
        <f>IF('Net zero activities &amp; levers'!$C$14="Off",'Activity data'!AL47*ttokg*FracGASF*MSVolatEF*NtoN2O*kgtoGg,IF('Net zero activities &amp; levers'!$C$14="On",'Net zero Activity data'!AL47*ttokg*FracGASF*MSVolatEF*NtoN2O*kgtoGg,"ERROR"))</f>
        <v>0.66002145648060517</v>
      </c>
      <c r="T1164" s="101">
        <f>IF('Net zero activities &amp; levers'!$C$14="Off",'Activity data'!AM47*ttokg*FracGASF*MSVolatEF*NtoN2O*kgtoGg,IF('Net zero activities &amp; levers'!$C$14="On",'Net zero Activity data'!AM47*ttokg*FracGASF*MSVolatEF*NtoN2O*kgtoGg,"ERROR"))</f>
        <v>0.66040420720172732</v>
      </c>
      <c r="U1164" s="101">
        <f>IF('Net zero activities &amp; levers'!$C$14="Off",'Activity data'!AN47*ttokg*FracGASF*MSVolatEF*NtoN2O*kgtoGg,IF('Net zero activities &amp; levers'!$C$14="On",'Net zero Activity data'!AN47*ttokg*FracGASF*MSVolatEF*NtoN2O*kgtoGg,"ERROR"))</f>
        <v>0.66019485697997204</v>
      </c>
      <c r="V1164" s="101">
        <f>IF('Net zero activities &amp; levers'!$C$14="Off",'Activity data'!AO47*ttokg*FracGASF*MSVolatEF*NtoN2O*kgtoGg,IF('Net zero activities &amp; levers'!$C$14="On",'Net zero Activity data'!AO47*ttokg*FracGASF*MSVolatEF*NtoN2O*kgtoGg,"ERROR"))</f>
        <v>0.66003652312909888</v>
      </c>
      <c r="W1164" s="101">
        <f>IF('Net zero activities &amp; levers'!$C$14="Off",'Activity data'!AP47*ttokg*FracGASF*MSVolatEF*NtoN2O*kgtoGg,IF('Net zero activities &amp; levers'!$C$14="On",'Net zero Activity data'!AP47*ttokg*FracGASF*MSVolatEF*NtoN2O*kgtoGg,"ERROR"))</f>
        <v>0.65989054673114655</v>
      </c>
      <c r="X1164" s="101">
        <f>IF('Net zero activities &amp; levers'!$C$14="Off",'Activity data'!AQ47*ttokg*FracGASF*MSVolatEF*NtoN2O*kgtoGg,IF('Net zero activities &amp; levers'!$C$14="On",'Net zero Activity data'!AQ47*ttokg*FracGASF*MSVolatEF*NtoN2O*kgtoGg,"ERROR"))</f>
        <v>0.65972835879321112</v>
      </c>
      <c r="Y1164" s="101">
        <f>IF('Net zero activities &amp; levers'!$C$14="Off",'Activity data'!AR47*ttokg*FracGASF*MSVolatEF*NtoN2O*kgtoGg,IF('Net zero activities &amp; levers'!$C$14="On",'Net zero Activity data'!AR47*ttokg*FracGASF*MSVolatEF*NtoN2O*kgtoGg,"ERROR"))</f>
        <v>0.65950794659321976</v>
      </c>
      <c r="Z1164" s="101">
        <f>IF('Net zero activities &amp; levers'!$C$14="Off",'Activity data'!AS47*ttokg*FracGASF*MSVolatEF*NtoN2O*kgtoGg,IF('Net zero activities &amp; levers'!$C$14="On",'Net zero Activity data'!AS47*ttokg*FracGASF*MSVolatEF*NtoN2O*kgtoGg,"ERROR"))</f>
        <v>0.65927714888243172</v>
      </c>
      <c r="AA1164" s="101">
        <f>IF('Net zero activities &amp; levers'!$C$14="Off",'Activity data'!AT47*ttokg*FracGASF*MSVolatEF*NtoN2O*kgtoGg,IF('Net zero activities &amp; levers'!$C$14="On",'Net zero Activity data'!AT47*ttokg*FracGASF*MSVolatEF*NtoN2O*kgtoGg,"ERROR"))</f>
        <v>0.65903551292141993</v>
      </c>
      <c r="AB1164" s="101">
        <f>IF('Net zero activities &amp; levers'!$C$14="Off",'Activity data'!AU47*ttokg*FracGASF*MSVolatEF*NtoN2O*kgtoGg,IF('Net zero activities &amp; levers'!$C$14="On",'Net zero Activity data'!AU47*ttokg*FracGASF*MSVolatEF*NtoN2O*kgtoGg,"ERROR"))</f>
        <v>0.65882075529961204</v>
      </c>
      <c r="AC1164" s="101">
        <f>IF('Net zero activities &amp; levers'!$C$14="Off",'Activity data'!AV47*ttokg*FracGASF*MSVolatEF*NtoN2O*kgtoGg,IF('Net zero activities &amp; levers'!$C$14="On",'Net zero Activity data'!AV47*ttokg*FracGASF*MSVolatEF*NtoN2O*kgtoGg,"ERROR"))</f>
        <v>0.65858383398788667</v>
      </c>
      <c r="AD1164" s="101">
        <f>IF('Net zero activities &amp; levers'!$C$14="Off",'Activity data'!AW47*ttokg*FracGASF*MSVolatEF*NtoN2O*kgtoGg,IF('Net zero activities &amp; levers'!$C$14="On",'Net zero Activity data'!AW47*ttokg*FracGASF*MSVolatEF*NtoN2O*kgtoGg,"ERROR"))</f>
        <v>0.65832049506454571</v>
      </c>
      <c r="AE1164" s="101">
        <f>IF('Net zero activities &amp; levers'!$C$14="Off",'Activity data'!AX47*ttokg*FracGASF*MSVolatEF*NtoN2O*kgtoGg,IF('Net zero activities &amp; levers'!$C$14="On",'Net zero Activity data'!AX47*ttokg*FracGASF*MSVolatEF*NtoN2O*kgtoGg,"ERROR"))</f>
        <v>0.65806825645343991</v>
      </c>
      <c r="AF1164" s="101">
        <f>IF('Net zero activities &amp; levers'!$C$14="Off",'Activity data'!AY47*ttokg*FracGASF*MSVolatEF*NtoN2O*kgtoGg,IF('Net zero activities &amp; levers'!$C$14="On",'Net zero Activity data'!AY47*ttokg*FracGASF*MSVolatEF*NtoN2O*kgtoGg,"ERROR"))</f>
        <v>0.65781181226611019</v>
      </c>
      <c r="AG1164" s="101">
        <f>IF('Net zero activities &amp; levers'!$C$14="Off",'Activity data'!AZ47*ttokg*FracGASF*MSVolatEF*NtoN2O*kgtoGg,IF('Net zero activities &amp; levers'!$C$14="On",'Net zero Activity data'!AZ47*ttokg*FracGASF*MSVolatEF*NtoN2O*kgtoGg,"ERROR"))</f>
        <v>0.65755610222279148</v>
      </c>
      <c r="AH1164" s="101">
        <f>IF('Net zero activities &amp; levers'!$C$14="Off",'Activity data'!BA47*ttokg*FracGASF*MSVolatEF*NtoN2O*kgtoGg,IF('Net zero activities &amp; levers'!$C$14="On",'Net zero Activity data'!BA47*ttokg*FracGASF*MSVolatEF*NtoN2O*kgtoGg,"ERROR"))</f>
        <v>0.65728213410220515</v>
      </c>
      <c r="AI1164" s="101">
        <f>IF('Net zero activities &amp; levers'!$C$14="Off",'Activity data'!BB47*ttokg*FracGASF*MSVolatEF*NtoN2O*kgtoGg,IF('Net zero activities &amp; levers'!$C$14="On",'Net zero Activity data'!BB47*ttokg*FracGASF*MSVolatEF*NtoN2O*kgtoGg,"ERROR"))</f>
        <v>0.65704025946446432</v>
      </c>
      <c r="AJ1164" s="101">
        <f>IF('Net zero activities &amp; levers'!$C$14="Off",'Activity data'!BC47*ttokg*FracGASF*MSVolatEF*NtoN2O*kgtoGg,IF('Net zero activities &amp; levers'!$C$14="On",'Net zero Activity data'!BC47*ttokg*FracGASF*MSVolatEF*NtoN2O*kgtoGg,"ERROR"))</f>
        <v>0.65679167627959911</v>
      </c>
      <c r="AK1164" s="101">
        <f>IF('Net zero activities &amp; levers'!$C$14="Off",'Activity data'!BD47*ttokg*FracGASF*MSVolatEF*NtoN2O*kgtoGg,IF('Net zero activities &amp; levers'!$C$14="On",'Net zero Activity data'!BD47*ttokg*FracGASF*MSVolatEF*NtoN2O*kgtoGg,"ERROR"))</f>
        <v>0.65654442966296833</v>
      </c>
      <c r="AL1164" s="101">
        <f>IF('Net zero activities &amp; levers'!$C$14="Off",'Activity data'!BE47*ttokg*FracGASF*MSVolatEF*NtoN2O*kgtoGg,IF('Net zero activities &amp; levers'!$C$14="On",'Net zero Activity data'!BE47*ttokg*FracGASF*MSVolatEF*NtoN2O*kgtoGg,"ERROR"))</f>
        <v>0.6563107846246663</v>
      </c>
      <c r="AM1164" s="101">
        <f>IF('Net zero activities &amp; levers'!$C$14="Off",'Activity data'!BF47*ttokg*FracGASF*MSVolatEF*NtoN2O*kgtoGg,IF('Net zero activities &amp; levers'!$C$14="On",'Net zero Activity data'!BF47*ttokg*FracGASF*MSVolatEF*NtoN2O*kgtoGg,"ERROR"))</f>
        <v>0.65608183818668697</v>
      </c>
      <c r="AN1164" s="101">
        <f>IF('Net zero activities &amp; levers'!$C$14="Off",'Activity data'!BG47*ttokg*FracGASF*MSVolatEF*NtoN2O*kgtoGg,IF('Net zero activities &amp; levers'!$C$14="On",'Net zero Activity data'!BG47*ttokg*FracGASF*MSVolatEF*NtoN2O*kgtoGg,"ERROR"))</f>
        <v>0.6558502326056066</v>
      </c>
      <c r="AO1164" s="101">
        <f>IF('Net zero activities &amp; levers'!$C$14="Off",'Activity data'!BH47*ttokg*FracGASF*MSVolatEF*NtoN2O*kgtoGg,IF('Net zero activities &amp; levers'!$C$14="On",'Net zero Activity data'!BH47*ttokg*FracGASF*MSVolatEF*NtoN2O*kgtoGg,"ERROR"))</f>
        <v>0.65561383844940613</v>
      </c>
      <c r="AP1164" s="101">
        <f>IF('Net zero activities &amp; levers'!$C$14="Off",'Activity data'!BI47*ttokg*FracGASF*MSVolatEF*NtoN2O*kgtoGg,IF('Net zero activities &amp; levers'!$C$14="On",'Net zero Activity data'!BI47*ttokg*FracGASF*MSVolatEF*NtoN2O*kgtoGg,"ERROR"))</f>
        <v>0.65539317250053775</v>
      </c>
      <c r="AQ1164" s="101">
        <f>IF('Net zero activities &amp; levers'!$C$14="Off",'Activity data'!BJ47*ttokg*FracGASF*MSVolatEF*NtoN2O*kgtoGg,IF('Net zero activities &amp; levers'!$C$14="On",'Net zero Activity data'!BJ47*ttokg*FracGASF*MSVolatEF*NtoN2O*kgtoGg,"ERROR"))</f>
        <v>0.65517393492300557</v>
      </c>
      <c r="AR1164" s="101">
        <f>IF('Net zero activities &amp; levers'!$C$14="Off",'Activity data'!BK47*ttokg*FracGASF*MSVolatEF*NtoN2O*kgtoGg,IF('Net zero activities &amp; levers'!$C$14="On",'Net zero Activity data'!BK47*ttokg*FracGASF*MSVolatEF*NtoN2O*kgtoGg,"ERROR"))</f>
        <v>0.65495579618392019</v>
      </c>
      <c r="AS1164" s="101">
        <f>IF('Net zero activities &amp; levers'!$C$14="Off",'Activity data'!BL47*ttokg*FracGASF*MSVolatEF*NtoN2O*kgtoGg,IF('Net zero activities &amp; levers'!$C$14="On",'Net zero Activity data'!BL47*ttokg*FracGASF*MSVolatEF*NtoN2O*kgtoGg,"ERROR"))</f>
        <v>0.65472963164045961</v>
      </c>
      <c r="AT1164" s="101">
        <f>IF('Net zero activities &amp; levers'!$C$14="Off",'Activity data'!BM47*ttokg*FracGASF*MSVolatEF*NtoN2O*kgtoGg,IF('Net zero activities &amp; levers'!$C$14="On",'Net zero Activity data'!BM47*ttokg*FracGASF*MSVolatEF*NtoN2O*kgtoGg,"ERROR"))</f>
        <v>0.65450342769214809</v>
      </c>
      <c r="AU1164" s="101">
        <f>IF('Net zero activities &amp; levers'!$C$14="Off",'Activity data'!BN47*ttokg*FracGASF*MSVolatEF*NtoN2O*kgtoGg,IF('Net zero activities &amp; levers'!$C$14="On",'Net zero Activity data'!BN47*ttokg*FracGASF*MSVolatEF*NtoN2O*kgtoGg,"ERROR"))</f>
        <v>0.65436308710087154</v>
      </c>
      <c r="AV1164" s="101">
        <f>IF('Net zero activities &amp; levers'!$C$14="Off",'Activity data'!BO47*ttokg*FracGASF*MSVolatEF*NtoN2O*kgtoGg,IF('Net zero activities &amp; levers'!$C$14="On",'Net zero Activity data'!BO47*ttokg*FracGASF*MSVolatEF*NtoN2O*kgtoGg,"ERROR"))</f>
        <v>0.65422967735758231</v>
      </c>
      <c r="AW1164" s="101">
        <f>IF('Net zero activities &amp; levers'!$C$14="Off",'Activity data'!BP47*ttokg*FracGASF*MSVolatEF*NtoN2O*kgtoGg,IF('Net zero activities &amp; levers'!$C$14="On",'Net zero Activity data'!BP47*ttokg*FracGASF*MSVolatEF*NtoN2O*kgtoGg,"ERROR"))</f>
        <v>0.65408646829531714</v>
      </c>
      <c r="AY1164" s="85"/>
    </row>
    <row r="1165" spans="1:51" x14ac:dyDescent="0.25">
      <c r="A1165" s="102" t="str">
        <f t="shared" si="374"/>
        <v>CM Volatilisation</v>
      </c>
      <c r="B1165" s="102" t="s">
        <v>1323</v>
      </c>
      <c r="C1165" s="102" t="s">
        <v>62</v>
      </c>
      <c r="D1165" t="s">
        <v>369</v>
      </c>
      <c r="E1165" t="s">
        <v>61</v>
      </c>
      <c r="F1165" t="s">
        <v>62</v>
      </c>
      <c r="G1165" t="s">
        <v>436</v>
      </c>
      <c r="H1165" t="s">
        <v>1186</v>
      </c>
      <c r="I1165" t="s">
        <v>139</v>
      </c>
      <c r="J1165" t="s">
        <v>287</v>
      </c>
      <c r="K1165" s="101">
        <f>IF('Net zero activities &amp; levers'!$C$14="Off",'Activity data'!AD48*ttokg*FracGASM*MSVolatEF*NtoN2O*kgtoGg,IF('Net zero activities &amp; levers'!$C$14="On",'Net zero Activity data'!AD48*ttokg*FracGASM*MSVolatEF*NtoN2O*kgtoGg,"ERROR"))</f>
        <v>8.720555192363328E-3</v>
      </c>
      <c r="L1165" s="101">
        <f>IF('Net zero activities &amp; levers'!$C$14="Off",'Activity data'!AE48*ttokg*FracGASM*MSVolatEF*NtoN2O*kgtoGg,IF('Net zero activities &amp; levers'!$C$14="On",'Net zero Activity data'!AE48*ttokg*FracGASM*MSVolatEF*NtoN2O*kgtoGg,"ERROR"))</f>
        <v>8.7194791665356954E-3</v>
      </c>
      <c r="M1165" s="101">
        <f>IF('Net zero activities &amp; levers'!$C$14="Off",'Activity data'!AF48*ttokg*FracGASM*MSVolatEF*NtoN2O*kgtoGg,IF('Net zero activities &amp; levers'!$C$14="On",'Net zero Activity data'!AF48*ttokg*FracGASM*MSVolatEF*NtoN2O*kgtoGg,"ERROR"))</f>
        <v>8.7176754089707108E-3</v>
      </c>
      <c r="N1165" s="101">
        <f>IF('Net zero activities &amp; levers'!$C$14="Off",'Activity data'!AG48*ttokg*FracGASM*MSVolatEF*NtoN2O*kgtoGg,IF('Net zero activities &amp; levers'!$C$14="On",'Net zero Activity data'!AG48*ttokg*FracGASM*MSVolatEF*NtoN2O*kgtoGg,"ERROR"))</f>
        <v>8.7161402985806314E-3</v>
      </c>
      <c r="O1165" s="101">
        <f>IF('Net zero activities &amp; levers'!$C$14="Off",'Activity data'!AH48*ttokg*FracGASM*MSVolatEF*NtoN2O*kgtoGg,IF('Net zero activities &amp; levers'!$C$14="On",'Net zero Activity data'!AH48*ttokg*FracGASM*MSVolatEF*NtoN2O*kgtoGg,"ERROR"))</f>
        <v>8.7156379950726372E-3</v>
      </c>
      <c r="P1165" s="101">
        <f>IF('Net zero activities &amp; levers'!$C$14="Off",'Activity data'!AI48*ttokg*FracGASM*MSVolatEF*NtoN2O*kgtoGg,IF('Net zero activities &amp; levers'!$C$14="On",'Net zero Activity data'!AI48*ttokg*FracGASM*MSVolatEF*NtoN2O*kgtoGg,"ERROR"))</f>
        <v>8.7151295841951387E-3</v>
      </c>
      <c r="Q1165" s="101">
        <f>IF('Net zero activities &amp; levers'!$C$14="Off",'Activity data'!AJ48*ttokg*FracGASM*MSVolatEF*NtoN2O*kgtoGg,IF('Net zero activities &amp; levers'!$C$14="On",'Net zero Activity data'!AJ48*ttokg*FracGASM*MSVolatEF*NtoN2O*kgtoGg,"ERROR"))</f>
        <v>8.7135796429422714E-3</v>
      </c>
      <c r="R1165" s="101">
        <f>IF('Net zero activities &amp; levers'!$C$14="Off",'Activity data'!AK48*ttokg*FracGASM*MSVolatEF*NtoN2O*kgtoGg,IF('Net zero activities &amp; levers'!$C$14="On",'Net zero Activity data'!AK48*ttokg*FracGASM*MSVolatEF*NtoN2O*kgtoGg,"ERROR"))</f>
        <v>8.7123650020539626E-3</v>
      </c>
      <c r="S1165" s="101">
        <f>IF('Net zero activities &amp; levers'!$C$14="Off",'Activity data'!AL48*ttokg*FracGASM*MSVolatEF*NtoN2O*kgtoGg,IF('Net zero activities &amp; levers'!$C$14="On",'Net zero Activity data'!AL48*ttokg*FracGASM*MSVolatEF*NtoN2O*kgtoGg,"ERROR"))</f>
        <v>8.7122832255439892E-3</v>
      </c>
      <c r="T1165" s="101">
        <f>IF('Net zero activities &amp; levers'!$C$14="Off",'Activity data'!AM48*ttokg*FracGASM*MSVolatEF*NtoN2O*kgtoGg,IF('Net zero activities &amp; levers'!$C$14="On",'Net zero Activity data'!AM48*ttokg*FracGASM*MSVolatEF*NtoN2O*kgtoGg,"ERROR"))</f>
        <v>8.7173355350628028E-3</v>
      </c>
      <c r="U1165" s="101">
        <f>IF('Net zero activities &amp; levers'!$C$14="Off",'Activity data'!AN48*ttokg*FracGASM*MSVolatEF*NtoN2O*kgtoGg,IF('Net zero activities &amp; levers'!$C$14="On",'Net zero Activity data'!AN48*ttokg*FracGASM*MSVolatEF*NtoN2O*kgtoGg,"ERROR"))</f>
        <v>8.7145721121356327E-3</v>
      </c>
      <c r="V1165" s="101">
        <f>IF('Net zero activities &amp; levers'!$C$14="Off",'Activity data'!AO48*ttokg*FracGASM*MSVolatEF*NtoN2O*kgtoGg,IF('Net zero activities &amp; levers'!$C$14="On",'Net zero Activity data'!AO48*ttokg*FracGASM*MSVolatEF*NtoN2O*kgtoGg,"ERROR"))</f>
        <v>8.7124821053041063E-3</v>
      </c>
      <c r="W1165" s="101">
        <f>IF('Net zero activities &amp; levers'!$C$14="Off",'Activity data'!AP48*ttokg*FracGASM*MSVolatEF*NtoN2O*kgtoGg,IF('Net zero activities &amp; levers'!$C$14="On",'Net zero Activity data'!AP48*ttokg*FracGASM*MSVolatEF*NtoN2O*kgtoGg,"ERROR"))</f>
        <v>8.7105552168511343E-3</v>
      </c>
      <c r="X1165" s="101">
        <f>IF('Net zero activities &amp; levers'!$C$14="Off",'Activity data'!AQ48*ttokg*FracGASM*MSVolatEF*NtoN2O*kgtoGg,IF('Net zero activities &amp; levers'!$C$14="On",'Net zero Activity data'!AQ48*ttokg*FracGASM*MSVolatEF*NtoN2O*kgtoGg,"ERROR"))</f>
        <v>8.7084143360703897E-3</v>
      </c>
      <c r="Y1165" s="101">
        <f>IF('Net zero activities &amp; levers'!$C$14="Off",'Activity data'!AR48*ttokg*FracGASM*MSVolatEF*NtoN2O*kgtoGg,IF('Net zero activities &amp; levers'!$C$14="On",'Net zero Activity data'!AR48*ttokg*FracGASM*MSVolatEF*NtoN2O*kgtoGg,"ERROR"))</f>
        <v>8.7055048950305004E-3</v>
      </c>
      <c r="Z1165" s="101">
        <f>IF('Net zero activities &amp; levers'!$C$14="Off",'Activity data'!AS48*ttokg*FracGASM*MSVolatEF*NtoN2O*kgtoGg,IF('Net zero activities &amp; levers'!$C$14="On",'Net zero Activity data'!AS48*ttokg*FracGASM*MSVolatEF*NtoN2O*kgtoGg,"ERROR"))</f>
        <v>8.7024583652481006E-3</v>
      </c>
      <c r="AA1165" s="101">
        <f>IF('Net zero activities &amp; levers'!$C$14="Off",'Activity data'!AT48*ttokg*FracGASM*MSVolatEF*NtoN2O*kgtoGg,IF('Net zero activities &amp; levers'!$C$14="On",'Net zero Activity data'!AT48*ttokg*FracGASM*MSVolatEF*NtoN2O*kgtoGg,"ERROR"))</f>
        <v>8.6992687705627434E-3</v>
      </c>
      <c r="AB1165" s="101">
        <f>IF('Net zero activities &amp; levers'!$C$14="Off",'Activity data'!AU48*ttokg*FracGASM*MSVolatEF*NtoN2O*kgtoGg,IF('Net zero activities &amp; levers'!$C$14="On",'Net zero Activity data'!AU48*ttokg*FracGASM*MSVolatEF*NtoN2O*kgtoGg,"ERROR"))</f>
        <v>8.6964339699548802E-3</v>
      </c>
      <c r="AC1165" s="101">
        <f>IF('Net zero activities &amp; levers'!$C$14="Off",'Activity data'!AV48*ttokg*FracGASM*MSVolatEF*NtoN2O*kgtoGg,IF('Net zero activities &amp; levers'!$C$14="On",'Net zero Activity data'!AV48*ttokg*FracGASM*MSVolatEF*NtoN2O*kgtoGg,"ERROR"))</f>
        <v>8.6933066086401032E-3</v>
      </c>
      <c r="AD1165" s="101">
        <f>IF('Net zero activities &amp; levers'!$C$14="Off",'Activity data'!AW48*ttokg*FracGASM*MSVolatEF*NtoN2O*kgtoGg,IF('Net zero activities &amp; levers'!$C$14="On",'Net zero Activity data'!AW48*ttokg*FracGASM*MSVolatEF*NtoN2O*kgtoGg,"ERROR"))</f>
        <v>8.6898305348520055E-3</v>
      </c>
      <c r="AE1165" s="101">
        <f>IF('Net zero activities &amp; levers'!$C$14="Off",'Activity data'!AX48*ttokg*FracGASM*MSVolatEF*NtoN2O*kgtoGg,IF('Net zero activities &amp; levers'!$C$14="On",'Net zero Activity data'!AX48*ttokg*FracGASM*MSVolatEF*NtoN2O*kgtoGg,"ERROR"))</f>
        <v>8.6865009851854087E-3</v>
      </c>
      <c r="AF1165" s="101">
        <f>IF('Net zero activities &amp; levers'!$C$14="Off",'Activity data'!AY48*ttokg*FracGASM*MSVolatEF*NtoN2O*kgtoGg,IF('Net zero activities &amp; levers'!$C$14="On",'Net zero Activity data'!AY48*ttokg*FracGASM*MSVolatEF*NtoN2O*kgtoGg,"ERROR"))</f>
        <v>8.6831159219126538E-3</v>
      </c>
      <c r="AG1165" s="101">
        <f>IF('Net zero activities &amp; levers'!$C$14="Off",'Activity data'!AZ48*ttokg*FracGASM*MSVolatEF*NtoN2O*kgtoGg,IF('Net zero activities &amp; levers'!$C$14="On",'Net zero Activity data'!AZ48*ttokg*FracGASM*MSVolatEF*NtoN2O*kgtoGg,"ERROR"))</f>
        <v>8.6797405493408489E-3</v>
      </c>
      <c r="AH1165" s="101">
        <f>IF('Net zero activities &amp; levers'!$C$14="Off",'Activity data'!BA48*ttokg*FracGASM*MSVolatEF*NtoN2O*kgtoGg,IF('Net zero activities &amp; levers'!$C$14="On",'Net zero Activity data'!BA48*ttokg*FracGASM*MSVolatEF*NtoN2O*kgtoGg,"ERROR"))</f>
        <v>8.6761241701491087E-3</v>
      </c>
      <c r="AI1165" s="101">
        <f>IF('Net zero activities &amp; levers'!$C$14="Off",'Activity data'!BB48*ttokg*FracGASM*MSVolatEF*NtoN2O*kgtoGg,IF('Net zero activities &amp; levers'!$C$14="On",'Net zero Activity data'!BB48*ttokg*FracGASM*MSVolatEF*NtoN2O*kgtoGg,"ERROR"))</f>
        <v>8.672931424930929E-3</v>
      </c>
      <c r="AJ1165" s="101">
        <f>IF('Net zero activities &amp; levers'!$C$14="Off",'Activity data'!BC48*ttokg*FracGASM*MSVolatEF*NtoN2O*kgtoGg,IF('Net zero activities &amp; levers'!$C$14="On",'Net zero Activity data'!BC48*ttokg*FracGASM*MSVolatEF*NtoN2O*kgtoGg,"ERROR"))</f>
        <v>8.6696501268907124E-3</v>
      </c>
      <c r="AK1165" s="101">
        <f>IF('Net zero activities &amp; levers'!$C$14="Off",'Activity data'!BD48*ttokg*FracGASM*MSVolatEF*NtoN2O*kgtoGg,IF('Net zero activities &amp; levers'!$C$14="On",'Net zero Activity data'!BD48*ttokg*FracGASM*MSVolatEF*NtoN2O*kgtoGg,"ERROR"))</f>
        <v>8.6663864715511834E-3</v>
      </c>
      <c r="AL1165" s="101">
        <f>IF('Net zero activities &amp; levers'!$C$14="Off",'Activity data'!BE48*ttokg*FracGASM*MSVolatEF*NtoN2O*kgtoGg,IF('Net zero activities &amp; levers'!$C$14="On",'Net zero Activity data'!BE48*ttokg*FracGASM*MSVolatEF*NtoN2O*kgtoGg,"ERROR"))</f>
        <v>8.6633023570455974E-3</v>
      </c>
      <c r="AM1165" s="101">
        <f>IF('Net zero activities &amp; levers'!$C$14="Off",'Activity data'!BF48*ttokg*FracGASM*MSVolatEF*NtoN2O*kgtoGg,IF('Net zero activities &amp; levers'!$C$14="On",'Net zero Activity data'!BF48*ttokg*FracGASM*MSVolatEF*NtoN2O*kgtoGg,"ERROR"))</f>
        <v>8.6602802640642716E-3</v>
      </c>
      <c r="AN1165" s="101">
        <f>IF('Net zero activities &amp; levers'!$C$14="Off",'Activity data'!BG48*ttokg*FracGASM*MSVolatEF*NtoN2O*kgtoGg,IF('Net zero activities &amp; levers'!$C$14="On",'Net zero Activity data'!BG48*ttokg*FracGASM*MSVolatEF*NtoN2O*kgtoGg,"ERROR"))</f>
        <v>8.6572230703940104E-3</v>
      </c>
      <c r="AO1165" s="101">
        <f>IF('Net zero activities &amp; levers'!$C$14="Off",'Activity data'!BH48*ttokg*FracGASM*MSVolatEF*NtoN2O*kgtoGg,IF('Net zero activities &amp; levers'!$C$14="On",'Net zero Activity data'!BH48*ttokg*FracGASM*MSVolatEF*NtoN2O*kgtoGg,"ERROR"))</f>
        <v>8.6541026675321618E-3</v>
      </c>
      <c r="AP1165" s="101">
        <f>IF('Net zero activities &amp; levers'!$C$14="Off",'Activity data'!BI48*ttokg*FracGASM*MSVolatEF*NtoN2O*kgtoGg,IF('Net zero activities &amp; levers'!$C$14="On",'Net zero Activity data'!BI48*ttokg*FracGASM*MSVolatEF*NtoN2O*kgtoGg,"ERROR"))</f>
        <v>8.651189877007099E-3</v>
      </c>
      <c r="AQ1165" s="101">
        <f>IF('Net zero activities &amp; levers'!$C$14="Off",'Activity data'!BJ48*ttokg*FracGASM*MSVolatEF*NtoN2O*kgtoGg,IF('Net zero activities &amp; levers'!$C$14="On",'Net zero Activity data'!BJ48*ttokg*FracGASM*MSVolatEF*NtoN2O*kgtoGg,"ERROR"))</f>
        <v>8.6482959409836767E-3</v>
      </c>
      <c r="AR1165" s="101">
        <f>IF('Net zero activities &amp; levers'!$C$14="Off",'Activity data'!BK48*ttokg*FracGASM*MSVolatEF*NtoN2O*kgtoGg,IF('Net zero activities &amp; levers'!$C$14="On",'Net zero Activity data'!BK48*ttokg*FracGASM*MSVolatEF*NtoN2O*kgtoGg,"ERROR"))</f>
        <v>8.6454165096277492E-3</v>
      </c>
      <c r="AS1165" s="101">
        <f>IF('Net zero activities &amp; levers'!$C$14="Off",'Activity data'!BL48*ttokg*FracGASM*MSVolatEF*NtoN2O*kgtoGg,IF('Net zero activities &amp; levers'!$C$14="On",'Net zero Activity data'!BL48*ttokg*FracGASM*MSVolatEF*NtoN2O*kgtoGg,"ERROR"))</f>
        <v>8.642431137654066E-3</v>
      </c>
      <c r="AT1165" s="101">
        <f>IF('Net zero activities &amp; levers'!$C$14="Off",'Activity data'!BM48*ttokg*FracGASM*MSVolatEF*NtoN2O*kgtoGg,IF('Net zero activities &amp; levers'!$C$14="On",'Net zero Activity data'!BM48*ttokg*FracGASM*MSVolatEF*NtoN2O*kgtoGg,"ERROR"))</f>
        <v>8.6394452455363525E-3</v>
      </c>
      <c r="AU1165" s="101">
        <f>IF('Net zero activities &amp; levers'!$C$14="Off",'Activity data'!BN48*ttokg*FracGASM*MSVolatEF*NtoN2O*kgtoGg,IF('Net zero activities &amp; levers'!$C$14="On",'Net zero Activity data'!BN48*ttokg*FracGASM*MSVolatEF*NtoN2O*kgtoGg,"ERROR"))</f>
        <v>8.6375927497315073E-3</v>
      </c>
      <c r="AV1165" s="101">
        <f>IF('Net zero activities &amp; levers'!$C$14="Off",'Activity data'!BO48*ttokg*FracGASM*MSVolatEF*NtoN2O*kgtoGg,IF('Net zero activities &amp; levers'!$C$14="On",'Net zero Activity data'!BO48*ttokg*FracGASM*MSVolatEF*NtoN2O*kgtoGg,"ERROR"))</f>
        <v>8.635831741120089E-3</v>
      </c>
      <c r="AW1165" s="101">
        <f>IF('Net zero activities &amp; levers'!$C$14="Off",'Activity data'!BP48*ttokg*FracGASM*MSVolatEF*NtoN2O*kgtoGg,IF('Net zero activities &amp; levers'!$C$14="On",'Net zero Activity data'!BP48*ttokg*FracGASM*MSVolatEF*NtoN2O*kgtoGg,"ERROR"))</f>
        <v>8.6339413814981846E-3</v>
      </c>
      <c r="AY1165" s="85"/>
    </row>
    <row r="1166" spans="1:51" x14ac:dyDescent="0.25">
      <c r="A1166" s="102" t="str">
        <f t="shared" si="374"/>
        <v>CM Volatilisation</v>
      </c>
      <c r="B1166" s="102" t="s">
        <v>1323</v>
      </c>
      <c r="C1166" s="102" t="s">
        <v>62</v>
      </c>
      <c r="D1166" t="s">
        <v>369</v>
      </c>
      <c r="E1166" t="s">
        <v>61</v>
      </c>
      <c r="F1166" t="s">
        <v>62</v>
      </c>
      <c r="G1166" t="s">
        <v>437</v>
      </c>
      <c r="H1166" t="s">
        <v>1187</v>
      </c>
      <c r="I1166" t="s">
        <v>139</v>
      </c>
      <c r="J1166" t="s">
        <v>287</v>
      </c>
      <c r="K1166" s="101">
        <f>IF('Net zero activities &amp; levers'!$C$14="Off",SUM('Activity data'!AD50:AD65)*FracGASM*MSVolatEF*NtoN2O*kgtoGg,IF('Net zero activities &amp; levers'!$C$14="On",SUM('Net zero Activity data'!AD50:AD65)*FracGASM*MSVolatEF*NtoN2O*kgtoGg,"ERROR"))</f>
        <v>1.2055794850635659</v>
      </c>
      <c r="L1166" s="101">
        <f>IF('Net zero activities &amp; levers'!$C$14="Off",SUM('Activity data'!AE50:AE65)*FracGASM*MSVolatEF*NtoN2O*kgtoGg,IF('Net zero activities &amp; levers'!$C$14="On",SUM('Net zero Activity data'!AE50:AE65)*FracGASM*MSVolatEF*NtoN2O*kgtoGg,"ERROR"))</f>
        <v>1.2104278424184185</v>
      </c>
      <c r="M1166" s="101">
        <f>IF('Net zero activities &amp; levers'!$C$14="Off",SUM('Activity data'!AF50:AF65)*FracGASM*MSVolatEF*NtoN2O*kgtoGg,IF('Net zero activities &amp; levers'!$C$14="On",SUM('Net zero Activity data'!AF50:AF65)*FracGASM*MSVolatEF*NtoN2O*kgtoGg,"ERROR"))</f>
        <v>1.2110410080270337</v>
      </c>
      <c r="N1166" s="101">
        <f>IF('Net zero activities &amp; levers'!$C$14="Off",SUM('Activity data'!AG50:AG65)*FracGASM*MSVolatEF*NtoN2O*kgtoGg,IF('Net zero activities &amp; levers'!$C$14="On",SUM('Net zero Activity data'!AG50:AG65)*FracGASM*MSVolatEF*NtoN2O*kgtoGg,"ERROR"))</f>
        <v>1.1943250378730979</v>
      </c>
      <c r="O1166" s="101">
        <f>IF('Net zero activities &amp; levers'!$C$14="Off",SUM('Activity data'!AH50:AH65)*FracGASM*MSVolatEF*NtoN2O*kgtoGg,IF('Net zero activities &amp; levers'!$C$14="On",SUM('Net zero Activity data'!AH50:AH65)*FracGASM*MSVolatEF*NtoN2O*kgtoGg,"ERROR"))</f>
        <v>1.1785336367211481</v>
      </c>
      <c r="P1166" s="101">
        <f>IF('Net zero activities &amp; levers'!$C$14="Off",SUM('Activity data'!AI50:AI65)*FracGASM*MSVolatEF*NtoN2O*kgtoGg,IF('Net zero activities &amp; levers'!$C$14="On",SUM('Net zero Activity data'!AI50:AI65)*FracGASM*MSVolatEF*NtoN2O*kgtoGg,"ERROR"))</f>
        <v>1.1807984846872717</v>
      </c>
      <c r="Q1166" s="101">
        <f>IF('Net zero activities &amp; levers'!$C$14="Off",SUM('Activity data'!AJ50:AJ65)*FracGASM*MSVolatEF*NtoN2O*kgtoGg,IF('Net zero activities &amp; levers'!$C$14="On",SUM('Net zero Activity data'!AJ50:AJ65)*FracGASM*MSVolatEF*NtoN2O*kgtoGg,"ERROR"))</f>
        <v>1.1777806975328995</v>
      </c>
      <c r="R1166" s="101">
        <f>IF('Net zero activities &amp; levers'!$C$14="Off",SUM('Activity data'!AK50:AK65)*FracGASM*MSVolatEF*NtoN2O*kgtoGg,IF('Net zero activities &amp; levers'!$C$14="On",SUM('Net zero Activity data'!AK50:AK65)*FracGASM*MSVolatEF*NtoN2O*kgtoGg,"ERROR"))</f>
        <v>1.1565987272959932</v>
      </c>
      <c r="S1166" s="101">
        <f>IF('Net zero activities &amp; levers'!$C$14="Off",SUM('Activity data'!AL50:AL65)*FracGASM*MSVolatEF*NtoN2O*kgtoGg,IF('Net zero activities &amp; levers'!$C$14="On",SUM('Net zero Activity data'!AL50:AL65)*FracGASM*MSVolatEF*NtoN2O*kgtoGg,"ERROR"))</f>
        <v>1.0565661190304907</v>
      </c>
      <c r="T1166" s="101">
        <f>IF('Net zero activities &amp; levers'!$C$14="Off",SUM('Activity data'!AM50:AM65)*FracGASM*MSVolatEF*NtoN2O*kgtoGg,IF('Net zero activities &amp; levers'!$C$14="On",SUM('Net zero Activity data'!AM50:AM65)*FracGASM*MSVolatEF*NtoN2O*kgtoGg,"ERROR"))</f>
        <v>1.0684927645732112</v>
      </c>
      <c r="U1166" s="101">
        <f>IF('Net zero activities &amp; levers'!$C$14="Off",SUM('Activity data'!AN50:AN65)*FracGASM*MSVolatEF*NtoN2O*kgtoGg,IF('Net zero activities &amp; levers'!$C$14="On",SUM('Net zero Activity data'!AN50:AN65)*FracGASM*MSVolatEF*NtoN2O*kgtoGg,"ERROR"))</f>
        <v>1.0702527805919764</v>
      </c>
      <c r="V1166" s="101">
        <f>IF('Net zero activities &amp; levers'!$C$14="Off",SUM('Activity data'!AO50:AO65)*FracGASM*MSVolatEF*NtoN2O*kgtoGg,IF('Net zero activities &amp; levers'!$C$14="On",SUM('Net zero Activity data'!AO50:AO65)*FracGASM*MSVolatEF*NtoN2O*kgtoGg,"ERROR"))</f>
        <v>1.0696353169860278</v>
      </c>
      <c r="W1166" s="101">
        <f>IF('Net zero activities &amp; levers'!$C$14="Off",SUM('Activity data'!AP50:AP65)*FracGASM*MSVolatEF*NtoN2O*kgtoGg,IF('Net zero activities &amp; levers'!$C$14="On",SUM('Net zero Activity data'!AP50:AP65)*FracGASM*MSVolatEF*NtoN2O*kgtoGg,"ERROR"))</f>
        <v>1.0722461311400984</v>
      </c>
      <c r="X1166" s="101">
        <f>IF('Net zero activities &amp; levers'!$C$14="Off",SUM('Activity data'!AQ50:AQ65)*FracGASM*MSVolatEF*NtoN2O*kgtoGg,IF('Net zero activities &amp; levers'!$C$14="On",SUM('Net zero Activity data'!AQ50:AQ65)*FracGASM*MSVolatEF*NtoN2O*kgtoGg,"ERROR"))</f>
        <v>1.0861760491741277</v>
      </c>
      <c r="Y1166" s="101">
        <f>IF('Net zero activities &amp; levers'!$C$14="Off",SUM('Activity data'!AR50:AR65)*FracGASM*MSVolatEF*NtoN2O*kgtoGg,IF('Net zero activities &amp; levers'!$C$14="On",SUM('Net zero Activity data'!AR50:AR65)*FracGASM*MSVolatEF*NtoN2O*kgtoGg,"ERROR"))</f>
        <v>1.1021417757889802</v>
      </c>
      <c r="Z1166" s="101">
        <f>IF('Net zero activities &amp; levers'!$C$14="Off",SUM('Activity data'!AS50:AS65)*FracGASM*MSVolatEF*NtoN2O*kgtoGg,IF('Net zero activities &amp; levers'!$C$14="On",SUM('Net zero Activity data'!AS50:AS65)*FracGASM*MSVolatEF*NtoN2O*kgtoGg,"ERROR"))</f>
        <v>1.1202081286076917</v>
      </c>
      <c r="AA1166" s="101">
        <f>IF('Net zero activities &amp; levers'!$C$14="Off",SUM('Activity data'!AT50:AT65)*FracGASM*MSVolatEF*NtoN2O*kgtoGg,IF('Net zero activities &amp; levers'!$C$14="On",SUM('Net zero Activity data'!AT50:AT65)*FracGASM*MSVolatEF*NtoN2O*kgtoGg,"ERROR"))</f>
        <v>1.1329890262354669</v>
      </c>
      <c r="AB1166" s="101">
        <f>IF('Net zero activities &amp; levers'!$C$14="Off",SUM('Activity data'!AU50:AU65)*FracGASM*MSVolatEF*NtoN2O*kgtoGg,IF('Net zero activities &amp; levers'!$C$14="On",SUM('Net zero Activity data'!AU50:AU65)*FracGASM*MSVolatEF*NtoN2O*kgtoGg,"ERROR"))</f>
        <v>1.1501146239129354</v>
      </c>
      <c r="AC1166" s="101">
        <f>IF('Net zero activities &amp; levers'!$C$14="Off",SUM('Activity data'!AV50:AV65)*FracGASM*MSVolatEF*NtoN2O*kgtoGg,IF('Net zero activities &amp; levers'!$C$14="On",SUM('Net zero Activity data'!AV50:AV65)*FracGASM*MSVolatEF*NtoN2O*kgtoGg,"ERROR"))</f>
        <v>1.172496821068945</v>
      </c>
      <c r="AD1166" s="101">
        <f>IF('Net zero activities &amp; levers'!$C$14="Off",SUM('Activity data'!AW50:AW65)*FracGASM*MSVolatEF*NtoN2O*kgtoGg,IF('Net zero activities &amp; levers'!$C$14="On",SUM('Net zero Activity data'!AW50:AW65)*FracGASM*MSVolatEF*NtoN2O*kgtoGg,"ERROR"))</f>
        <v>1.1979085986487263</v>
      </c>
      <c r="AE1166" s="101">
        <f>IF('Net zero activities &amp; levers'!$C$14="Off",SUM('Activity data'!AX50:AX65)*FracGASM*MSVolatEF*NtoN2O*kgtoGg,IF('Net zero activities &amp; levers'!$C$14="On",SUM('Net zero Activity data'!AX50:AX65)*FracGASM*MSVolatEF*NtoN2O*kgtoGg,"ERROR"))</f>
        <v>1.2243957490690975</v>
      </c>
      <c r="AF1166" s="101">
        <f>IF('Net zero activities &amp; levers'!$C$14="Off",SUM('Activity data'!AY50:AY65)*FracGASM*MSVolatEF*NtoN2O*kgtoGg,IF('Net zero activities &amp; levers'!$C$14="On",SUM('Net zero Activity data'!AY50:AY65)*FracGASM*MSVolatEF*NtoN2O*kgtoGg,"ERROR"))</f>
        <v>1.2509879388576197</v>
      </c>
      <c r="AG1166" s="101">
        <f>IF('Net zero activities &amp; levers'!$C$14="Off",SUM('Activity data'!AZ50:AZ65)*FracGASM*MSVolatEF*NtoN2O*kgtoGg,IF('Net zero activities &amp; levers'!$C$14="On",SUM('Net zero Activity data'!AZ50:AZ65)*FracGASM*MSVolatEF*NtoN2O*kgtoGg,"ERROR"))</f>
        <v>1.2816441472986866</v>
      </c>
      <c r="AH1166" s="101">
        <f>IF('Net zero activities &amp; levers'!$C$14="Off",SUM('Activity data'!BA50:BA65)*FracGASM*MSVolatEF*NtoN2O*kgtoGg,IF('Net zero activities &amp; levers'!$C$14="On",SUM('Net zero Activity data'!BA50:BA65)*FracGASM*MSVolatEF*NtoN2O*kgtoGg,"ERROR"))</f>
        <v>1.3059245294571702</v>
      </c>
      <c r="AI1166" s="101">
        <f>IF('Net zero activities &amp; levers'!$C$14="Off",SUM('Activity data'!BB50:BB65)*FracGASM*MSVolatEF*NtoN2O*kgtoGg,IF('Net zero activities &amp; levers'!$C$14="On",SUM('Net zero Activity data'!BB50:BB65)*FracGASM*MSVolatEF*NtoN2O*kgtoGg,"ERROR"))</f>
        <v>1.3318961794603357</v>
      </c>
      <c r="AJ1166" s="101">
        <f>IF('Net zero activities &amp; levers'!$C$14="Off",SUM('Activity data'!BC50:BC65)*FracGASM*MSVolatEF*NtoN2O*kgtoGg,IF('Net zero activities &amp; levers'!$C$14="On",SUM('Net zero Activity data'!BC50:BC65)*FracGASM*MSVolatEF*NtoN2O*kgtoGg,"ERROR"))</f>
        <v>1.3578641162351774</v>
      </c>
      <c r="AK1166" s="101">
        <f>IF('Net zero activities &amp; levers'!$C$14="Off",SUM('Activity data'!BD50:BD65)*FracGASM*MSVolatEF*NtoN2O*kgtoGg,IF('Net zero activities &amp; levers'!$C$14="On",SUM('Net zero Activity data'!BD50:BD65)*FracGASM*MSVolatEF*NtoN2O*kgtoGg,"ERROR"))</f>
        <v>1.3811750190390291</v>
      </c>
      <c r="AL1166" s="101">
        <f>IF('Net zero activities &amp; levers'!$C$14="Off",SUM('Activity data'!BE50:BE65)*FracGASM*MSVolatEF*NtoN2O*kgtoGg,IF('Net zero activities &amp; levers'!$C$14="On",SUM('Net zero Activity data'!BE50:BE65)*FracGASM*MSVolatEF*NtoN2O*kgtoGg,"ERROR"))</f>
        <v>1.4037067864985424</v>
      </c>
      <c r="AM1166" s="101">
        <f>IF('Net zero activities &amp; levers'!$C$14="Off",SUM('Activity data'!BF50:BF65)*FracGASM*MSVolatEF*NtoN2O*kgtoGg,IF('Net zero activities &amp; levers'!$C$14="On",SUM('Net zero Activity data'!BF50:BF65)*FracGASM*MSVolatEF*NtoN2O*kgtoGg,"ERROR"))</f>
        <v>1.4270686690378227</v>
      </c>
      <c r="AN1166" s="101">
        <f>IF('Net zero activities &amp; levers'!$C$14="Off",SUM('Activity data'!BG50:BG65)*FracGASM*MSVolatEF*NtoN2O*kgtoGg,IF('Net zero activities &amp; levers'!$C$14="On",SUM('Net zero Activity data'!BG50:BG65)*FracGASM*MSVolatEF*NtoN2O*kgtoGg,"ERROR"))</f>
        <v>1.4585099159297195</v>
      </c>
      <c r="AO1166" s="101">
        <f>IF('Net zero activities &amp; levers'!$C$14="Off",SUM('Activity data'!BH50:BH65)*FracGASM*MSVolatEF*NtoN2O*kgtoGg,IF('Net zero activities &amp; levers'!$C$14="On",SUM('Net zero Activity data'!BH50:BH65)*FracGASM*MSVolatEF*NtoN2O*kgtoGg,"ERROR"))</f>
        <v>1.4869035790504848</v>
      </c>
      <c r="AP1166" s="101">
        <f>IF('Net zero activities &amp; levers'!$C$14="Off",SUM('Activity data'!BI50:BI65)*FracGASM*MSVolatEF*NtoN2O*kgtoGg,IF('Net zero activities &amp; levers'!$C$14="On",SUM('Net zero Activity data'!BI50:BI65)*FracGASM*MSVolatEF*NtoN2O*kgtoGg,"ERROR"))</f>
        <v>1.5154084196309374</v>
      </c>
      <c r="AQ1166" s="101">
        <f>IF('Net zero activities &amp; levers'!$C$14="Off",SUM('Activity data'!BJ50:BJ65)*FracGASM*MSVolatEF*NtoN2O*kgtoGg,IF('Net zero activities &amp; levers'!$C$14="On",SUM('Net zero Activity data'!BJ50:BJ65)*FracGASM*MSVolatEF*NtoN2O*kgtoGg,"ERROR"))</f>
        <v>1.5441010689640955</v>
      </c>
      <c r="AR1166" s="101">
        <f>IF('Net zero activities &amp; levers'!$C$14="Off",SUM('Activity data'!BK50:BK65)*FracGASM*MSVolatEF*NtoN2O*kgtoGg,IF('Net zero activities &amp; levers'!$C$14="On",SUM('Net zero Activity data'!BK50:BK65)*FracGASM*MSVolatEF*NtoN2O*kgtoGg,"ERROR"))</f>
        <v>1.5751401788854675</v>
      </c>
      <c r="AS1166" s="101">
        <f>IF('Net zero activities &amp; levers'!$C$14="Off",SUM('Activity data'!BL50:BL65)*FracGASM*MSVolatEF*NtoN2O*kgtoGg,IF('Net zero activities &amp; levers'!$C$14="On",SUM('Net zero Activity data'!BL50:BL65)*FracGASM*MSVolatEF*NtoN2O*kgtoGg,"ERROR"))</f>
        <v>1.6067215643245571</v>
      </c>
      <c r="AT1166" s="101">
        <f>IF('Net zero activities &amp; levers'!$C$14="Off",SUM('Activity data'!BM50:BM65)*FracGASM*MSVolatEF*NtoN2O*kgtoGg,IF('Net zero activities &amp; levers'!$C$14="On",SUM('Net zero Activity data'!BM50:BM65)*FracGASM*MSVolatEF*NtoN2O*kgtoGg,"ERROR"))</f>
        <v>1.6180512546164498</v>
      </c>
      <c r="AU1166" s="101">
        <f>IF('Net zero activities &amp; levers'!$C$14="Off",SUM('Activity data'!BN50:BN65)*FracGASM*MSVolatEF*NtoN2O*kgtoGg,IF('Net zero activities &amp; levers'!$C$14="On",SUM('Net zero Activity data'!BN50:BN65)*FracGASM*MSVolatEF*NtoN2O*kgtoGg,"ERROR"))</f>
        <v>1.627869685701457</v>
      </c>
      <c r="AV1166" s="101">
        <f>IF('Net zero activities &amp; levers'!$C$14="Off",SUM('Activity data'!BO50:BO65)*FracGASM*MSVolatEF*NtoN2O*kgtoGg,IF('Net zero activities &amp; levers'!$C$14="On",SUM('Net zero Activity data'!BO50:BO65)*FracGASM*MSVolatEF*NtoN2O*kgtoGg,"ERROR"))</f>
        <v>1.6402145336451255</v>
      </c>
      <c r="AW1166" s="101">
        <f>IF('Net zero activities &amp; levers'!$C$14="Off",SUM('Activity data'!BP50:BP65)*FracGASM*MSVolatEF*NtoN2O*kgtoGg,IF('Net zero activities &amp; levers'!$C$14="On",SUM('Net zero Activity data'!BP50:BP65)*FracGASM*MSVolatEF*NtoN2O*kgtoGg,"ERROR"))</f>
        <v>1.6512918057146522</v>
      </c>
      <c r="AY1166" s="85"/>
    </row>
    <row r="1167" spans="1:51" x14ac:dyDescent="0.25">
      <c r="A1167" s="102" t="str">
        <f t="shared" si="374"/>
        <v>CM Volatilisation</v>
      </c>
      <c r="B1167" s="102" t="s">
        <v>1323</v>
      </c>
      <c r="C1167" s="102" t="s">
        <v>62</v>
      </c>
      <c r="D1167" t="s">
        <v>369</v>
      </c>
      <c r="E1167" t="s">
        <v>61</v>
      </c>
      <c r="F1167" t="s">
        <v>62</v>
      </c>
      <c r="G1167" t="s">
        <v>438</v>
      </c>
      <c r="H1167" t="s">
        <v>1266</v>
      </c>
      <c r="I1167" t="s">
        <v>139</v>
      </c>
      <c r="J1167" t="s">
        <v>287</v>
      </c>
      <c r="K1167" s="101">
        <f>IF('Net zero activities &amp; levers'!$C$14="Off",SUM('Activity data'!AD66:AD81)*FracGASM*MSVolatEF*NtoN2O*kgtoGg,IF('Net zero activities &amp; levers'!$C$14="On",SUM('Net zero Activity data'!AD66:AD81)*FracGASM*MSVolatEF*NtoN2O*kgtoGg,"ERROR"))</f>
        <v>4.4098974147867755</v>
      </c>
      <c r="L1167" s="101">
        <f>IF('Net zero activities &amp; levers'!$C$14="Off",SUM('Activity data'!AE66:AE81)*FracGASM*MSVolatEF*NtoN2O*kgtoGg,IF('Net zero activities &amp; levers'!$C$14="On",SUM('Net zero Activity data'!AE66:AE81)*FracGASM*MSVolatEF*NtoN2O*kgtoGg,"ERROR"))</f>
        <v>4.4002705988392581</v>
      </c>
      <c r="M1167" s="101">
        <f>IF('Net zero activities &amp; levers'!$C$14="Off",SUM('Activity data'!AF66:AF81)*FracGASM*MSVolatEF*NtoN2O*kgtoGg,IF('Net zero activities &amp; levers'!$C$14="On",SUM('Net zero Activity data'!AF66:AF81)*FracGASM*MSVolatEF*NtoN2O*kgtoGg,"ERROR"))</f>
        <v>4.3810790490560496</v>
      </c>
      <c r="N1167" s="101">
        <f>IF('Net zero activities &amp; levers'!$C$14="Off",SUM('Activity data'!AG66:AG81)*FracGASM*MSVolatEF*NtoN2O*kgtoGg,IF('Net zero activities &amp; levers'!$C$14="On",SUM('Net zero Activity data'!AG66:AG81)*FracGASM*MSVolatEF*NtoN2O*kgtoGg,"ERROR"))</f>
        <v>4.3210884872533324</v>
      </c>
      <c r="O1167" s="101">
        <f>IF('Net zero activities &amp; levers'!$C$14="Off",SUM('Activity data'!AH66:AH81)*FracGASM*MSVolatEF*NtoN2O*kgtoGg,IF('Net zero activities &amp; levers'!$C$14="On",SUM('Net zero Activity data'!AH66:AH81)*FracGASM*MSVolatEF*NtoN2O*kgtoGg,"ERROR"))</f>
        <v>4.2648964492483783</v>
      </c>
      <c r="P1167" s="101">
        <f>IF('Net zero activities &amp; levers'!$C$14="Off",SUM('Activity data'!AI66:AI81)*FracGASM*MSVolatEF*NtoN2O*kgtoGg,IF('Net zero activities &amp; levers'!$C$14="On",SUM('Net zero Activity data'!AI66:AI81)*FracGASM*MSVolatEF*NtoN2O*kgtoGg,"ERROR"))</f>
        <v>4.2527084614653266</v>
      </c>
      <c r="Q1167" s="101">
        <f>IF('Net zero activities &amp; levers'!$C$14="Off",SUM('Activity data'!AJ66:AJ81)*FracGASM*MSVolatEF*NtoN2O*kgtoGg,IF('Net zero activities &amp; levers'!$C$14="On",SUM('Net zero Activity data'!AJ66:AJ81)*FracGASM*MSVolatEF*NtoN2O*kgtoGg,"ERROR"))</f>
        <v>4.2283311412429541</v>
      </c>
      <c r="R1167" s="101">
        <f>IF('Net zero activities &amp; levers'!$C$14="Off",SUM('Activity data'!AK66:AK81)*FracGASM*MSVolatEF*NtoN2O*kgtoGg,IF('Net zero activities &amp; levers'!$C$14="On",SUM('Net zero Activity data'!AK66:AK81)*FracGASM*MSVolatEF*NtoN2O*kgtoGg,"ERROR"))</f>
        <v>4.1624951000433894</v>
      </c>
      <c r="S1167" s="101">
        <f>IF('Net zero activities &amp; levers'!$C$14="Off",SUM('Activity data'!AL66:AL81)*FracGASM*MSVolatEF*NtoN2O*kgtoGg,IF('Net zero activities &amp; levers'!$C$14="On",SUM('Net zero Activity data'!AL66:AL81)*FracGASM*MSVolatEF*NtoN2O*kgtoGg,"ERROR"))</f>
        <v>3.918294133105289</v>
      </c>
      <c r="T1167" s="101">
        <f>IF('Net zero activities &amp; levers'!$C$14="Off",SUM('Activity data'!AM66:AM81)*FracGASM*MSVolatEF*NtoN2O*kgtoGg,IF('Net zero activities &amp; levers'!$C$14="On",SUM('Net zero Activity data'!AM66:AM81)*FracGASM*MSVolatEF*NtoN2O*kgtoGg,"ERROR"))</f>
        <v>3.9094554658256615</v>
      </c>
      <c r="U1167" s="101">
        <f>IF('Net zero activities &amp; levers'!$C$14="Off",SUM('Activity data'!AN66:AN81)*FracGASM*MSVolatEF*NtoN2O*kgtoGg,IF('Net zero activities &amp; levers'!$C$14="On",SUM('Net zero Activity data'!AN66:AN81)*FracGASM*MSVolatEF*NtoN2O*kgtoGg,"ERROR"))</f>
        <v>3.877702947461644</v>
      </c>
      <c r="V1167" s="101">
        <f>IF('Net zero activities &amp; levers'!$C$14="Off",SUM('Activity data'!AO66:AO81)*FracGASM*MSVolatEF*NtoN2O*kgtoGg,IF('Net zero activities &amp; levers'!$C$14="On",SUM('Net zero Activity data'!AO66:AO81)*FracGASM*MSVolatEF*NtoN2O*kgtoGg,"ERROR"))</f>
        <v>3.8410773123735567</v>
      </c>
      <c r="W1167" s="101">
        <f>IF('Net zero activities &amp; levers'!$C$14="Off",SUM('Activity data'!AP66:AP81)*FracGASM*MSVolatEF*NtoN2O*kgtoGg,IF('Net zero activities &amp; levers'!$C$14="On",SUM('Net zero Activity data'!AP66:AP81)*FracGASM*MSVolatEF*NtoN2O*kgtoGg,"ERROR"))</f>
        <v>3.8116703390080144</v>
      </c>
      <c r="X1167" s="101">
        <f>IF('Net zero activities &amp; levers'!$C$14="Off",SUM('Activity data'!AQ66:AQ81)*FracGASM*MSVolatEF*NtoN2O*kgtoGg,IF('Net zero activities &amp; levers'!$C$14="On",SUM('Net zero Activity data'!AQ66:AQ81)*FracGASM*MSVolatEF*NtoN2O*kgtoGg,"ERROR"))</f>
        <v>3.8057260526451939</v>
      </c>
      <c r="Y1167" s="101">
        <f>IF('Net zero activities &amp; levers'!$C$14="Off",SUM('Activity data'!AR66:AR81)*FracGASM*MSVolatEF*NtoN2O*kgtoGg,IF('Net zero activities &amp; levers'!$C$14="On",SUM('Net zero Activity data'!AR66:AR81)*FracGASM*MSVolatEF*NtoN2O*kgtoGg,"ERROR"))</f>
        <v>3.8008837739646015</v>
      </c>
      <c r="Z1167" s="101">
        <f>IF('Net zero activities &amp; levers'!$C$14="Off",SUM('Activity data'!AS66:AS81)*FracGASM*MSVolatEF*NtoN2O*kgtoGg,IF('Net zero activities &amp; levers'!$C$14="On",SUM('Net zero Activity data'!AS66:AS81)*FracGASM*MSVolatEF*NtoN2O*kgtoGg,"ERROR"))</f>
        <v>3.799155232313066</v>
      </c>
      <c r="AA1167" s="101">
        <f>IF('Net zero activities &amp; levers'!$C$14="Off",SUM('Activity data'!AT66:AT81)*FracGASM*MSVolatEF*NtoN2O*kgtoGg,IF('Net zero activities &amp; levers'!$C$14="On",SUM('Net zero Activity data'!AT66:AT81)*FracGASM*MSVolatEF*NtoN2O*kgtoGg,"ERROR"))</f>
        <v>3.78600744121493</v>
      </c>
      <c r="AB1167" s="101">
        <f>IF('Net zero activities &amp; levers'!$C$14="Off",SUM('Activity data'!AU66:AU81)*FracGASM*MSVolatEF*NtoN2O*kgtoGg,IF('Net zero activities &amp; levers'!$C$14="On",SUM('Net zero Activity data'!AU66:AU81)*FracGASM*MSVolatEF*NtoN2O*kgtoGg,"ERROR"))</f>
        <v>3.7803184625182324</v>
      </c>
      <c r="AC1167" s="101">
        <f>IF('Net zero activities &amp; levers'!$C$14="Off",SUM('Activity data'!AV66:AV81)*FracGASM*MSVolatEF*NtoN2O*kgtoGg,IF('Net zero activities &amp; levers'!$C$14="On",SUM('Net zero Activity data'!AV66:AV81)*FracGASM*MSVolatEF*NtoN2O*kgtoGg,"ERROR"))</f>
        <v>3.7832285031623267</v>
      </c>
      <c r="AD1167" s="101">
        <f>IF('Net zero activities &amp; levers'!$C$14="Off",SUM('Activity data'!AW66:AW81)*FracGASM*MSVolatEF*NtoN2O*kgtoGg,IF('Net zero activities &amp; levers'!$C$14="On",SUM('Net zero Activity data'!AW66:AW81)*FracGASM*MSVolatEF*NtoN2O*kgtoGg,"ERROR"))</f>
        <v>3.7969050542548697</v>
      </c>
      <c r="AE1167" s="101">
        <f>IF('Net zero activities &amp; levers'!$C$14="Off",SUM('Activity data'!AX66:AX81)*FracGASM*MSVolatEF*NtoN2O*kgtoGg,IF('Net zero activities &amp; levers'!$C$14="On",SUM('Net zero Activity data'!AX66:AX81)*FracGASM*MSVolatEF*NtoN2O*kgtoGg,"ERROR"))</f>
        <v>3.8109513974169373</v>
      </c>
      <c r="AF1167" s="101">
        <f>IF('Net zero activities &amp; levers'!$C$14="Off",SUM('Activity data'!AY66:AY81)*FracGASM*MSVolatEF*NtoN2O*kgtoGg,IF('Net zero activities &amp; levers'!$C$14="On",SUM('Net zero Activity data'!AY66:AY81)*FracGASM*MSVolatEF*NtoN2O*kgtoGg,"ERROR"))</f>
        <v>3.8235596765952109</v>
      </c>
      <c r="AG1167" s="101">
        <f>IF('Net zero activities &amp; levers'!$C$14="Off",SUM('Activity data'!AZ66:AZ81)*FracGASM*MSVolatEF*NtoN2O*kgtoGg,IF('Net zero activities &amp; levers'!$C$14="On",SUM('Net zero Activity data'!AZ66:AZ81)*FracGASM*MSVolatEF*NtoN2O*kgtoGg,"ERROR"))</f>
        <v>3.8414979630433996</v>
      </c>
      <c r="AH1167" s="101">
        <f>IF('Net zero activities &amp; levers'!$C$14="Off",SUM('Activity data'!BA66:BA81)*FracGASM*MSVolatEF*NtoN2O*kgtoGg,IF('Net zero activities &amp; levers'!$C$14="On",SUM('Net zero Activity data'!BA66:BA81)*FracGASM*MSVolatEF*NtoN2O*kgtoGg,"ERROR"))</f>
        <v>3.8468234512709829</v>
      </c>
      <c r="AI1167" s="101">
        <f>IF('Net zero activities &amp; levers'!$C$14="Off",SUM('Activity data'!BB66:BB81)*FracGASM*MSVolatEF*NtoN2O*kgtoGg,IF('Net zero activities &amp; levers'!$C$14="On",SUM('Net zero Activity data'!BB66:BB81)*FracGASM*MSVolatEF*NtoN2O*kgtoGg,"ERROR"))</f>
        <v>3.8518298493752332</v>
      </c>
      <c r="AJ1167" s="101">
        <f>IF('Net zero activities &amp; levers'!$C$14="Off",SUM('Activity data'!BC66:BC81)*FracGASM*MSVolatEF*NtoN2O*kgtoGg,IF('Net zero activities &amp; levers'!$C$14="On",SUM('Net zero Activity data'!BC66:BC81)*FracGASM*MSVolatEF*NtoN2O*kgtoGg,"ERROR"))</f>
        <v>3.8552367051402725</v>
      </c>
      <c r="AK1167" s="101">
        <f>IF('Net zero activities &amp; levers'!$C$14="Off",SUM('Activity data'!BD66:BD81)*FracGASM*MSVolatEF*NtoN2O*kgtoGg,IF('Net zero activities &amp; levers'!$C$14="On",SUM('Net zero Activity data'!BD66:BD81)*FracGASM*MSVolatEF*NtoN2O*kgtoGg,"ERROR"))</f>
        <v>3.8528613565997087</v>
      </c>
      <c r="AL1167" s="101">
        <f>IF('Net zero activities &amp; levers'!$C$14="Off",SUM('Activity data'!BE66:BE81)*FracGASM*MSVolatEF*NtoN2O*kgtoGg,IF('Net zero activities &amp; levers'!$C$14="On",SUM('Net zero Activity data'!BE66:BE81)*FracGASM*MSVolatEF*NtoN2O*kgtoGg,"ERROR"))</f>
        <v>3.8478806790882416</v>
      </c>
      <c r="AM1167" s="101">
        <f>IF('Net zero activities &amp; levers'!$C$14="Off",SUM('Activity data'!BF66:BF81)*FracGASM*MSVolatEF*NtoN2O*kgtoGg,IF('Net zero activities &amp; levers'!$C$14="On",SUM('Net zero Activity data'!BF66:BF81)*FracGASM*MSVolatEF*NtoN2O*kgtoGg,"ERROR"))</f>
        <v>3.8428151835648134</v>
      </c>
      <c r="AN1167" s="101">
        <f>IF('Net zero activities &amp; levers'!$C$14="Off",SUM('Activity data'!BG66:BG81)*FracGASM*MSVolatEF*NtoN2O*kgtoGg,IF('Net zero activities &amp; levers'!$C$14="On",SUM('Net zero Activity data'!BG66:BG81)*FracGASM*MSVolatEF*NtoN2O*kgtoGg,"ERROR"))</f>
        <v>3.8590032449408467</v>
      </c>
      <c r="AO1167" s="101">
        <f>IF('Net zero activities &amp; levers'!$C$14="Off",SUM('Activity data'!BH66:BH81)*FracGASM*MSVolatEF*NtoN2O*kgtoGg,IF('Net zero activities &amp; levers'!$C$14="On",SUM('Net zero Activity data'!BH66:BH81)*FracGASM*MSVolatEF*NtoN2O*kgtoGg,"ERROR"))</f>
        <v>3.8694093322077223</v>
      </c>
      <c r="AP1167" s="101">
        <f>IF('Net zero activities &amp; levers'!$C$14="Off",SUM('Activity data'!BI66:BI81)*FracGASM*MSVolatEF*NtoN2O*kgtoGg,IF('Net zero activities &amp; levers'!$C$14="On",SUM('Net zero Activity data'!BI66:BI81)*FracGASM*MSVolatEF*NtoN2O*kgtoGg,"ERROR"))</f>
        <v>3.878804470519384</v>
      </c>
      <c r="AQ1167" s="101">
        <f>IF('Net zero activities &amp; levers'!$C$14="Off",SUM('Activity data'!BJ66:BJ81)*FracGASM*MSVolatEF*NtoN2O*kgtoGg,IF('Net zero activities &amp; levers'!$C$14="On",SUM('Net zero Activity data'!BJ66:BJ81)*FracGASM*MSVolatEF*NtoN2O*kgtoGg,"ERROR"))</f>
        <v>3.8872949235049337</v>
      </c>
      <c r="AR1167" s="101">
        <f>IF('Net zero activities &amp; levers'!$C$14="Off",SUM('Activity data'!BK66:BK81)*FracGASM*MSVolatEF*NtoN2O*kgtoGg,IF('Net zero activities &amp; levers'!$C$14="On",SUM('Net zero Activity data'!BK66:BK81)*FracGASM*MSVolatEF*NtoN2O*kgtoGg,"ERROR"))</f>
        <v>3.8978721198643798</v>
      </c>
      <c r="AS1167" s="101">
        <f>IF('Net zero activities &amp; levers'!$C$14="Off",SUM('Activity data'!BL66:BL81)*FracGASM*MSVolatEF*NtoN2O*kgtoGg,IF('Net zero activities &amp; levers'!$C$14="On",SUM('Net zero Activity data'!BL66:BL81)*FracGASM*MSVolatEF*NtoN2O*kgtoGg,"ERROR"))</f>
        <v>3.9064024807311188</v>
      </c>
      <c r="AT1167" s="101">
        <f>IF('Net zero activities &amp; levers'!$C$14="Off",SUM('Activity data'!BM66:BM81)*FracGASM*MSVolatEF*NtoN2O*kgtoGg,IF('Net zero activities &amp; levers'!$C$14="On",SUM('Net zero Activity data'!BM66:BM81)*FracGASM*MSVolatEF*NtoN2O*kgtoGg,"ERROR"))</f>
        <v>3.8864864934815544</v>
      </c>
      <c r="AU1167" s="101">
        <f>IF('Net zero activities &amp; levers'!$C$14="Off",SUM('Activity data'!BN66:BN81)*FracGASM*MSVolatEF*NtoN2O*kgtoGg,IF('Net zero activities &amp; levers'!$C$14="On",SUM('Net zero Activity data'!BN66:BN81)*FracGASM*MSVolatEF*NtoN2O*kgtoGg,"ERROR"))</f>
        <v>3.8642672449103275</v>
      </c>
      <c r="AV1167" s="101">
        <f>IF('Net zero activities &amp; levers'!$C$14="Off",SUM('Activity data'!BO66:BO81)*FracGASM*MSVolatEF*NtoN2O*kgtoGg,IF('Net zero activities &amp; levers'!$C$14="On",SUM('Net zero Activity data'!BO66:BO81)*FracGASM*MSVolatEF*NtoN2O*kgtoGg,"ERROR"))</f>
        <v>3.84507736383995</v>
      </c>
      <c r="AW1167" s="101">
        <f>IF('Net zero activities &amp; levers'!$C$14="Off",SUM('Activity data'!BP66:BP81)*FracGASM*MSVolatEF*NtoN2O*kgtoGg,IF('Net zero activities &amp; levers'!$C$14="On",SUM('Net zero Activity data'!BP66:BP81)*FracGASM*MSVolatEF*NtoN2O*kgtoGg,"ERROR"))</f>
        <v>3.8239280167895591</v>
      </c>
      <c r="AY1167" s="85"/>
    </row>
    <row r="1168" spans="1:51" x14ac:dyDescent="0.25">
      <c r="A1168" s="102" t="str">
        <f t="shared" ref="A1168:A1216" si="380">B1168&amp;" "&amp;C1168</f>
        <v>CM Leaching</v>
      </c>
      <c r="B1168" s="102" t="s">
        <v>1323</v>
      </c>
      <c r="C1168" s="102" t="s">
        <v>1191</v>
      </c>
      <c r="D1168" t="s">
        <v>369</v>
      </c>
      <c r="E1168" t="s">
        <v>61</v>
      </c>
      <c r="F1168" t="s">
        <v>63</v>
      </c>
      <c r="G1168" t="s">
        <v>435</v>
      </c>
      <c r="H1168" t="s">
        <v>1188</v>
      </c>
      <c r="I1168" t="s">
        <v>139</v>
      </c>
      <c r="J1168" t="s">
        <v>287</v>
      </c>
      <c r="K1168" s="101">
        <f>IF('Net zero activities &amp; levers'!$C$14="Off",'Activity data'!AD47*FracLEACH*MSLeachEF*NtoN2O*kgtoGg,IF('Net zero activities &amp; levers'!$C$14="On",'Net zero Activity data'!AD47*FracLEACH*MSLeachEF*NtoN2O*kgtoGg,"ERROR"))</f>
        <v>2.2792360161858692E-4</v>
      </c>
      <c r="L1168" s="101">
        <f>IF('Net zero activities &amp; levers'!$C$14="Off",'Activity data'!AE47*FracLEACH*MSLeachEF*NtoN2O*kgtoGg,IF('Net zero activities &amp; levers'!$C$14="On",'Net zero Activity data'!AE47*FracLEACH*MSLeachEF*NtoN2O*kgtoGg,"ERROR"))</f>
        <v>2.278954782162738E-4</v>
      </c>
      <c r="M1168" s="101">
        <f>IF('Net zero activities &amp; levers'!$C$14="Off",'Activity data'!AF47*FracLEACH*MSLeachEF*NtoN2O*kgtoGg,IF('Net zero activities &amp; levers'!$C$14="On",'Net zero Activity data'!AF47*FracLEACH*MSLeachEF*NtoN2O*kgtoGg,"ERROR"))</f>
        <v>2.2784833455264354E-4</v>
      </c>
      <c r="N1168" s="101">
        <f>IF('Net zero activities &amp; levers'!$C$14="Off",'Activity data'!AG47*FracLEACH*MSLeachEF*NtoN2O*kgtoGg,IF('Net zero activities &amp; levers'!$C$14="On",'Net zero Activity data'!AG47*FracLEACH*MSLeachEF*NtoN2O*kgtoGg,"ERROR"))</f>
        <v>2.2780821234926642E-4</v>
      </c>
      <c r="O1168" s="101">
        <f>IF('Net zero activities &amp; levers'!$C$14="Off",'Activity data'!AH47*FracLEACH*MSLeachEF*NtoN2O*kgtoGg,IF('Net zero activities &amp; levers'!$C$14="On",'Net zero Activity data'!AH47*FracLEACH*MSLeachEF*NtoN2O*kgtoGg,"ERROR"))</f>
        <v>2.2779508396212562E-4</v>
      </c>
      <c r="P1168" s="101">
        <f>IF('Net zero activities &amp; levers'!$C$14="Off",'Activity data'!AI47*FracLEACH*MSLeachEF*NtoN2O*kgtoGg,IF('Net zero activities &amp; levers'!$C$14="On",'Net zero Activity data'!AI47*FracLEACH*MSLeachEF*NtoN2O*kgtoGg,"ERROR"))</f>
        <v>2.2778179595055463E-4</v>
      </c>
      <c r="Q1168" s="101">
        <f>IF('Net zero activities &amp; levers'!$C$14="Off",'Activity data'!AJ47*FracLEACH*MSLeachEF*NtoN2O*kgtoGg,IF('Net zero activities &amp; levers'!$C$14="On",'Net zero Activity data'!AJ47*FracLEACH*MSLeachEF*NtoN2O*kgtoGg,"ERROR"))</f>
        <v>2.2774128612235473E-4</v>
      </c>
      <c r="R1168" s="101">
        <f>IF('Net zero activities &amp; levers'!$C$14="Off",'Activity data'!AK47*FracLEACH*MSLeachEF*NtoN2O*kgtoGg,IF('Net zero activities &amp; levers'!$C$14="On",'Net zero Activity data'!AK47*FracLEACH*MSLeachEF*NtoN2O*kgtoGg,"ERROR"))</f>
        <v>2.2770953982641034E-4</v>
      </c>
      <c r="S1168" s="101">
        <f>IF('Net zero activities &amp; levers'!$C$14="Off",'Activity data'!AL47*FracLEACH*MSLeachEF*NtoN2O*kgtoGg,IF('Net zero activities &amp; levers'!$C$14="On",'Net zero Activity data'!AL47*FracLEACH*MSLeachEF*NtoN2O*kgtoGg,"ERROR"))</f>
        <v>2.2770740248580869E-4</v>
      </c>
      <c r="T1168" s="101">
        <f>IF('Net zero activities &amp; levers'!$C$14="Off",'Activity data'!AM47*FracLEACH*MSLeachEF*NtoN2O*kgtoGg,IF('Net zero activities &amp; levers'!$C$14="On",'Net zero Activity data'!AM47*FracLEACH*MSLeachEF*NtoN2O*kgtoGg,"ERROR"))</f>
        <v>2.2783945148459591E-4</v>
      </c>
      <c r="U1168" s="101">
        <f>IF('Net zero activities &amp; levers'!$C$14="Off",'Activity data'!AN47*FracLEACH*MSLeachEF*NtoN2O*kgtoGg,IF('Net zero activities &amp; levers'!$C$14="On",'Net zero Activity data'!AN47*FracLEACH*MSLeachEF*NtoN2O*kgtoGg,"ERROR"))</f>
        <v>2.2776722565809031E-4</v>
      </c>
      <c r="V1168" s="101">
        <f>IF('Net zero activities &amp; levers'!$C$14="Off",'Activity data'!AO47*FracLEACH*MSLeachEF*NtoN2O*kgtoGg,IF('Net zero activities &amp; levers'!$C$14="On",'Net zero Activity data'!AO47*FracLEACH*MSLeachEF*NtoN2O*kgtoGg,"ERROR"))</f>
        <v>2.2771260047953912E-4</v>
      </c>
      <c r="W1168" s="101">
        <f>IF('Net zero activities &amp; levers'!$C$14="Off",'Activity data'!AP47*FracLEACH*MSLeachEF*NtoN2O*kgtoGg,IF('Net zero activities &amp; levers'!$C$14="On",'Net zero Activity data'!AP47*FracLEACH*MSLeachEF*NtoN2O*kgtoGg,"ERROR"))</f>
        <v>2.2766223862224547E-4</v>
      </c>
      <c r="X1168" s="101">
        <f>IF('Net zero activities &amp; levers'!$C$14="Off",'Activity data'!AQ47*FracLEACH*MSLeachEF*NtoN2O*kgtoGg,IF('Net zero activities &amp; levers'!$C$14="On",'Net zero Activity data'!AQ47*FracLEACH*MSLeachEF*NtoN2O*kgtoGg,"ERROR"))</f>
        <v>2.276062837836578E-4</v>
      </c>
      <c r="Y1168" s="101">
        <f>IF('Net zero activities &amp; levers'!$C$14="Off",'Activity data'!AR47*FracLEACH*MSLeachEF*NtoN2O*kgtoGg,IF('Net zero activities &amp; levers'!$C$14="On",'Net zero Activity data'!AR47*FracLEACH*MSLeachEF*NtoN2O*kgtoGg,"ERROR"))</f>
        <v>2.2753024157466073E-4</v>
      </c>
      <c r="Z1168" s="101">
        <f>IF('Net zero activities &amp; levers'!$C$14="Off",'Activity data'!AS47*FracLEACH*MSLeachEF*NtoN2O*kgtoGg,IF('Net zero activities &amp; levers'!$C$14="On",'Net zero Activity data'!AS47*FracLEACH*MSLeachEF*NtoN2O*kgtoGg,"ERROR"))</f>
        <v>2.2745061636443892E-4</v>
      </c>
      <c r="AA1168" s="101">
        <f>IF('Net zero activities &amp; levers'!$C$14="Off",'Activity data'!AT47*FracLEACH*MSLeachEF*NtoN2O*kgtoGg,IF('Net zero activities &amp; levers'!$C$14="On",'Net zero Activity data'!AT47*FracLEACH*MSLeachEF*NtoN2O*kgtoGg,"ERROR"))</f>
        <v>2.2736725195788982E-4</v>
      </c>
      <c r="AB1168" s="101">
        <f>IF('Net zero activities &amp; levers'!$C$14="Off",'Activity data'!AU47*FracLEACH*MSLeachEF*NtoN2O*kgtoGg,IF('Net zero activities &amp; levers'!$C$14="On",'Net zero Activity data'!AU47*FracLEACH*MSLeachEF*NtoN2O*kgtoGg,"ERROR"))</f>
        <v>2.2729316057836611E-4</v>
      </c>
      <c r="AC1168" s="101">
        <f>IF('Net zero activities &amp; levers'!$C$14="Off",'Activity data'!AV47*FracLEACH*MSLeachEF*NtoN2O*kgtoGg,IF('Net zero activities &amp; levers'!$C$14="On",'Net zero Activity data'!AV47*FracLEACH*MSLeachEF*NtoN2O*kgtoGg,"ERROR"))</f>
        <v>2.2721142272582082E-4</v>
      </c>
      <c r="AD1168" s="101">
        <f>IF('Net zero activities &amp; levers'!$C$14="Off",'Activity data'!AW47*FracLEACH*MSLeachEF*NtoN2O*kgtoGg,IF('Net zero activities &amp; levers'!$C$14="On",'Net zero Activity data'!AW47*FracLEACH*MSLeachEF*NtoN2O*kgtoGg,"ERROR"))</f>
        <v>2.2712057079726826E-4</v>
      </c>
      <c r="AE1168" s="101">
        <f>IF('Net zero activities &amp; levers'!$C$14="Off",'Activity data'!AX47*FracLEACH*MSLeachEF*NtoN2O*kgtoGg,IF('Net zero activities &amp; levers'!$C$14="On",'Net zero Activity data'!AX47*FracLEACH*MSLeachEF*NtoN2O*kgtoGg,"ERROR"))</f>
        <v>2.2703354847643673E-4</v>
      </c>
      <c r="AF1168" s="101">
        <f>IF('Net zero activities &amp; levers'!$C$14="Off",'Activity data'!AY47*FracLEACH*MSLeachEF*NtoN2O*kgtoGg,IF('Net zero activities &amp; levers'!$C$14="On",'Net zero Activity data'!AY47*FracLEACH*MSLeachEF*NtoN2O*kgtoGg,"ERROR"))</f>
        <v>2.26945075231808E-4</v>
      </c>
      <c r="AG1168" s="101">
        <f>IF('Net zero activities &amp; levers'!$C$14="Off",'Activity data'!AZ47*FracLEACH*MSLeachEF*NtoN2O*kgtoGg,IF('Net zero activities &amp; levers'!$C$14="On",'Net zero Activity data'!AZ47*FracLEACH*MSLeachEF*NtoN2O*kgtoGg,"ERROR"))</f>
        <v>2.2685685526686305E-4</v>
      </c>
      <c r="AH1168" s="101">
        <f>IF('Net zero activities &amp; levers'!$C$14="Off",'Activity data'!BA47*FracLEACH*MSLeachEF*NtoN2O*kgtoGg,IF('Net zero activities &amp; levers'!$C$14="On",'Net zero Activity data'!BA47*FracLEACH*MSLeachEF*NtoN2O*kgtoGg,"ERROR"))</f>
        <v>2.2676233626526071E-4</v>
      </c>
      <c r="AI1168" s="101">
        <f>IF('Net zero activities &amp; levers'!$C$14="Off",'Activity data'!BB47*FracLEACH*MSLeachEF*NtoN2O*kgtoGg,IF('Net zero activities &amp; levers'!$C$14="On",'Net zero Activity data'!BB47*FracLEACH*MSLeachEF*NtoN2O*kgtoGg,"ERROR"))</f>
        <v>2.2667888951524015E-4</v>
      </c>
      <c r="AJ1168" s="101">
        <f>IF('Net zero activities &amp; levers'!$C$14="Off",'Activity data'!BC47*FracLEACH*MSLeachEF*NtoN2O*kgtoGg,IF('Net zero activities &amp; levers'!$C$14="On",'Net zero Activity data'!BC47*FracLEACH*MSLeachEF*NtoN2O*kgtoGg,"ERROR"))</f>
        <v>2.2659312831646165E-4</v>
      </c>
      <c r="AK1168" s="101">
        <f>IF('Net zero activities &amp; levers'!$C$14="Off",'Activity data'!BD47*FracLEACH*MSLeachEF*NtoN2O*kgtoGg,IF('Net zero activities &amp; levers'!$C$14="On",'Net zero Activity data'!BD47*FracLEACH*MSLeachEF*NtoN2O*kgtoGg,"ERROR"))</f>
        <v>2.2650782823372401E-4</v>
      </c>
      <c r="AL1168" s="101">
        <f>IF('Net zero activities &amp; levers'!$C$14="Off",'Activity data'!BE47*FracLEACH*MSLeachEF*NtoN2O*kgtoGg,IF('Net zero activities &amp; levers'!$C$14="On",'Net zero Activity data'!BE47*FracLEACH*MSLeachEF*NtoN2O*kgtoGg,"ERROR"))</f>
        <v>2.2642722069550987E-4</v>
      </c>
      <c r="AM1168" s="101">
        <f>IF('Net zero activities &amp; levers'!$C$14="Off",'Activity data'!BF47*FracLEACH*MSLeachEF*NtoN2O*kgtoGg,IF('Net zero activities &amp; levers'!$C$14="On",'Net zero Activity data'!BF47*FracLEACH*MSLeachEF*NtoN2O*kgtoGg,"ERROR"))</f>
        <v>2.2634823417440697E-4</v>
      </c>
      <c r="AN1168" s="101">
        <f>IF('Net zero activities &amp; levers'!$C$14="Off",'Activity data'!BG47*FracLEACH*MSLeachEF*NtoN2O*kgtoGg,IF('Net zero activities &amp; levers'!$C$14="On",'Net zero Activity data'!BG47*FracLEACH*MSLeachEF*NtoN2O*kgtoGg,"ERROR"))</f>
        <v>2.2626833024893425E-4</v>
      </c>
      <c r="AO1168" s="101">
        <f>IF('Net zero activities &amp; levers'!$C$14="Off",'Activity data'!BH47*FracLEACH*MSLeachEF*NtoN2O*kgtoGg,IF('Net zero activities &amp; levers'!$C$14="On",'Net zero Activity data'!BH47*FracLEACH*MSLeachEF*NtoN2O*kgtoGg,"ERROR"))</f>
        <v>2.2618677426504506E-4</v>
      </c>
      <c r="AP1168" s="101">
        <f>IF('Net zero activities &amp; levers'!$C$14="Off",'Activity data'!BI47*FracLEACH*MSLeachEF*NtoN2O*kgtoGg,IF('Net zero activities &amp; levers'!$C$14="On",'Net zero Activity data'!BI47*FracLEACH*MSLeachEF*NtoN2O*kgtoGg,"ERROR"))</f>
        <v>2.2611064451268553E-4</v>
      </c>
      <c r="AQ1168" s="101">
        <f>IF('Net zero activities &amp; levers'!$C$14="Off",'Activity data'!BJ47*FracLEACH*MSLeachEF*NtoN2O*kgtoGg,IF('Net zero activities &amp; levers'!$C$14="On",'Net zero Activity data'!BJ47*FracLEACH*MSLeachEF*NtoN2O*kgtoGg,"ERROR"))</f>
        <v>2.2603500754843689E-4</v>
      </c>
      <c r="AR1168" s="101">
        <f>IF('Net zero activities &amp; levers'!$C$14="Off",'Activity data'!BK47*FracLEACH*MSLeachEF*NtoN2O*kgtoGg,IF('Net zero activities &amp; levers'!$C$14="On",'Net zero Activity data'!BK47*FracLEACH*MSLeachEF*NtoN2O*kgtoGg,"ERROR"))</f>
        <v>2.2595974968345244E-4</v>
      </c>
      <c r="AS1168" s="101">
        <f>IF('Net zero activities &amp; levers'!$C$14="Off",'Activity data'!BL47*FracLEACH*MSLeachEF*NtoN2O*kgtoGg,IF('Net zero activities &amp; levers'!$C$14="On",'Net zero Activity data'!BL47*FracLEACH*MSLeachEF*NtoN2O*kgtoGg,"ERROR"))</f>
        <v>2.2588172291595847E-4</v>
      </c>
      <c r="AT1168" s="101">
        <f>IF('Net zero activities &amp; levers'!$C$14="Off",'Activity data'!BM47*FracLEACH*MSLeachEF*NtoN2O*kgtoGg,IF('Net zero activities &amp; levers'!$C$14="On",'Net zero Activity data'!BM47*FracLEACH*MSLeachEF*NtoN2O*kgtoGg,"ERROR"))</f>
        <v>2.25803682553791E-4</v>
      </c>
      <c r="AU1168" s="101">
        <f>IF('Net zero activities &amp; levers'!$C$14="Off",'Activity data'!BN47*FracLEACH*MSLeachEF*NtoN2O*kgtoGg,IF('Net zero activities &amp; levers'!$C$14="On",'Net zero Activity data'!BN47*FracLEACH*MSLeachEF*NtoN2O*kgtoGg,"ERROR"))</f>
        <v>2.2575526504980067E-4</v>
      </c>
      <c r="AV1168" s="101">
        <f>IF('Net zero activities &amp; levers'!$C$14="Off",'Activity data'!BO47*FracLEACH*MSLeachEF*NtoN2O*kgtoGg,IF('Net zero activities &amp; levers'!$C$14="On",'Net zero Activity data'!BO47*FracLEACH*MSLeachEF*NtoN2O*kgtoGg,"ERROR"))</f>
        <v>2.2570923868836588E-4</v>
      </c>
      <c r="AW1168" s="101">
        <f>IF('Net zero activities &amp; levers'!$C$14="Off",'Activity data'!BP47*FracLEACH*MSLeachEF*NtoN2O*kgtoGg,IF('Net zero activities &amp; levers'!$C$14="On",'Net zero Activity data'!BP47*FracLEACH*MSLeachEF*NtoN2O*kgtoGg,"ERROR"))</f>
        <v>2.2565983156188431E-4</v>
      </c>
      <c r="AY1168" s="85"/>
    </row>
    <row r="1169" spans="1:51" x14ac:dyDescent="0.25">
      <c r="A1169" s="102" t="str">
        <f t="shared" si="380"/>
        <v>CM Leaching</v>
      </c>
      <c r="B1169" s="102" t="s">
        <v>1323</v>
      </c>
      <c r="C1169" s="102" t="s">
        <v>1191</v>
      </c>
      <c r="D1169" t="s">
        <v>369</v>
      </c>
      <c r="E1169" t="s">
        <v>61</v>
      </c>
      <c r="F1169" t="s">
        <v>63</v>
      </c>
      <c r="G1169" t="s">
        <v>436</v>
      </c>
      <c r="H1169" t="s">
        <v>1189</v>
      </c>
      <c r="I1169" t="s">
        <v>139</v>
      </c>
      <c r="J1169" t="s">
        <v>287</v>
      </c>
      <c r="K1169" s="101">
        <f>IF('Net zero activities &amp; levers'!$C$14="Off",'Activity data'!AD48*FracLEACH*MSLeachEF*NtoN2O*kgtoGg,IF('Net zero activities &amp; levers'!$C$14="On",'Net zero Activity data'!AD48*FracLEACH*MSLeachEF*NtoN2O*kgtoGg,"ERROR"))</f>
        <v>1.5042957706826741E-6</v>
      </c>
      <c r="L1169" s="101">
        <f>IF('Net zero activities &amp; levers'!$C$14="Off",'Activity data'!AE48*FracLEACH*MSLeachEF*NtoN2O*kgtoGg,IF('Net zero activities &amp; levers'!$C$14="On",'Net zero Activity data'!AE48*FracLEACH*MSLeachEF*NtoN2O*kgtoGg,"ERROR"))</f>
        <v>1.5041101562274073E-6</v>
      </c>
      <c r="M1169" s="101">
        <f>IF('Net zero activities &amp; levers'!$C$14="Off",'Activity data'!AF48*FracLEACH*MSLeachEF*NtoN2O*kgtoGg,IF('Net zero activities &amp; levers'!$C$14="On",'Net zero Activity data'!AF48*FracLEACH*MSLeachEF*NtoN2O*kgtoGg,"ERROR"))</f>
        <v>1.5037990080474479E-6</v>
      </c>
      <c r="N1169" s="101">
        <f>IF('Net zero activities &amp; levers'!$C$14="Off",'Activity data'!AG48*FracLEACH*MSLeachEF*NtoN2O*kgtoGg,IF('Net zero activities &amp; levers'!$C$14="On",'Net zero Activity data'!AG48*FracLEACH*MSLeachEF*NtoN2O*kgtoGg,"ERROR"))</f>
        <v>1.5035342015051588E-6</v>
      </c>
      <c r="O1169" s="101">
        <f>IF('Net zero activities &amp; levers'!$C$14="Off",'Activity data'!AH48*FracLEACH*MSLeachEF*NtoN2O*kgtoGg,IF('Net zero activities &amp; levers'!$C$14="On",'Net zero Activity data'!AH48*FracLEACH*MSLeachEF*NtoN2O*kgtoGg,"ERROR"))</f>
        <v>1.5034475541500297E-6</v>
      </c>
      <c r="P1169" s="101">
        <f>IF('Net zero activities &amp; levers'!$C$14="Off",'Activity data'!AI48*FracLEACH*MSLeachEF*NtoN2O*kgtoGg,IF('Net zero activities &amp; levers'!$C$14="On",'Net zero Activity data'!AI48*FracLEACH*MSLeachEF*NtoN2O*kgtoGg,"ERROR"))</f>
        <v>1.5033598532736611E-6</v>
      </c>
      <c r="Q1169" s="101">
        <f>IF('Net zero activities &amp; levers'!$C$14="Off",'Activity data'!AJ48*FracLEACH*MSLeachEF*NtoN2O*kgtoGg,IF('Net zero activities &amp; levers'!$C$14="On",'Net zero Activity data'!AJ48*FracLEACH*MSLeachEF*NtoN2O*kgtoGg,"ERROR"))</f>
        <v>1.5030924884075416E-6</v>
      </c>
      <c r="R1169" s="101">
        <f>IF('Net zero activities &amp; levers'!$C$14="Off",'Activity data'!AK48*FracLEACH*MSLeachEF*NtoN2O*kgtoGg,IF('Net zero activities &amp; levers'!$C$14="On",'Net zero Activity data'!AK48*FracLEACH*MSLeachEF*NtoN2O*kgtoGg,"ERROR"))</f>
        <v>1.5028829628543084E-6</v>
      </c>
      <c r="S1169" s="101">
        <f>IF('Net zero activities &amp; levers'!$C$14="Off",'Activity data'!AL48*FracLEACH*MSLeachEF*NtoN2O*kgtoGg,IF('Net zero activities &amp; levers'!$C$14="On",'Net zero Activity data'!AL48*FracLEACH*MSLeachEF*NtoN2O*kgtoGg,"ERROR"))</f>
        <v>1.5028688564063377E-6</v>
      </c>
      <c r="T1169" s="101">
        <f>IF('Net zero activities &amp; levers'!$C$14="Off",'Activity data'!AM48*FracLEACH*MSLeachEF*NtoN2O*kgtoGg,IF('Net zero activities &amp; levers'!$C$14="On",'Net zero Activity data'!AM48*FracLEACH*MSLeachEF*NtoN2O*kgtoGg,"ERROR"))</f>
        <v>1.5037403797983331E-6</v>
      </c>
      <c r="U1169" s="101">
        <f>IF('Net zero activities &amp; levers'!$C$14="Off",'Activity data'!AN48*FracLEACH*MSLeachEF*NtoN2O*kgtoGg,IF('Net zero activities &amp; levers'!$C$14="On",'Net zero Activity data'!AN48*FracLEACH*MSLeachEF*NtoN2O*kgtoGg,"ERROR"))</f>
        <v>1.5032636893433962E-6</v>
      </c>
      <c r="V1169" s="101">
        <f>IF('Net zero activities &amp; levers'!$C$14="Off",'Activity data'!AO48*FracLEACH*MSLeachEF*NtoN2O*kgtoGg,IF('Net zero activities &amp; levers'!$C$14="On",'Net zero Activity data'!AO48*FracLEACH*MSLeachEF*NtoN2O*kgtoGg,"ERROR"))</f>
        <v>1.5029031631649579E-6</v>
      </c>
      <c r="W1169" s="101">
        <f>IF('Net zero activities &amp; levers'!$C$14="Off",'Activity data'!AP48*FracLEACH*MSLeachEF*NtoN2O*kgtoGg,IF('Net zero activities &amp; levers'!$C$14="On",'Net zero Activity data'!AP48*FracLEACH*MSLeachEF*NtoN2O*kgtoGg,"ERROR"))</f>
        <v>1.5025707749068207E-6</v>
      </c>
      <c r="X1169" s="101">
        <f>IF('Net zero activities &amp; levers'!$C$14="Off",'Activity data'!AQ48*FracLEACH*MSLeachEF*NtoN2O*kgtoGg,IF('Net zero activities &amp; levers'!$C$14="On",'Net zero Activity data'!AQ48*FracLEACH*MSLeachEF*NtoN2O*kgtoGg,"ERROR"))</f>
        <v>1.5022014729721417E-6</v>
      </c>
      <c r="Y1169" s="101">
        <f>IF('Net zero activities &amp; levers'!$C$14="Off",'Activity data'!AR48*FracLEACH*MSLeachEF*NtoN2O*kgtoGg,IF('Net zero activities &amp; levers'!$C$14="On",'Net zero Activity data'!AR48*FracLEACH*MSLeachEF*NtoN2O*kgtoGg,"ERROR"))</f>
        <v>1.5016995943927613E-6</v>
      </c>
      <c r="Z1169" s="101">
        <f>IF('Net zero activities &amp; levers'!$C$14="Off",'Activity data'!AS48*FracLEACH*MSLeachEF*NtoN2O*kgtoGg,IF('Net zero activities &amp; levers'!$C$14="On",'Net zero Activity data'!AS48*FracLEACH*MSLeachEF*NtoN2O*kgtoGg,"ERROR"))</f>
        <v>1.5011740680052976E-6</v>
      </c>
      <c r="AA1169" s="101">
        <f>IF('Net zero activities &amp; levers'!$C$14="Off",'Activity data'!AT48*FracLEACH*MSLeachEF*NtoN2O*kgtoGg,IF('Net zero activities &amp; levers'!$C$14="On",'Net zero Activity data'!AT48*FracLEACH*MSLeachEF*NtoN2O*kgtoGg,"ERROR"))</f>
        <v>1.5006238629220729E-6</v>
      </c>
      <c r="AB1169" s="101">
        <f>IF('Net zero activities &amp; levers'!$C$14="Off",'Activity data'!AU48*FracLEACH*MSLeachEF*NtoN2O*kgtoGg,IF('Net zero activities &amp; levers'!$C$14="On",'Net zero Activity data'!AU48*FracLEACH*MSLeachEF*NtoN2O*kgtoGg,"ERROR"))</f>
        <v>1.5001348598172167E-6</v>
      </c>
      <c r="AC1169" s="101">
        <f>IF('Net zero activities &amp; levers'!$C$14="Off",'Activity data'!AV48*FracLEACH*MSLeachEF*NtoN2O*kgtoGg,IF('Net zero activities &amp; levers'!$C$14="On",'Net zero Activity data'!AV48*FracLEACH*MSLeachEF*NtoN2O*kgtoGg,"ERROR"))</f>
        <v>1.4995953899904175E-6</v>
      </c>
      <c r="AD1169" s="101">
        <f>IF('Net zero activities &amp; levers'!$C$14="Off",'Activity data'!AW48*FracLEACH*MSLeachEF*NtoN2O*kgtoGg,IF('Net zero activities &amp; levers'!$C$14="On",'Net zero Activity data'!AW48*FracLEACH*MSLeachEF*NtoN2O*kgtoGg,"ERROR"))</f>
        <v>1.4989957672619707E-6</v>
      </c>
      <c r="AE1169" s="101">
        <f>IF('Net zero activities &amp; levers'!$C$14="Off",'Activity data'!AX48*FracLEACH*MSLeachEF*NtoN2O*kgtoGg,IF('Net zero activities &amp; levers'!$C$14="On",'Net zero Activity data'!AX48*FracLEACH*MSLeachEF*NtoN2O*kgtoGg,"ERROR"))</f>
        <v>1.4984214199444828E-6</v>
      </c>
      <c r="AF1169" s="101">
        <f>IF('Net zero activities &amp; levers'!$C$14="Off",'Activity data'!AY48*FracLEACH*MSLeachEF*NtoN2O*kgtoGg,IF('Net zero activities &amp; levers'!$C$14="On",'Net zero Activity data'!AY48*FracLEACH*MSLeachEF*NtoN2O*kgtoGg,"ERROR"))</f>
        <v>1.497837496529933E-6</v>
      </c>
      <c r="AG1169" s="101">
        <f>IF('Net zero activities &amp; levers'!$C$14="Off",'Activity data'!AZ48*FracLEACH*MSLeachEF*NtoN2O*kgtoGg,IF('Net zero activities &amp; levers'!$C$14="On",'Net zero Activity data'!AZ48*FracLEACH*MSLeachEF*NtoN2O*kgtoGg,"ERROR"))</f>
        <v>1.497255244761296E-6</v>
      </c>
      <c r="AH1169" s="101">
        <f>IF('Net zero activities &amp; levers'!$C$14="Off",'Activity data'!BA48*FracLEACH*MSLeachEF*NtoN2O*kgtoGg,IF('Net zero activities &amp; levers'!$C$14="On",'Net zero Activity data'!BA48*FracLEACH*MSLeachEF*NtoN2O*kgtoGg,"ERROR"))</f>
        <v>1.4966314193507213E-6</v>
      </c>
      <c r="AI1169" s="101">
        <f>IF('Net zero activities &amp; levers'!$C$14="Off",'Activity data'!BB48*FracLEACH*MSLeachEF*NtoN2O*kgtoGg,IF('Net zero activities &amp; levers'!$C$14="On",'Net zero Activity data'!BB48*FracLEACH*MSLeachEF*NtoN2O*kgtoGg,"ERROR"))</f>
        <v>1.4960806708005854E-6</v>
      </c>
      <c r="AJ1169" s="101">
        <f>IF('Net zero activities &amp; levers'!$C$14="Off",'Activity data'!BC48*FracLEACH*MSLeachEF*NtoN2O*kgtoGg,IF('Net zero activities &amp; levers'!$C$14="On",'Net zero Activity data'!BC48*FracLEACH*MSLeachEF*NtoN2O*kgtoGg,"ERROR"))</f>
        <v>1.4955146468886474E-6</v>
      </c>
      <c r="AK1169" s="101">
        <f>IF('Net zero activities &amp; levers'!$C$14="Off",'Activity data'!BD48*FracLEACH*MSLeachEF*NtoN2O*kgtoGg,IF('Net zero activities &amp; levers'!$C$14="On",'Net zero Activity data'!BD48*FracLEACH*MSLeachEF*NtoN2O*kgtoGg,"ERROR"))</f>
        <v>1.494951666342579E-6</v>
      </c>
      <c r="AL1169" s="101">
        <f>IF('Net zero activities &amp; levers'!$C$14="Off",'Activity data'!BE48*FracLEACH*MSLeachEF*NtoN2O*kgtoGg,IF('Net zero activities &amp; levers'!$C$14="On",'Net zero Activity data'!BE48*FracLEACH*MSLeachEF*NtoN2O*kgtoGg,"ERROR"))</f>
        <v>1.494419656590365E-6</v>
      </c>
      <c r="AM1169" s="101">
        <f>IF('Net zero activities &amp; levers'!$C$14="Off",'Activity data'!BF48*FracLEACH*MSLeachEF*NtoN2O*kgtoGg,IF('Net zero activities &amp; levers'!$C$14="On",'Net zero Activity data'!BF48*FracLEACH*MSLeachEF*NtoN2O*kgtoGg,"ERROR"))</f>
        <v>1.493898345551086E-6</v>
      </c>
      <c r="AN1169" s="101">
        <f>IF('Net zero activities &amp; levers'!$C$14="Off",'Activity data'!BG48*FracLEACH*MSLeachEF*NtoN2O*kgtoGg,IF('Net zero activities &amp; levers'!$C$14="On",'Net zero Activity data'!BG48*FracLEACH*MSLeachEF*NtoN2O*kgtoGg,"ERROR"))</f>
        <v>1.4933709796429669E-6</v>
      </c>
      <c r="AO1169" s="101">
        <f>IF('Net zero activities &amp; levers'!$C$14="Off",'Activity data'!BH48*FracLEACH*MSLeachEF*NtoN2O*kgtoGg,IF('Net zero activities &amp; levers'!$C$14="On",'Net zero Activity data'!BH48*FracLEACH*MSLeachEF*NtoN2O*kgtoGg,"ERROR"))</f>
        <v>1.4928327101492978E-6</v>
      </c>
      <c r="AP1169" s="101">
        <f>IF('Net zero activities &amp; levers'!$C$14="Off",'Activity data'!BI48*FracLEACH*MSLeachEF*NtoN2O*kgtoGg,IF('Net zero activities &amp; levers'!$C$14="On",'Net zero Activity data'!BI48*FracLEACH*MSLeachEF*NtoN2O*kgtoGg,"ERROR"))</f>
        <v>1.4923302537837247E-6</v>
      </c>
      <c r="AQ1169" s="101">
        <f>IF('Net zero activities &amp; levers'!$C$14="Off",'Activity data'!BJ48*FracLEACH*MSLeachEF*NtoN2O*kgtoGg,IF('Net zero activities &amp; levers'!$C$14="On",'Net zero Activity data'!BJ48*FracLEACH*MSLeachEF*NtoN2O*kgtoGg,"ERROR"))</f>
        <v>1.4918310498196839E-6</v>
      </c>
      <c r="AR1169" s="101">
        <f>IF('Net zero activities &amp; levers'!$C$14="Off",'Activity data'!BK48*FracLEACH*MSLeachEF*NtoN2O*kgtoGg,IF('Net zero activities &amp; levers'!$C$14="On",'Net zero Activity data'!BK48*FracLEACH*MSLeachEF*NtoN2O*kgtoGg,"ERROR"))</f>
        <v>1.4913343479107866E-6</v>
      </c>
      <c r="AS1169" s="101">
        <f>IF('Net zero activities &amp; levers'!$C$14="Off",'Activity data'!BL48*FracLEACH*MSLeachEF*NtoN2O*kgtoGg,IF('Net zero activities &amp; levers'!$C$14="On",'Net zero Activity data'!BL48*FracLEACH*MSLeachEF*NtoN2O*kgtoGg,"ERROR"))</f>
        <v>1.490819371245326E-6</v>
      </c>
      <c r="AT1169" s="101">
        <f>IF('Net zero activities &amp; levers'!$C$14="Off",'Activity data'!BM48*FracLEACH*MSLeachEF*NtoN2O*kgtoGg,IF('Net zero activities &amp; levers'!$C$14="On",'Net zero Activity data'!BM48*FracLEACH*MSLeachEF*NtoN2O*kgtoGg,"ERROR"))</f>
        <v>1.490304304855021E-6</v>
      </c>
      <c r="AU1169" s="101">
        <f>IF('Net zero activities &amp; levers'!$C$14="Off",'Activity data'!BN48*FracLEACH*MSLeachEF*NtoN2O*kgtoGg,IF('Net zero activities &amp; levers'!$C$14="On",'Net zero Activity data'!BN48*FracLEACH*MSLeachEF*NtoN2O*kgtoGg,"ERROR"))</f>
        <v>1.4899847493286845E-6</v>
      </c>
      <c r="AV1169" s="101">
        <f>IF('Net zero activities &amp; levers'!$C$14="Off",'Activity data'!BO48*FracLEACH*MSLeachEF*NtoN2O*kgtoGg,IF('Net zero activities &amp; levers'!$C$14="On",'Net zero Activity data'!BO48*FracLEACH*MSLeachEF*NtoN2O*kgtoGg,"ERROR"))</f>
        <v>1.4896809753432154E-6</v>
      </c>
      <c r="AW1169" s="101">
        <f>IF('Net zero activities &amp; levers'!$C$14="Off",'Activity data'!BP48*FracLEACH*MSLeachEF*NtoN2O*kgtoGg,IF('Net zero activities &amp; levers'!$C$14="On",'Net zero Activity data'!BP48*FracLEACH*MSLeachEF*NtoN2O*kgtoGg,"ERROR"))</f>
        <v>1.489354888308437E-6</v>
      </c>
      <c r="AY1169" s="85"/>
    </row>
    <row r="1170" spans="1:51" x14ac:dyDescent="0.25">
      <c r="A1170" s="102" t="str">
        <f t="shared" si="380"/>
        <v>CM Leaching</v>
      </c>
      <c r="B1170" s="102" t="s">
        <v>1323</v>
      </c>
      <c r="C1170" s="102" t="s">
        <v>1191</v>
      </c>
      <c r="D1170" t="s">
        <v>369</v>
      </c>
      <c r="E1170" t="s">
        <v>61</v>
      </c>
      <c r="F1170" t="s">
        <v>63</v>
      </c>
      <c r="G1170" t="s">
        <v>437</v>
      </c>
      <c r="H1170" t="s">
        <v>1190</v>
      </c>
      <c r="I1170" t="s">
        <v>139</v>
      </c>
      <c r="J1170" t="s">
        <v>287</v>
      </c>
      <c r="K1170" s="101">
        <f>IF('Net zero activities &amp; levers'!$C$14="Off",SUM('Activity data'!AD50:AD65)*FracLEACH*MSLeachEF*NtoN2O*kgtoGg,IF('Net zero activities &amp; levers'!$C$14="On",SUM('Net zero Activity data'!AD50:AD65)*FracLEACH*MSLeachEF*NtoN2O*kgtoGg,"ERROR"))</f>
        <v>0.20796246117346509</v>
      </c>
      <c r="L1170" s="101">
        <f>IF('Net zero activities &amp; levers'!$C$14="Off",SUM('Activity data'!AE50:AE65)*FracLEACH*MSLeachEF*NtoN2O*kgtoGg,IF('Net zero activities &amp; levers'!$C$14="On",SUM('Net zero Activity data'!AE50:AE65)*FracLEACH*MSLeachEF*NtoN2O*kgtoGg,"ERROR"))</f>
        <v>0.20879880281717714</v>
      </c>
      <c r="M1170" s="101">
        <f>IF('Net zero activities &amp; levers'!$C$14="Off",SUM('Activity data'!AF50:AF65)*FracLEACH*MSLeachEF*NtoN2O*kgtoGg,IF('Net zero activities &amp; levers'!$C$14="On",SUM('Net zero Activity data'!AF50:AF65)*FracLEACH*MSLeachEF*NtoN2O*kgtoGg,"ERROR"))</f>
        <v>0.20890457388466332</v>
      </c>
      <c r="N1170" s="101">
        <f>IF('Net zero activities &amp; levers'!$C$14="Off",SUM('Activity data'!AG50:AG65)*FracLEACH*MSLeachEF*NtoN2O*kgtoGg,IF('Net zero activities &amp; levers'!$C$14="On",SUM('Net zero Activity data'!AG50:AG65)*FracLEACH*MSLeachEF*NtoN2O*kgtoGg,"ERROR"))</f>
        <v>0.20602106903310935</v>
      </c>
      <c r="O1170" s="101">
        <f>IF('Net zero activities &amp; levers'!$C$14="Off",SUM('Activity data'!AH50:AH65)*FracLEACH*MSLeachEF*NtoN2O*kgtoGg,IF('Net zero activities &amp; levers'!$C$14="On",SUM('Net zero Activity data'!AH50:AH65)*FracLEACH*MSLeachEF*NtoN2O*kgtoGg,"ERROR"))</f>
        <v>0.20329705233439804</v>
      </c>
      <c r="P1170" s="101">
        <f>IF('Net zero activities &amp; levers'!$C$14="Off",SUM('Activity data'!AI50:AI65)*FracLEACH*MSLeachEF*NtoN2O*kgtoGg,IF('Net zero activities &amp; levers'!$C$14="On",SUM('Net zero Activity data'!AI50:AI65)*FracLEACH*MSLeachEF*NtoN2O*kgtoGg,"ERROR"))</f>
        <v>0.2036877386085543</v>
      </c>
      <c r="Q1170" s="101">
        <f>IF('Net zero activities &amp; levers'!$C$14="Off",SUM('Activity data'!AJ50:AJ65)*FracLEACH*MSLeachEF*NtoN2O*kgtoGg,IF('Net zero activities &amp; levers'!$C$14="On",SUM('Net zero Activity data'!AJ50:AJ65)*FracLEACH*MSLeachEF*NtoN2O*kgtoGg,"ERROR"))</f>
        <v>0.20316717032442511</v>
      </c>
      <c r="R1170" s="101">
        <f>IF('Net zero activities &amp; levers'!$C$14="Off",SUM('Activity data'!AK50:AK65)*FracLEACH*MSLeachEF*NtoN2O*kgtoGg,IF('Net zero activities &amp; levers'!$C$14="On",SUM('Net zero Activity data'!AK50:AK65)*FracLEACH*MSLeachEF*NtoN2O*kgtoGg,"ERROR"))</f>
        <v>0.19951328045855884</v>
      </c>
      <c r="S1170" s="101">
        <f>IF('Net zero activities &amp; levers'!$C$14="Off",SUM('Activity data'!AL50:AL65)*FracLEACH*MSLeachEF*NtoN2O*kgtoGg,IF('Net zero activities &amp; levers'!$C$14="On",SUM('Net zero Activity data'!AL50:AL65)*FracLEACH*MSLeachEF*NtoN2O*kgtoGg,"ERROR"))</f>
        <v>0.18225765553275963</v>
      </c>
      <c r="T1170" s="101">
        <f>IF('Net zero activities &amp; levers'!$C$14="Off",SUM('Activity data'!AM50:AM65)*FracLEACH*MSLeachEF*NtoN2O*kgtoGg,IF('Net zero activities &amp; levers'!$C$14="On",SUM('Net zero Activity data'!AM50:AM65)*FracLEACH*MSLeachEF*NtoN2O*kgtoGg,"ERROR"))</f>
        <v>0.18431500188887895</v>
      </c>
      <c r="U1170" s="101">
        <f>IF('Net zero activities &amp; levers'!$C$14="Off",SUM('Activity data'!AN50:AN65)*FracLEACH*MSLeachEF*NtoN2O*kgtoGg,IF('Net zero activities &amp; levers'!$C$14="On",SUM('Net zero Activity data'!AN50:AN65)*FracLEACH*MSLeachEF*NtoN2O*kgtoGg,"ERROR"))</f>
        <v>0.18461860465211585</v>
      </c>
      <c r="V1170" s="101">
        <f>IF('Net zero activities &amp; levers'!$C$14="Off",SUM('Activity data'!AO50:AO65)*FracLEACH*MSLeachEF*NtoN2O*kgtoGg,IF('Net zero activities &amp; levers'!$C$14="On",SUM('Net zero Activity data'!AO50:AO65)*FracLEACH*MSLeachEF*NtoN2O*kgtoGg,"ERROR"))</f>
        <v>0.18451209218008982</v>
      </c>
      <c r="W1170" s="101">
        <f>IF('Net zero activities &amp; levers'!$C$14="Off",SUM('Activity data'!AP50:AP65)*FracLEACH*MSLeachEF*NtoN2O*kgtoGg,IF('Net zero activities &amp; levers'!$C$14="On",SUM('Net zero Activity data'!AP50:AP65)*FracLEACH*MSLeachEF*NtoN2O*kgtoGg,"ERROR"))</f>
        <v>0.18496245762166696</v>
      </c>
      <c r="X1170" s="101">
        <f>IF('Net zero activities &amp; levers'!$C$14="Off",SUM('Activity data'!AQ50:AQ65)*FracLEACH*MSLeachEF*NtoN2O*kgtoGg,IF('Net zero activities &amp; levers'!$C$14="On",SUM('Net zero Activity data'!AQ50:AQ65)*FracLEACH*MSLeachEF*NtoN2O*kgtoGg,"ERROR"))</f>
        <v>0.18736536848253699</v>
      </c>
      <c r="Y1170" s="101">
        <f>IF('Net zero activities &amp; levers'!$C$14="Off",SUM('Activity data'!AR50:AR65)*FracLEACH*MSLeachEF*NtoN2O*kgtoGg,IF('Net zero activities &amp; levers'!$C$14="On",SUM('Net zero Activity data'!AR50:AR65)*FracLEACH*MSLeachEF*NtoN2O*kgtoGg,"ERROR"))</f>
        <v>0.19011945632359906</v>
      </c>
      <c r="Z1170" s="101">
        <f>IF('Net zero activities &amp; levers'!$C$14="Off",SUM('Activity data'!AS50:AS65)*FracLEACH*MSLeachEF*NtoN2O*kgtoGg,IF('Net zero activities &amp; levers'!$C$14="On",SUM('Net zero Activity data'!AS50:AS65)*FracLEACH*MSLeachEF*NtoN2O*kgtoGg,"ERROR"))</f>
        <v>0.19323590218482684</v>
      </c>
      <c r="AA1170" s="101">
        <f>IF('Net zero activities &amp; levers'!$C$14="Off",SUM('Activity data'!AT50:AT65)*FracLEACH*MSLeachEF*NtoN2O*kgtoGg,IF('Net zero activities &amp; levers'!$C$14="On",SUM('Net zero Activity data'!AT50:AT65)*FracLEACH*MSLeachEF*NtoN2O*kgtoGg,"ERROR"))</f>
        <v>0.19544060702561802</v>
      </c>
      <c r="AB1170" s="101">
        <f>IF('Net zero activities &amp; levers'!$C$14="Off",SUM('Activity data'!AU50:AU65)*FracLEACH*MSLeachEF*NtoN2O*kgtoGg,IF('Net zero activities &amp; levers'!$C$14="On",SUM('Net zero Activity data'!AU50:AU65)*FracLEACH*MSLeachEF*NtoN2O*kgtoGg,"ERROR"))</f>
        <v>0.19839477262498131</v>
      </c>
      <c r="AC1170" s="101">
        <f>IF('Net zero activities &amp; levers'!$C$14="Off",SUM('Activity data'!AV50:AV65)*FracLEACH*MSLeachEF*NtoN2O*kgtoGg,IF('Net zero activities &amp; levers'!$C$14="On",SUM('Net zero Activity data'!AV50:AV65)*FracLEACH*MSLeachEF*NtoN2O*kgtoGg,"ERROR"))</f>
        <v>0.20225570163439296</v>
      </c>
      <c r="AD1170" s="101">
        <f>IF('Net zero activities &amp; levers'!$C$14="Off",SUM('Activity data'!AW50:AW65)*FracLEACH*MSLeachEF*NtoN2O*kgtoGg,IF('Net zero activities &amp; levers'!$C$14="On",SUM('Net zero Activity data'!AW50:AW65)*FracLEACH*MSLeachEF*NtoN2O*kgtoGg,"ERROR"))</f>
        <v>0.20663923326690528</v>
      </c>
      <c r="AE1170" s="101">
        <f>IF('Net zero activities &amp; levers'!$C$14="Off",SUM('Activity data'!AX50:AX65)*FracLEACH*MSLeachEF*NtoN2O*kgtoGg,IF('Net zero activities &amp; levers'!$C$14="On",SUM('Net zero Activity data'!AX50:AX65)*FracLEACH*MSLeachEF*NtoN2O*kgtoGg,"ERROR"))</f>
        <v>0.21120826671441933</v>
      </c>
      <c r="AF1170" s="101">
        <f>IF('Net zero activities &amp; levers'!$C$14="Off",SUM('Activity data'!AY50:AY65)*FracLEACH*MSLeachEF*NtoN2O*kgtoGg,IF('Net zero activities &amp; levers'!$C$14="On",SUM('Net zero Activity data'!AY50:AY65)*FracLEACH*MSLeachEF*NtoN2O*kgtoGg,"ERROR"))</f>
        <v>0.2157954194529394</v>
      </c>
      <c r="AG1170" s="101">
        <f>IF('Net zero activities &amp; levers'!$C$14="Off",SUM('Activity data'!AZ50:AZ65)*FracLEACH*MSLeachEF*NtoN2O*kgtoGg,IF('Net zero activities &amp; levers'!$C$14="On",SUM('Net zero Activity data'!AZ50:AZ65)*FracLEACH*MSLeachEF*NtoN2O*kgtoGg,"ERROR"))</f>
        <v>0.22108361540902347</v>
      </c>
      <c r="AH1170" s="101">
        <f>IF('Net zero activities &amp; levers'!$C$14="Off",SUM('Activity data'!BA50:BA65)*FracLEACH*MSLeachEF*NtoN2O*kgtoGg,IF('Net zero activities &amp; levers'!$C$14="On",SUM('Net zero Activity data'!BA50:BA65)*FracLEACH*MSLeachEF*NtoN2O*kgtoGg,"ERROR"))</f>
        <v>0.22527198133136178</v>
      </c>
      <c r="AI1170" s="101">
        <f>IF('Net zero activities &amp; levers'!$C$14="Off",SUM('Activity data'!BB50:BB65)*FracLEACH*MSLeachEF*NtoN2O*kgtoGg,IF('Net zero activities &amp; levers'!$C$14="On",SUM('Net zero Activity data'!BB50:BB65)*FracLEACH*MSLeachEF*NtoN2O*kgtoGg,"ERROR"))</f>
        <v>0.22975209095690785</v>
      </c>
      <c r="AJ1170" s="101">
        <f>IF('Net zero activities &amp; levers'!$C$14="Off",SUM('Activity data'!BC50:BC65)*FracLEACH*MSLeachEF*NtoN2O*kgtoGg,IF('Net zero activities &amp; levers'!$C$14="On",SUM('Net zero Activity data'!BC50:BC65)*FracLEACH*MSLeachEF*NtoN2O*kgtoGg,"ERROR"))</f>
        <v>0.23423156005056814</v>
      </c>
      <c r="AK1170" s="101">
        <f>IF('Net zero activities &amp; levers'!$C$14="Off",SUM('Activity data'!BD50:BD65)*FracLEACH*MSLeachEF*NtoN2O*kgtoGg,IF('Net zero activities &amp; levers'!$C$14="On",SUM('Net zero Activity data'!BD50:BD65)*FracLEACH*MSLeachEF*NtoN2O*kgtoGg,"ERROR"))</f>
        <v>0.23825269078423245</v>
      </c>
      <c r="AL1170" s="101">
        <f>IF('Net zero activities &amp; levers'!$C$14="Off",SUM('Activity data'!BE50:BE65)*FracLEACH*MSLeachEF*NtoN2O*kgtoGg,IF('Net zero activities &amp; levers'!$C$14="On",SUM('Net zero Activity data'!BE50:BE65)*FracLEACH*MSLeachEF*NtoN2O*kgtoGg,"ERROR"))</f>
        <v>0.24213942067099856</v>
      </c>
      <c r="AM1170" s="101">
        <f>IF('Net zero activities &amp; levers'!$C$14="Off",SUM('Activity data'!BF50:BF65)*FracLEACH*MSLeachEF*NtoN2O*kgtoGg,IF('Net zero activities &amp; levers'!$C$14="On",SUM('Net zero Activity data'!BF50:BF65)*FracLEACH*MSLeachEF*NtoN2O*kgtoGg,"ERROR"))</f>
        <v>0.24616934540902438</v>
      </c>
      <c r="AN1170" s="101">
        <f>IF('Net zero activities &amp; levers'!$C$14="Off",SUM('Activity data'!BG50:BG65)*FracLEACH*MSLeachEF*NtoN2O*kgtoGg,IF('Net zero activities &amp; levers'!$C$14="On",SUM('Net zero Activity data'!BG50:BG65)*FracLEACH*MSLeachEF*NtoN2O*kgtoGg,"ERROR"))</f>
        <v>0.25159296049787661</v>
      </c>
      <c r="AO1170" s="101">
        <f>IF('Net zero activities &amp; levers'!$C$14="Off",SUM('Activity data'!BH50:BH65)*FracLEACH*MSLeachEF*NtoN2O*kgtoGg,IF('Net zero activities &amp; levers'!$C$14="On",SUM('Net zero Activity data'!BH50:BH65)*FracLEACH*MSLeachEF*NtoN2O*kgtoGg,"ERROR"))</f>
        <v>0.25649086738620858</v>
      </c>
      <c r="AP1170" s="101">
        <f>IF('Net zero activities &amp; levers'!$C$14="Off",SUM('Activity data'!BI50:BI65)*FracLEACH*MSLeachEF*NtoN2O*kgtoGg,IF('Net zero activities &amp; levers'!$C$14="On",SUM('Net zero Activity data'!BI50:BI65)*FracLEACH*MSLeachEF*NtoN2O*kgtoGg,"ERROR"))</f>
        <v>0.26140795238633663</v>
      </c>
      <c r="AQ1170" s="101">
        <f>IF('Net zero activities &amp; levers'!$C$14="Off",SUM('Activity data'!BJ50:BJ65)*FracLEACH*MSLeachEF*NtoN2O*kgtoGg,IF('Net zero activities &amp; levers'!$C$14="On",SUM('Net zero Activity data'!BJ50:BJ65)*FracLEACH*MSLeachEF*NtoN2O*kgtoGg,"ERROR"))</f>
        <v>0.26635743439630638</v>
      </c>
      <c r="AR1170" s="101">
        <f>IF('Net zero activities &amp; levers'!$C$14="Off",SUM('Activity data'!BK50:BK65)*FracLEACH*MSLeachEF*NtoN2O*kgtoGg,IF('Net zero activities &amp; levers'!$C$14="On",SUM('Net zero Activity data'!BK50:BK65)*FracLEACH*MSLeachEF*NtoN2O*kgtoGg,"ERROR"))</f>
        <v>0.27171168085774305</v>
      </c>
      <c r="AS1170" s="101">
        <f>IF('Net zero activities &amp; levers'!$C$14="Off",SUM('Activity data'!BL50:BL65)*FracLEACH*MSLeachEF*NtoN2O*kgtoGg,IF('Net zero activities &amp; levers'!$C$14="On",SUM('Net zero Activity data'!BL50:BL65)*FracLEACH*MSLeachEF*NtoN2O*kgtoGg,"ERROR"))</f>
        <v>0.27715946984598605</v>
      </c>
      <c r="AT1170" s="101">
        <f>IF('Net zero activities &amp; levers'!$C$14="Off",SUM('Activity data'!BM50:BM65)*FracLEACH*MSLeachEF*NtoN2O*kgtoGg,IF('Net zero activities &amp; levers'!$C$14="On",SUM('Net zero Activity data'!BM50:BM65)*FracLEACH*MSLeachEF*NtoN2O*kgtoGg,"ERROR"))</f>
        <v>0.27911384142133749</v>
      </c>
      <c r="AU1170" s="101">
        <f>IF('Net zero activities &amp; levers'!$C$14="Off",SUM('Activity data'!BN50:BN65)*FracLEACH*MSLeachEF*NtoN2O*kgtoGg,IF('Net zero activities &amp; levers'!$C$14="On",SUM('Net zero Activity data'!BN50:BN65)*FracLEACH*MSLeachEF*NtoN2O*kgtoGg,"ERROR"))</f>
        <v>0.2808075207835013</v>
      </c>
      <c r="AV1170" s="101">
        <f>IF('Net zero activities &amp; levers'!$C$14="Off",SUM('Activity data'!BO50:BO65)*FracLEACH*MSLeachEF*NtoN2O*kgtoGg,IF('Net zero activities &amp; levers'!$C$14="On",SUM('Net zero Activity data'!BO50:BO65)*FracLEACH*MSLeachEF*NtoN2O*kgtoGg,"ERROR"))</f>
        <v>0.28293700705378411</v>
      </c>
      <c r="AW1170" s="101">
        <f>IF('Net zero activities &amp; levers'!$C$14="Off",SUM('Activity data'!BP50:BP65)*FracLEACH*MSLeachEF*NtoN2O*kgtoGg,IF('Net zero activities &amp; levers'!$C$14="On",SUM('Net zero Activity data'!BP50:BP65)*FracLEACH*MSLeachEF*NtoN2O*kgtoGg,"ERROR"))</f>
        <v>0.28484783648577744</v>
      </c>
      <c r="AY1170" s="85"/>
    </row>
    <row r="1171" spans="1:51" x14ac:dyDescent="0.25">
      <c r="A1171" s="102" t="str">
        <f t="shared" si="380"/>
        <v>CM Leaching</v>
      </c>
      <c r="B1171" s="102" t="s">
        <v>1323</v>
      </c>
      <c r="C1171" s="102" t="s">
        <v>1191</v>
      </c>
      <c r="D1171" t="s">
        <v>369</v>
      </c>
      <c r="E1171" t="s">
        <v>61</v>
      </c>
      <c r="F1171" t="s">
        <v>63</v>
      </c>
      <c r="G1171" t="s">
        <v>438</v>
      </c>
      <c r="H1171" t="s">
        <v>1192</v>
      </c>
      <c r="I1171" t="s">
        <v>139</v>
      </c>
      <c r="J1171" t="s">
        <v>287</v>
      </c>
      <c r="K1171" s="101">
        <f>IF('Net zero activities &amp; levers'!$C$14="Off",SUM('Activity data'!AD66:AD81)*FracLEACHUD*MSLeachEF*NtoN2O*kgtoGg,IF('Net zero activities &amp; levers'!$C$14="On",SUM('Net zero Activity data'!AD66:AD81)*FracLEACHUD*MSLeachEF*NtoN2O*kgtoGg,"ERROR"))</f>
        <v>0</v>
      </c>
      <c r="L1171" s="101">
        <f>IF('Net zero activities &amp; levers'!$C$14="Off",SUM('Activity data'!AE66:AE81)*FracLEACHUD*MSLeachEF*NtoN2O*kgtoGg,IF('Net zero activities &amp; levers'!$C$14="On",SUM('Net zero Activity data'!AE66:AE81)*FracLEACHUD*MSLeachEF*NtoN2O*kgtoGg,"ERROR"))</f>
        <v>0</v>
      </c>
      <c r="M1171" s="101">
        <f>IF('Net zero activities &amp; levers'!$C$14="Off",SUM('Activity data'!AF66:AF81)*FracLEACHUD*MSLeachEF*NtoN2O*kgtoGg,IF('Net zero activities &amp; levers'!$C$14="On",SUM('Net zero Activity data'!AF66:AF81)*FracLEACHUD*MSLeachEF*NtoN2O*kgtoGg,"ERROR"))</f>
        <v>0</v>
      </c>
      <c r="N1171" s="101">
        <f>IF('Net zero activities &amp; levers'!$C$14="Off",SUM('Activity data'!AG66:AG81)*FracLEACHUD*MSLeachEF*NtoN2O*kgtoGg,IF('Net zero activities &amp; levers'!$C$14="On",SUM('Net zero Activity data'!AG66:AG81)*FracLEACHUD*MSLeachEF*NtoN2O*kgtoGg,"ERROR"))</f>
        <v>0</v>
      </c>
      <c r="O1171" s="101">
        <f>IF('Net zero activities &amp; levers'!$C$14="Off",SUM('Activity data'!AH66:AH81)*FracLEACHUD*MSLeachEF*NtoN2O*kgtoGg,IF('Net zero activities &amp; levers'!$C$14="On",SUM('Net zero Activity data'!AH66:AH81)*FracLEACHUD*MSLeachEF*NtoN2O*kgtoGg,"ERROR"))</f>
        <v>0</v>
      </c>
      <c r="P1171" s="101">
        <f>IF('Net zero activities &amp; levers'!$C$14="Off",SUM('Activity data'!AI66:AI81)*FracLEACHUD*MSLeachEF*NtoN2O*kgtoGg,IF('Net zero activities &amp; levers'!$C$14="On",SUM('Net zero Activity data'!AI66:AI81)*FracLEACHUD*MSLeachEF*NtoN2O*kgtoGg,"ERROR"))</f>
        <v>0</v>
      </c>
      <c r="Q1171" s="101">
        <f>IF('Net zero activities &amp; levers'!$C$14="Off",SUM('Activity data'!AJ66:AJ81)*FracLEACHUD*MSLeachEF*NtoN2O*kgtoGg,IF('Net zero activities &amp; levers'!$C$14="On",SUM('Net zero Activity data'!AJ66:AJ81)*FracLEACHUD*MSLeachEF*NtoN2O*kgtoGg,"ERROR"))</f>
        <v>0</v>
      </c>
      <c r="R1171" s="101">
        <f>IF('Net zero activities &amp; levers'!$C$14="Off",SUM('Activity data'!AK66:AK81)*FracLEACHUD*MSLeachEF*NtoN2O*kgtoGg,IF('Net zero activities &amp; levers'!$C$14="On",SUM('Net zero Activity data'!AK66:AK81)*FracLEACHUD*MSLeachEF*NtoN2O*kgtoGg,"ERROR"))</f>
        <v>0</v>
      </c>
      <c r="S1171" s="101">
        <f>IF('Net zero activities &amp; levers'!$C$14="Off",SUM('Activity data'!AL66:AL81)*FracLEACHUD*MSLeachEF*NtoN2O*kgtoGg,IF('Net zero activities &amp; levers'!$C$14="On",SUM('Net zero Activity data'!AL66:AL81)*FracLEACHUD*MSLeachEF*NtoN2O*kgtoGg,"ERROR"))</f>
        <v>0</v>
      </c>
      <c r="T1171" s="101">
        <f>IF('Net zero activities &amp; levers'!$C$14="Off",SUM('Activity data'!AM66:AM81)*FracLEACHUD*MSLeachEF*NtoN2O*kgtoGg,IF('Net zero activities &amp; levers'!$C$14="On",SUM('Net zero Activity data'!AM66:AM81)*FracLEACHUD*MSLeachEF*NtoN2O*kgtoGg,"ERROR"))</f>
        <v>0</v>
      </c>
      <c r="U1171" s="101">
        <f>IF('Net zero activities &amp; levers'!$C$14="Off",SUM('Activity data'!AN66:AN81)*FracLEACHUD*MSLeachEF*NtoN2O*kgtoGg,IF('Net zero activities &amp; levers'!$C$14="On",SUM('Net zero Activity data'!AN66:AN81)*FracLEACHUD*MSLeachEF*NtoN2O*kgtoGg,"ERROR"))</f>
        <v>0</v>
      </c>
      <c r="V1171" s="101">
        <f>IF('Net zero activities &amp; levers'!$C$14="Off",SUM('Activity data'!AO66:AO81)*FracLEACHUD*MSLeachEF*NtoN2O*kgtoGg,IF('Net zero activities &amp; levers'!$C$14="On",SUM('Net zero Activity data'!AO66:AO81)*FracLEACHUD*MSLeachEF*NtoN2O*kgtoGg,"ERROR"))</f>
        <v>0</v>
      </c>
      <c r="W1171" s="101">
        <f>IF('Net zero activities &amp; levers'!$C$14="Off",SUM('Activity data'!AP66:AP81)*FracLEACHUD*MSLeachEF*NtoN2O*kgtoGg,IF('Net zero activities &amp; levers'!$C$14="On",SUM('Net zero Activity data'!AP66:AP81)*FracLEACHUD*MSLeachEF*NtoN2O*kgtoGg,"ERROR"))</f>
        <v>0</v>
      </c>
      <c r="X1171" s="101">
        <f>IF('Net zero activities &amp; levers'!$C$14="Off",SUM('Activity data'!AQ66:AQ81)*FracLEACHUD*MSLeachEF*NtoN2O*kgtoGg,IF('Net zero activities &amp; levers'!$C$14="On",SUM('Net zero Activity data'!AQ66:AQ81)*FracLEACHUD*MSLeachEF*NtoN2O*kgtoGg,"ERROR"))</f>
        <v>0</v>
      </c>
      <c r="Y1171" s="101">
        <f>IF('Net zero activities &amp; levers'!$C$14="Off",SUM('Activity data'!AR66:AR81)*FracLEACHUD*MSLeachEF*NtoN2O*kgtoGg,IF('Net zero activities &amp; levers'!$C$14="On",SUM('Net zero Activity data'!AR66:AR81)*FracLEACHUD*MSLeachEF*NtoN2O*kgtoGg,"ERROR"))</f>
        <v>0</v>
      </c>
      <c r="Z1171" s="101">
        <f>IF('Net zero activities &amp; levers'!$C$14="Off",SUM('Activity data'!AS66:AS81)*FracLEACHUD*MSLeachEF*NtoN2O*kgtoGg,IF('Net zero activities &amp; levers'!$C$14="On",SUM('Net zero Activity data'!AS66:AS81)*FracLEACHUD*MSLeachEF*NtoN2O*kgtoGg,"ERROR"))</f>
        <v>0</v>
      </c>
      <c r="AA1171" s="101">
        <f>IF('Net zero activities &amp; levers'!$C$14="Off",SUM('Activity data'!AT66:AT81)*FracLEACHUD*MSLeachEF*NtoN2O*kgtoGg,IF('Net zero activities &amp; levers'!$C$14="On",SUM('Net zero Activity data'!AT66:AT81)*FracLEACHUD*MSLeachEF*NtoN2O*kgtoGg,"ERROR"))</f>
        <v>0</v>
      </c>
      <c r="AB1171" s="101">
        <f>IF('Net zero activities &amp; levers'!$C$14="Off",SUM('Activity data'!AU66:AU81)*FracLEACHUD*MSLeachEF*NtoN2O*kgtoGg,IF('Net zero activities &amp; levers'!$C$14="On",SUM('Net zero Activity data'!AU66:AU81)*FracLEACHUD*MSLeachEF*NtoN2O*kgtoGg,"ERROR"))</f>
        <v>0</v>
      </c>
      <c r="AC1171" s="101">
        <f>IF('Net zero activities &amp; levers'!$C$14="Off",SUM('Activity data'!AV66:AV81)*FracLEACHUD*MSLeachEF*NtoN2O*kgtoGg,IF('Net zero activities &amp; levers'!$C$14="On",SUM('Net zero Activity data'!AV66:AV81)*FracLEACHUD*MSLeachEF*NtoN2O*kgtoGg,"ERROR"))</f>
        <v>0</v>
      </c>
      <c r="AD1171" s="101">
        <f>IF('Net zero activities &amp; levers'!$C$14="Off",SUM('Activity data'!AW66:AW81)*FracLEACHUD*MSLeachEF*NtoN2O*kgtoGg,IF('Net zero activities &amp; levers'!$C$14="On",SUM('Net zero Activity data'!AW66:AW81)*FracLEACHUD*MSLeachEF*NtoN2O*kgtoGg,"ERROR"))</f>
        <v>0</v>
      </c>
      <c r="AE1171" s="101">
        <f>IF('Net zero activities &amp; levers'!$C$14="Off",SUM('Activity data'!AX66:AX81)*FracLEACHUD*MSLeachEF*NtoN2O*kgtoGg,IF('Net zero activities &amp; levers'!$C$14="On",SUM('Net zero Activity data'!AX66:AX81)*FracLEACHUD*MSLeachEF*NtoN2O*kgtoGg,"ERROR"))</f>
        <v>0</v>
      </c>
      <c r="AF1171" s="101">
        <f>IF('Net zero activities &amp; levers'!$C$14="Off",SUM('Activity data'!AY66:AY81)*FracLEACHUD*MSLeachEF*NtoN2O*kgtoGg,IF('Net zero activities &amp; levers'!$C$14="On",SUM('Net zero Activity data'!AY66:AY81)*FracLEACHUD*MSLeachEF*NtoN2O*kgtoGg,"ERROR"))</f>
        <v>0</v>
      </c>
      <c r="AG1171" s="101">
        <f>IF('Net zero activities &amp; levers'!$C$14="Off",SUM('Activity data'!AZ66:AZ81)*FracLEACHUD*MSLeachEF*NtoN2O*kgtoGg,IF('Net zero activities &amp; levers'!$C$14="On",SUM('Net zero Activity data'!AZ66:AZ81)*FracLEACHUD*MSLeachEF*NtoN2O*kgtoGg,"ERROR"))</f>
        <v>0</v>
      </c>
      <c r="AH1171" s="101">
        <f>IF('Net zero activities &amp; levers'!$C$14="Off",SUM('Activity data'!BA66:BA81)*FracLEACHUD*MSLeachEF*NtoN2O*kgtoGg,IF('Net zero activities &amp; levers'!$C$14="On",SUM('Net zero Activity data'!BA66:BA81)*FracLEACHUD*MSLeachEF*NtoN2O*kgtoGg,"ERROR"))</f>
        <v>0</v>
      </c>
      <c r="AI1171" s="101">
        <f>IF('Net zero activities &amp; levers'!$C$14="Off",SUM('Activity data'!BB66:BB81)*FracLEACHUD*MSLeachEF*NtoN2O*kgtoGg,IF('Net zero activities &amp; levers'!$C$14="On",SUM('Net zero Activity data'!BB66:BB81)*FracLEACHUD*MSLeachEF*NtoN2O*kgtoGg,"ERROR"))</f>
        <v>0</v>
      </c>
      <c r="AJ1171" s="101">
        <f>IF('Net zero activities &amp; levers'!$C$14="Off",SUM('Activity data'!BC66:BC81)*FracLEACHUD*MSLeachEF*NtoN2O*kgtoGg,IF('Net zero activities &amp; levers'!$C$14="On",SUM('Net zero Activity data'!BC66:BC81)*FracLEACHUD*MSLeachEF*NtoN2O*kgtoGg,"ERROR"))</f>
        <v>0</v>
      </c>
      <c r="AK1171" s="101">
        <f>IF('Net zero activities &amp; levers'!$C$14="Off",SUM('Activity data'!BD66:BD81)*FracLEACHUD*MSLeachEF*NtoN2O*kgtoGg,IF('Net zero activities &amp; levers'!$C$14="On",SUM('Net zero Activity data'!BD66:BD81)*FracLEACHUD*MSLeachEF*NtoN2O*kgtoGg,"ERROR"))</f>
        <v>0</v>
      </c>
      <c r="AL1171" s="101">
        <f>IF('Net zero activities &amp; levers'!$C$14="Off",SUM('Activity data'!BE66:BE81)*FracLEACHUD*MSLeachEF*NtoN2O*kgtoGg,IF('Net zero activities &amp; levers'!$C$14="On",SUM('Net zero Activity data'!BE66:BE81)*FracLEACHUD*MSLeachEF*NtoN2O*kgtoGg,"ERROR"))</f>
        <v>0</v>
      </c>
      <c r="AM1171" s="101">
        <f>IF('Net zero activities &amp; levers'!$C$14="Off",SUM('Activity data'!BF66:BF81)*FracLEACHUD*MSLeachEF*NtoN2O*kgtoGg,IF('Net zero activities &amp; levers'!$C$14="On",SUM('Net zero Activity data'!BF66:BF81)*FracLEACHUD*MSLeachEF*NtoN2O*kgtoGg,"ERROR"))</f>
        <v>0</v>
      </c>
      <c r="AN1171" s="101">
        <f>IF('Net zero activities &amp; levers'!$C$14="Off",SUM('Activity data'!BG66:BG81)*FracLEACHUD*MSLeachEF*NtoN2O*kgtoGg,IF('Net zero activities &amp; levers'!$C$14="On",SUM('Net zero Activity data'!BG66:BG81)*FracLEACHUD*MSLeachEF*NtoN2O*kgtoGg,"ERROR"))</f>
        <v>0</v>
      </c>
      <c r="AO1171" s="101">
        <f>IF('Net zero activities &amp; levers'!$C$14="Off",SUM('Activity data'!BH66:BH81)*FracLEACHUD*MSLeachEF*NtoN2O*kgtoGg,IF('Net zero activities &amp; levers'!$C$14="On",SUM('Net zero Activity data'!BH66:BH81)*FracLEACHUD*MSLeachEF*NtoN2O*kgtoGg,"ERROR"))</f>
        <v>0</v>
      </c>
      <c r="AP1171" s="101">
        <f>IF('Net zero activities &amp; levers'!$C$14="Off",SUM('Activity data'!BI66:BI81)*FracLEACHUD*MSLeachEF*NtoN2O*kgtoGg,IF('Net zero activities &amp; levers'!$C$14="On",SUM('Net zero Activity data'!BI66:BI81)*FracLEACHUD*MSLeachEF*NtoN2O*kgtoGg,"ERROR"))</f>
        <v>0</v>
      </c>
      <c r="AQ1171" s="101">
        <f>IF('Net zero activities &amp; levers'!$C$14="Off",SUM('Activity data'!BJ66:BJ81)*FracLEACHUD*MSLeachEF*NtoN2O*kgtoGg,IF('Net zero activities &amp; levers'!$C$14="On",SUM('Net zero Activity data'!BJ66:BJ81)*FracLEACHUD*MSLeachEF*NtoN2O*kgtoGg,"ERROR"))</f>
        <v>0</v>
      </c>
      <c r="AR1171" s="101">
        <f>IF('Net zero activities &amp; levers'!$C$14="Off",SUM('Activity data'!BK66:BK81)*FracLEACHUD*MSLeachEF*NtoN2O*kgtoGg,IF('Net zero activities &amp; levers'!$C$14="On",SUM('Net zero Activity data'!BK66:BK81)*FracLEACHUD*MSLeachEF*NtoN2O*kgtoGg,"ERROR"))</f>
        <v>0</v>
      </c>
      <c r="AS1171" s="101">
        <f>IF('Net zero activities &amp; levers'!$C$14="Off",SUM('Activity data'!BL66:BL81)*FracLEACHUD*MSLeachEF*NtoN2O*kgtoGg,IF('Net zero activities &amp; levers'!$C$14="On",SUM('Net zero Activity data'!BL66:BL81)*FracLEACHUD*MSLeachEF*NtoN2O*kgtoGg,"ERROR"))</f>
        <v>0</v>
      </c>
      <c r="AT1171" s="101">
        <f>IF('Net zero activities &amp; levers'!$C$14="Off",SUM('Activity data'!BM66:BM81)*FracLEACHUD*MSLeachEF*NtoN2O*kgtoGg,IF('Net zero activities &amp; levers'!$C$14="On",SUM('Net zero Activity data'!BM66:BM81)*FracLEACHUD*MSLeachEF*NtoN2O*kgtoGg,"ERROR"))</f>
        <v>0</v>
      </c>
      <c r="AU1171" s="101">
        <f>IF('Net zero activities &amp; levers'!$C$14="Off",SUM('Activity data'!BN66:BN81)*FracLEACHUD*MSLeachEF*NtoN2O*kgtoGg,IF('Net zero activities &amp; levers'!$C$14="On",SUM('Net zero Activity data'!BN66:BN81)*FracLEACHUD*MSLeachEF*NtoN2O*kgtoGg,"ERROR"))</f>
        <v>0</v>
      </c>
      <c r="AV1171" s="101">
        <f>IF('Net zero activities &amp; levers'!$C$14="Off",SUM('Activity data'!BO66:BO81)*FracLEACHUD*MSLeachEF*NtoN2O*kgtoGg,IF('Net zero activities &amp; levers'!$C$14="On",SUM('Net zero Activity data'!BO66:BO81)*FracLEACHUD*MSLeachEF*NtoN2O*kgtoGg,"ERROR"))</f>
        <v>0</v>
      </c>
      <c r="AW1171" s="101">
        <f>IF('Net zero activities &amp; levers'!$C$14="Off",SUM('Activity data'!BP66:BP81)*FracLEACHUD*MSLeachEF*NtoN2O*kgtoGg,IF('Net zero activities &amp; levers'!$C$14="On",SUM('Net zero Activity data'!BP66:BP81)*FracLEACHUD*MSLeachEF*NtoN2O*kgtoGg,"ERROR"))</f>
        <v>0</v>
      </c>
      <c r="AY1171" s="85"/>
    </row>
    <row r="1172" spans="1:51" x14ac:dyDescent="0.25">
      <c r="A1172" s="102" t="str">
        <f t="shared" si="380"/>
        <v>CM Leaching</v>
      </c>
      <c r="B1172" s="102" t="s">
        <v>1323</v>
      </c>
      <c r="C1172" s="102" t="s">
        <v>1191</v>
      </c>
      <c r="D1172" t="s">
        <v>369</v>
      </c>
      <c r="E1172" t="s">
        <v>61</v>
      </c>
      <c r="F1172" t="s">
        <v>63</v>
      </c>
      <c r="G1172" t="s">
        <v>439</v>
      </c>
      <c r="H1172" t="s">
        <v>1193</v>
      </c>
      <c r="I1172" t="s">
        <v>139</v>
      </c>
      <c r="J1172" t="s">
        <v>287</v>
      </c>
      <c r="K1172" s="22">
        <f>K1518</f>
        <v>0.10175116378121943</v>
      </c>
      <c r="L1172" s="22">
        <f t="shared" ref="L1172:AW1179" si="381">L1518</f>
        <v>0.10196112149474701</v>
      </c>
      <c r="M1172" s="22">
        <f t="shared" si="381"/>
        <v>0.10231307662851437</v>
      </c>
      <c r="N1172" s="22">
        <f t="shared" si="381"/>
        <v>0.10261261243819185</v>
      </c>
      <c r="O1172" s="22">
        <f t="shared" si="381"/>
        <v>0.10271062355774604</v>
      </c>
      <c r="P1172" s="22">
        <f t="shared" si="381"/>
        <v>0.10280982636740998</v>
      </c>
      <c r="Q1172" s="22">
        <f t="shared" si="381"/>
        <v>0.10311225602401949</v>
      </c>
      <c r="R1172" s="22">
        <f t="shared" si="381"/>
        <v>0.10334926076602191</v>
      </c>
      <c r="S1172" s="22">
        <f t="shared" si="381"/>
        <v>0.1033652172687505</v>
      </c>
      <c r="T1172" s="22">
        <f t="shared" si="381"/>
        <v>0.10237939394800614</v>
      </c>
      <c r="U1172" s="22">
        <f t="shared" si="381"/>
        <v>0.10291860215695282</v>
      </c>
      <c r="V1172" s="22">
        <f t="shared" si="381"/>
        <v>0.10332641119306983</v>
      </c>
      <c r="W1172" s="22">
        <f t="shared" si="381"/>
        <v>0.10370239203239459</v>
      </c>
      <c r="X1172" s="22">
        <f t="shared" si="381"/>
        <v>0.1041201277615169</v>
      </c>
      <c r="Y1172" s="22">
        <f t="shared" si="381"/>
        <v>0.1046878275069046</v>
      </c>
      <c r="Z1172" s="22">
        <f t="shared" si="381"/>
        <v>0.10528227646052629</v>
      </c>
      <c r="AA1172" s="22">
        <f t="shared" si="381"/>
        <v>0.1059046407105468</v>
      </c>
      <c r="AB1172" s="22">
        <f t="shared" si="381"/>
        <v>0.10645777636830578</v>
      </c>
      <c r="AC1172" s="22">
        <f t="shared" si="381"/>
        <v>0.10706799743750575</v>
      </c>
      <c r="AD1172" s="22">
        <f t="shared" si="381"/>
        <v>0.10774626043627387</v>
      </c>
      <c r="AE1172" s="22">
        <f t="shared" si="381"/>
        <v>0.10839593316449521</v>
      </c>
      <c r="AF1172" s="22">
        <f t="shared" si="381"/>
        <v>0.10905643789090745</v>
      </c>
      <c r="AG1172" s="22">
        <f t="shared" si="381"/>
        <v>0.10971505173574356</v>
      </c>
      <c r="AH1172" s="22">
        <f t="shared" si="381"/>
        <v>0.11042069158828928</v>
      </c>
      <c r="AI1172" s="22">
        <f t="shared" si="381"/>
        <v>0.11104367058067952</v>
      </c>
      <c r="AJ1172" s="22">
        <f t="shared" si="381"/>
        <v>0.11168392829219058</v>
      </c>
      <c r="AK1172" s="22">
        <f t="shared" si="381"/>
        <v>0.11232074350166987</v>
      </c>
      <c r="AL1172" s="22">
        <f t="shared" si="381"/>
        <v>0.11292252611061948</v>
      </c>
      <c r="AM1172" s="22">
        <f t="shared" si="381"/>
        <v>0.11351220687490285</v>
      </c>
      <c r="AN1172" s="22">
        <f t="shared" si="381"/>
        <v>0.11410873660154547</v>
      </c>
      <c r="AO1172" s="22">
        <f t="shared" si="381"/>
        <v>0.11471759991442693</v>
      </c>
      <c r="AP1172" s="22">
        <f t="shared" si="381"/>
        <v>0.11528595322242488</v>
      </c>
      <c r="AQ1172" s="22">
        <f t="shared" si="381"/>
        <v>0.1158506275777887</v>
      </c>
      <c r="AR1172" s="22">
        <f t="shared" si="381"/>
        <v>0.1164124717345221</v>
      </c>
      <c r="AS1172" s="22">
        <f t="shared" si="381"/>
        <v>0.11699498737450693</v>
      </c>
      <c r="AT1172" s="22">
        <f t="shared" si="381"/>
        <v>0.11757760450671237</v>
      </c>
      <c r="AU1172" s="22">
        <f t="shared" si="381"/>
        <v>0.11793906960682159</v>
      </c>
      <c r="AV1172" s="22">
        <f t="shared" si="381"/>
        <v>0.11828268342357233</v>
      </c>
      <c r="AW1172" s="22">
        <f t="shared" si="381"/>
        <v>0.11865153663672662</v>
      </c>
      <c r="AY1172" s="85"/>
    </row>
    <row r="1173" spans="1:51" x14ac:dyDescent="0.25">
      <c r="A1173" s="102" t="str">
        <f t="shared" si="380"/>
        <v>CM Leaching</v>
      </c>
      <c r="B1173" s="102" t="s">
        <v>1323</v>
      </c>
      <c r="C1173" s="102" t="s">
        <v>1191</v>
      </c>
      <c r="D1173" t="s">
        <v>369</v>
      </c>
      <c r="E1173" t="s">
        <v>61</v>
      </c>
      <c r="F1173" t="s">
        <v>63</v>
      </c>
      <c r="G1173" t="s">
        <v>1194</v>
      </c>
      <c r="H1173" t="s">
        <v>1195</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85"/>
    </row>
    <row r="1174" spans="1:51" x14ac:dyDescent="0.25">
      <c r="A1174" s="102" t="str">
        <f t="shared" si="380"/>
        <v>CM Leaching</v>
      </c>
      <c r="B1174" s="102" t="s">
        <v>1323</v>
      </c>
      <c r="C1174" s="102" t="s">
        <v>1191</v>
      </c>
      <c r="D1174" t="s">
        <v>369</v>
      </c>
      <c r="E1174" t="s">
        <v>61</v>
      </c>
      <c r="F1174" t="s">
        <v>63</v>
      </c>
      <c r="G1174" t="s">
        <v>1196</v>
      </c>
      <c r="H1174" t="s">
        <v>1197</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85"/>
    </row>
    <row r="1175" spans="1:51" x14ac:dyDescent="0.25">
      <c r="A1175" s="102" t="str">
        <f t="shared" si="380"/>
        <v>CM Leaching</v>
      </c>
      <c r="B1175" s="102" t="s">
        <v>1323</v>
      </c>
      <c r="C1175" s="102" t="s">
        <v>1191</v>
      </c>
      <c r="D1175" t="s">
        <v>369</v>
      </c>
      <c r="E1175" t="s">
        <v>61</v>
      </c>
      <c r="F1175" t="s">
        <v>63</v>
      </c>
      <c r="G1175" t="s">
        <v>1198</v>
      </c>
      <c r="H1175" t="s">
        <v>1199</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85"/>
    </row>
    <row r="1176" spans="1:51" x14ac:dyDescent="0.25">
      <c r="A1176" s="102" t="str">
        <f t="shared" si="380"/>
        <v>CM Leaching</v>
      </c>
      <c r="B1176" s="102" t="s">
        <v>1323</v>
      </c>
      <c r="C1176" s="102" t="s">
        <v>1191</v>
      </c>
      <c r="D1176" t="s">
        <v>369</v>
      </c>
      <c r="E1176" t="s">
        <v>61</v>
      </c>
      <c r="F1176" t="s">
        <v>63</v>
      </c>
      <c r="G1176" t="s">
        <v>1200</v>
      </c>
      <c r="H1176" t="s">
        <v>1201</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85"/>
    </row>
    <row r="1177" spans="1:51" x14ac:dyDescent="0.25">
      <c r="A1177" s="102" t="str">
        <f t="shared" si="380"/>
        <v>CM Leaching</v>
      </c>
      <c r="B1177" s="102" t="s">
        <v>1323</v>
      </c>
      <c r="C1177" s="102" t="s">
        <v>1191</v>
      </c>
      <c r="D1177" t="s">
        <v>369</v>
      </c>
      <c r="E1177" t="s">
        <v>61</v>
      </c>
      <c r="F1177" t="s">
        <v>63</v>
      </c>
      <c r="G1177" t="s">
        <v>1202</v>
      </c>
      <c r="H1177" t="s">
        <v>1203</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85"/>
    </row>
    <row r="1178" spans="1:51" x14ac:dyDescent="0.25">
      <c r="A1178" s="102" t="str">
        <f t="shared" si="380"/>
        <v>CM Leaching</v>
      </c>
      <c r="B1178" s="102" t="s">
        <v>1323</v>
      </c>
      <c r="C1178" s="102" t="s">
        <v>1191</v>
      </c>
      <c r="D1178" t="s">
        <v>369</v>
      </c>
      <c r="E1178" t="s">
        <v>61</v>
      </c>
      <c r="F1178" t="s">
        <v>63</v>
      </c>
      <c r="G1178" t="s">
        <v>1204</v>
      </c>
      <c r="H1178" t="s">
        <v>1205</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85"/>
    </row>
    <row r="1179" spans="1:51" x14ac:dyDescent="0.25">
      <c r="A1179" s="102" t="str">
        <f t="shared" si="380"/>
        <v>CM Leaching</v>
      </c>
      <c r="B1179" s="102" t="s">
        <v>1323</v>
      </c>
      <c r="C1179" s="102" t="s">
        <v>1191</v>
      </c>
      <c r="D1179" t="s">
        <v>369</v>
      </c>
      <c r="E1179" t="s">
        <v>61</v>
      </c>
      <c r="F1179" t="s">
        <v>63</v>
      </c>
      <c r="G1179" t="s">
        <v>1206</v>
      </c>
      <c r="H1179" t="s">
        <v>1207</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85"/>
    </row>
    <row r="1180" spans="1:51" x14ac:dyDescent="0.25">
      <c r="A1180" s="102" t="str">
        <f t="shared" si="380"/>
        <v>CM Leaching</v>
      </c>
      <c r="B1180" s="102" t="s">
        <v>1323</v>
      </c>
      <c r="C1180" s="102" t="s">
        <v>1191</v>
      </c>
      <c r="D1180" t="s">
        <v>369</v>
      </c>
      <c r="E1180" t="s">
        <v>61</v>
      </c>
      <c r="F1180" t="s">
        <v>63</v>
      </c>
      <c r="G1180" t="s">
        <v>1208</v>
      </c>
      <c r="H1180" t="s">
        <v>1209</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85"/>
    </row>
    <row r="1181" spans="1:51" x14ac:dyDescent="0.25">
      <c r="A1181" s="102" t="str">
        <f t="shared" si="380"/>
        <v>CM Leaching</v>
      </c>
      <c r="B1181" s="102" t="s">
        <v>1323</v>
      </c>
      <c r="C1181" s="102" t="s">
        <v>1191</v>
      </c>
      <c r="D1181" t="s">
        <v>369</v>
      </c>
      <c r="E1181" t="s">
        <v>61</v>
      </c>
      <c r="F1181" t="s">
        <v>63</v>
      </c>
      <c r="G1181" t="s">
        <v>1210</v>
      </c>
      <c r="H1181" t="s">
        <v>1211</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85"/>
    </row>
    <row r="1182" spans="1:51" x14ac:dyDescent="0.25">
      <c r="A1182" s="102" t="str">
        <f t="shared" si="380"/>
        <v>CM Leaching</v>
      </c>
      <c r="B1182" s="102" t="s">
        <v>1323</v>
      </c>
      <c r="C1182" s="102" t="s">
        <v>1191</v>
      </c>
      <c r="D1182" t="s">
        <v>369</v>
      </c>
      <c r="E1182" t="s">
        <v>61</v>
      </c>
      <c r="F1182" t="s">
        <v>63</v>
      </c>
      <c r="G1182" t="s">
        <v>1212</v>
      </c>
      <c r="H1182" t="s">
        <v>1213</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85"/>
    </row>
    <row r="1183" spans="1:51" x14ac:dyDescent="0.25">
      <c r="A1183" s="102" t="str">
        <f t="shared" si="380"/>
        <v>CM Leaching</v>
      </c>
      <c r="B1183" s="102" t="s">
        <v>1323</v>
      </c>
      <c r="C1183" s="102" t="s">
        <v>1191</v>
      </c>
      <c r="D1183" t="s">
        <v>369</v>
      </c>
      <c r="E1183" t="s">
        <v>61</v>
      </c>
      <c r="F1183" t="s">
        <v>63</v>
      </c>
      <c r="G1183" t="s">
        <v>1214</v>
      </c>
      <c r="H1183" t="s">
        <v>1215</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85"/>
    </row>
    <row r="1184" spans="1:51" x14ac:dyDescent="0.25">
      <c r="A1184" s="102" t="str">
        <f t="shared" si="380"/>
        <v xml:space="preserve"> </v>
      </c>
      <c r="B1184" s="102"/>
      <c r="C1184" s="102"/>
      <c r="D1184" t="s">
        <v>369</v>
      </c>
      <c r="E1184" t="s">
        <v>61</v>
      </c>
      <c r="F1184" t="s">
        <v>63</v>
      </c>
      <c r="G1184" t="s">
        <v>1216</v>
      </c>
      <c r="H1184" t="s">
        <v>1217</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85"/>
    </row>
    <row r="1185" spans="1:51" x14ac:dyDescent="0.25">
      <c r="A1185" s="102" t="str">
        <f t="shared" si="380"/>
        <v>CM MM Volatilisation</v>
      </c>
      <c r="B1185" s="102" t="s">
        <v>1323</v>
      </c>
      <c r="C1185" s="102" t="s">
        <v>1333</v>
      </c>
      <c r="D1185" t="s">
        <v>369</v>
      </c>
      <c r="E1185" t="s">
        <v>64</v>
      </c>
      <c r="F1185" t="s">
        <v>62</v>
      </c>
      <c r="G1185" t="s">
        <v>1153</v>
      </c>
      <c r="H1185" t="s">
        <v>1291</v>
      </c>
      <c r="I1185" t="s">
        <v>139</v>
      </c>
      <c r="J1185" t="s">
        <v>287</v>
      </c>
      <c r="K1185" s="101">
        <f>IF('Net zero activities &amp; levers'!$C$14="Off",Constants!$H63*'Activity data'!AD5*Constants!$H81*EF!$H206*MMVolatEF*NtoN2O*kgtoGg,IF('Net zero activities &amp; levers'!$C$14="On",Constants!$H63*'Net zero Activity data'!AD5*Constants!$H81*EF!$H206*MMVolatEF*NtoN2O*kgtoGg,"ERROR"))</f>
        <v>0.39650006889927725</v>
      </c>
      <c r="L1185" s="101">
        <f>IF('Net zero activities &amp; levers'!$C$14="Off",Constants!$H63*'Activity data'!AE5*Constants!$H81*EF!$H206*MMVolatEF*NtoN2O*kgtoGg,IF('Net zero activities &amp; levers'!$C$14="On",Constants!$H63*'Net zero Activity data'!AE5*Constants!$H81*EF!$H206*MMVolatEF*NtoN2O*kgtoGg,"ERROR"))</f>
        <v>0.39917725962597483</v>
      </c>
      <c r="M1185" s="101">
        <f>IF('Net zero activities &amp; levers'!$C$14="Off",Constants!$H63*'Activity data'!AF5*Constants!$H81*EF!$H206*MMVolatEF*NtoN2O*kgtoGg,IF('Net zero activities &amp; levers'!$C$14="On",Constants!$H63*'Net zero Activity data'!AF5*Constants!$H81*EF!$H206*MMVolatEF*NtoN2O*kgtoGg,"ERROR"))</f>
        <v>0.40151912336157097</v>
      </c>
      <c r="N1185" s="101">
        <f>IF('Net zero activities &amp; levers'!$C$14="Off",Constants!$H63*'Activity data'!AG5*Constants!$H81*EF!$H206*MMVolatEF*NtoN2O*kgtoGg,IF('Net zero activities &amp; levers'!$C$14="On",Constants!$H63*'Net zero Activity data'!AG5*Constants!$H81*EF!$H206*MMVolatEF*NtoN2O*kgtoGg,"ERROR"))</f>
        <v>0.40182204834461305</v>
      </c>
      <c r="O1185" s="101">
        <f>IF('Net zero activities &amp; levers'!$C$14="Off",Constants!$H63*'Activity data'!AH5*Constants!$H81*EF!$H206*MMVolatEF*NtoN2O*kgtoGg,IF('Net zero activities &amp; levers'!$C$14="On",Constants!$H63*'Net zero Activity data'!AH5*Constants!$H81*EF!$H206*MMVolatEF*NtoN2O*kgtoGg,"ERROR"))</f>
        <v>0.40234380692675509</v>
      </c>
      <c r="P1185" s="101">
        <f>IF('Net zero activities &amp; levers'!$C$14="Off",Constants!$H63*'Activity data'!AI5*Constants!$H81*EF!$H206*MMVolatEF*NtoN2O*kgtoGg,IF('Net zero activities &amp; levers'!$C$14="On",Constants!$H63*'Net zero Activity data'!AI5*Constants!$H81*EF!$H206*MMVolatEF*NtoN2O*kgtoGg,"ERROR"))</f>
        <v>0.40533756143141658</v>
      </c>
      <c r="Q1185" s="101">
        <f>IF('Net zero activities &amp; levers'!$C$14="Off",Constants!$H63*'Activity data'!AJ5*Constants!$H81*EF!$H206*MMVolatEF*NtoN2O*kgtoGg,IF('Net zero activities &amp; levers'!$C$14="On",Constants!$H63*'Net zero Activity data'!AJ5*Constants!$H81*EF!$H206*MMVolatEF*NtoN2O*kgtoGg,"ERROR"))</f>
        <v>0.40773146882804268</v>
      </c>
      <c r="R1185" s="101">
        <f>IF('Net zero activities &amp; levers'!$C$14="Off",Constants!$H63*'Activity data'!AK5*Constants!$H81*EF!$H206*MMVolatEF*NtoN2O*kgtoGg,IF('Net zero activities &amp; levers'!$C$14="On",Constants!$H63*'Net zero Activity data'!AK5*Constants!$H81*EF!$H206*MMVolatEF*NtoN2O*kgtoGg,"ERROR"))</f>
        <v>0.4077524587520438</v>
      </c>
      <c r="S1185" s="101">
        <f>IF('Net zero activities &amp; levers'!$C$14="Off",Constants!$H63*'Activity data'!AL5*Constants!$H81*EF!$H206*MMVolatEF*NtoN2O*kgtoGg,IF('Net zero activities &amp; levers'!$C$14="On",Constants!$H63*'Net zero Activity data'!AL5*Constants!$H81*EF!$H206*MMVolatEF*NtoN2O*kgtoGg,"ERROR"))</f>
        <v>0.39694956601748077</v>
      </c>
      <c r="T1185" s="101">
        <f>IF('Net zero activities &amp; levers'!$C$14="Off",Constants!$H63*'Activity data'!AM5*Constants!$H81*EF!$H206*MMVolatEF*NtoN2O*kgtoGg,IF('Net zero activities &amp; levers'!$C$14="On",Constants!$H63*'Net zero Activity data'!AM5*Constants!$H81*EF!$H206*MMVolatEF*NtoN2O*kgtoGg,"ERROR"))</f>
        <v>0.39895103662037767</v>
      </c>
      <c r="U1185" s="101">
        <f>IF('Net zero activities &amp; levers'!$C$14="Off",Constants!$H63*'Activity data'!AN5*Constants!$H81*EF!$H206*MMVolatEF*NtoN2O*kgtoGg,IF('Net zero activities &amp; levers'!$C$14="On",Constants!$H63*'Net zero Activity data'!AN5*Constants!$H81*EF!$H206*MMVolatEF*NtoN2O*kgtoGg,"ERROR"))</f>
        <v>0.39962103597720156</v>
      </c>
      <c r="V1185" s="101">
        <f>IF('Net zero activities &amp; levers'!$C$14="Off",Constants!$H63*'Activity data'!AO5*Constants!$H81*EF!$H206*MMVolatEF*NtoN2O*kgtoGg,IF('Net zero activities &amp; levers'!$C$14="On",Constants!$H63*'Net zero Activity data'!AO5*Constants!$H81*EF!$H206*MMVolatEF*NtoN2O*kgtoGg,"ERROR"))</f>
        <v>0.40000988578474178</v>
      </c>
      <c r="W1185" s="101">
        <f>IF('Net zero activities &amp; levers'!$C$14="Off",Constants!$H63*'Activity data'!AP5*Constants!$H81*EF!$H206*MMVolatEF*NtoN2O*kgtoGg,IF('Net zero activities &amp; levers'!$C$14="On",Constants!$H63*'Net zero Activity data'!AP5*Constants!$H81*EF!$H206*MMVolatEF*NtoN2O*kgtoGg,"ERROR"))</f>
        <v>0.40091467918989721</v>
      </c>
      <c r="X1185" s="101">
        <f>IF('Net zero activities &amp; levers'!$C$14="Off",Constants!$H63*'Activity data'!AQ5*Constants!$H81*EF!$H206*MMVolatEF*NtoN2O*kgtoGg,IF('Net zero activities &amp; levers'!$C$14="On",Constants!$H63*'Net zero Activity data'!AQ5*Constants!$H81*EF!$H206*MMVolatEF*NtoN2O*kgtoGg,"ERROR"))</f>
        <v>0.4035462063403682</v>
      </c>
      <c r="Y1185" s="101">
        <f>IF('Net zero activities &amp; levers'!$C$14="Off",Constants!$H63*'Activity data'!AR5*Constants!$H81*EF!$H206*MMVolatEF*NtoN2O*kgtoGg,IF('Net zero activities &amp; levers'!$C$14="On",Constants!$H63*'Net zero Activity data'!AR5*Constants!$H81*EF!$H206*MMVolatEF*NtoN2O*kgtoGg,"ERROR"))</f>
        <v>0.40632104683369308</v>
      </c>
      <c r="Z1185" s="101">
        <f>IF('Net zero activities &amp; levers'!$C$14="Off",Constants!$H63*'Activity data'!AS5*Constants!$H81*EF!$H206*MMVolatEF*NtoN2O*kgtoGg,IF('Net zero activities &amp; levers'!$C$14="On",Constants!$H63*'Net zero Activity data'!AS5*Constants!$H81*EF!$H206*MMVolatEF*NtoN2O*kgtoGg,"ERROR"))</f>
        <v>0.40951751485912397</v>
      </c>
      <c r="AA1185" s="101">
        <f>IF('Net zero activities &amp; levers'!$C$14="Off",Constants!$H63*'Activity data'!AT5*Constants!$H81*EF!$H206*MMVolatEF*NtoN2O*kgtoGg,IF('Net zero activities &amp; levers'!$C$14="On",Constants!$H63*'Net zero Activity data'!AT5*Constants!$H81*EF!$H206*MMVolatEF*NtoN2O*kgtoGg,"ERROR"))</f>
        <v>0.4120080443193006</v>
      </c>
      <c r="AB1185" s="101">
        <f>IF('Net zero activities &amp; levers'!$C$14="Off",Constants!$H63*'Activity data'!AU5*Constants!$H81*EF!$H206*MMVolatEF*NtoN2O*kgtoGg,IF('Net zero activities &amp; levers'!$C$14="On",Constants!$H63*'Net zero Activity data'!AU5*Constants!$H81*EF!$H206*MMVolatEF*NtoN2O*kgtoGg,"ERROR"))</f>
        <v>0.41525810405264468</v>
      </c>
      <c r="AC1185" s="101">
        <f>IF('Net zero activities &amp; levers'!$C$14="Off",Constants!$H63*'Activity data'!AV5*Constants!$H81*EF!$H206*MMVolatEF*NtoN2O*kgtoGg,IF('Net zero activities &amp; levers'!$C$14="On",Constants!$H63*'Net zero Activity data'!AV5*Constants!$H81*EF!$H206*MMVolatEF*NtoN2O*kgtoGg,"ERROR"))</f>
        <v>0.41943474469279085</v>
      </c>
      <c r="AD1185" s="101">
        <f>IF('Net zero activities &amp; levers'!$C$14="Off",Constants!$H63*'Activity data'!AW5*Constants!$H81*EF!$H206*MMVolatEF*NtoN2O*kgtoGg,IF('Net zero activities &amp; levers'!$C$14="On",Constants!$H63*'Net zero Activity data'!AW5*Constants!$H81*EF!$H206*MMVolatEF*NtoN2O*kgtoGg,"ERROR"))</f>
        <v>0.42620625279695551</v>
      </c>
      <c r="AE1185" s="101">
        <f>IF('Net zero activities &amp; levers'!$C$14="Off",Constants!$H63*'Activity data'!AX5*Constants!$H81*EF!$H206*MMVolatEF*NtoN2O*kgtoGg,IF('Net zero activities &amp; levers'!$C$14="On",Constants!$H63*'Net zero Activity data'!AX5*Constants!$H81*EF!$H206*MMVolatEF*NtoN2O*kgtoGg,"ERROR"))</f>
        <v>0.43334145344127523</v>
      </c>
      <c r="AF1185" s="101">
        <f>IF('Net zero activities &amp; levers'!$C$14="Off",Constants!$H63*'Activity data'!AY5*Constants!$H81*EF!$H206*MMVolatEF*NtoN2O*kgtoGg,IF('Net zero activities &amp; levers'!$C$14="On",Constants!$H63*'Net zero Activity data'!AY5*Constants!$H81*EF!$H206*MMVolatEF*NtoN2O*kgtoGg,"ERROR"))</f>
        <v>0.44068817193895266</v>
      </c>
      <c r="AG1185" s="101">
        <f>IF('Net zero activities &amp; levers'!$C$14="Off",Constants!$H63*'Activity data'!AZ5*Constants!$H81*EF!$H206*MMVolatEF*NtoN2O*kgtoGg,IF('Net zero activities &amp; levers'!$C$14="On",Constants!$H63*'Net zero Activity data'!AZ5*Constants!$H81*EF!$H206*MMVolatEF*NtoN2O*kgtoGg,"ERROR"))</f>
        <v>0.44891500283530644</v>
      </c>
      <c r="AH1185" s="101">
        <f>IF('Net zero activities &amp; levers'!$C$14="Off",Constants!$H63*'Activity data'!BA5*Constants!$H81*EF!$H206*MMVolatEF*NtoN2O*kgtoGg,IF('Net zero activities &amp; levers'!$C$14="On",Constants!$H63*'Net zero Activity data'!BA5*Constants!$H81*EF!$H206*MMVolatEF*NtoN2O*kgtoGg,"ERROR"))</f>
        <v>0.45626704552795189</v>
      </c>
      <c r="AI1185" s="101">
        <f>IF('Net zero activities &amp; levers'!$C$14="Off",Constants!$H63*'Activity data'!BB5*Constants!$H81*EF!$H206*MMVolatEF*NtoN2O*kgtoGg,IF('Net zero activities &amp; levers'!$C$14="On",Constants!$H63*'Net zero Activity data'!BB5*Constants!$H81*EF!$H206*MMVolatEF*NtoN2O*kgtoGg,"ERROR"))</f>
        <v>0.46390833619214594</v>
      </c>
      <c r="AJ1185" s="101">
        <f>IF('Net zero activities &amp; levers'!$C$14="Off",Constants!$H63*'Activity data'!BC5*Constants!$H81*EF!$H206*MMVolatEF*NtoN2O*kgtoGg,IF('Net zero activities &amp; levers'!$C$14="On",Constants!$H63*'Net zero Activity data'!BC5*Constants!$H81*EF!$H206*MMVolatEF*NtoN2O*kgtoGg,"ERROR"))</f>
        <v>0.47174096520429626</v>
      </c>
      <c r="AK1185" s="101">
        <f>IF('Net zero activities &amp; levers'!$C$14="Off",Constants!$H63*'Activity data'!BD5*Constants!$H81*EF!$H206*MMVolatEF*NtoN2O*kgtoGg,IF('Net zero activities &amp; levers'!$C$14="On",Constants!$H63*'Net zero Activity data'!BD5*Constants!$H81*EF!$H206*MMVolatEF*NtoN2O*kgtoGg,"ERROR"))</f>
        <v>0.47928869121393003</v>
      </c>
      <c r="AL1185" s="101">
        <f>IF('Net zero activities &amp; levers'!$C$14="Off",Constants!$H63*'Activity data'!BE5*Constants!$H81*EF!$H206*MMVolatEF*NtoN2O*kgtoGg,IF('Net zero activities &amp; levers'!$C$14="On",Constants!$H63*'Net zero Activity data'!BE5*Constants!$H81*EF!$H206*MMVolatEF*NtoN2O*kgtoGg,"ERROR"))</f>
        <v>0.48687190668729791</v>
      </c>
      <c r="AM1185" s="101">
        <f>IF('Net zero activities &amp; levers'!$C$14="Off",Constants!$H63*'Activity data'!BF5*Constants!$H81*EF!$H206*MMVolatEF*NtoN2O*kgtoGg,IF('Net zero activities &amp; levers'!$C$14="On",Constants!$H63*'Net zero Activity data'!BF5*Constants!$H81*EF!$H206*MMVolatEF*NtoN2O*kgtoGg,"ERROR"))</f>
        <v>0.49478208335629759</v>
      </c>
      <c r="AN1185" s="101">
        <f>IF('Net zero activities &amp; levers'!$C$14="Off",Constants!$H63*'Activity data'!BG5*Constants!$H81*EF!$H206*MMVolatEF*NtoN2O*kgtoGg,IF('Net zero activities &amp; levers'!$C$14="On",Constants!$H63*'Net zero Activity data'!BG5*Constants!$H81*EF!$H206*MMVolatEF*NtoN2O*kgtoGg,"ERROR"))</f>
        <v>0.50295147983229815</v>
      </c>
      <c r="AO1185" s="101">
        <f>IF('Net zero activities &amp; levers'!$C$14="Off",Constants!$H63*'Activity data'!BH5*Constants!$H81*EF!$H206*MMVolatEF*NtoN2O*kgtoGg,IF('Net zero activities &amp; levers'!$C$14="On",Constants!$H63*'Net zero Activity data'!BH5*Constants!$H81*EF!$H206*MMVolatEF*NtoN2O*kgtoGg,"ERROR"))</f>
        <v>0.51068809173958318</v>
      </c>
      <c r="AP1185" s="101">
        <f>IF('Net zero activities &amp; levers'!$C$14="Off",Constants!$H63*'Activity data'!BI5*Constants!$H81*EF!$H206*MMVolatEF*NtoN2O*kgtoGg,IF('Net zero activities &amp; levers'!$C$14="On",Constants!$H63*'Net zero Activity data'!BI5*Constants!$H81*EF!$H206*MMVolatEF*NtoN2O*kgtoGg,"ERROR"))</f>
        <v>0.51857696070436687</v>
      </c>
      <c r="AQ1185" s="101">
        <f>IF('Net zero activities &amp; levers'!$C$14="Off",Constants!$H63*'Activity data'!BJ5*Constants!$H81*EF!$H206*MMVolatEF*NtoN2O*kgtoGg,IF('Net zero activities &amp; levers'!$C$14="On",Constants!$H63*'Net zero Activity data'!BJ5*Constants!$H81*EF!$H206*MMVolatEF*NtoN2O*kgtoGg,"ERROR"))</f>
        <v>0.52663290530093965</v>
      </c>
      <c r="AR1185" s="101">
        <f>IF('Net zero activities &amp; levers'!$C$14="Off",Constants!$H63*'Activity data'!BK5*Constants!$H81*EF!$H206*MMVolatEF*NtoN2O*kgtoGg,IF('Net zero activities &amp; levers'!$C$14="On",Constants!$H63*'Net zero Activity data'!BK5*Constants!$H81*EF!$H206*MMVolatEF*NtoN2O*kgtoGg,"ERROR"))</f>
        <v>0.53527710445507126</v>
      </c>
      <c r="AS1185" s="101">
        <f>IF('Net zero activities &amp; levers'!$C$14="Off",Constants!$H63*'Activity data'!BL5*Constants!$H81*EF!$H206*MMVolatEF*NtoN2O*kgtoGg,IF('Net zero activities &amp; levers'!$C$14="On",Constants!$H63*'Net zero Activity data'!BL5*Constants!$H81*EF!$H206*MMVolatEF*NtoN2O*kgtoGg,"ERROR"))</f>
        <v>0.54399410418658811</v>
      </c>
      <c r="AT1185" s="101">
        <f>IF('Net zero activities &amp; levers'!$C$14="Off",Constants!$H63*'Activity data'!BM5*Constants!$H81*EF!$H206*MMVolatEF*NtoN2O*kgtoGg,IF('Net zero activities &amp; levers'!$C$14="On",Constants!$H63*'Net zero Activity data'!BM5*Constants!$H81*EF!$H206*MMVolatEF*NtoN2O*kgtoGg,"ERROR"))</f>
        <v>0.54882643531448905</v>
      </c>
      <c r="AU1185" s="101">
        <f>IF('Net zero activities &amp; levers'!$C$14="Off",Constants!$H63*'Activity data'!BN5*Constants!$H81*EF!$H206*MMVolatEF*NtoN2O*kgtoGg,IF('Net zero activities &amp; levers'!$C$14="On",Constants!$H63*'Net zero Activity data'!BN5*Constants!$H81*EF!$H206*MMVolatEF*NtoN2O*kgtoGg,"ERROR"))</f>
        <v>0.55341675008793989</v>
      </c>
      <c r="AV1185" s="101">
        <f>IF('Net zero activities &amp; levers'!$C$14="Off",Constants!$H63*'Activity data'!BO5*Constants!$H81*EF!$H206*MMVolatEF*NtoN2O*kgtoGg,IF('Net zero activities &amp; levers'!$C$14="On",Constants!$H63*'Net zero Activity data'!BO5*Constants!$H81*EF!$H206*MMVolatEF*NtoN2O*kgtoGg,"ERROR"))</f>
        <v>0.55857379174975119</v>
      </c>
      <c r="AW1185" s="101">
        <f>IF('Net zero activities &amp; levers'!$C$14="Off",Constants!$H63*'Activity data'!BP5*Constants!$H81*EF!$H206*MMVolatEF*NtoN2O*kgtoGg,IF('Net zero activities &amp; levers'!$C$14="On",Constants!$H63*'Net zero Activity data'!BP5*Constants!$H81*EF!$H206*MMVolatEF*NtoN2O*kgtoGg,"ERROR"))</f>
        <v>0.56353522802828149</v>
      </c>
      <c r="AY1185" s="85"/>
    </row>
    <row r="1186" spans="1:51" x14ac:dyDescent="0.25">
      <c r="A1186" s="102" t="str">
        <f t="shared" si="380"/>
        <v>CM MM Volatilisation</v>
      </c>
      <c r="B1186" s="102" t="s">
        <v>1323</v>
      </c>
      <c r="C1186" s="102" t="s">
        <v>1333</v>
      </c>
      <c r="D1186" t="s">
        <v>369</v>
      </c>
      <c r="E1186" t="s">
        <v>64</v>
      </c>
      <c r="F1186" t="s">
        <v>62</v>
      </c>
      <c r="G1186" t="s">
        <v>1155</v>
      </c>
      <c r="H1186" t="s">
        <v>1292</v>
      </c>
      <c r="I1186" t="s">
        <v>139</v>
      </c>
      <c r="J1186" t="s">
        <v>287</v>
      </c>
      <c r="K1186" s="101">
        <f>IF('Net zero activities &amp; levers'!$C$14="Off",Constants!$H64*'Activity data'!AD6*Constants!$H82*EF!$H207*MMVolatEF*NtoN2O*kgtoGg,IF('Net zero activities &amp; levers'!$C$14="On",Constants!$H64*'Net zero Activity data'!AD6*Constants!$H82*EF!$H207*MMVolatEF*NtoN2O*kgtoGg,"ERROR"))</f>
        <v>3.1281584559645491E-2</v>
      </c>
      <c r="L1186" s="101">
        <f>IF('Net zero activities &amp; levers'!$C$14="Off",Constants!$H64*'Activity data'!AE6*Constants!$H82*EF!$H207*MMVolatEF*NtoN2O*kgtoGg,IF('Net zero activities &amp; levers'!$C$14="On",Constants!$H64*'Net zero Activity data'!AE6*Constants!$H82*EF!$H207*MMVolatEF*NtoN2O*kgtoGg,"ERROR"))</f>
        <v>3.1492799574896264E-2</v>
      </c>
      <c r="M1186" s="101">
        <f>IF('Net zero activities &amp; levers'!$C$14="Off",Constants!$H64*'Activity data'!AF6*Constants!$H82*EF!$H207*MMVolatEF*NtoN2O*kgtoGg,IF('Net zero activities &amp; levers'!$C$14="On",Constants!$H64*'Net zero Activity data'!AF6*Constants!$H82*EF!$H207*MMVolatEF*NtoN2O*kgtoGg,"ERROR"))</f>
        <v>3.1677559211068809E-2</v>
      </c>
      <c r="N1186" s="101">
        <f>IF('Net zero activities &amp; levers'!$C$14="Off",Constants!$H64*'Activity data'!AG6*Constants!$H82*EF!$H207*MMVolatEF*NtoN2O*kgtoGg,IF('Net zero activities &amp; levers'!$C$14="On",Constants!$H64*'Net zero Activity data'!AG6*Constants!$H82*EF!$H207*MMVolatEF*NtoN2O*kgtoGg,"ERROR"))</f>
        <v>3.1701458257287304E-2</v>
      </c>
      <c r="O1186" s="101">
        <f>IF('Net zero activities &amp; levers'!$C$14="Off",Constants!$H64*'Activity data'!AH6*Constants!$H82*EF!$H207*MMVolatEF*NtoN2O*kgtoGg,IF('Net zero activities &amp; levers'!$C$14="On",Constants!$H64*'Net zero Activity data'!AH6*Constants!$H82*EF!$H207*MMVolatEF*NtoN2O*kgtoGg,"ERROR"))</f>
        <v>3.1742622021148185E-2</v>
      </c>
      <c r="P1186" s="101">
        <f>IF('Net zero activities &amp; levers'!$C$14="Off",Constants!$H64*'Activity data'!AI6*Constants!$H82*EF!$H207*MMVolatEF*NtoN2O*kgtoGg,IF('Net zero activities &amp; levers'!$C$14="On",Constants!$H64*'Net zero Activity data'!AI6*Constants!$H82*EF!$H207*MMVolatEF*NtoN2O*kgtoGg,"ERROR"))</f>
        <v>3.1978812105423256E-2</v>
      </c>
      <c r="Q1186" s="101">
        <f>IF('Net zero activities &amp; levers'!$C$14="Off",Constants!$H64*'Activity data'!AJ6*Constants!$H82*EF!$H207*MMVolatEF*NtoN2O*kgtoGg,IF('Net zero activities &amp; levers'!$C$14="On",Constants!$H64*'Net zero Activity data'!AJ6*Constants!$H82*EF!$H207*MMVolatEF*NtoN2O*kgtoGg,"ERROR"))</f>
        <v>3.2167677688381177E-2</v>
      </c>
      <c r="R1186" s="101">
        <f>IF('Net zero activities &amp; levers'!$C$14="Off",Constants!$H64*'Activity data'!AK6*Constants!$H82*EF!$H207*MMVolatEF*NtoN2O*kgtoGg,IF('Net zero activities &amp; levers'!$C$14="On",Constants!$H64*'Net zero Activity data'!AK6*Constants!$H82*EF!$H207*MMVolatEF*NtoN2O*kgtoGg,"ERROR"))</f>
        <v>3.2169333673169188E-2</v>
      </c>
      <c r="S1186" s="101">
        <f>IF('Net zero activities &amp; levers'!$C$14="Off",Constants!$H64*'Activity data'!AL6*Constants!$H82*EF!$H207*MMVolatEF*NtoN2O*kgtoGg,IF('Net zero activities &amp; levers'!$C$14="On",Constants!$H64*'Net zero Activity data'!AL6*Constants!$H82*EF!$H207*MMVolatEF*NtoN2O*kgtoGg,"ERROR"))</f>
        <v>3.1317047307865033E-2</v>
      </c>
      <c r="T1186" s="101">
        <f>IF('Net zero activities &amp; levers'!$C$14="Off",Constants!$H64*'Activity data'!AM6*Constants!$H82*EF!$H207*MMVolatEF*NtoN2O*kgtoGg,IF('Net zero activities &amp; levers'!$C$14="On",Constants!$H64*'Net zero Activity data'!AM6*Constants!$H82*EF!$H207*MMVolatEF*NtoN2O*kgtoGg,"ERROR"))</f>
        <v>3.1474951875402626E-2</v>
      </c>
      <c r="U1186" s="101">
        <f>IF('Net zero activities &amp; levers'!$C$14="Off",Constants!$H64*'Activity data'!AN6*Constants!$H82*EF!$H207*MMVolatEF*NtoN2O*kgtoGg,IF('Net zero activities &amp; levers'!$C$14="On",Constants!$H64*'Net zero Activity data'!AN6*Constants!$H82*EF!$H207*MMVolatEF*NtoN2O*kgtoGg,"ERROR"))</f>
        <v>3.1527810987365894E-2</v>
      </c>
      <c r="V1186" s="101">
        <f>IF('Net zero activities &amp; levers'!$C$14="Off",Constants!$H64*'Activity data'!AO6*Constants!$H82*EF!$H207*MMVolatEF*NtoN2O*kgtoGg,IF('Net zero activities &amp; levers'!$C$14="On",Constants!$H64*'Net zero Activity data'!AO6*Constants!$H82*EF!$H207*MMVolatEF*NtoN2O*kgtoGg,"ERROR"))</f>
        <v>3.1558489010119685E-2</v>
      </c>
      <c r="W1186" s="101">
        <f>IF('Net zero activities &amp; levers'!$C$14="Off",Constants!$H64*'Activity data'!AP6*Constants!$H82*EF!$H207*MMVolatEF*NtoN2O*kgtoGg,IF('Net zero activities &amp; levers'!$C$14="On",Constants!$H64*'Net zero Activity data'!AP6*Constants!$H82*EF!$H207*MMVolatEF*NtoN2O*kgtoGg,"ERROR"))</f>
        <v>3.1629872027759381E-2</v>
      </c>
      <c r="X1186" s="101">
        <f>IF('Net zero activities &amp; levers'!$C$14="Off",Constants!$H64*'Activity data'!AQ6*Constants!$H82*EF!$H207*MMVolatEF*NtoN2O*kgtoGg,IF('Net zero activities &amp; levers'!$C$14="On",Constants!$H64*'Net zero Activity data'!AQ6*Constants!$H82*EF!$H207*MMVolatEF*NtoN2O*kgtoGg,"ERROR"))</f>
        <v>3.1837484448375065E-2</v>
      </c>
      <c r="Y1186" s="101">
        <f>IF('Net zero activities &amp; levers'!$C$14="Off",Constants!$H64*'Activity data'!AR6*Constants!$H82*EF!$H207*MMVolatEF*NtoN2O*kgtoGg,IF('Net zero activities &amp; levers'!$C$14="On",Constants!$H64*'Net zero Activity data'!AR6*Constants!$H82*EF!$H207*MMVolatEF*NtoN2O*kgtoGg,"ERROR"))</f>
        <v>3.2056403470942803E-2</v>
      </c>
      <c r="Z1186" s="101">
        <f>IF('Net zero activities &amp; levers'!$C$14="Off",Constants!$H64*'Activity data'!AS6*Constants!$H82*EF!$H207*MMVolatEF*NtoN2O*kgtoGg,IF('Net zero activities &amp; levers'!$C$14="On",Constants!$H64*'Net zero Activity data'!AS6*Constants!$H82*EF!$H207*MMVolatEF*NtoN2O*kgtoGg,"ERROR"))</f>
        <v>3.2308586491004564E-2</v>
      </c>
      <c r="AA1186" s="101">
        <f>IF('Net zero activities &amp; levers'!$C$14="Off",Constants!$H64*'Activity data'!AT6*Constants!$H82*EF!$H207*MMVolatEF*NtoN2O*kgtoGg,IF('Net zero activities &amp; levers'!$C$14="On",Constants!$H64*'Net zero Activity data'!AT6*Constants!$H82*EF!$H207*MMVolatEF*NtoN2O*kgtoGg,"ERROR"))</f>
        <v>3.2505075001392686E-2</v>
      </c>
      <c r="AB1186" s="101">
        <f>IF('Net zero activities &amp; levers'!$C$14="Off",Constants!$H64*'Activity data'!AU6*Constants!$H82*EF!$H207*MMVolatEF*NtoN2O*kgtoGg,IF('Net zero activities &amp; levers'!$C$14="On",Constants!$H64*'Net zero Activity data'!AU6*Constants!$H82*EF!$H207*MMVolatEF*NtoN2O*kgtoGg,"ERROR"))</f>
        <v>3.2761486100272783E-2</v>
      </c>
      <c r="AC1186" s="101">
        <f>IF('Net zero activities &amp; levers'!$C$14="Off",Constants!$H64*'Activity data'!AV6*Constants!$H82*EF!$H207*MMVolatEF*NtoN2O*kgtoGg,IF('Net zero activities &amp; levers'!$C$14="On",Constants!$H64*'Net zero Activity data'!AV6*Constants!$H82*EF!$H207*MMVolatEF*NtoN2O*kgtoGg,"ERROR"))</f>
        <v>3.3090999125888865E-2</v>
      </c>
      <c r="AD1186" s="101">
        <f>IF('Net zero activities &amp; levers'!$C$14="Off",Constants!$H64*'Activity data'!AW6*Constants!$H82*EF!$H207*MMVolatEF*NtoN2O*kgtoGg,IF('Net zero activities &amp; levers'!$C$14="On",Constants!$H64*'Net zero Activity data'!AW6*Constants!$H82*EF!$H207*MMVolatEF*NtoN2O*kgtoGg,"ERROR"))</f>
        <v>3.36252323328207E-2</v>
      </c>
      <c r="AE1186" s="101">
        <f>IF('Net zero activities &amp; levers'!$C$14="Off",Constants!$H64*'Activity data'!AX6*Constants!$H82*EF!$H207*MMVolatEF*NtoN2O*kgtoGg,IF('Net zero activities &amp; levers'!$C$14="On",Constants!$H64*'Net zero Activity data'!AX6*Constants!$H82*EF!$H207*MMVolatEF*NtoN2O*kgtoGg,"ERROR"))</f>
        <v>3.4188158798192946E-2</v>
      </c>
      <c r="AF1186" s="101">
        <f>IF('Net zero activities &amp; levers'!$C$14="Off",Constants!$H64*'Activity data'!AY6*Constants!$H82*EF!$H207*MMVolatEF*NtoN2O*kgtoGg,IF('Net zero activities &amp; levers'!$C$14="On",Constants!$H64*'Net zero Activity data'!AY6*Constants!$H82*EF!$H207*MMVolatEF*NtoN2O*kgtoGg,"ERROR"))</f>
        <v>3.4767772810768038E-2</v>
      </c>
      <c r="AG1186" s="101">
        <f>IF('Net zero activities &amp; levers'!$C$14="Off",Constants!$H64*'Activity data'!AZ6*Constants!$H82*EF!$H207*MMVolatEF*NtoN2O*kgtoGg,IF('Net zero activities &amp; levers'!$C$14="On",Constants!$H64*'Net zero Activity data'!AZ6*Constants!$H82*EF!$H207*MMVolatEF*NtoN2O*kgtoGg,"ERROR"))</f>
        <v>3.5416822650927243E-2</v>
      </c>
      <c r="AH1186" s="101">
        <f>IF('Net zero activities &amp; levers'!$C$14="Off",Constants!$H64*'Activity data'!BA6*Constants!$H82*EF!$H207*MMVolatEF*NtoN2O*kgtoGg,IF('Net zero activities &amp; levers'!$C$14="On",Constants!$H64*'Net zero Activity data'!BA6*Constants!$H82*EF!$H207*MMVolatEF*NtoN2O*kgtoGg,"ERROR"))</f>
        <v>3.5996856711992022E-2</v>
      </c>
      <c r="AI1186" s="101">
        <f>IF('Net zero activities &amp; levers'!$C$14="Off",Constants!$H64*'Activity data'!BB6*Constants!$H82*EF!$H207*MMVolatEF*NtoN2O*kgtoGg,IF('Net zero activities &amp; levers'!$C$14="On",Constants!$H64*'Net zero Activity data'!BB6*Constants!$H82*EF!$H207*MMVolatEF*NtoN2O*kgtoGg,"ERROR"))</f>
        <v>3.6599710781400868E-2</v>
      </c>
      <c r="AJ1186" s="101">
        <f>IF('Net zero activities &amp; levers'!$C$14="Off",Constants!$H64*'Activity data'!BC6*Constants!$H82*EF!$H207*MMVolatEF*NtoN2O*kgtoGg,IF('Net zero activities &amp; levers'!$C$14="On",Constants!$H64*'Net zero Activity data'!BC6*Constants!$H82*EF!$H207*MMVolatEF*NtoN2O*kgtoGg,"ERROR"))</f>
        <v>3.7217660350610533E-2</v>
      </c>
      <c r="AK1186" s="101">
        <f>IF('Net zero activities &amp; levers'!$C$14="Off",Constants!$H64*'Activity data'!BD6*Constants!$H82*EF!$H207*MMVolatEF*NtoN2O*kgtoGg,IF('Net zero activities &amp; levers'!$C$14="On",Constants!$H64*'Net zero Activity data'!BD6*Constants!$H82*EF!$H207*MMVolatEF*NtoN2O*kgtoGg,"ERROR"))</f>
        <v>3.7813132704647812E-2</v>
      </c>
      <c r="AL1186" s="101">
        <f>IF('Net zero activities &amp; levers'!$C$14="Off",Constants!$H64*'Activity data'!BE6*Constants!$H82*EF!$H207*MMVolatEF*NtoN2O*kgtoGg,IF('Net zero activities &amp; levers'!$C$14="On",Constants!$H64*'Net zero Activity data'!BE6*Constants!$H82*EF!$H207*MMVolatEF*NtoN2O*kgtoGg,"ERROR"))</f>
        <v>3.841140497411475E-2</v>
      </c>
      <c r="AM1186" s="101">
        <f>IF('Net zero activities &amp; levers'!$C$14="Off",Constants!$H64*'Activity data'!BF6*Constants!$H82*EF!$H207*MMVolatEF*NtoN2O*kgtoGg,IF('Net zero activities &amp; levers'!$C$14="On",Constants!$H64*'Net zero Activity data'!BF6*Constants!$H82*EF!$H207*MMVolatEF*NtoN2O*kgtoGg,"ERROR"))</f>
        <v>3.9035472609310819E-2</v>
      </c>
      <c r="AN1186" s="101">
        <f>IF('Net zero activities &amp; levers'!$C$14="Off",Constants!$H64*'Activity data'!BG6*Constants!$H82*EF!$H207*MMVolatEF*NtoN2O*kgtoGg,IF('Net zero activities &amp; levers'!$C$14="On",Constants!$H64*'Net zero Activity data'!BG6*Constants!$H82*EF!$H207*MMVolatEF*NtoN2O*kgtoGg,"ERROR"))</f>
        <v>3.9679991202648569E-2</v>
      </c>
      <c r="AO1186" s="101">
        <f>IF('Net zero activities &amp; levers'!$C$14="Off",Constants!$H64*'Activity data'!BH6*Constants!$H82*EF!$H207*MMVolatEF*NtoN2O*kgtoGg,IF('Net zero activities &amp; levers'!$C$14="On",Constants!$H64*'Net zero Activity data'!BH6*Constants!$H82*EF!$H207*MMVolatEF*NtoN2O*kgtoGg,"ERROR"))</f>
        <v>4.0290365572203529E-2</v>
      </c>
      <c r="AP1186" s="101">
        <f>IF('Net zero activities &amp; levers'!$C$14="Off",Constants!$H64*'Activity data'!BI6*Constants!$H82*EF!$H207*MMVolatEF*NtoN2O*kgtoGg,IF('Net zero activities &amp; levers'!$C$14="On",Constants!$H64*'Net zero Activity data'!BI6*Constants!$H82*EF!$H207*MMVolatEF*NtoN2O*kgtoGg,"ERROR"))</f>
        <v>4.0912752151572661E-2</v>
      </c>
      <c r="AQ1186" s="101">
        <f>IF('Net zero activities &amp; levers'!$C$14="Off",Constants!$H64*'Activity data'!BJ6*Constants!$H82*EF!$H207*MMVolatEF*NtoN2O*kgtoGg,IF('Net zero activities &amp; levers'!$C$14="On",Constants!$H64*'Net zero Activity data'!BJ6*Constants!$H82*EF!$H207*MMVolatEF*NtoN2O*kgtoGg,"ERROR"))</f>
        <v>4.154832004139699E-2</v>
      </c>
      <c r="AR1186" s="101">
        <f>IF('Net zero activities &amp; levers'!$C$14="Off",Constants!$H64*'Activity data'!BK6*Constants!$H82*EF!$H207*MMVolatEF*NtoN2O*kgtoGg,IF('Net zero activities &amp; levers'!$C$14="On",Constants!$H64*'Net zero Activity data'!BK6*Constants!$H82*EF!$H207*MMVolatEF*NtoN2O*kgtoGg,"ERROR"))</f>
        <v>4.2230297846699898E-2</v>
      </c>
      <c r="AS1186" s="101">
        <f>IF('Net zero activities &amp; levers'!$C$14="Off",Constants!$H64*'Activity data'!BL6*Constants!$H82*EF!$H207*MMVolatEF*NtoN2O*kgtoGg,IF('Net zero activities &amp; levers'!$C$14="On",Constants!$H64*'Net zero Activity data'!BL6*Constants!$H82*EF!$H207*MMVolatEF*NtoN2O*kgtoGg,"ERROR"))</f>
        <v>4.2918019200607435E-2</v>
      </c>
      <c r="AT1186" s="101">
        <f>IF('Net zero activities &amp; levers'!$C$14="Off",Constants!$H64*'Activity data'!BM6*Constants!$H82*EF!$H207*MMVolatEF*NtoN2O*kgtoGg,IF('Net zero activities &amp; levers'!$C$14="On",Constants!$H64*'Net zero Activity data'!BM6*Constants!$H82*EF!$H207*MMVolatEF*NtoN2O*kgtoGg,"ERROR"))</f>
        <v>4.3299262450368498E-2</v>
      </c>
      <c r="AU1186" s="101">
        <f>IF('Net zero activities &amp; levers'!$C$14="Off",Constants!$H64*'Activity data'!BN6*Constants!$H82*EF!$H207*MMVolatEF*NtoN2O*kgtoGg,IF('Net zero activities &amp; levers'!$C$14="On",Constants!$H64*'Net zero Activity data'!BN6*Constants!$H82*EF!$H207*MMVolatEF*NtoN2O*kgtoGg,"ERROR"))</f>
        <v>4.3661411995864735E-2</v>
      </c>
      <c r="AV1186" s="101">
        <f>IF('Net zero activities &amp; levers'!$C$14="Off",Constants!$H64*'Activity data'!BO6*Constants!$H82*EF!$H207*MMVolatEF*NtoN2O*kgtoGg,IF('Net zero activities &amp; levers'!$C$14="On",Constants!$H64*'Net zero Activity data'!BO6*Constants!$H82*EF!$H207*MMVolatEF*NtoN2O*kgtoGg,"ERROR"))</f>
        <v>4.4068273047035297E-2</v>
      </c>
      <c r="AW1186" s="101">
        <f>IF('Net zero activities &amp; levers'!$C$14="Off",Constants!$H64*'Activity data'!BP6*Constants!$H82*EF!$H207*MMVolatEF*NtoN2O*kgtoGg,IF('Net zero activities &amp; levers'!$C$14="On",Constants!$H64*'Net zero Activity data'!BP6*Constants!$H82*EF!$H207*MMVolatEF*NtoN2O*kgtoGg,"ERROR"))</f>
        <v>4.4459701953756509E-2</v>
      </c>
      <c r="AY1186" s="85"/>
    </row>
    <row r="1187" spans="1:51" x14ac:dyDescent="0.25">
      <c r="A1187" s="102" t="str">
        <f t="shared" si="380"/>
        <v>CM MM Volatilisation</v>
      </c>
      <c r="B1187" s="102" t="s">
        <v>1323</v>
      </c>
      <c r="C1187" s="102" t="s">
        <v>1333</v>
      </c>
      <c r="D1187" t="s">
        <v>369</v>
      </c>
      <c r="E1187" t="s">
        <v>64</v>
      </c>
      <c r="F1187" t="s">
        <v>62</v>
      </c>
      <c r="G1187" t="s">
        <v>1157</v>
      </c>
      <c r="H1187" t="s">
        <v>1293</v>
      </c>
      <c r="I1187" t="s">
        <v>139</v>
      </c>
      <c r="J1187" t="s">
        <v>287</v>
      </c>
      <c r="K1187" s="101">
        <f>IF('Net zero activities &amp; levers'!$C$14="Off",Constants!$H65*'Activity data'!AD7*Constants!$H83*EF!$H208*MMVolatEF*NtoN2O*kgtoGg,IF('Net zero activities &amp; levers'!$C$14="On",Constants!$H65*'Net zero Activity data'!AD7*Constants!$H83*EF!$H208*MMVolatEF*NtoN2O*kgtoGg,"ERROR"))</f>
        <v>2.8996787363609876E-4</v>
      </c>
      <c r="L1187" s="101">
        <f>IF('Net zero activities &amp; levers'!$C$14="Off",Constants!$H65*'Activity data'!AE7*Constants!$H83*EF!$H208*MMVolatEF*NtoN2O*kgtoGg,IF('Net zero activities &amp; levers'!$C$14="On",Constants!$H65*'Net zero Activity data'!AE7*Constants!$H83*EF!$H208*MMVolatEF*NtoN2O*kgtoGg,"ERROR"))</f>
        <v>2.9192575299913116E-4</v>
      </c>
      <c r="M1187" s="101">
        <f>IF('Net zero activities &amp; levers'!$C$14="Off",Constants!$H65*'Activity data'!AF7*Constants!$H83*EF!$H208*MMVolatEF*NtoN2O*kgtoGg,IF('Net zero activities &amp; levers'!$C$14="On",Constants!$H65*'Net zero Activity data'!AF7*Constants!$H83*EF!$H208*MMVolatEF*NtoN2O*kgtoGg,"ERROR"))</f>
        <v>2.9363840149788538E-4</v>
      </c>
      <c r="N1187" s="101">
        <f>IF('Net zero activities &amp; levers'!$C$14="Off",Constants!$H65*'Activity data'!AG7*Constants!$H83*EF!$H208*MMVolatEF*NtoN2O*kgtoGg,IF('Net zero activities &amp; levers'!$C$14="On",Constants!$H65*'Net zero Activity data'!AG7*Constants!$H83*EF!$H208*MMVolatEF*NtoN2O*kgtoGg,"ERROR"))</f>
        <v>2.9385993617112721E-4</v>
      </c>
      <c r="O1187" s="101">
        <f>IF('Net zero activities &amp; levers'!$C$14="Off",Constants!$H65*'Activity data'!AH7*Constants!$H83*EF!$H208*MMVolatEF*NtoN2O*kgtoGg,IF('Net zero activities &amp; levers'!$C$14="On",Constants!$H65*'Net zero Activity data'!AH7*Constants!$H83*EF!$H208*MMVolatEF*NtoN2O*kgtoGg,"ERROR"))</f>
        <v>2.9424150792478436E-4</v>
      </c>
      <c r="P1187" s="101">
        <f>IF('Net zero activities &amp; levers'!$C$14="Off",Constants!$H65*'Activity data'!AI7*Constants!$H83*EF!$H208*MMVolatEF*NtoN2O*kgtoGg,IF('Net zero activities &amp; levers'!$C$14="On",Constants!$H65*'Net zero Activity data'!AI7*Constants!$H83*EF!$H208*MMVolatEF*NtoN2O*kgtoGg,"ERROR"))</f>
        <v>2.964308962654098E-4</v>
      </c>
      <c r="Q1187" s="101">
        <f>IF('Net zero activities &amp; levers'!$C$14="Off",Constants!$H65*'Activity data'!AJ7*Constants!$H83*EF!$H208*MMVolatEF*NtoN2O*kgtoGg,IF('Net zero activities &amp; levers'!$C$14="On",Constants!$H65*'Net zero Activity data'!AJ7*Constants!$H83*EF!$H208*MMVolatEF*NtoN2O*kgtoGg,"ERROR"))</f>
        <v>2.9818160526127053E-4</v>
      </c>
      <c r="R1187" s="101">
        <f>IF('Net zero activities &amp; levers'!$C$14="Off",Constants!$H65*'Activity data'!AK7*Constants!$H83*EF!$H208*MMVolatEF*NtoN2O*kgtoGg,IF('Net zero activities &amp; levers'!$C$14="On",Constants!$H65*'Net zero Activity data'!AK7*Constants!$H83*EF!$H208*MMVolatEF*NtoN2O*kgtoGg,"ERROR"))</f>
        <v>2.9819695558301769E-4</v>
      </c>
      <c r="S1187" s="101">
        <f>IF('Net zero activities &amp; levers'!$C$14="Off",Constants!$H65*'Activity data'!AL7*Constants!$H83*EF!$H208*MMVolatEF*NtoN2O*kgtoGg,IF('Net zero activities &amp; levers'!$C$14="On",Constants!$H65*'Net zero Activity data'!AL7*Constants!$H83*EF!$H208*MMVolatEF*NtoN2O*kgtoGg,"ERROR"))</f>
        <v>2.9029659923741555E-4</v>
      </c>
      <c r="T1187" s="101">
        <f>IF('Net zero activities &amp; levers'!$C$14="Off",Constants!$H65*'Activity data'!AM7*Constants!$H83*EF!$H208*MMVolatEF*NtoN2O*kgtoGg,IF('Net zero activities &amp; levers'!$C$14="On",Constants!$H65*'Net zero Activity data'!AM7*Constants!$H83*EF!$H208*MMVolatEF*NtoN2O*kgtoGg,"ERROR"))</f>
        <v>2.9176031190833218E-4</v>
      </c>
      <c r="U1187" s="101">
        <f>IF('Net zero activities &amp; levers'!$C$14="Off",Constants!$H65*'Activity data'!AN7*Constants!$H83*EF!$H208*MMVolatEF*NtoN2O*kgtoGg,IF('Net zero activities &amp; levers'!$C$14="On",Constants!$H65*'Net zero Activity data'!AN7*Constants!$H83*EF!$H208*MMVolatEF*NtoN2O*kgtoGg,"ERROR"))</f>
        <v>2.9225029489717523E-4</v>
      </c>
      <c r="V1187" s="101">
        <f>IF('Net zero activities &amp; levers'!$C$14="Off",Constants!$H65*'Activity data'!AO7*Constants!$H83*EF!$H208*MMVolatEF*NtoN2O*kgtoGg,IF('Net zero activities &amp; levers'!$C$14="On",Constants!$H65*'Net zero Activity data'!AO7*Constants!$H83*EF!$H208*MMVolatEF*NtoN2O*kgtoGg,"ERROR"))</f>
        <v>2.9253466799241659E-4</v>
      </c>
      <c r="W1187" s="101">
        <f>IF('Net zero activities &amp; levers'!$C$14="Off",Constants!$H65*'Activity data'!AP7*Constants!$H83*EF!$H208*MMVolatEF*NtoN2O*kgtoGg,IF('Net zero activities &amp; levers'!$C$14="On",Constants!$H65*'Net zero Activity data'!AP7*Constants!$H83*EF!$H208*MMVolatEF*NtoN2O*kgtoGg,"ERROR"))</f>
        <v>2.9319636023499598E-4</v>
      </c>
      <c r="X1187" s="101">
        <f>IF('Net zero activities &amp; levers'!$C$14="Off",Constants!$H65*'Activity data'!AQ7*Constants!$H83*EF!$H208*MMVolatEF*NtoN2O*kgtoGg,IF('Net zero activities &amp; levers'!$C$14="On",Constants!$H65*'Net zero Activity data'!AQ7*Constants!$H83*EF!$H208*MMVolatEF*NtoN2O*kgtoGg,"ERROR"))</f>
        <v>2.9512084497558143E-4</v>
      </c>
      <c r="Y1187" s="101">
        <f>IF('Net zero activities &amp; levers'!$C$14="Off",Constants!$H65*'Activity data'!AR7*Constants!$H83*EF!$H208*MMVolatEF*NtoN2O*kgtoGg,IF('Net zero activities &amp; levers'!$C$14="On",Constants!$H65*'Net zero Activity data'!AR7*Constants!$H83*EF!$H208*MMVolatEF*NtoN2O*kgtoGg,"ERROR"))</f>
        <v>2.9715013742882726E-4</v>
      </c>
      <c r="Z1187" s="101">
        <f>IF('Net zero activities &amp; levers'!$C$14="Off",Constants!$H65*'Activity data'!AS7*Constants!$H83*EF!$H208*MMVolatEF*NtoN2O*kgtoGg,IF('Net zero activities &amp; levers'!$C$14="On",Constants!$H65*'Net zero Activity data'!AS7*Constants!$H83*EF!$H208*MMVolatEF*NtoN2O*kgtoGg,"ERROR"))</f>
        <v>2.9948777393681841E-4</v>
      </c>
      <c r="AA1187" s="101">
        <f>IF('Net zero activities &amp; levers'!$C$14="Off",Constants!$H65*'Activity data'!AT7*Constants!$H83*EF!$H208*MMVolatEF*NtoN2O*kgtoGg,IF('Net zero activities &amp; levers'!$C$14="On",Constants!$H65*'Net zero Activity data'!AT7*Constants!$H83*EF!$H208*MMVolatEF*NtoN2O*kgtoGg,"ERROR"))</f>
        <v>3.0130914444452181E-4</v>
      </c>
      <c r="AB1187" s="101">
        <f>IF('Net zero activities &amp; levers'!$C$14="Off",Constants!$H65*'Activity data'!AU7*Constants!$H83*EF!$H208*MMVolatEF*NtoN2O*kgtoGg,IF('Net zero activities &amp; levers'!$C$14="On",Constants!$H65*'Net zero Activity data'!AU7*Constants!$H83*EF!$H208*MMVolatEF*NtoN2O*kgtoGg,"ERROR"))</f>
        <v>3.0368597356509247E-4</v>
      </c>
      <c r="AC1187" s="101">
        <f>IF('Net zero activities &amp; levers'!$C$14="Off",Constants!$H65*'Activity data'!AV7*Constants!$H83*EF!$H208*MMVolatEF*NtoN2O*kgtoGg,IF('Net zero activities &amp; levers'!$C$14="On",Constants!$H65*'Net zero Activity data'!AV7*Constants!$H83*EF!$H208*MMVolatEF*NtoN2O*kgtoGg,"ERROR"))</f>
        <v>3.0674042853335367E-4</v>
      </c>
      <c r="AD1187" s="101">
        <f>IF('Net zero activities &amp; levers'!$C$14="Off",Constants!$H65*'Activity data'!AW7*Constants!$H83*EF!$H208*MMVolatEF*NtoN2O*kgtoGg,IF('Net zero activities &amp; levers'!$C$14="On",Constants!$H65*'Net zero Activity data'!AW7*Constants!$H83*EF!$H208*MMVolatEF*NtoN2O*kgtoGg,"ERROR"))</f>
        <v>3.1169255833178008E-4</v>
      </c>
      <c r="AE1187" s="101">
        <f>IF('Net zero activities &amp; levers'!$C$14="Off",Constants!$H65*'Activity data'!AX7*Constants!$H83*EF!$H208*MMVolatEF*NtoN2O*kgtoGg,IF('Net zero activities &amp; levers'!$C$14="On",Constants!$H65*'Net zero Activity data'!AX7*Constants!$H83*EF!$H208*MMVolatEF*NtoN2O*kgtoGg,"ERROR"))</f>
        <v>3.1691066324798854E-4</v>
      </c>
      <c r="AF1187" s="101">
        <f>IF('Net zero activities &amp; levers'!$C$14="Off",Constants!$H65*'Activity data'!AY7*Constants!$H83*EF!$H208*MMVolatEF*NtoN2O*kgtoGg,IF('Net zero activities &amp; levers'!$C$14="On",Constants!$H65*'Net zero Activity data'!AY7*Constants!$H83*EF!$H208*MMVolatEF*NtoN2O*kgtoGg,"ERROR"))</f>
        <v>3.2228345510370871E-4</v>
      </c>
      <c r="AG1187" s="101">
        <f>IF('Net zero activities &amp; levers'!$C$14="Off",Constants!$H65*'Activity data'!AZ7*Constants!$H83*EF!$H208*MMVolatEF*NtoN2O*kgtoGg,IF('Net zero activities &amp; levers'!$C$14="On",Constants!$H65*'Net zero Activity data'!AZ7*Constants!$H83*EF!$H208*MMVolatEF*NtoN2O*kgtoGg,"ERROR"))</f>
        <v>3.2829988952300625E-4</v>
      </c>
      <c r="AH1187" s="101">
        <f>IF('Net zero activities &amp; levers'!$C$14="Off",Constants!$H65*'Activity data'!BA7*Constants!$H83*EF!$H208*MMVolatEF*NtoN2O*kgtoGg,IF('Net zero activities &amp; levers'!$C$14="On",Constants!$H65*'Net zero Activity data'!BA7*Constants!$H83*EF!$H208*MMVolatEF*NtoN2O*kgtoGg,"ERROR"))</f>
        <v>3.3367657506151434E-4</v>
      </c>
      <c r="AI1187" s="101">
        <f>IF('Net zero activities &amp; levers'!$C$14="Off",Constants!$H65*'Activity data'!BB7*Constants!$H83*EF!$H208*MMVolatEF*NtoN2O*kgtoGg,IF('Net zero activities &amp; levers'!$C$14="On",Constants!$H65*'Net zero Activity data'!BB7*Constants!$H83*EF!$H208*MMVolatEF*NtoN2O*kgtoGg,"ERROR"))</f>
        <v>3.3926479302042373E-4</v>
      </c>
      <c r="AJ1187" s="101">
        <f>IF('Net zero activities &amp; levers'!$C$14="Off",Constants!$H65*'Activity data'!BC7*Constants!$H83*EF!$H208*MMVolatEF*NtoN2O*kgtoGg,IF('Net zero activities &amp; levers'!$C$14="On",Constants!$H65*'Net zero Activity data'!BC7*Constants!$H83*EF!$H208*MMVolatEF*NtoN2O*kgtoGg,"ERROR"))</f>
        <v>3.4499294027128994E-4</v>
      </c>
      <c r="AK1187" s="101">
        <f>IF('Net zero activities &amp; levers'!$C$14="Off",Constants!$H65*'Activity data'!BD7*Constants!$H83*EF!$H208*MMVolatEF*NtoN2O*kgtoGg,IF('Net zero activities &amp; levers'!$C$14="On",Constants!$H65*'Net zero Activity data'!BD7*Constants!$H83*EF!$H208*MMVolatEF*NtoN2O*kgtoGg,"ERROR"))</f>
        <v>3.5051273265840626E-4</v>
      </c>
      <c r="AL1187" s="101">
        <f>IF('Net zero activities &amp; levers'!$C$14="Off",Constants!$H65*'Activity data'!BE7*Constants!$H83*EF!$H208*MMVolatEF*NtoN2O*kgtoGg,IF('Net zero activities &amp; levers'!$C$14="On",Constants!$H65*'Net zero Activity data'!BE7*Constants!$H83*EF!$H208*MMVolatEF*NtoN2O*kgtoGg,"ERROR"))</f>
        <v>3.5605847915030773E-4</v>
      </c>
      <c r="AM1187" s="101">
        <f>IF('Net zero activities &amp; levers'!$C$14="Off",Constants!$H65*'Activity data'!BF7*Constants!$H83*EF!$H208*MMVolatEF*NtoN2O*kgtoGg,IF('Net zero activities &amp; levers'!$C$14="On",Constants!$H65*'Net zero Activity data'!BF7*Constants!$H83*EF!$H208*MMVolatEF*NtoN2O*kgtoGg,"ERROR"))</f>
        <v>3.6184333844469131E-4</v>
      </c>
      <c r="AN1187" s="101">
        <f>IF('Net zero activities &amp; levers'!$C$14="Off",Constants!$H65*'Activity data'!BG7*Constants!$H83*EF!$H208*MMVolatEF*NtoN2O*kgtoGg,IF('Net zero activities &amp; levers'!$C$14="On",Constants!$H65*'Net zero Activity data'!BG7*Constants!$H83*EF!$H208*MMVolatEF*NtoN2O*kgtoGg,"ERROR"))</f>
        <v>3.6781777000434364E-4</v>
      </c>
      <c r="AO1187" s="101">
        <f>IF('Net zero activities &amp; levers'!$C$14="Off",Constants!$H65*'Activity data'!BH7*Constants!$H83*EF!$H208*MMVolatEF*NtoN2O*kgtoGg,IF('Net zero activities &amp; levers'!$C$14="On",Constants!$H65*'Net zero Activity data'!BH7*Constants!$H83*EF!$H208*MMVolatEF*NtoN2O*kgtoGg,"ERROR"))</f>
        <v>3.7347569816090345E-4</v>
      </c>
      <c r="AP1187" s="101">
        <f>IF('Net zero activities &amp; levers'!$C$14="Off",Constants!$H65*'Activity data'!BI7*Constants!$H83*EF!$H208*MMVolatEF*NtoN2O*kgtoGg,IF('Net zero activities &amp; levers'!$C$14="On",Constants!$H65*'Net zero Activity data'!BI7*Constants!$H83*EF!$H208*MMVolatEF*NtoN2O*kgtoGg,"ERROR"))</f>
        <v>3.7924497473495929E-4</v>
      </c>
      <c r="AQ1187" s="101">
        <f>IF('Net zero activities &amp; levers'!$C$14="Off",Constants!$H65*'Activity data'!BJ7*Constants!$H83*EF!$H208*MMVolatEF*NtoN2O*kgtoGg,IF('Net zero activities &amp; levers'!$C$14="On",Constants!$H65*'Net zero Activity data'!BJ7*Constants!$H83*EF!$H208*MMVolatEF*NtoN2O*kgtoGg,"ERROR"))</f>
        <v>3.8513643682545364E-4</v>
      </c>
      <c r="AR1187" s="101">
        <f>IF('Net zero activities &amp; levers'!$C$14="Off",Constants!$H65*'Activity data'!BK7*Constants!$H83*EF!$H208*MMVolatEF*NtoN2O*kgtoGg,IF('Net zero activities &amp; levers'!$C$14="On",Constants!$H65*'Net zero Activity data'!BK7*Constants!$H83*EF!$H208*MMVolatEF*NtoN2O*kgtoGg,"ERROR"))</f>
        <v>3.9145810041297553E-4</v>
      </c>
      <c r="AS1187" s="101">
        <f>IF('Net zero activities &amp; levers'!$C$14="Off",Constants!$H65*'Activity data'!BL7*Constants!$H83*EF!$H208*MMVolatEF*NtoN2O*kgtoGg,IF('Net zero activities &amp; levers'!$C$14="On",Constants!$H65*'Net zero Activity data'!BL7*Constants!$H83*EF!$H208*MMVolatEF*NtoN2O*kgtoGg,"ERROR"))</f>
        <v>3.9783300441652677E-4</v>
      </c>
      <c r="AT1187" s="101">
        <f>IF('Net zero activities &amp; levers'!$C$14="Off",Constants!$H65*'Activity data'!BM7*Constants!$H83*EF!$H208*MMVolatEF*NtoN2O*kgtoGg,IF('Net zero activities &amp; levers'!$C$14="On",Constants!$H65*'Net zero Activity data'!BM7*Constants!$H83*EF!$H208*MMVolatEF*NtoN2O*kgtoGg,"ERROR"))</f>
        <v>4.013669780315955E-4</v>
      </c>
      <c r="AU1187" s="101">
        <f>IF('Net zero activities &amp; levers'!$C$14="Off",Constants!$H65*'Activity data'!BN7*Constants!$H83*EF!$H208*MMVolatEF*NtoN2O*kgtoGg,IF('Net zero activities &amp; levers'!$C$14="On",Constants!$H65*'Net zero Activity data'!BN7*Constants!$H83*EF!$H208*MMVolatEF*NtoN2O*kgtoGg,"ERROR"))</f>
        <v>4.0472396058615853E-4</v>
      </c>
      <c r="AV1187" s="101">
        <f>IF('Net zero activities &amp; levers'!$C$14="Off",Constants!$H65*'Activity data'!BO7*Constants!$H83*EF!$H208*MMVolatEF*NtoN2O*kgtoGg,IF('Net zero activities &amp; levers'!$C$14="On",Constants!$H65*'Net zero Activity data'!BO7*Constants!$H83*EF!$H208*MMVolatEF*NtoN2O*kgtoGg,"ERROR"))</f>
        <v>4.0849540105293959E-4</v>
      </c>
      <c r="AW1187" s="101">
        <f>IF('Net zero activities &amp; levers'!$C$14="Off",Constants!$H65*'Activity data'!BP7*Constants!$H83*EF!$H208*MMVolatEF*NtoN2O*kgtoGg,IF('Net zero activities &amp; levers'!$C$14="On",Constants!$H65*'Net zero Activity data'!BP7*Constants!$H83*EF!$H208*MMVolatEF*NtoN2O*kgtoGg,"ERROR"))</f>
        <v>4.1212379166548157E-4</v>
      </c>
      <c r="AY1187" s="85"/>
    </row>
    <row r="1188" spans="1:51" x14ac:dyDescent="0.25">
      <c r="A1188" s="102" t="str">
        <f t="shared" si="380"/>
        <v>CM MM Volatilisation</v>
      </c>
      <c r="B1188" s="102" t="s">
        <v>1323</v>
      </c>
      <c r="C1188" s="102" t="s">
        <v>1333</v>
      </c>
      <c r="D1188" t="s">
        <v>369</v>
      </c>
      <c r="E1188" t="s">
        <v>64</v>
      </c>
      <c r="F1188" t="s">
        <v>62</v>
      </c>
      <c r="G1188" t="s">
        <v>1159</v>
      </c>
      <c r="H1188" t="s">
        <v>1294</v>
      </c>
      <c r="I1188" t="s">
        <v>139</v>
      </c>
      <c r="J1188" t="s">
        <v>287</v>
      </c>
      <c r="K1188" s="101">
        <f>IF('Net zero activities &amp; levers'!$C$14="Off",Constants!$H66*'Activity data'!AD8*Constants!$H84*EF!$H209*MMVolatEF*NtoN2O*kgtoGg,IF('Net zero activities &amp; levers'!$C$14="On",Constants!$H66*'Net zero Activity data'!AD8*Constants!$H84*EF!$H209*MMVolatEF*NtoN2O*kgtoGg,"ERROR"))</f>
        <v>3.2482696422712933E-3</v>
      </c>
      <c r="L1188" s="101">
        <f>IF('Net zero activities &amp; levers'!$C$14="Off",Constants!$H66*'Activity data'!AE8*Constants!$H84*EF!$H209*MMVolatEF*NtoN2O*kgtoGg,IF('Net zero activities &amp; levers'!$C$14="On",Constants!$H66*'Net zero Activity data'!AE8*Constants!$H84*EF!$H209*MMVolatEF*NtoN2O*kgtoGg,"ERROR"))</f>
        <v>3.2317319962183351E-3</v>
      </c>
      <c r="M1188" s="101">
        <f>IF('Net zero activities &amp; levers'!$C$14="Off",Constants!$H66*'Activity data'!AF8*Constants!$H84*EF!$H209*MMVolatEF*NtoN2O*kgtoGg,IF('Net zero activities &amp; levers'!$C$14="On",Constants!$H66*'Net zero Activity data'!AF8*Constants!$H84*EF!$H209*MMVolatEF*NtoN2O*kgtoGg,"ERROR"))</f>
        <v>3.2015477632972725E-3</v>
      </c>
      <c r="N1188" s="101">
        <f>IF('Net zero activities &amp; levers'!$C$14="Off",Constants!$H66*'Activity data'!AG8*Constants!$H84*EF!$H209*MMVolatEF*NtoN2O*kgtoGg,IF('Net zero activities &amp; levers'!$C$14="On",Constants!$H66*'Net zero Activity data'!AG8*Constants!$H84*EF!$H209*MMVolatEF*NtoN2O*kgtoGg,"ERROR"))</f>
        <v>3.1189249893783613E-3</v>
      </c>
      <c r="O1188" s="101">
        <f>IF('Net zero activities &amp; levers'!$C$14="Off",Constants!$H66*'Activity data'!AH8*Constants!$H84*EF!$H209*MMVolatEF*NtoN2O*kgtoGg,IF('Net zero activities &amp; levers'!$C$14="On",Constants!$H66*'Net zero Activity data'!AH8*Constants!$H84*EF!$H209*MMVolatEF*NtoN2O*kgtoGg,"ERROR"))</f>
        <v>3.0395993626659438E-3</v>
      </c>
      <c r="P1188" s="101">
        <f>IF('Net zero activities &amp; levers'!$C$14="Off",Constants!$H66*'Activity data'!AI8*Constants!$H84*EF!$H209*MMVolatEF*NtoN2O*kgtoGg,IF('Net zero activities &amp; levers'!$C$14="On",Constants!$H66*'Net zero Activity data'!AI8*Constants!$H84*EF!$H209*MMVolatEF*NtoN2O*kgtoGg,"ERROR"))</f>
        <v>3.013633441305081E-3</v>
      </c>
      <c r="Q1188" s="101">
        <f>IF('Net zero activities &amp; levers'!$C$14="Off",Constants!$H66*'Activity data'!AJ8*Constants!$H84*EF!$H209*MMVolatEF*NtoN2O*kgtoGg,IF('Net zero activities &amp; levers'!$C$14="On",Constants!$H66*'Net zero Activity data'!AJ8*Constants!$H84*EF!$H209*MMVolatEF*NtoN2O*kgtoGg,"ERROR"))</f>
        <v>2.9716957157217678E-3</v>
      </c>
      <c r="R1188" s="101">
        <f>IF('Net zero activities &amp; levers'!$C$14="Off",Constants!$H66*'Activity data'!AK8*Constants!$H84*EF!$H209*MMVolatEF*NtoN2O*kgtoGg,IF('Net zero activities &amp; levers'!$C$14="On",Constants!$H66*'Net zero Activity data'!AK8*Constants!$H84*EF!$H209*MMVolatEF*NtoN2O*kgtoGg,"ERROR"))</f>
        <v>2.8774698147158886E-3</v>
      </c>
      <c r="S1188" s="101">
        <f>IF('Net zero activities &amp; levers'!$C$14="Off",Constants!$H66*'Activity data'!AL8*Constants!$H84*EF!$H209*MMVolatEF*NtoN2O*kgtoGg,IF('Net zero activities &amp; levers'!$C$14="On",Constants!$H66*'Net zero Activity data'!AL8*Constants!$H84*EF!$H209*MMVolatEF*NtoN2O*kgtoGg,"ERROR"))</f>
        <v>2.5613322402579155E-3</v>
      </c>
      <c r="T1188" s="101">
        <f>IF('Net zero activities &amp; levers'!$C$14="Off",Constants!$H66*'Activity data'!AM8*Constants!$H84*EF!$H209*MMVolatEF*NtoN2O*kgtoGg,IF('Net zero activities &amp; levers'!$C$14="On",Constants!$H66*'Net zero Activity data'!AM8*Constants!$H84*EF!$H209*MMVolatEF*NtoN2O*kgtoGg,"ERROR"))</f>
        <v>2.5574306718627766E-3</v>
      </c>
      <c r="U1188" s="101">
        <f>IF('Net zero activities &amp; levers'!$C$14="Off",Constants!$H66*'Activity data'!AN8*Constants!$H84*EF!$H209*MMVolatEF*NtoN2O*kgtoGg,IF('Net zero activities &amp; levers'!$C$14="On",Constants!$H66*'Net zero Activity data'!AN8*Constants!$H84*EF!$H209*MMVolatEF*NtoN2O*kgtoGg,"ERROR"))</f>
        <v>2.5241639746672218E-3</v>
      </c>
      <c r="V1188" s="101">
        <f>IF('Net zero activities &amp; levers'!$C$14="Off",Constants!$H66*'Activity data'!AO8*Constants!$H84*EF!$H209*MMVolatEF*NtoN2O*kgtoGg,IF('Net zero activities &amp; levers'!$C$14="On",Constants!$H66*'Net zero Activity data'!AO8*Constants!$H84*EF!$H209*MMVolatEF*NtoN2O*kgtoGg,"ERROR"))</f>
        <v>2.4838682919484964E-3</v>
      </c>
      <c r="W1188" s="101">
        <f>IF('Net zero activities &amp; levers'!$C$14="Off",Constants!$H66*'Activity data'!AP8*Constants!$H84*EF!$H209*MMVolatEF*NtoN2O*kgtoGg,IF('Net zero activities &amp; levers'!$C$14="On",Constants!$H66*'Net zero Activity data'!AP8*Constants!$H84*EF!$H209*MMVolatEF*NtoN2O*kgtoGg,"ERROR"))</f>
        <v>2.4517144403763819E-3</v>
      </c>
      <c r="X1188" s="101">
        <f>IF('Net zero activities &amp; levers'!$C$14="Off",Constants!$H66*'Activity data'!AQ8*Constants!$H84*EF!$H209*MMVolatEF*NtoN2O*kgtoGg,IF('Net zero activities &amp; levers'!$C$14="On",Constants!$H66*'Net zero Activity data'!AQ8*Constants!$H84*EF!$H209*MMVolatEF*NtoN2O*kgtoGg,"ERROR"))</f>
        <v>2.4483265740297545E-3</v>
      </c>
      <c r="Y1188" s="101">
        <f>IF('Net zero activities &amp; levers'!$C$14="Off",Constants!$H66*'Activity data'!AR8*Constants!$H84*EF!$H209*MMVolatEF*NtoN2O*kgtoGg,IF('Net zero activities &amp; levers'!$C$14="On",Constants!$H66*'Net zero Activity data'!AR8*Constants!$H84*EF!$H209*MMVolatEF*NtoN2O*kgtoGg,"ERROR"))</f>
        <v>2.4484892253944734E-3</v>
      </c>
      <c r="Z1188" s="101">
        <f>IF('Net zero activities &amp; levers'!$C$14="Off",Constants!$H66*'Activity data'!AS8*Constants!$H84*EF!$H209*MMVolatEF*NtoN2O*kgtoGg,IF('Net zero activities &amp; levers'!$C$14="On",Constants!$H66*'Net zero Activity data'!AS8*Constants!$H84*EF!$H209*MMVolatEF*NtoN2O*kgtoGg,"ERROR"))</f>
        <v>2.4520254862035683E-3</v>
      </c>
      <c r="AA1188" s="101">
        <f>IF('Net zero activities &amp; levers'!$C$14="Off",Constants!$H66*'Activity data'!AT8*Constants!$H84*EF!$H209*MMVolatEF*NtoN2O*kgtoGg,IF('Net zero activities &amp; levers'!$C$14="On",Constants!$H66*'Net zero Activity data'!AT8*Constants!$H84*EF!$H209*MMVolatEF*NtoN2O*kgtoGg,"ERROR"))</f>
        <v>2.4404441186600327E-3</v>
      </c>
      <c r="AB1188" s="101">
        <f>IF('Net zero activities &amp; levers'!$C$14="Off",Constants!$H66*'Activity data'!AU8*Constants!$H84*EF!$H209*MMVolatEF*NtoN2O*kgtoGg,IF('Net zero activities &amp; levers'!$C$14="On",Constants!$H66*'Net zero Activity data'!AU8*Constants!$H84*EF!$H209*MMVolatEF*NtoN2O*kgtoGg,"ERROR"))</f>
        <v>2.4377634331739658E-3</v>
      </c>
      <c r="AC1188" s="101">
        <f>IF('Net zero activities &amp; levers'!$C$14="Off",Constants!$H66*'Activity data'!AV8*Constants!$H84*EF!$H209*MMVolatEF*NtoN2O*kgtoGg,IF('Net zero activities &amp; levers'!$C$14="On",Constants!$H66*'Net zero Activity data'!AV8*Constants!$H84*EF!$H209*MMVolatEF*NtoN2O*kgtoGg,"ERROR"))</f>
        <v>2.4455411235818404E-3</v>
      </c>
      <c r="AD1188" s="101">
        <f>IF('Net zero activities &amp; levers'!$C$14="Off",Constants!$H66*'Activity data'!AW8*Constants!$H84*EF!$H209*MMVolatEF*NtoN2O*kgtoGg,IF('Net zero activities &amp; levers'!$C$14="On",Constants!$H66*'Net zero Activity data'!AW8*Constants!$H84*EF!$H209*MMVolatEF*NtoN2O*kgtoGg,"ERROR"))</f>
        <v>2.459391845824633E-3</v>
      </c>
      <c r="AE1188" s="101">
        <f>IF('Net zero activities &amp; levers'!$C$14="Off",Constants!$H66*'Activity data'!AX8*Constants!$H84*EF!$H209*MMVolatEF*NtoN2O*kgtoGg,IF('Net zero activities &amp; levers'!$C$14="On",Constants!$H66*'Net zero Activity data'!AX8*Constants!$H84*EF!$H209*MMVolatEF*NtoN2O*kgtoGg,"ERROR"))</f>
        <v>2.4731592568084907E-3</v>
      </c>
      <c r="AF1188" s="101">
        <f>IF('Net zero activities &amp; levers'!$C$14="Off",Constants!$H66*'Activity data'!AY8*Constants!$H84*EF!$H209*MMVolatEF*NtoN2O*kgtoGg,IF('Net zero activities &amp; levers'!$C$14="On",Constants!$H66*'Net zero Activity data'!AY8*Constants!$H84*EF!$H209*MMVolatEF*NtoN2O*kgtoGg,"ERROR"))</f>
        <v>2.4845211622969445E-3</v>
      </c>
      <c r="AG1188" s="101">
        <f>IF('Net zero activities &amp; levers'!$C$14="Off",Constants!$H66*'Activity data'!AZ8*Constants!$H84*EF!$H209*MMVolatEF*NtoN2O*kgtoGg,IF('Net zero activities &amp; levers'!$C$14="On",Constants!$H66*'Net zero Activity data'!AZ8*Constants!$H84*EF!$H209*MMVolatEF*NtoN2O*kgtoGg,"ERROR"))</f>
        <v>2.5021464887912213E-3</v>
      </c>
      <c r="AH1188" s="101">
        <f>IF('Net zero activities &amp; levers'!$C$14="Off",Constants!$H66*'Activity data'!BA8*Constants!$H84*EF!$H209*MMVolatEF*NtoN2O*kgtoGg,IF('Net zero activities &amp; levers'!$C$14="On",Constants!$H66*'Net zero Activity data'!BA8*Constants!$H84*EF!$H209*MMVolatEF*NtoN2O*kgtoGg,"ERROR"))</f>
        <v>2.5030398986022151E-3</v>
      </c>
      <c r="AI1188" s="101">
        <f>IF('Net zero activities &amp; levers'!$C$14="Off",Constants!$H66*'Activity data'!BB8*Constants!$H84*EF!$H209*MMVolatEF*NtoN2O*kgtoGg,IF('Net zero activities &amp; levers'!$C$14="On",Constants!$H66*'Net zero Activity data'!BB8*Constants!$H84*EF!$H209*MMVolatEF*NtoN2O*kgtoGg,"ERROR"))</f>
        <v>2.5050741761410071E-3</v>
      </c>
      <c r="AJ1188" s="101">
        <f>IF('Net zero activities &amp; levers'!$C$14="Off",Constants!$H66*'Activity data'!BC8*Constants!$H84*EF!$H209*MMVolatEF*NtoN2O*kgtoGg,IF('Net zero activities &amp; levers'!$C$14="On",Constants!$H66*'Net zero Activity data'!BC8*Constants!$H84*EF!$H209*MMVolatEF*NtoN2O*kgtoGg,"ERROR"))</f>
        <v>2.5044940496035551E-3</v>
      </c>
      <c r="AK1188" s="101">
        <f>IF('Net zero activities &amp; levers'!$C$14="Off",Constants!$H66*'Activity data'!BD8*Constants!$H84*EF!$H209*MMVolatEF*NtoN2O*kgtoGg,IF('Net zero activities &amp; levers'!$C$14="On",Constants!$H66*'Net zero Activity data'!BD8*Constants!$H84*EF!$H209*MMVolatEF*NtoN2O*kgtoGg,"ERROR"))</f>
        <v>2.495956164453781E-3</v>
      </c>
      <c r="AL1188" s="101">
        <f>IF('Net zero activities &amp; levers'!$C$14="Off",Constants!$H66*'Activity data'!BE8*Constants!$H84*EF!$H209*MMVolatEF*NtoN2O*kgtoGg,IF('Net zero activities &amp; levers'!$C$14="On",Constants!$H66*'Net zero Activity data'!BE8*Constants!$H84*EF!$H209*MMVolatEF*NtoN2O*kgtoGg,"ERROR"))</f>
        <v>2.4835263194881146E-3</v>
      </c>
      <c r="AM1188" s="101">
        <f>IF('Net zero activities &amp; levers'!$C$14="Off",Constants!$H66*'Activity data'!BF8*Constants!$H84*EF!$H209*MMVolatEF*NtoN2O*kgtoGg,IF('Net zero activities &amp; levers'!$C$14="On",Constants!$H66*'Net zero Activity data'!BF8*Constants!$H84*EF!$H209*MMVolatEF*NtoN2O*kgtoGg,"ERROR"))</f>
        <v>2.470416217355526E-3</v>
      </c>
      <c r="AN1188" s="101">
        <f>IF('Net zero activities &amp; levers'!$C$14="Off",Constants!$H66*'Activity data'!BG8*Constants!$H84*EF!$H209*MMVolatEF*NtoN2O*kgtoGg,IF('Net zero activities &amp; levers'!$C$14="On",Constants!$H66*'Net zero Activity data'!BG8*Constants!$H84*EF!$H209*MMVolatEF*NtoN2O*kgtoGg,"ERROR"))</f>
        <v>2.4883232970820024E-3</v>
      </c>
      <c r="AO1188" s="101">
        <f>IF('Net zero activities &amp; levers'!$C$14="Off",Constants!$H66*'Activity data'!BH8*Constants!$H84*EF!$H209*MMVolatEF*NtoN2O*kgtoGg,IF('Net zero activities &amp; levers'!$C$14="On",Constants!$H66*'Net zero Activity data'!BH8*Constants!$H84*EF!$H209*MMVolatEF*NtoN2O*kgtoGg,"ERROR"))</f>
        <v>2.4984599950248084E-3</v>
      </c>
      <c r="AP1188" s="101">
        <f>IF('Net zero activities &amp; levers'!$C$14="Off",Constants!$H66*'Activity data'!BI8*Constants!$H84*EF!$H209*MMVolatEF*NtoN2O*kgtoGg,IF('Net zero activities &amp; levers'!$C$14="On",Constants!$H66*'Net zero Activity data'!BI8*Constants!$H84*EF!$H209*MMVolatEF*NtoN2O*kgtoGg,"ERROR"))</f>
        <v>2.5068973758739744E-3</v>
      </c>
      <c r="AQ1188" s="101">
        <f>IF('Net zero activities &amp; levers'!$C$14="Off",Constants!$H66*'Activity data'!BJ8*Constants!$H84*EF!$H209*MMVolatEF*NtoN2O*kgtoGg,IF('Net zero activities &amp; levers'!$C$14="On",Constants!$H66*'Net zero Activity data'!BJ8*Constants!$H84*EF!$H209*MMVolatEF*NtoN2O*kgtoGg,"ERROR"))</f>
        <v>2.5137672553787126E-3</v>
      </c>
      <c r="AR1188" s="101">
        <f>IF('Net zero activities &amp; levers'!$C$14="Off",Constants!$H66*'Activity data'!BK8*Constants!$H84*EF!$H209*MMVolatEF*NtoN2O*kgtoGg,IF('Net zero activities &amp; levers'!$C$14="On",Constants!$H66*'Net zero Activity data'!BK8*Constants!$H84*EF!$H209*MMVolatEF*NtoN2O*kgtoGg,"ERROR"))</f>
        <v>2.5228595039385408E-3</v>
      </c>
      <c r="AS1188" s="101">
        <f>IF('Net zero activities &amp; levers'!$C$14="Off",Constants!$H66*'Activity data'!BL8*Constants!$H84*EF!$H209*MMVolatEF*NtoN2O*kgtoGg,IF('Net zero activities &amp; levers'!$C$14="On",Constants!$H66*'Net zero Activity data'!BL8*Constants!$H84*EF!$H209*MMVolatEF*NtoN2O*kgtoGg,"ERROR"))</f>
        <v>2.5308656399861797E-3</v>
      </c>
      <c r="AT1188" s="101">
        <f>IF('Net zero activities &amp; levers'!$C$14="Off",Constants!$H66*'Activity data'!BM8*Constants!$H84*EF!$H209*MMVolatEF*NtoN2O*kgtoGg,IF('Net zero activities &amp; levers'!$C$14="On",Constants!$H66*'Net zero Activity data'!BM8*Constants!$H84*EF!$H209*MMVolatEF*NtoN2O*kgtoGg,"ERROR"))</f>
        <v>2.502434381591112E-3</v>
      </c>
      <c r="AU1188" s="101">
        <f>IF('Net zero activities &amp; levers'!$C$14="Off",Constants!$H66*'Activity data'!BN8*Constants!$H84*EF!$H209*MMVolatEF*NtoN2O*kgtoGg,IF('Net zero activities &amp; levers'!$C$14="On",Constants!$H66*'Net zero Activity data'!BN8*Constants!$H84*EF!$H209*MMVolatEF*NtoN2O*kgtoGg,"ERROR"))</f>
        <v>2.4707315422954211E-3</v>
      </c>
      <c r="AV1188" s="101">
        <f>IF('Net zero activities &amp; levers'!$C$14="Off",Constants!$H66*'Activity data'!BO8*Constants!$H84*EF!$H209*MMVolatEF*NtoN2O*kgtoGg,IF('Net zero activities &amp; levers'!$C$14="On",Constants!$H66*'Net zero Activity data'!BO8*Constants!$H84*EF!$H209*MMVolatEF*NtoN2O*kgtoGg,"ERROR"))</f>
        <v>2.4424996838535761E-3</v>
      </c>
      <c r="AW1188" s="101">
        <f>IF('Net zero activities &amp; levers'!$C$14="Off",Constants!$H66*'Activity data'!BP8*Constants!$H84*EF!$H209*MMVolatEF*NtoN2O*kgtoGg,IF('Net zero activities &amp; levers'!$C$14="On",Constants!$H66*'Net zero Activity data'!BP8*Constants!$H84*EF!$H209*MMVolatEF*NtoN2O*kgtoGg,"ERROR"))</f>
        <v>2.4114364447817595E-3</v>
      </c>
      <c r="AY1188" s="85"/>
    </row>
    <row r="1189" spans="1:51" x14ac:dyDescent="0.25">
      <c r="A1189" s="102" t="str">
        <f t="shared" si="380"/>
        <v>CM MM Volatilisation</v>
      </c>
      <c r="B1189" s="102" t="s">
        <v>1323</v>
      </c>
      <c r="C1189" s="102" t="s">
        <v>1333</v>
      </c>
      <c r="D1189" t="s">
        <v>369</v>
      </c>
      <c r="E1189" t="s">
        <v>64</v>
      </c>
      <c r="F1189" t="s">
        <v>62</v>
      </c>
      <c r="G1189" t="s">
        <v>1161</v>
      </c>
      <c r="H1189" t="s">
        <v>1295</v>
      </c>
      <c r="I1189" t="s">
        <v>139</v>
      </c>
      <c r="J1189" t="s">
        <v>287</v>
      </c>
      <c r="K1189" s="101">
        <f>IF('Net zero activities &amp; levers'!$C$14="Off",Constants!$H67*'Activity data'!AD9*Constants!$H85*EF!$H210*MMVolatEF*NtoN2O*kgtoGg,IF('Net zero activities &amp; levers'!$C$14="On",Constants!$H67*'Net zero Activity data'!AD9*Constants!$H85*EF!$H210*MMVolatEF*NtoN2O*kgtoGg,"ERROR"))</f>
        <v>1.6169907052996448E-2</v>
      </c>
      <c r="L1189" s="101">
        <f>IF('Net zero activities &amp; levers'!$C$14="Off",Constants!$H67*'Activity data'!AE9*Constants!$H85*EF!$H210*MMVolatEF*NtoN2O*kgtoGg,IF('Net zero activities &amp; levers'!$C$14="On",Constants!$H67*'Net zero Activity data'!AE9*Constants!$H85*EF!$H210*MMVolatEF*NtoN2O*kgtoGg,"ERROR"))</f>
        <v>1.6087582545181053E-2</v>
      </c>
      <c r="M1189" s="101">
        <f>IF('Net zero activities &amp; levers'!$C$14="Off",Constants!$H67*'Activity data'!AF9*Constants!$H85*EF!$H210*MMVolatEF*NtoN2O*kgtoGg,IF('Net zero activities &amp; levers'!$C$14="On",Constants!$H67*'Net zero Activity data'!AF9*Constants!$H85*EF!$H210*MMVolatEF*NtoN2O*kgtoGg,"ERROR"))</f>
        <v>1.5937325240661746E-2</v>
      </c>
      <c r="N1189" s="101">
        <f>IF('Net zero activities &amp; levers'!$C$14="Off",Constants!$H67*'Activity data'!AG9*Constants!$H85*EF!$H210*MMVolatEF*NtoN2O*kgtoGg,IF('Net zero activities &amp; levers'!$C$14="On",Constants!$H67*'Net zero Activity data'!AG9*Constants!$H85*EF!$H210*MMVolatEF*NtoN2O*kgtoGg,"ERROR"))</f>
        <v>1.5526028543693155E-2</v>
      </c>
      <c r="O1189" s="101">
        <f>IF('Net zero activities &amp; levers'!$C$14="Off",Constants!$H67*'Activity data'!AH9*Constants!$H85*EF!$H210*MMVolatEF*NtoN2O*kgtoGg,IF('Net zero activities &amp; levers'!$C$14="On",Constants!$H67*'Net zero Activity data'!AH9*Constants!$H85*EF!$H210*MMVolatEF*NtoN2O*kgtoGg,"ERROR"))</f>
        <v>1.5131145066604845E-2</v>
      </c>
      <c r="P1189" s="101">
        <f>IF('Net zero activities &amp; levers'!$C$14="Off",Constants!$H67*'Activity data'!AI9*Constants!$H85*EF!$H210*MMVolatEF*NtoN2O*kgtoGg,IF('Net zero activities &amp; levers'!$C$14="On",Constants!$H67*'Net zero Activity data'!AI9*Constants!$H85*EF!$H210*MMVolatEF*NtoN2O*kgtoGg,"ERROR"))</f>
        <v>1.5001886544009729E-2</v>
      </c>
      <c r="Q1189" s="101">
        <f>IF('Net zero activities &amp; levers'!$C$14="Off",Constants!$H67*'Activity data'!AJ9*Constants!$H85*EF!$H210*MMVolatEF*NtoN2O*kgtoGg,IF('Net zero activities &amp; levers'!$C$14="On",Constants!$H67*'Net zero Activity data'!AJ9*Constants!$H85*EF!$H210*MMVolatEF*NtoN2O*kgtoGg,"ERROR"))</f>
        <v>1.4793120277850224E-2</v>
      </c>
      <c r="R1189" s="101">
        <f>IF('Net zero activities &amp; levers'!$C$14="Off",Constants!$H67*'Activity data'!AK9*Constants!$H85*EF!$H210*MMVolatEF*NtoN2O*kgtoGg,IF('Net zero activities &amp; levers'!$C$14="On",Constants!$H67*'Net zero Activity data'!AK9*Constants!$H85*EF!$H210*MMVolatEF*NtoN2O*kgtoGg,"ERROR"))</f>
        <v>1.4324063140036831E-2</v>
      </c>
      <c r="S1189" s="101">
        <f>IF('Net zero activities &amp; levers'!$C$14="Off",Constants!$H67*'Activity data'!AL9*Constants!$H85*EF!$H210*MMVolatEF*NtoN2O*kgtoGg,IF('Net zero activities &amp; levers'!$C$14="On",Constants!$H67*'Net zero Activity data'!AL9*Constants!$H85*EF!$H210*MMVolatEF*NtoN2O*kgtoGg,"ERROR"))</f>
        <v>1.2750328272579596E-2</v>
      </c>
      <c r="T1189" s="101">
        <f>IF('Net zero activities &amp; levers'!$C$14="Off",Constants!$H67*'Activity data'!AM9*Constants!$H85*EF!$H210*MMVolatEF*NtoN2O*kgtoGg,IF('Net zero activities &amp; levers'!$C$14="On",Constants!$H67*'Net zero Activity data'!AM9*Constants!$H85*EF!$H210*MMVolatEF*NtoN2O*kgtoGg,"ERROR"))</f>
        <v>1.2730906240156759E-2</v>
      </c>
      <c r="U1189" s="101">
        <f>IF('Net zero activities &amp; levers'!$C$14="Off",Constants!$H67*'Activity data'!AN9*Constants!$H85*EF!$H210*MMVolatEF*NtoN2O*kgtoGg,IF('Net zero activities &amp; levers'!$C$14="On",Constants!$H67*'Net zero Activity data'!AN9*Constants!$H85*EF!$H210*MMVolatEF*NtoN2O*kgtoGg,"ERROR"))</f>
        <v>1.256530440876564E-2</v>
      </c>
      <c r="V1189" s="101">
        <f>IF('Net zero activities &amp; levers'!$C$14="Off",Constants!$H67*'Activity data'!AO9*Constants!$H85*EF!$H210*MMVolatEF*NtoN2O*kgtoGg,IF('Net zero activities &amp; levers'!$C$14="On",Constants!$H67*'Net zero Activity data'!AO9*Constants!$H85*EF!$H210*MMVolatEF*NtoN2O*kgtoGg,"ERROR"))</f>
        <v>1.2364712242487468E-2</v>
      </c>
      <c r="W1189" s="101">
        <f>IF('Net zero activities &amp; levers'!$C$14="Off",Constants!$H67*'Activity data'!AP9*Constants!$H85*EF!$H210*MMVolatEF*NtoN2O*kgtoGg,IF('Net zero activities &amp; levers'!$C$14="On",Constants!$H67*'Net zero Activity data'!AP9*Constants!$H85*EF!$H210*MMVolatEF*NtoN2O*kgtoGg,"ERROR"))</f>
        <v>1.2204650163726856E-2</v>
      </c>
      <c r="X1189" s="101">
        <f>IF('Net zero activities &amp; levers'!$C$14="Off",Constants!$H67*'Activity data'!AQ9*Constants!$H85*EF!$H210*MMVolatEF*NtoN2O*kgtoGg,IF('Net zero activities &amp; levers'!$C$14="On",Constants!$H67*'Net zero Activity data'!AQ9*Constants!$H85*EF!$H210*MMVolatEF*NtoN2O*kgtoGg,"ERROR"))</f>
        <v>1.2187785343386806E-2</v>
      </c>
      <c r="Y1189" s="101">
        <f>IF('Net zero activities &amp; levers'!$C$14="Off",Constants!$H67*'Activity data'!AR9*Constants!$H85*EF!$H210*MMVolatEF*NtoN2O*kgtoGg,IF('Net zero activities &amp; levers'!$C$14="On",Constants!$H67*'Net zero Activity data'!AR9*Constants!$H85*EF!$H210*MMVolatEF*NtoN2O*kgtoGg,"ERROR"))</f>
        <v>1.2188595022920587E-2</v>
      </c>
      <c r="Z1189" s="101">
        <f>IF('Net zero activities &amp; levers'!$C$14="Off",Constants!$H67*'Activity data'!AS9*Constants!$H85*EF!$H210*MMVolatEF*NtoN2O*kgtoGg,IF('Net zero activities &amp; levers'!$C$14="On",Constants!$H67*'Net zero Activity data'!AS9*Constants!$H85*EF!$H210*MMVolatEF*NtoN2O*kgtoGg,"ERROR"))</f>
        <v>1.2206198551843832E-2</v>
      </c>
      <c r="AA1189" s="101">
        <f>IF('Net zero activities &amp; levers'!$C$14="Off",Constants!$H67*'Activity data'!AT9*Constants!$H85*EF!$H210*MMVolatEF*NtoN2O*kgtoGg,IF('Net zero activities &amp; levers'!$C$14="On",Constants!$H67*'Net zero Activity data'!AT9*Constants!$H85*EF!$H210*MMVolatEF*NtoN2O*kgtoGg,"ERROR"))</f>
        <v>1.2148546430145398E-2</v>
      </c>
      <c r="AB1189" s="101">
        <f>IF('Net zero activities &amp; levers'!$C$14="Off",Constants!$H67*'Activity data'!AU9*Constants!$H85*EF!$H210*MMVolatEF*NtoN2O*kgtoGg,IF('Net zero activities &amp; levers'!$C$14="On",Constants!$H67*'Net zero Activity data'!AU9*Constants!$H85*EF!$H210*MMVolatEF*NtoN2O*kgtoGg,"ERROR"))</f>
        <v>1.2135201960651876E-2</v>
      </c>
      <c r="AC1189" s="101">
        <f>IF('Net zero activities &amp; levers'!$C$14="Off",Constants!$H67*'Activity data'!AV9*Constants!$H85*EF!$H210*MMVolatEF*NtoN2O*kgtoGg,IF('Net zero activities &amp; levers'!$C$14="On",Constants!$H67*'Net zero Activity data'!AV9*Constants!$H85*EF!$H210*MMVolatEF*NtoN2O*kgtoGg,"ERROR"))</f>
        <v>1.2173919353243207E-2</v>
      </c>
      <c r="AD1189" s="101">
        <f>IF('Net zero activities &amp; levers'!$C$14="Off",Constants!$H67*'Activity data'!AW9*Constants!$H85*EF!$H210*MMVolatEF*NtoN2O*kgtoGg,IF('Net zero activities &amp; levers'!$C$14="On",Constants!$H67*'Net zero Activity data'!AW9*Constants!$H85*EF!$H210*MMVolatEF*NtoN2O*kgtoGg,"ERROR"))</f>
        <v>1.2242868337147826E-2</v>
      </c>
      <c r="AE1189" s="101">
        <f>IF('Net zero activities &amp; levers'!$C$14="Off",Constants!$H67*'Activity data'!AX9*Constants!$H85*EF!$H210*MMVolatEF*NtoN2O*kgtoGg,IF('Net zero activities &amp; levers'!$C$14="On",Constants!$H67*'Net zero Activity data'!AX9*Constants!$H85*EF!$H210*MMVolatEF*NtoN2O*kgtoGg,"ERROR"))</f>
        <v>1.2311402597072658E-2</v>
      </c>
      <c r="AF1189" s="101">
        <f>IF('Net zero activities &amp; levers'!$C$14="Off",Constants!$H67*'Activity data'!AY9*Constants!$H85*EF!$H210*MMVolatEF*NtoN2O*kgtoGg,IF('Net zero activities &amp; levers'!$C$14="On",Constants!$H67*'Net zero Activity data'!AY9*Constants!$H85*EF!$H210*MMVolatEF*NtoN2O*kgtoGg,"ERROR"))</f>
        <v>1.2367962235257365E-2</v>
      </c>
      <c r="AG1189" s="101">
        <f>IF('Net zero activities &amp; levers'!$C$14="Off",Constants!$H67*'Activity data'!AZ9*Constants!$H85*EF!$H210*MMVolatEF*NtoN2O*kgtoGg,IF('Net zero activities &amp; levers'!$C$14="On",Constants!$H67*'Net zero Activity data'!AZ9*Constants!$H85*EF!$H210*MMVolatEF*NtoN2O*kgtoGg,"ERROR"))</f>
        <v>1.245570122326573E-2</v>
      </c>
      <c r="AH1189" s="101">
        <f>IF('Net zero activities &amp; levers'!$C$14="Off",Constants!$H67*'Activity data'!BA9*Constants!$H85*EF!$H210*MMVolatEF*NtoN2O*kgtoGg,IF('Net zero activities &amp; levers'!$C$14="On",Constants!$H67*'Net zero Activity data'!BA9*Constants!$H85*EF!$H210*MMVolatEF*NtoN2O*kgtoGg,"ERROR"))</f>
        <v>1.2460148623018509E-2</v>
      </c>
      <c r="AI1189" s="101">
        <f>IF('Net zero activities &amp; levers'!$C$14="Off",Constants!$H67*'Activity data'!BB9*Constants!$H85*EF!$H210*MMVolatEF*NtoN2O*kgtoGg,IF('Net zero activities &amp; levers'!$C$14="On",Constants!$H67*'Net zero Activity data'!BB9*Constants!$H85*EF!$H210*MMVolatEF*NtoN2O*kgtoGg,"ERROR"))</f>
        <v>1.2470275269616506E-2</v>
      </c>
      <c r="AJ1189" s="101">
        <f>IF('Net zero activities &amp; levers'!$C$14="Off",Constants!$H67*'Activity data'!BC9*Constants!$H85*EF!$H210*MMVolatEF*NtoN2O*kgtoGg,IF('Net zero activities &amp; levers'!$C$14="On",Constants!$H67*'Net zero Activity data'!BC9*Constants!$H85*EF!$H210*MMVolatEF*NtoN2O*kgtoGg,"ERROR"))</f>
        <v>1.2467387396002966E-2</v>
      </c>
      <c r="AK1189" s="101">
        <f>IF('Net zero activities &amp; levers'!$C$14="Off",Constants!$H67*'Activity data'!BD9*Constants!$H85*EF!$H210*MMVolatEF*NtoN2O*kgtoGg,IF('Net zero activities &amp; levers'!$C$14="On",Constants!$H67*'Net zero Activity data'!BD9*Constants!$H85*EF!$H210*MMVolatEF*NtoN2O*kgtoGg,"ERROR"))</f>
        <v>1.2424885749124759E-2</v>
      </c>
      <c r="AL1189" s="101">
        <f>IF('Net zero activities &amp; levers'!$C$14="Off",Constants!$H67*'Activity data'!BE9*Constants!$H85*EF!$H210*MMVolatEF*NtoN2O*kgtoGg,IF('Net zero activities &amp; levers'!$C$14="On",Constants!$H67*'Net zero Activity data'!BE9*Constants!$H85*EF!$H210*MMVolatEF*NtoN2O*kgtoGg,"ERROR"))</f>
        <v>1.2363009901392658E-2</v>
      </c>
      <c r="AM1189" s="101">
        <f>IF('Net zero activities &amp; levers'!$C$14="Off",Constants!$H67*'Activity data'!BF9*Constants!$H85*EF!$H210*MMVolatEF*NtoN2O*kgtoGg,IF('Net zero activities &amp; levers'!$C$14="On",Constants!$H67*'Net zero Activity data'!BF9*Constants!$H85*EF!$H210*MMVolatEF*NtoN2O*kgtoGg,"ERROR"))</f>
        <v>1.2297747729133151E-2</v>
      </c>
      <c r="AN1189" s="101">
        <f>IF('Net zero activities &amp; levers'!$C$14="Off",Constants!$H67*'Activity data'!BG9*Constants!$H85*EF!$H210*MMVolatEF*NtoN2O*kgtoGg,IF('Net zero activities &amp; levers'!$C$14="On",Constants!$H67*'Net zero Activity data'!BG9*Constants!$H85*EF!$H210*MMVolatEF*NtoN2O*kgtoGg,"ERROR"))</f>
        <v>1.2386889286533313E-2</v>
      </c>
      <c r="AO1189" s="101">
        <f>IF('Net zero activities &amp; levers'!$C$14="Off",Constants!$H67*'Activity data'!BH9*Constants!$H85*EF!$H210*MMVolatEF*NtoN2O*kgtoGg,IF('Net zero activities &amp; levers'!$C$14="On",Constants!$H67*'Net zero Activity data'!BH9*Constants!$H85*EF!$H210*MMVolatEF*NtoN2O*kgtoGg,"ERROR"))</f>
        <v>1.2437349833720164E-2</v>
      </c>
      <c r="AP1189" s="101">
        <f>IF('Net zero activities &amp; levers'!$C$14="Off",Constants!$H67*'Activity data'!BI9*Constants!$H85*EF!$H210*MMVolatEF*NtoN2O*kgtoGg,IF('Net zero activities &amp; levers'!$C$14="On",Constants!$H67*'Net zero Activity data'!BI9*Constants!$H85*EF!$H210*MMVolatEF*NtoN2O*kgtoGg,"ERROR"))</f>
        <v>1.2479351169547185E-2</v>
      </c>
      <c r="AQ1189" s="101">
        <f>IF('Net zero activities &amp; levers'!$C$14="Off",Constants!$H67*'Activity data'!BJ9*Constants!$H85*EF!$H210*MMVolatEF*NtoN2O*kgtoGg,IF('Net zero activities &amp; levers'!$C$14="On",Constants!$H67*'Net zero Activity data'!BJ9*Constants!$H85*EF!$H210*MMVolatEF*NtoN2O*kgtoGg,"ERROR"))</f>
        <v>1.2513549473656948E-2</v>
      </c>
      <c r="AR1189" s="101">
        <f>IF('Net zero activities &amp; levers'!$C$14="Off",Constants!$H67*'Activity data'!BK9*Constants!$H85*EF!$H210*MMVolatEF*NtoN2O*kgtoGg,IF('Net zero activities &amp; levers'!$C$14="On",Constants!$H67*'Net zero Activity data'!BK9*Constants!$H85*EF!$H210*MMVolatEF*NtoN2O*kgtoGg,"ERROR"))</f>
        <v>1.255881074513574E-2</v>
      </c>
      <c r="AS1189" s="101">
        <f>IF('Net zero activities &amp; levers'!$C$14="Off",Constants!$H67*'Activity data'!BL9*Constants!$H85*EF!$H210*MMVolatEF*NtoN2O*kgtoGg,IF('Net zero activities &amp; levers'!$C$14="On",Constants!$H67*'Net zero Activity data'!BL9*Constants!$H85*EF!$H210*MMVolatEF*NtoN2O*kgtoGg,"ERROR"))</f>
        <v>1.25986653415828E-2</v>
      </c>
      <c r="AT1189" s="101">
        <f>IF('Net zero activities &amp; levers'!$C$14="Off",Constants!$H67*'Activity data'!BM9*Constants!$H85*EF!$H210*MMVolatEF*NtoN2O*kgtoGg,IF('Net zero activities &amp; levers'!$C$14="On",Constants!$H67*'Net zero Activity data'!BM9*Constants!$H85*EF!$H210*MMVolatEF*NtoN2O*kgtoGg,"ERROR"))</f>
        <v>1.2457134355464755E-2</v>
      </c>
      <c r="AU1189" s="101">
        <f>IF('Net zero activities &amp; levers'!$C$14="Off",Constants!$H67*'Activity data'!BN9*Constants!$H85*EF!$H210*MMVolatEF*NtoN2O*kgtoGg,IF('Net zero activities &amp; levers'!$C$14="On",Constants!$H67*'Net zero Activity data'!BN9*Constants!$H85*EF!$H210*MMVolatEF*NtoN2O*kgtoGg,"ERROR"))</f>
        <v>1.2299317418700554E-2</v>
      </c>
      <c r="AV1189" s="101">
        <f>IF('Net zero activities &amp; levers'!$C$14="Off",Constants!$H67*'Activity data'!BO9*Constants!$H85*EF!$H210*MMVolatEF*NtoN2O*kgtoGg,IF('Net zero activities &amp; levers'!$C$14="On",Constants!$H67*'Net zero Activity data'!BO9*Constants!$H85*EF!$H210*MMVolatEF*NtoN2O*kgtoGg,"ERROR"))</f>
        <v>1.2158779046824881E-2</v>
      </c>
      <c r="AW1189" s="101">
        <f>IF('Net zero activities &amp; levers'!$C$14="Off",Constants!$H67*'Activity data'!BP9*Constants!$H85*EF!$H210*MMVolatEF*NtoN2O*kgtoGg,IF('Net zero activities &amp; levers'!$C$14="On",Constants!$H67*'Net zero Activity data'!BP9*Constants!$H85*EF!$H210*MMVolatEF*NtoN2O*kgtoGg,"ERROR"))</f>
        <v>1.2004146044065581E-2</v>
      </c>
      <c r="AY1189" s="85"/>
    </row>
    <row r="1190" spans="1:51" x14ac:dyDescent="0.25">
      <c r="A1190" s="102" t="str">
        <f t="shared" si="380"/>
        <v>CM MM Volatilisation</v>
      </c>
      <c r="B1190" s="102" t="s">
        <v>1323</v>
      </c>
      <c r="C1190" s="102" t="s">
        <v>1333</v>
      </c>
      <c r="D1190" t="s">
        <v>369</v>
      </c>
      <c r="E1190" t="s">
        <v>64</v>
      </c>
      <c r="F1190" t="s">
        <v>62</v>
      </c>
      <c r="G1190" t="s">
        <v>1163</v>
      </c>
      <c r="H1190" t="s">
        <v>1296</v>
      </c>
      <c r="I1190" t="s">
        <v>139</v>
      </c>
      <c r="J1190" t="s">
        <v>287</v>
      </c>
      <c r="K1190" s="101">
        <f>IF('Net zero activities &amp; levers'!$C$14="Off",Constants!$H68*'Activity data'!AD10*Constants!$H86*EF!$H211*MMVolatEF*NtoN2O*kgtoGg,IF('Net zero activities &amp; levers'!$C$14="On",Constants!$H68*'Net zero Activity data'!AD10*Constants!$H86*EF!$H211*MMVolatEF*NtoN2O*kgtoGg,"ERROR"))</f>
        <v>0.15881310952891459</v>
      </c>
      <c r="L1190" s="101">
        <f>IF('Net zero activities &amp; levers'!$C$14="Off",Constants!$H68*'Activity data'!AE10*Constants!$H86*EF!$H211*MMVolatEF*NtoN2O*kgtoGg,IF('Net zero activities &amp; levers'!$C$14="On",Constants!$H68*'Net zero Activity data'!AE10*Constants!$H86*EF!$H211*MMVolatEF*NtoN2O*kgtoGg,"ERROR"))</f>
        <v>0.16473779708525871</v>
      </c>
      <c r="M1190" s="101">
        <f>IF('Net zero activities &amp; levers'!$C$14="Off",Constants!$H68*'Activity data'!AF10*Constants!$H86*EF!$H211*MMVolatEF*NtoN2O*kgtoGg,IF('Net zero activities &amp; levers'!$C$14="On",Constants!$H68*'Net zero Activity data'!AF10*Constants!$H86*EF!$H211*MMVolatEF*NtoN2O*kgtoGg,"ERROR"))</f>
        <v>0.17006036536738212</v>
      </c>
      <c r="N1190" s="101">
        <f>IF('Net zero activities &amp; levers'!$C$14="Off",Constants!$H68*'Activity data'!AG10*Constants!$H86*EF!$H211*MMVolatEF*NtoN2O*kgtoGg,IF('Net zero activities &amp; levers'!$C$14="On",Constants!$H68*'Net zero Activity data'!AG10*Constants!$H86*EF!$H211*MMVolatEF*NtoN2O*kgtoGg,"ERROR"))</f>
        <v>0.1725581026820969</v>
      </c>
      <c r="O1190" s="101">
        <f>IF('Net zero activities &amp; levers'!$C$14="Off",Constants!$H68*'Activity data'!AH10*Constants!$H86*EF!$H211*MMVolatEF*NtoN2O*kgtoGg,IF('Net zero activities &amp; levers'!$C$14="On",Constants!$H68*'Net zero Activity data'!AH10*Constants!$H86*EF!$H211*MMVolatEF*NtoN2O*kgtoGg,"ERROR"))</f>
        <v>0.17509405758016705</v>
      </c>
      <c r="P1190" s="101">
        <f>IF('Net zero activities &amp; levers'!$C$14="Off",Constants!$H68*'Activity data'!AI10*Constants!$H86*EF!$H211*MMVolatEF*NtoN2O*kgtoGg,IF('Net zero activities &amp; levers'!$C$14="On",Constants!$H68*'Net zero Activity data'!AI10*Constants!$H86*EF!$H211*MMVolatEF*NtoN2O*kgtoGg,"ERROR"))</f>
        <v>0.18069182253517682</v>
      </c>
      <c r="Q1190" s="101">
        <f>IF('Net zero activities &amp; levers'!$C$14="Off",Constants!$H68*'Activity data'!AJ10*Constants!$H86*EF!$H211*MMVolatEF*NtoN2O*kgtoGg,IF('Net zero activities &amp; levers'!$C$14="On",Constants!$H68*'Net zero Activity data'!AJ10*Constants!$H86*EF!$H211*MMVolatEF*NtoN2O*kgtoGg,"ERROR"))</f>
        <v>0.18541356320951116</v>
      </c>
      <c r="R1190" s="101">
        <f>IF('Net zero activities &amp; levers'!$C$14="Off",Constants!$H68*'Activity data'!AK10*Constants!$H86*EF!$H211*MMVolatEF*NtoN2O*kgtoGg,IF('Net zero activities &amp; levers'!$C$14="On",Constants!$H68*'Net zero Activity data'!AK10*Constants!$H86*EF!$H211*MMVolatEF*NtoN2O*kgtoGg,"ERROR"))</f>
        <v>0.18679194415388084</v>
      </c>
      <c r="S1190" s="101">
        <f>IF('Net zero activities &amp; levers'!$C$14="Off",Constants!$H68*'Activity data'!AL10*Constants!$H86*EF!$H211*MMVolatEF*NtoN2O*kgtoGg,IF('Net zero activities &amp; levers'!$C$14="On",Constants!$H68*'Net zero Activity data'!AL10*Constants!$H86*EF!$H211*MMVolatEF*NtoN2O*kgtoGg,"ERROR"))</f>
        <v>0.17296868678120739</v>
      </c>
      <c r="T1190" s="101">
        <f>IF('Net zero activities &amp; levers'!$C$14="Off",Constants!$H68*'Activity data'!AM10*Constants!$H86*EF!$H211*MMVolatEF*NtoN2O*kgtoGg,IF('Net zero activities &amp; levers'!$C$14="On",Constants!$H68*'Net zero Activity data'!AM10*Constants!$H86*EF!$H211*MMVolatEF*NtoN2O*kgtoGg,"ERROR"))</f>
        <v>0.17875913404289284</v>
      </c>
      <c r="U1190" s="101">
        <f>IF('Net zero activities &amp; levers'!$C$14="Off",Constants!$H68*'Activity data'!AN10*Constants!$H86*EF!$H211*MMVolatEF*NtoN2O*kgtoGg,IF('Net zero activities &amp; levers'!$C$14="On",Constants!$H68*'Net zero Activity data'!AN10*Constants!$H86*EF!$H211*MMVolatEF*NtoN2O*kgtoGg,"ERROR"))</f>
        <v>0.18257306402100468</v>
      </c>
      <c r="V1190" s="101">
        <f>IF('Net zero activities &amp; levers'!$C$14="Off",Constants!$H68*'Activity data'!AO10*Constants!$H86*EF!$H211*MMVolatEF*NtoN2O*kgtoGg,IF('Net zero activities &amp; levers'!$C$14="On",Constants!$H68*'Net zero Activity data'!AO10*Constants!$H86*EF!$H211*MMVolatEF*NtoN2O*kgtoGg,"ERROR"))</f>
        <v>0.18586903617818432</v>
      </c>
      <c r="W1190" s="101">
        <f>IF('Net zero activities &amp; levers'!$C$14="Off",Constants!$H68*'Activity data'!AP10*Constants!$H86*EF!$H211*MMVolatEF*NtoN2O*kgtoGg,IF('Net zero activities &amp; levers'!$C$14="On",Constants!$H68*'Net zero Activity data'!AP10*Constants!$H86*EF!$H211*MMVolatEF*NtoN2O*kgtoGg,"ERROR"))</f>
        <v>0.18976830000850667</v>
      </c>
      <c r="X1190" s="101">
        <f>IF('Net zero activities &amp; levers'!$C$14="Off",Constants!$H68*'Activity data'!AQ10*Constants!$H86*EF!$H211*MMVolatEF*NtoN2O*kgtoGg,IF('Net zero activities &amp; levers'!$C$14="On",Constants!$H68*'Net zero Activity data'!AQ10*Constants!$H86*EF!$H211*MMVolatEF*NtoN2O*kgtoGg,"ERROR"))</f>
        <v>0.19598584557411888</v>
      </c>
      <c r="Y1190" s="101">
        <f>IF('Net zero activities &amp; levers'!$C$14="Off",Constants!$H68*'Activity data'!AR10*Constants!$H86*EF!$H211*MMVolatEF*NtoN2O*kgtoGg,IF('Net zero activities &amp; levers'!$C$14="On",Constants!$H68*'Net zero Activity data'!AR10*Constants!$H86*EF!$H211*MMVolatEF*NtoN2O*kgtoGg,"ERROR"))</f>
        <v>0.20267063686247372</v>
      </c>
      <c r="Z1190" s="101">
        <f>IF('Net zero activities &amp; levers'!$C$14="Off",Constants!$H68*'Activity data'!AS10*Constants!$H86*EF!$H211*MMVolatEF*NtoN2O*kgtoGg,IF('Net zero activities &amp; levers'!$C$14="On",Constants!$H68*'Net zero Activity data'!AS10*Constants!$H86*EF!$H211*MMVolatEF*NtoN2O*kgtoGg,"ERROR"))</f>
        <v>0.2098452844574758</v>
      </c>
      <c r="AA1190" s="101">
        <f>IF('Net zero activities &amp; levers'!$C$14="Off",Constants!$H68*'Activity data'!AT10*Constants!$H86*EF!$H211*MMVolatEF*NtoN2O*kgtoGg,IF('Net zero activities &amp; levers'!$C$14="On",Constants!$H68*'Net zero Activity data'!AT10*Constants!$H86*EF!$H211*MMVolatEF*NtoN2O*kgtoGg,"ERROR"))</f>
        <v>0.21591209545517515</v>
      </c>
      <c r="AB1190" s="101">
        <f>IF('Net zero activities &amp; levers'!$C$14="Off",Constants!$H68*'Activity data'!AU10*Constants!$H86*EF!$H211*MMVolatEF*NtoN2O*kgtoGg,IF('Net zero activities &amp; levers'!$C$14="On",Constants!$H68*'Net zero Activity data'!AU10*Constants!$H86*EF!$H211*MMVolatEF*NtoN2O*kgtoGg,"ERROR"))</f>
        <v>0.22294264666306829</v>
      </c>
      <c r="AC1190" s="101">
        <f>IF('Net zero activities &amp; levers'!$C$14="Off",Constants!$H68*'Activity data'!AV10*Constants!$H86*EF!$H211*MMVolatEF*NtoN2O*kgtoGg,IF('Net zero activities &amp; levers'!$C$14="On",Constants!$H68*'Net zero Activity data'!AV10*Constants!$H86*EF!$H211*MMVolatEF*NtoN2O*kgtoGg,"ERROR"))</f>
        <v>0.23117267568071972</v>
      </c>
      <c r="AD1190" s="101">
        <f>IF('Net zero activities &amp; levers'!$C$14="Off",Constants!$H68*'Activity data'!AW10*Constants!$H86*EF!$H211*MMVolatEF*NtoN2O*kgtoGg,IF('Net zero activities &amp; levers'!$C$14="On",Constants!$H68*'Net zero Activity data'!AW10*Constants!$H86*EF!$H211*MMVolatEF*NtoN2O*kgtoGg,"ERROR"))</f>
        <v>0.24030562509223607</v>
      </c>
      <c r="AE1190" s="101">
        <f>IF('Net zero activities &amp; levers'!$C$14="Off",Constants!$H68*'Activity data'!AX10*Constants!$H86*EF!$H211*MMVolatEF*NtoN2O*kgtoGg,IF('Net zero activities &amp; levers'!$C$14="On",Constants!$H68*'Net zero Activity data'!AX10*Constants!$H86*EF!$H211*MMVolatEF*NtoN2O*kgtoGg,"ERROR"))</f>
        <v>0.24979959168817922</v>
      </c>
      <c r="AF1190" s="101">
        <f>IF('Net zero activities &amp; levers'!$C$14="Off",Constants!$H68*'Activity data'!AY10*Constants!$H86*EF!$H211*MMVolatEF*NtoN2O*kgtoGg,IF('Net zero activities &amp; levers'!$C$14="On",Constants!$H68*'Net zero Activity data'!AY10*Constants!$H86*EF!$H211*MMVolatEF*NtoN2O*kgtoGg,"ERROR"))</f>
        <v>0.25943194467713232</v>
      </c>
      <c r="AG1190" s="101">
        <f>IF('Net zero activities &amp; levers'!$C$14="Off",Constants!$H68*'Activity data'!AZ10*Constants!$H86*EF!$H211*MMVolatEF*NtoN2O*kgtoGg,IF('Net zero activities &amp; levers'!$C$14="On",Constants!$H68*'Net zero Activity data'!AZ10*Constants!$H86*EF!$H211*MMVolatEF*NtoN2O*kgtoGg,"ERROR"))</f>
        <v>0.27013513683324164</v>
      </c>
      <c r="AH1190" s="101">
        <f>IF('Net zero activities &amp; levers'!$C$14="Off",Constants!$H68*'Activity data'!BA10*Constants!$H86*EF!$H211*MMVolatEF*NtoN2O*kgtoGg,IF('Net zero activities &amp; levers'!$C$14="On",Constants!$H68*'Net zero Activity data'!BA10*Constants!$H86*EF!$H211*MMVolatEF*NtoN2O*kgtoGg,"ERROR"))</f>
        <v>0.27943380179440369</v>
      </c>
      <c r="AI1190" s="101">
        <f>IF('Net zero activities &amp; levers'!$C$14="Off",Constants!$H68*'Activity data'!BB10*Constants!$H86*EF!$H211*MMVolatEF*NtoN2O*kgtoGg,IF('Net zero activities &amp; levers'!$C$14="On",Constants!$H68*'Net zero Activity data'!BB10*Constants!$H86*EF!$H211*MMVolatEF*NtoN2O*kgtoGg,"ERROR"))</f>
        <v>0.28922680185431371</v>
      </c>
      <c r="AJ1190" s="101">
        <f>IF('Net zero activities &amp; levers'!$C$14="Off",Constants!$H68*'Activity data'!BC10*Constants!$H86*EF!$H211*MMVolatEF*NtoN2O*kgtoGg,IF('Net zero activities &amp; levers'!$C$14="On",Constants!$H68*'Net zero Activity data'!BC10*Constants!$H86*EF!$H211*MMVolatEF*NtoN2O*kgtoGg,"ERROR"))</f>
        <v>0.29910071018794182</v>
      </c>
      <c r="AK1190" s="101">
        <f>IF('Net zero activities &amp; levers'!$C$14="Off",Constants!$H68*'Activity data'!BD10*Constants!$H86*EF!$H211*MMVolatEF*NtoN2O*kgtoGg,IF('Net zero activities &amp; levers'!$C$14="On",Constants!$H68*'Net zero Activity data'!BD10*Constants!$H86*EF!$H211*MMVolatEF*NtoN2O*kgtoGg,"ERROR"))</f>
        <v>0.30838656018508903</v>
      </c>
      <c r="AL1190" s="101">
        <f>IF('Net zero activities &amp; levers'!$C$14="Off",Constants!$H68*'Activity data'!BE10*Constants!$H86*EF!$H211*MMVolatEF*NtoN2O*kgtoGg,IF('Net zero activities &amp; levers'!$C$14="On",Constants!$H68*'Net zero Activity data'!BE10*Constants!$H86*EF!$H211*MMVolatEF*NtoN2O*kgtoGg,"ERROR"))</f>
        <v>0.3175256541837323</v>
      </c>
      <c r="AM1190" s="101">
        <f>IF('Net zero activities &amp; levers'!$C$14="Off",Constants!$H68*'Activity data'!BF10*Constants!$H86*EF!$H211*MMVolatEF*NtoN2O*kgtoGg,IF('Net zero activities &amp; levers'!$C$14="On",Constants!$H68*'Net zero Activity data'!BF10*Constants!$H86*EF!$H211*MMVolatEF*NtoN2O*kgtoGg,"ERROR"))</f>
        <v>0.32691239533754268</v>
      </c>
      <c r="AN1190" s="101">
        <f>IF('Net zero activities &amp; levers'!$C$14="Off",Constants!$H68*'Activity data'!BG10*Constants!$H86*EF!$H211*MMVolatEF*NtoN2O*kgtoGg,IF('Net zero activities &amp; levers'!$C$14="On",Constants!$H68*'Net zero Activity data'!BG10*Constants!$H86*EF!$H211*MMVolatEF*NtoN2O*kgtoGg,"ERROR"))</f>
        <v>0.33874866555584549</v>
      </c>
      <c r="AO1190" s="101">
        <f>IF('Net zero activities &amp; levers'!$C$14="Off",Constants!$H68*'Activity data'!BH10*Constants!$H86*EF!$H211*MMVolatEF*NtoN2O*kgtoGg,IF('Net zero activities &amp; levers'!$C$14="On",Constants!$H68*'Net zero Activity data'!BH10*Constants!$H86*EF!$H211*MMVolatEF*NtoN2O*kgtoGg,"ERROR"))</f>
        <v>0.34994177810021121</v>
      </c>
      <c r="AP1190" s="101">
        <f>IF('Net zero activities &amp; levers'!$C$14="Off",Constants!$H68*'Activity data'!BI10*Constants!$H86*EF!$H211*MMVolatEF*NtoN2O*kgtoGg,IF('Net zero activities &amp; levers'!$C$14="On",Constants!$H68*'Net zero Activity data'!BI10*Constants!$H86*EF!$H211*MMVolatEF*NtoN2O*kgtoGg,"ERROR"))</f>
        <v>0.36129420975271881</v>
      </c>
      <c r="AQ1190" s="101">
        <f>IF('Net zero activities &amp; levers'!$C$14="Off",Constants!$H68*'Activity data'!BJ10*Constants!$H86*EF!$H211*MMVolatEF*NtoN2O*kgtoGg,IF('Net zero activities &amp; levers'!$C$14="On",Constants!$H68*'Net zero Activity data'!BJ10*Constants!$H86*EF!$H211*MMVolatEF*NtoN2O*kgtoGg,"ERROR"))</f>
        <v>0.37282445406977427</v>
      </c>
      <c r="AR1190" s="101">
        <f>IF('Net zero activities &amp; levers'!$C$14="Off",Constants!$H68*'Activity data'!BK10*Constants!$H86*EF!$H211*MMVolatEF*NtoN2O*kgtoGg,IF('Net zero activities &amp; levers'!$C$14="On",Constants!$H68*'Net zero Activity data'!BK10*Constants!$H86*EF!$H211*MMVolatEF*NtoN2O*kgtoGg,"ERROR"))</f>
        <v>0.38511153011383636</v>
      </c>
      <c r="AS1190" s="101">
        <f>IF('Net zero activities &amp; levers'!$C$14="Off",Constants!$H68*'Activity data'!BL10*Constants!$H86*EF!$H211*MMVolatEF*NtoN2O*kgtoGg,IF('Net zero activities &amp; levers'!$C$14="On",Constants!$H68*'Net zero Activity data'!BL10*Constants!$H86*EF!$H211*MMVolatEF*NtoN2O*kgtoGg,"ERROR"))</f>
        <v>0.39768700830399312</v>
      </c>
      <c r="AT1190" s="101">
        <f>IF('Net zero activities &amp; levers'!$C$14="Off",Constants!$H68*'Activity data'!BM10*Constants!$H86*EF!$H211*MMVolatEF*NtoN2O*kgtoGg,IF('Net zero activities &amp; levers'!$C$14="On",Constants!$H68*'Net zero Activity data'!BM10*Constants!$H86*EF!$H211*MMVolatEF*NtoN2O*kgtoGg,"ERROR"))</f>
        <v>0.40484068769961307</v>
      </c>
      <c r="AU1190" s="101">
        <f>IF('Net zero activities &amp; levers'!$C$14="Off",Constants!$H68*'Activity data'!BN10*Constants!$H86*EF!$H211*MMVolatEF*NtoN2O*kgtoGg,IF('Net zero activities &amp; levers'!$C$14="On",Constants!$H68*'Net zero Activity data'!BN10*Constants!$H86*EF!$H211*MMVolatEF*NtoN2O*kgtoGg,"ERROR"))</f>
        <v>0.41159689782839859</v>
      </c>
      <c r="AV1190" s="101">
        <f>IF('Net zero activities &amp; levers'!$C$14="Off",Constants!$H68*'Activity data'!BO10*Constants!$H86*EF!$H211*MMVolatEF*NtoN2O*kgtoGg,IF('Net zero activities &amp; levers'!$C$14="On",Constants!$H68*'Net zero Activity data'!BO10*Constants!$H86*EF!$H211*MMVolatEF*NtoN2O*kgtoGg,"ERROR"))</f>
        <v>0.41907121637062017</v>
      </c>
      <c r="AW1190" s="101">
        <f>IF('Net zero activities &amp; levers'!$C$14="Off",Constants!$H68*'Activity data'!BP10*Constants!$H86*EF!$H211*MMVolatEF*NtoN2O*kgtoGg,IF('Net zero activities &amp; levers'!$C$14="On",Constants!$H68*'Net zero Activity data'!BP10*Constants!$H86*EF!$H211*MMVolatEF*NtoN2O*kgtoGg,"ERROR"))</f>
        <v>0.42620990008273502</v>
      </c>
      <c r="AY1190" s="85"/>
    </row>
    <row r="1191" spans="1:51" x14ac:dyDescent="0.25">
      <c r="A1191" s="102" t="str">
        <f t="shared" si="380"/>
        <v>CM MM Volatilisation</v>
      </c>
      <c r="B1191" s="102" t="s">
        <v>1323</v>
      </c>
      <c r="C1191" s="102" t="s">
        <v>1333</v>
      </c>
      <c r="D1191" t="s">
        <v>369</v>
      </c>
      <c r="E1191" t="s">
        <v>64</v>
      </c>
      <c r="F1191" t="s">
        <v>62</v>
      </c>
      <c r="G1191" t="s">
        <v>1165</v>
      </c>
      <c r="H1191" t="s">
        <v>1297</v>
      </c>
      <c r="I1191" t="s">
        <v>139</v>
      </c>
      <c r="J1191" t="s">
        <v>287</v>
      </c>
      <c r="K1191" s="101">
        <f>IF('Net zero activities &amp; levers'!$C$14="Off",Constants!$H69*'Activity data'!AD11*Constants!$H87*EF!$H212*MMVolatEF*NtoN2O*kgtoGg,IF('Net zero activities &amp; levers'!$C$14="On",Constants!$H69*'Net zero Activity data'!AD11*Constants!$H87*EF!$H212*MMVolatEF*NtoN2O*kgtoGg,"ERROR"))</f>
        <v>1.1717139101759614E-4</v>
      </c>
      <c r="L1191" s="101">
        <f>IF('Net zero activities &amp; levers'!$C$14="Off",Constants!$H69*'Activity data'!AE11*Constants!$H87*EF!$H212*MMVolatEF*NtoN2O*kgtoGg,IF('Net zero activities &amp; levers'!$C$14="On",Constants!$H69*'Net zero Activity data'!AE11*Constants!$H87*EF!$H212*MMVolatEF*NtoN2O*kgtoGg,"ERROR"))</f>
        <v>1.1723462618367247E-4</v>
      </c>
      <c r="M1191" s="101">
        <f>IF('Net zero activities &amp; levers'!$C$14="Off",Constants!$H69*'Activity data'!AF11*Constants!$H87*EF!$H212*MMVolatEF*NtoN2O*kgtoGg,IF('Net zero activities &amp; levers'!$C$14="On",Constants!$H69*'Net zero Activity data'!AF11*Constants!$H87*EF!$H212*MMVolatEF*NtoN2O*kgtoGg,"ERROR"))</f>
        <v>1.1737999843906114E-4</v>
      </c>
      <c r="N1191" s="101">
        <f>IF('Net zero activities &amp; levers'!$C$14="Off",Constants!$H69*'Activity data'!AG11*Constants!$H87*EF!$H212*MMVolatEF*NtoN2O*kgtoGg,IF('Net zero activities &amp; levers'!$C$14="On",Constants!$H69*'Net zero Activity data'!AG11*Constants!$H87*EF!$H212*MMVolatEF*NtoN2O*kgtoGg,"ERROR"))</f>
        <v>1.1759581709566441E-4</v>
      </c>
      <c r="O1191" s="101">
        <f>IF('Net zero activities &amp; levers'!$C$14="Off",Constants!$H69*'Activity data'!AH11*Constants!$H87*EF!$H212*MMVolatEF*NtoN2O*kgtoGg,IF('Net zero activities &amp; levers'!$C$14="On",Constants!$H69*'Net zero Activity data'!AH11*Constants!$H87*EF!$H212*MMVolatEF*NtoN2O*kgtoGg,"ERROR"))</f>
        <v>1.178871134646596E-4</v>
      </c>
      <c r="P1191" s="101">
        <f>IF('Net zero activities &amp; levers'!$C$14="Off",Constants!$H69*'Activity data'!AI11*Constants!$H87*EF!$H212*MMVolatEF*NtoN2O*kgtoGg,IF('Net zero activities &amp; levers'!$C$14="On",Constants!$H69*'Net zero Activity data'!AI11*Constants!$H87*EF!$H212*MMVolatEF*NtoN2O*kgtoGg,"ERROR"))</f>
        <v>1.182597418054167E-4</v>
      </c>
      <c r="Q1191" s="101">
        <f>IF('Net zero activities &amp; levers'!$C$14="Off",Constants!$H69*'Activity data'!AJ11*Constants!$H87*EF!$H212*MMVolatEF*NtoN2O*kgtoGg,IF('Net zero activities &amp; levers'!$C$14="On",Constants!$H69*'Net zero Activity data'!AJ11*Constants!$H87*EF!$H212*MMVolatEF*NtoN2O*kgtoGg,"ERROR"))</f>
        <v>1.1867033947255795E-4</v>
      </c>
      <c r="R1191" s="101">
        <f>IF('Net zero activities &amp; levers'!$C$14="Off",Constants!$H69*'Activity data'!AK11*Constants!$H87*EF!$H212*MMVolatEF*NtoN2O*kgtoGg,IF('Net zero activities &amp; levers'!$C$14="On",Constants!$H69*'Net zero Activity data'!AK11*Constants!$H87*EF!$H212*MMVolatEF*NtoN2O*kgtoGg,"ERROR"))</f>
        <v>1.1911252923744314E-4</v>
      </c>
      <c r="S1191" s="101">
        <f>IF('Net zero activities &amp; levers'!$C$14="Off",Constants!$H69*'Activity data'!AL11*Constants!$H87*EF!$H212*MMVolatEF*NtoN2O*kgtoGg,IF('Net zero activities &amp; levers'!$C$14="On",Constants!$H69*'Net zero Activity data'!AL11*Constants!$H87*EF!$H212*MMVolatEF*NtoN2O*kgtoGg,"ERROR"))</f>
        <v>1.1955062486439893E-4</v>
      </c>
      <c r="T1191" s="101">
        <f>IF('Net zero activities &amp; levers'!$C$14="Off",Constants!$H69*'Activity data'!AM11*Constants!$H87*EF!$H212*MMVolatEF*NtoN2O*kgtoGg,IF('Net zero activities &amp; levers'!$C$14="On",Constants!$H69*'Net zero Activity data'!AM11*Constants!$H87*EF!$H212*MMVolatEF*NtoN2O*kgtoGg,"ERROR"))</f>
        <v>1.1970596715789943E-4</v>
      </c>
      <c r="U1191" s="101">
        <f>IF('Net zero activities &amp; levers'!$C$14="Off",Constants!$H69*'Activity data'!AN11*Constants!$H87*EF!$H212*MMVolatEF*NtoN2O*kgtoGg,IF('Net zero activities &amp; levers'!$C$14="On",Constants!$H69*'Net zero Activity data'!AN11*Constants!$H87*EF!$H212*MMVolatEF*NtoN2O*kgtoGg,"ERROR"))</f>
        <v>1.198855271443276E-4</v>
      </c>
      <c r="V1191" s="101">
        <f>IF('Net zero activities &amp; levers'!$C$14="Off",Constants!$H69*'Activity data'!AO11*Constants!$H87*EF!$H212*MMVolatEF*NtoN2O*kgtoGg,IF('Net zero activities &amp; levers'!$C$14="On",Constants!$H69*'Net zero Activity data'!AO11*Constants!$H87*EF!$H212*MMVolatEF*NtoN2O*kgtoGg,"ERROR"))</f>
        <v>1.2009164524666266E-4</v>
      </c>
      <c r="W1191" s="101">
        <f>IF('Net zero activities &amp; levers'!$C$14="Off",Constants!$H69*'Activity data'!AP11*Constants!$H87*EF!$H212*MMVolatEF*NtoN2O*kgtoGg,IF('Net zero activities &amp; levers'!$C$14="On",Constants!$H69*'Net zero Activity data'!AP11*Constants!$H87*EF!$H212*MMVolatEF*NtoN2O*kgtoGg,"ERROR"))</f>
        <v>1.2032597429168132E-4</v>
      </c>
      <c r="X1191" s="101">
        <f>IF('Net zero activities &amp; levers'!$C$14="Off",Constants!$H69*'Activity data'!AQ11*Constants!$H87*EF!$H212*MMVolatEF*NtoN2O*kgtoGg,IF('Net zero activities &amp; levers'!$C$14="On",Constants!$H69*'Net zero Activity data'!AQ11*Constants!$H87*EF!$H212*MMVolatEF*NtoN2O*kgtoGg,"ERROR"))</f>
        <v>1.2059214919784283E-4</v>
      </c>
      <c r="Y1191" s="101">
        <f>IF('Net zero activities &amp; levers'!$C$14="Off",Constants!$H69*'Activity data'!AR11*Constants!$H87*EF!$H212*MMVolatEF*NtoN2O*kgtoGg,IF('Net zero activities &amp; levers'!$C$14="On",Constants!$H69*'Net zero Activity data'!AR11*Constants!$H87*EF!$H212*MMVolatEF*NtoN2O*kgtoGg,"ERROR"))</f>
        <v>1.207504725360093E-4</v>
      </c>
      <c r="Z1191" s="101">
        <f>IF('Net zero activities &amp; levers'!$C$14="Off",Constants!$H69*'Activity data'!AS11*Constants!$H87*EF!$H212*MMVolatEF*NtoN2O*kgtoGg,IF('Net zero activities &amp; levers'!$C$14="On",Constants!$H69*'Net zero Activity data'!AS11*Constants!$H87*EF!$H212*MMVolatEF*NtoN2O*kgtoGg,"ERROR"))</f>
        <v>1.2093171818839542E-4</v>
      </c>
      <c r="AA1191" s="101">
        <f>IF('Net zero activities &amp; levers'!$C$14="Off",Constants!$H69*'Activity data'!AT11*Constants!$H87*EF!$H212*MMVolatEF*NtoN2O*kgtoGg,IF('Net zero activities &amp; levers'!$C$14="On",Constants!$H69*'Net zero Activity data'!AT11*Constants!$H87*EF!$H212*MMVolatEF*NtoN2O*kgtoGg,"ERROR"))</f>
        <v>1.2113015622987074E-4</v>
      </c>
      <c r="AB1191" s="101">
        <f>IF('Net zero activities &amp; levers'!$C$14="Off",Constants!$H69*'Activity data'!AU11*Constants!$H87*EF!$H212*MMVolatEF*NtoN2O*kgtoGg,IF('Net zero activities &amp; levers'!$C$14="On",Constants!$H69*'Net zero Activity data'!AU11*Constants!$H87*EF!$H212*MMVolatEF*NtoN2O*kgtoGg,"ERROR"))</f>
        <v>1.2135099542970971E-4</v>
      </c>
      <c r="AC1191" s="101">
        <f>IF('Net zero activities &amp; levers'!$C$14="Off",Constants!$H69*'Activity data'!AV11*Constants!$H87*EF!$H212*MMVolatEF*NtoN2O*kgtoGg,IF('Net zero activities &amp; levers'!$C$14="On",Constants!$H69*'Net zero Activity data'!AV11*Constants!$H87*EF!$H212*MMVolatEF*NtoN2O*kgtoGg,"ERROR"))</f>
        <v>1.2159419420930326E-4</v>
      </c>
      <c r="AD1191" s="101">
        <f>IF('Net zero activities &amp; levers'!$C$14="Off",Constants!$H69*'Activity data'!AW11*Constants!$H87*EF!$H212*MMVolatEF*NtoN2O*kgtoGg,IF('Net zero activities &amp; levers'!$C$14="On",Constants!$H69*'Net zero Activity data'!AW11*Constants!$H87*EF!$H212*MMVolatEF*NtoN2O*kgtoGg,"ERROR"))</f>
        <v>1.2175905413504696E-4</v>
      </c>
      <c r="AE1191" s="101">
        <f>IF('Net zero activities &amp; levers'!$C$14="Off",Constants!$H69*'Activity data'!AX11*Constants!$H87*EF!$H212*MMVolatEF*NtoN2O*kgtoGg,IF('Net zero activities &amp; levers'!$C$14="On",Constants!$H69*'Net zero Activity data'!AX11*Constants!$H87*EF!$H212*MMVolatEF*NtoN2O*kgtoGg,"ERROR"))</f>
        <v>1.2194110218668799E-4</v>
      </c>
      <c r="AF1191" s="101">
        <f>IF('Net zero activities &amp; levers'!$C$14="Off",Constants!$H69*'Activity data'!AY11*Constants!$H87*EF!$H212*MMVolatEF*NtoN2O*kgtoGg,IF('Net zero activities &amp; levers'!$C$14="On",Constants!$H69*'Net zero Activity data'!AY11*Constants!$H87*EF!$H212*MMVolatEF*NtoN2O*kgtoGg,"ERROR"))</f>
        <v>1.2213902840641362E-4</v>
      </c>
      <c r="AG1191" s="101">
        <f>IF('Net zero activities &amp; levers'!$C$14="Off",Constants!$H69*'Activity data'!AZ11*Constants!$H87*EF!$H212*MMVolatEF*NtoN2O*kgtoGg,IF('Net zero activities &amp; levers'!$C$14="On",Constants!$H69*'Net zero Activity data'!AZ11*Constants!$H87*EF!$H212*MMVolatEF*NtoN2O*kgtoGg,"ERROR"))</f>
        <v>1.2235510263892656E-4</v>
      </c>
      <c r="AH1191" s="101">
        <f>IF('Net zero activities &amp; levers'!$C$14="Off",Constants!$H69*'Activity data'!BA11*Constants!$H87*EF!$H212*MMVolatEF*NtoN2O*kgtoGg,IF('Net zero activities &amp; levers'!$C$14="On",Constants!$H69*'Net zero Activity data'!BA11*Constants!$H87*EF!$H212*MMVolatEF*NtoN2O*kgtoGg,"ERROR"))</f>
        <v>1.2258124070371154E-4</v>
      </c>
      <c r="AI1191" s="101">
        <f>IF('Net zero activities &amp; levers'!$C$14="Off",Constants!$H69*'Activity data'!BB11*Constants!$H87*EF!$H212*MMVolatEF*NtoN2O*kgtoGg,IF('Net zero activities &amp; levers'!$C$14="On",Constants!$H69*'Net zero Activity data'!BB11*Constants!$H87*EF!$H212*MMVolatEF*NtoN2O*kgtoGg,"ERROR"))</f>
        <v>1.2272146036616498E-4</v>
      </c>
      <c r="AJ1191" s="101">
        <f>IF('Net zero activities &amp; levers'!$C$14="Off",Constants!$H69*'Activity data'!BC11*Constants!$H87*EF!$H212*MMVolatEF*NtoN2O*kgtoGg,IF('Net zero activities &amp; levers'!$C$14="On",Constants!$H69*'Net zero Activity data'!BC11*Constants!$H87*EF!$H212*MMVolatEF*NtoN2O*kgtoGg,"ERROR"))</f>
        <v>1.2287458537781656E-4</v>
      </c>
      <c r="AK1191" s="101">
        <f>IF('Net zero activities &amp; levers'!$C$14="Off",Constants!$H69*'Activity data'!BD11*Constants!$H87*EF!$H212*MMVolatEF*NtoN2O*kgtoGg,IF('Net zero activities &amp; levers'!$C$14="On",Constants!$H69*'Net zero Activity data'!BD11*Constants!$H87*EF!$H212*MMVolatEF*NtoN2O*kgtoGg,"ERROR"))</f>
        <v>1.2303810668107219E-4</v>
      </c>
      <c r="AL1191" s="101">
        <f>IF('Net zero activities &amp; levers'!$C$14="Off",Constants!$H69*'Activity data'!BE11*Constants!$H87*EF!$H212*MMVolatEF*NtoN2O*kgtoGg,IF('Net zero activities &amp; levers'!$C$14="On",Constants!$H69*'Net zero Activity data'!BE11*Constants!$H87*EF!$H212*MMVolatEF*NtoN2O*kgtoGg,"ERROR"))</f>
        <v>1.2321298360836374E-4</v>
      </c>
      <c r="AM1191" s="101">
        <f>IF('Net zero activities &amp; levers'!$C$14="Off",Constants!$H69*'Activity data'!BF11*Constants!$H87*EF!$H212*MMVolatEF*NtoN2O*kgtoGg,IF('Net zero activities &amp; levers'!$C$14="On",Constants!$H69*'Net zero Activity data'!BF11*Constants!$H87*EF!$H212*MMVolatEF*NtoN2O*kgtoGg,"ERROR"))</f>
        <v>1.2340008970059463E-4</v>
      </c>
      <c r="AN1191" s="101">
        <f>IF('Net zero activities &amp; levers'!$C$14="Off",Constants!$H69*'Activity data'!BG11*Constants!$H87*EF!$H212*MMVolatEF*NtoN2O*kgtoGg,IF('Net zero activities &amp; levers'!$C$14="On",Constants!$H69*'Net zero Activity data'!BG11*Constants!$H87*EF!$H212*MMVolatEF*NtoN2O*kgtoGg,"ERROR"))</f>
        <v>1.2350526160494435E-4</v>
      </c>
      <c r="AO1191" s="101">
        <f>IF('Net zero activities &amp; levers'!$C$14="Off",Constants!$H69*'Activity data'!BH11*Constants!$H87*EF!$H212*MMVolatEF*NtoN2O*kgtoGg,IF('Net zero activities &amp; levers'!$C$14="On",Constants!$H69*'Net zero Activity data'!BH11*Constants!$H87*EF!$H212*MMVolatEF*NtoN2O*kgtoGg,"ERROR"))</f>
        <v>1.2361811130120494E-4</v>
      </c>
      <c r="AP1191" s="101">
        <f>IF('Net zero activities &amp; levers'!$C$14="Off",Constants!$H69*'Activity data'!BI11*Constants!$H87*EF!$H212*MMVolatEF*NtoN2O*kgtoGg,IF('Net zero activities &amp; levers'!$C$14="On",Constants!$H69*'Net zero Activity data'!BI11*Constants!$H87*EF!$H212*MMVolatEF*NtoN2O*kgtoGg,"ERROR"))</f>
        <v>1.2374084326414255E-4</v>
      </c>
      <c r="AQ1191" s="101">
        <f>IF('Net zero activities &amp; levers'!$C$14="Off",Constants!$H69*'Activity data'!BJ11*Constants!$H87*EF!$H212*MMVolatEF*NtoN2O*kgtoGg,IF('Net zero activities &amp; levers'!$C$14="On",Constants!$H69*'Net zero Activity data'!BJ11*Constants!$H87*EF!$H212*MMVolatEF*NtoN2O*kgtoGg,"ERROR"))</f>
        <v>1.2387321615070723E-4</v>
      </c>
      <c r="AR1191" s="101">
        <f>IF('Net zero activities &amp; levers'!$C$14="Off",Constants!$H69*'Activity data'!BK11*Constants!$H87*EF!$H212*MMVolatEF*NtoN2O*kgtoGg,IF('Net zero activities &amp; levers'!$C$14="On",Constants!$H69*'Net zero Activity data'!BK11*Constants!$H87*EF!$H212*MMVolatEF*NtoN2O*kgtoGg,"ERROR"))</f>
        <v>1.2401678140322428E-4</v>
      </c>
      <c r="AS1191" s="101">
        <f>IF('Net zero activities &amp; levers'!$C$14="Off",Constants!$H69*'Activity data'!BL11*Constants!$H87*EF!$H212*MMVolatEF*NtoN2O*kgtoGg,IF('Net zero activities &amp; levers'!$C$14="On",Constants!$H69*'Net zero Activity data'!BL11*Constants!$H87*EF!$H212*MMVolatEF*NtoN2O*kgtoGg,"ERROR"))</f>
        <v>1.2407463588584642E-4</v>
      </c>
      <c r="AT1191" s="101">
        <f>IF('Net zero activities &amp; levers'!$C$14="Off",Constants!$H69*'Activity data'!BM11*Constants!$H87*EF!$H212*MMVolatEF*NtoN2O*kgtoGg,IF('Net zero activities &amp; levers'!$C$14="On",Constants!$H69*'Net zero Activity data'!BM11*Constants!$H87*EF!$H212*MMVolatEF*NtoN2O*kgtoGg,"ERROR"))</f>
        <v>1.2412319673902334E-4</v>
      </c>
      <c r="AU1191" s="101">
        <f>IF('Net zero activities &amp; levers'!$C$14="Off",Constants!$H69*'Activity data'!BN11*Constants!$H87*EF!$H212*MMVolatEF*NtoN2O*kgtoGg,IF('Net zero activities &amp; levers'!$C$14="On",Constants!$H69*'Net zero Activity data'!BN11*Constants!$H87*EF!$H212*MMVolatEF*NtoN2O*kgtoGg,"ERROR"))</f>
        <v>1.2417808819569943E-4</v>
      </c>
      <c r="AV1191" s="101">
        <f>IF('Net zero activities &amp; levers'!$C$14="Off",Constants!$H69*'Activity data'!BO11*Constants!$H87*EF!$H212*MMVolatEF*NtoN2O*kgtoGg,IF('Net zero activities &amp; levers'!$C$14="On",Constants!$H69*'Net zero Activity data'!BO11*Constants!$H87*EF!$H212*MMVolatEF*NtoN2O*kgtoGg,"ERROR"))</f>
        <v>1.2424261447905341E-4</v>
      </c>
      <c r="AW1191" s="101">
        <f>IF('Net zero activities &amp; levers'!$C$14="Off",Constants!$H69*'Activity data'!BP11*Constants!$H87*EF!$H212*MMVolatEF*NtoN2O*kgtoGg,IF('Net zero activities &amp; levers'!$C$14="On",Constants!$H69*'Net zero Activity data'!BP11*Constants!$H87*EF!$H212*MMVolatEF*NtoN2O*kgtoGg,"ERROR"))</f>
        <v>1.243132159456129E-4</v>
      </c>
      <c r="AY1191" s="85"/>
    </row>
    <row r="1192" spans="1:51" x14ac:dyDescent="0.25">
      <c r="A1192" s="102" t="str">
        <f t="shared" si="380"/>
        <v>CM MM Volatilisation</v>
      </c>
      <c r="B1192" s="102" t="s">
        <v>1323</v>
      </c>
      <c r="C1192" s="102" t="s">
        <v>1333</v>
      </c>
      <c r="D1192" t="s">
        <v>369</v>
      </c>
      <c r="E1192" t="s">
        <v>64</v>
      </c>
      <c r="F1192" t="s">
        <v>62</v>
      </c>
      <c r="G1192" t="s">
        <v>1167</v>
      </c>
      <c r="H1192" t="s">
        <v>1298</v>
      </c>
      <c r="I1192" t="s">
        <v>139</v>
      </c>
      <c r="J1192" t="s">
        <v>287</v>
      </c>
      <c r="K1192" s="101">
        <f>IF('Net zero activities &amp; levers'!$C$14="Off",Constants!$H70*'Activity data'!AD12*Constants!$H88*EF!$H213*MMVolatEF*NtoN2O*kgtoGg,IF('Net zero activities &amp; levers'!$C$14="On",Constants!$H70*'Net zero Activity data'!AD12*Constants!$H88*EF!$H213*MMVolatEF*NtoN2O*kgtoGg,"ERROR"))</f>
        <v>8.0409045079441203E-4</v>
      </c>
      <c r="L1192" s="101">
        <f>IF('Net zero activities &amp; levers'!$C$14="Off",Constants!$H70*'Activity data'!AE12*Constants!$H88*EF!$H213*MMVolatEF*NtoN2O*kgtoGg,IF('Net zero activities &amp; levers'!$C$14="On",Constants!$H70*'Net zero Activity data'!AE12*Constants!$H88*EF!$H213*MMVolatEF*NtoN2O*kgtoGg,"ERROR"))</f>
        <v>8.0452440308220838E-4</v>
      </c>
      <c r="M1192" s="101">
        <f>IF('Net zero activities &amp; levers'!$C$14="Off",Constants!$H70*'Activity data'!AF12*Constants!$H88*EF!$H213*MMVolatEF*NtoN2O*kgtoGg,IF('Net zero activities &amp; levers'!$C$14="On",Constants!$H70*'Net zero Activity data'!AF12*Constants!$H88*EF!$H213*MMVolatEF*NtoN2O*kgtoGg,"ERROR"))</f>
        <v>8.055220223931452E-4</v>
      </c>
      <c r="N1192" s="101">
        <f>IF('Net zero activities &amp; levers'!$C$14="Off",Constants!$H70*'Activity data'!AG12*Constants!$H88*EF!$H213*MMVolatEF*NtoN2O*kgtoGg,IF('Net zero activities &amp; levers'!$C$14="On",Constants!$H70*'Net zero Activity data'!AG12*Constants!$H88*EF!$H213*MMVolatEF*NtoN2O*kgtoGg,"ERROR"))</f>
        <v>8.0700308120255969E-4</v>
      </c>
      <c r="O1192" s="101">
        <f>IF('Net zero activities &amp; levers'!$C$14="Off",Constants!$H70*'Activity data'!AH12*Constants!$H88*EF!$H213*MMVolatEF*NtoN2O*kgtoGg,IF('Net zero activities &amp; levers'!$C$14="On",Constants!$H70*'Net zero Activity data'!AH12*Constants!$H88*EF!$H213*MMVolatEF*NtoN2O*kgtoGg,"ERROR"))</f>
        <v>8.0900210695983646E-4</v>
      </c>
      <c r="P1192" s="101">
        <f>IF('Net zero activities &amp; levers'!$C$14="Off",Constants!$H70*'Activity data'!AI12*Constants!$H88*EF!$H213*MMVolatEF*NtoN2O*kgtoGg,IF('Net zero activities &amp; levers'!$C$14="On",Constants!$H70*'Net zero Activity data'!AI12*Constants!$H88*EF!$H213*MMVolatEF*NtoN2O*kgtoGg,"ERROR"))</f>
        <v>8.1155927460883318E-4</v>
      </c>
      <c r="Q1192" s="101">
        <f>IF('Net zero activities &amp; levers'!$C$14="Off",Constants!$H70*'Activity data'!AJ12*Constants!$H88*EF!$H213*MMVolatEF*NtoN2O*kgtoGg,IF('Net zero activities &amp; levers'!$C$14="On",Constants!$H70*'Net zero Activity data'!AJ12*Constants!$H88*EF!$H213*MMVolatEF*NtoN2O*kgtoGg,"ERROR"))</f>
        <v>8.1437700733692851E-4</v>
      </c>
      <c r="R1192" s="101">
        <f>IF('Net zero activities &amp; levers'!$C$14="Off",Constants!$H70*'Activity data'!AK12*Constants!$H88*EF!$H213*MMVolatEF*NtoN2O*kgtoGg,IF('Net zero activities &amp; levers'!$C$14="On",Constants!$H70*'Net zero Activity data'!AK12*Constants!$H88*EF!$H213*MMVolatEF*NtoN2O*kgtoGg,"ERROR"))</f>
        <v>8.1741154131570351E-4</v>
      </c>
      <c r="S1192" s="101">
        <f>IF('Net zero activities &amp; levers'!$C$14="Off",Constants!$H70*'Activity data'!AL12*Constants!$H88*EF!$H213*MMVolatEF*NtoN2O*kgtoGg,IF('Net zero activities &amp; levers'!$C$14="On",Constants!$H70*'Net zero Activity data'!AL12*Constants!$H88*EF!$H213*MMVolatEF*NtoN2O*kgtoGg,"ERROR"))</f>
        <v>8.2041797921074454E-4</v>
      </c>
      <c r="T1192" s="101">
        <f>IF('Net zero activities &amp; levers'!$C$14="Off",Constants!$H70*'Activity data'!AM12*Constants!$H88*EF!$H213*MMVolatEF*NtoN2O*kgtoGg,IF('Net zero activities &amp; levers'!$C$14="On",Constants!$H70*'Net zero Activity data'!AM12*Constants!$H88*EF!$H213*MMVolatEF*NtoN2O*kgtoGg,"ERROR"))</f>
        <v>8.2148401805967706E-4</v>
      </c>
      <c r="U1192" s="101">
        <f>IF('Net zero activities &amp; levers'!$C$14="Off",Constants!$H70*'Activity data'!AN12*Constants!$H88*EF!$H213*MMVolatEF*NtoN2O*kgtoGg,IF('Net zero activities &amp; levers'!$C$14="On",Constants!$H70*'Net zero Activity data'!AN12*Constants!$H88*EF!$H213*MMVolatEF*NtoN2O*kgtoGg,"ERROR"))</f>
        <v>8.227162511942139E-4</v>
      </c>
      <c r="V1192" s="101">
        <f>IF('Net zero activities &amp; levers'!$C$14="Off",Constants!$H70*'Activity data'!AO12*Constants!$H88*EF!$H213*MMVolatEF*NtoN2O*kgtoGg,IF('Net zero activities &amp; levers'!$C$14="On",Constants!$H70*'Net zero Activity data'!AO12*Constants!$H88*EF!$H213*MMVolatEF*NtoN2O*kgtoGg,"ERROR"))</f>
        <v>8.2413073980260293E-4</v>
      </c>
      <c r="W1192" s="101">
        <f>IF('Net zero activities &amp; levers'!$C$14="Off",Constants!$H70*'Activity data'!AP12*Constants!$H88*EF!$H213*MMVolatEF*NtoN2O*kgtoGg,IF('Net zero activities &amp; levers'!$C$14="On",Constants!$H70*'Net zero Activity data'!AP12*Constants!$H88*EF!$H213*MMVolatEF*NtoN2O*kgtoGg,"ERROR"))</f>
        <v>8.2573882643370729E-4</v>
      </c>
      <c r="X1192" s="101">
        <f>IF('Net zero activities &amp; levers'!$C$14="Off",Constants!$H70*'Activity data'!AQ12*Constants!$H88*EF!$H213*MMVolatEF*NtoN2O*kgtoGg,IF('Net zero activities &amp; levers'!$C$14="On",Constants!$H70*'Net zero Activity data'!AQ12*Constants!$H88*EF!$H213*MMVolatEF*NtoN2O*kgtoGg,"ERROR"))</f>
        <v>8.2756545577067082E-4</v>
      </c>
      <c r="Y1192" s="101">
        <f>IF('Net zero activities &amp; levers'!$C$14="Off",Constants!$H70*'Activity data'!AR12*Constants!$H88*EF!$H213*MMVolatEF*NtoN2O*kgtoGg,IF('Net zero activities &amp; levers'!$C$14="On",Constants!$H70*'Net zero Activity data'!AR12*Constants!$H88*EF!$H213*MMVolatEF*NtoN2O*kgtoGg,"ERROR"))</f>
        <v>8.2865195208390858E-4</v>
      </c>
      <c r="Z1192" s="101">
        <f>IF('Net zero activities &amp; levers'!$C$14="Off",Constants!$H70*'Activity data'!AS12*Constants!$H88*EF!$H213*MMVolatEF*NtoN2O*kgtoGg,IF('Net zero activities &amp; levers'!$C$14="On",Constants!$H70*'Net zero Activity data'!AS12*Constants!$H88*EF!$H213*MMVolatEF*NtoN2O*kgtoGg,"ERROR"))</f>
        <v>8.298957531266886E-4</v>
      </c>
      <c r="AA1192" s="101">
        <f>IF('Net zero activities &amp; levers'!$C$14="Off",Constants!$H70*'Activity data'!AT12*Constants!$H88*EF!$H213*MMVolatEF*NtoN2O*kgtoGg,IF('Net zero activities &amp; levers'!$C$14="On",Constants!$H70*'Net zero Activity data'!AT12*Constants!$H88*EF!$H213*MMVolatEF*NtoN2O*kgtoGg,"ERROR"))</f>
        <v>8.3125753720076083E-4</v>
      </c>
      <c r="AB1192" s="101">
        <f>IF('Net zero activities &amp; levers'!$C$14="Off",Constants!$H70*'Activity data'!AU12*Constants!$H88*EF!$H213*MMVolatEF*NtoN2O*kgtoGg,IF('Net zero activities &amp; levers'!$C$14="On",Constants!$H70*'Net zero Activity data'!AU12*Constants!$H88*EF!$H213*MMVolatEF*NtoN2O*kgtoGg,"ERROR"))</f>
        <v>8.3277304956439683E-4</v>
      </c>
      <c r="AC1192" s="101">
        <f>IF('Net zero activities &amp; levers'!$C$14="Off",Constants!$H70*'Activity data'!AV12*Constants!$H88*EF!$H213*MMVolatEF*NtoN2O*kgtoGg,IF('Net zero activities &amp; levers'!$C$14="On",Constants!$H70*'Net zero Activity data'!AV12*Constants!$H88*EF!$H213*MMVolatEF*NtoN2O*kgtoGg,"ERROR"))</f>
        <v>8.3444200488376019E-4</v>
      </c>
      <c r="AD1192" s="101">
        <f>IF('Net zero activities &amp; levers'!$C$14="Off",Constants!$H70*'Activity data'!AW12*Constants!$H88*EF!$H213*MMVolatEF*NtoN2O*kgtoGg,IF('Net zero activities &amp; levers'!$C$14="On",Constants!$H70*'Net zero Activity data'!AW12*Constants!$H88*EF!$H213*MMVolatEF*NtoN2O*kgtoGg,"ERROR"))</f>
        <v>8.3557335862854325E-4</v>
      </c>
      <c r="AE1192" s="101">
        <f>IF('Net zero activities &amp; levers'!$C$14="Off",Constants!$H70*'Activity data'!AX12*Constants!$H88*EF!$H213*MMVolatEF*NtoN2O*kgtoGg,IF('Net zero activities &amp; levers'!$C$14="On",Constants!$H70*'Net zero Activity data'!AX12*Constants!$H88*EF!$H213*MMVolatEF*NtoN2O*kgtoGg,"ERROR"))</f>
        <v>8.3682266614839933E-4</v>
      </c>
      <c r="AF1192" s="101">
        <f>IF('Net zero activities &amp; levers'!$C$14="Off",Constants!$H70*'Activity data'!AY12*Constants!$H88*EF!$H213*MMVolatEF*NtoN2O*kgtoGg,IF('Net zero activities &amp; levers'!$C$14="On",Constants!$H70*'Net zero Activity data'!AY12*Constants!$H88*EF!$H213*MMVolatEF*NtoN2O*kgtoGg,"ERROR"))</f>
        <v>8.3818093783793915E-4</v>
      </c>
      <c r="AG1192" s="101">
        <f>IF('Net zero activities &amp; levers'!$C$14="Off",Constants!$H70*'Activity data'!AZ12*Constants!$H88*EF!$H213*MMVolatEF*NtoN2O*kgtoGg,IF('Net zero activities &amp; levers'!$C$14="On",Constants!$H70*'Net zero Activity data'!AZ12*Constants!$H88*EF!$H213*MMVolatEF*NtoN2O*kgtoGg,"ERROR"))</f>
        <v>8.3966375054091657E-4</v>
      </c>
      <c r="AH1192" s="101">
        <f>IF('Net zero activities &amp; levers'!$C$14="Off",Constants!$H70*'Activity data'!BA12*Constants!$H88*EF!$H213*MMVolatEF*NtoN2O*kgtoGg,IF('Net zero activities &amp; levers'!$C$14="On",Constants!$H70*'Net zero Activity data'!BA12*Constants!$H88*EF!$H213*MMVolatEF*NtoN2O*kgtoGg,"ERROR"))</f>
        <v>8.4121562644573879E-4</v>
      </c>
      <c r="AI1192" s="101">
        <f>IF('Net zero activities &amp; levers'!$C$14="Off",Constants!$H70*'Activity data'!BB12*Constants!$H88*EF!$H213*MMVolatEF*NtoN2O*kgtoGg,IF('Net zero activities &amp; levers'!$C$14="On",Constants!$H70*'Net zero Activity data'!BB12*Constants!$H88*EF!$H213*MMVolatEF*NtoN2O*kgtoGg,"ERROR"))</f>
        <v>8.4217788600938494E-4</v>
      </c>
      <c r="AJ1192" s="101">
        <f>IF('Net zero activities &amp; levers'!$C$14="Off",Constants!$H70*'Activity data'!BC12*Constants!$H88*EF!$H213*MMVolatEF*NtoN2O*kgtoGg,IF('Net zero activities &amp; levers'!$C$14="On",Constants!$H70*'Net zero Activity data'!BC12*Constants!$H88*EF!$H213*MMVolatEF*NtoN2O*kgtoGg,"ERROR"))</f>
        <v>8.4322870872794711E-4</v>
      </c>
      <c r="AK1192" s="101">
        <f>IF('Net zero activities &amp; levers'!$C$14="Off",Constants!$H70*'Activity data'!BD12*Constants!$H88*EF!$H213*MMVolatEF*NtoN2O*kgtoGg,IF('Net zero activities &amp; levers'!$C$14="On",Constants!$H70*'Net zero Activity data'!BD12*Constants!$H88*EF!$H213*MMVolatEF*NtoN2O*kgtoGg,"ERROR"))</f>
        <v>8.4435087615557117E-4</v>
      </c>
      <c r="AL1192" s="101">
        <f>IF('Net zero activities &amp; levers'!$C$14="Off",Constants!$H70*'Activity data'!BE12*Constants!$H88*EF!$H213*MMVolatEF*NtoN2O*kgtoGg,IF('Net zero activities &amp; levers'!$C$14="On",Constants!$H70*'Net zero Activity data'!BE12*Constants!$H88*EF!$H213*MMVolatEF*NtoN2O*kgtoGg,"ERROR"))</f>
        <v>8.4555097172564302E-4</v>
      </c>
      <c r="AM1192" s="101">
        <f>IF('Net zero activities &amp; levers'!$C$14="Off",Constants!$H70*'Activity data'!BF12*Constants!$H88*EF!$H213*MMVolatEF*NtoN2O*kgtoGg,IF('Net zero activities &amp; levers'!$C$14="On",Constants!$H70*'Net zero Activity data'!BF12*Constants!$H88*EF!$H213*MMVolatEF*NtoN2O*kgtoGg,"ERROR"))</f>
        <v>8.4683499012588306E-4</v>
      </c>
      <c r="AN1192" s="101">
        <f>IF('Net zero activities &amp; levers'!$C$14="Off",Constants!$H70*'Activity data'!BG12*Constants!$H88*EF!$H213*MMVolatEF*NtoN2O*kgtoGg,IF('Net zero activities &amp; levers'!$C$14="On",Constants!$H70*'Net zero Activity data'!BG12*Constants!$H88*EF!$H213*MMVolatEF*NtoN2O*kgtoGg,"ERROR"))</f>
        <v>8.4755673391713644E-4</v>
      </c>
      <c r="AO1192" s="101">
        <f>IF('Net zero activities &amp; levers'!$C$14="Off",Constants!$H70*'Activity data'!BH12*Constants!$H88*EF!$H213*MMVolatEF*NtoN2O*kgtoGg,IF('Net zero activities &amp; levers'!$C$14="On",Constants!$H70*'Net zero Activity data'!BH12*Constants!$H88*EF!$H213*MMVolatEF*NtoN2O*kgtoGg,"ERROR"))</f>
        <v>8.4833116667201041E-4</v>
      </c>
      <c r="AP1192" s="101">
        <f>IF('Net zero activities &amp; levers'!$C$14="Off",Constants!$H70*'Activity data'!BI12*Constants!$H88*EF!$H213*MMVolatEF*NtoN2O*kgtoGg,IF('Net zero activities &amp; levers'!$C$14="On",Constants!$H70*'Net zero Activity data'!BI12*Constants!$H88*EF!$H213*MMVolatEF*NtoN2O*kgtoGg,"ERROR"))</f>
        <v>8.4917341663207611E-4</v>
      </c>
      <c r="AQ1192" s="101">
        <f>IF('Net zero activities &amp; levers'!$C$14="Off",Constants!$H70*'Activity data'!BJ12*Constants!$H88*EF!$H213*MMVolatEF*NtoN2O*kgtoGg,IF('Net zero activities &amp; levers'!$C$14="On",Constants!$H70*'Net zero Activity data'!BJ12*Constants!$H88*EF!$H213*MMVolatEF*NtoN2O*kgtoGg,"ERROR"))</f>
        <v>8.5008182757698647E-4</v>
      </c>
      <c r="AR1192" s="101">
        <f>IF('Net zero activities &amp; levers'!$C$14="Off",Constants!$H70*'Activity data'!BK12*Constants!$H88*EF!$H213*MMVolatEF*NtoN2O*kgtoGg,IF('Net zero activities &amp; levers'!$C$14="On",Constants!$H70*'Net zero Activity data'!BK12*Constants!$H88*EF!$H213*MMVolatEF*NtoN2O*kgtoGg,"ERROR"))</f>
        <v>8.510670463032664E-4</v>
      </c>
      <c r="AS1192" s="101">
        <f>IF('Net zero activities &amp; levers'!$C$14="Off",Constants!$H70*'Activity data'!BL12*Constants!$H88*EF!$H213*MMVolatEF*NtoN2O*kgtoGg,IF('Net zero activities &amp; levers'!$C$14="On",Constants!$H70*'Net zero Activity data'!BL12*Constants!$H88*EF!$H213*MMVolatEF*NtoN2O*kgtoGg,"ERROR"))</f>
        <v>8.514640735691213E-4</v>
      </c>
      <c r="AT1192" s="101">
        <f>IF('Net zero activities &amp; levers'!$C$14="Off",Constants!$H70*'Activity data'!BM12*Constants!$H88*EF!$H213*MMVolatEF*NtoN2O*kgtoGg,IF('Net zero activities &amp; levers'!$C$14="On",Constants!$H70*'Net zero Activity data'!BM12*Constants!$H88*EF!$H213*MMVolatEF*NtoN2O*kgtoGg,"ERROR"))</f>
        <v>8.5179732316173007E-4</v>
      </c>
      <c r="AU1192" s="101">
        <f>IF('Net zero activities &amp; levers'!$C$14="Off",Constants!$H70*'Activity data'!BN12*Constants!$H88*EF!$H213*MMVolatEF*NtoN2O*kgtoGg,IF('Net zero activities &amp; levers'!$C$14="On",Constants!$H70*'Net zero Activity data'!BN12*Constants!$H88*EF!$H213*MMVolatEF*NtoN2O*kgtoGg,"ERROR"))</f>
        <v>8.521740166170191E-4</v>
      </c>
      <c r="AV1192" s="101">
        <f>IF('Net zero activities &amp; levers'!$C$14="Off",Constants!$H70*'Activity data'!BO12*Constants!$H88*EF!$H213*MMVolatEF*NtoN2O*kgtoGg,IF('Net zero activities &amp; levers'!$C$14="On",Constants!$H70*'Net zero Activity data'!BO12*Constants!$H88*EF!$H213*MMVolatEF*NtoN2O*kgtoGg,"ERROR"))</f>
        <v>8.5261682921674643E-4</v>
      </c>
      <c r="AW1192" s="101">
        <f>IF('Net zero activities &amp; levers'!$C$14="Off",Constants!$H70*'Activity data'!BP12*Constants!$H88*EF!$H213*MMVolatEF*NtoN2O*kgtoGg,IF('Net zero activities &amp; levers'!$C$14="On",Constants!$H70*'Net zero Activity data'!BP12*Constants!$H88*EF!$H213*MMVolatEF*NtoN2O*kgtoGg,"ERROR"))</f>
        <v>8.5310133285350928E-4</v>
      </c>
      <c r="AY1192" s="85"/>
    </row>
    <row r="1193" spans="1:51" x14ac:dyDescent="0.25">
      <c r="A1193" s="102" t="str">
        <f t="shared" si="380"/>
        <v>CM MM Volatilisation</v>
      </c>
      <c r="B1193" s="102" t="s">
        <v>1323</v>
      </c>
      <c r="C1193" s="102" t="s">
        <v>1333</v>
      </c>
      <c r="D1193" t="s">
        <v>369</v>
      </c>
      <c r="E1193" t="s">
        <v>64</v>
      </c>
      <c r="F1193" t="s">
        <v>62</v>
      </c>
      <c r="G1193" t="s">
        <v>1169</v>
      </c>
      <c r="H1193" t="s">
        <v>1299</v>
      </c>
      <c r="I1193" t="s">
        <v>139</v>
      </c>
      <c r="J1193" t="s">
        <v>287</v>
      </c>
      <c r="K1193" s="101">
        <f>IF('Net zero activities &amp; levers'!$C$14="Off",Constants!$H71*'Activity data'!AD13*Constants!$H89*EF!$H214*MMVolatEF*NtoN2O*kgtoGg,IF('Net zero activities &amp; levers'!$C$14="On",Constants!$H71*'Net zero Activity data'!AD13*Constants!$H89*EF!$H214*MMVolatEF*NtoN2O*kgtoGg,"ERROR"))</f>
        <v>1.4482807028187922E-5</v>
      </c>
      <c r="L1193" s="101">
        <f>IF('Net zero activities &amp; levers'!$C$14="Off",Constants!$H71*'Activity data'!AE13*Constants!$H89*EF!$H214*MMVolatEF*NtoN2O*kgtoGg,IF('Net zero activities &amp; levers'!$C$14="On",Constants!$H71*'Net zero Activity data'!AE13*Constants!$H89*EF!$H214*MMVolatEF*NtoN2O*kgtoGg,"ERROR"))</f>
        <v>1.4520450251739282E-5</v>
      </c>
      <c r="M1193" s="101">
        <f>IF('Net zero activities &amp; levers'!$C$14="Off",Constants!$H71*'Activity data'!AF13*Constants!$H89*EF!$H214*MMVolatEF*NtoN2O*kgtoGg,IF('Net zero activities &amp; levers'!$C$14="On",Constants!$H71*'Net zero Activity data'!AF13*Constants!$H89*EF!$H214*MMVolatEF*NtoN2O*kgtoGg,"ERROR"))</f>
        <v>1.4571212872745464E-5</v>
      </c>
      <c r="N1193" s="101">
        <f>IF('Net zero activities &amp; levers'!$C$14="Off",Constants!$H71*'Activity data'!AG13*Constants!$H89*EF!$H214*MMVolatEF*NtoN2O*kgtoGg,IF('Net zero activities &amp; levers'!$C$14="On",Constants!$H71*'Net zero Activity data'!AG13*Constants!$H89*EF!$H214*MMVolatEF*NtoN2O*kgtoGg,"ERROR"))</f>
        <v>1.4633040456364911E-5</v>
      </c>
      <c r="O1193" s="101">
        <f>IF('Net zero activities &amp; levers'!$C$14="Off",Constants!$H71*'Activity data'!AH13*Constants!$H89*EF!$H214*MMVolatEF*NtoN2O*kgtoGg,IF('Net zero activities &amp; levers'!$C$14="On",Constants!$H71*'Net zero Activity data'!AH13*Constants!$H89*EF!$H214*MMVolatEF*NtoN2O*kgtoGg,"ERROR"))</f>
        <v>1.4707094987006923E-5</v>
      </c>
      <c r="P1193" s="101">
        <f>IF('Net zero activities &amp; levers'!$C$14="Off",Constants!$H71*'Activity data'!AI13*Constants!$H89*EF!$H214*MMVolatEF*NtoN2O*kgtoGg,IF('Net zero activities &amp; levers'!$C$14="On",Constants!$H71*'Net zero Activity data'!AI13*Constants!$H89*EF!$H214*MMVolatEF*NtoN2O*kgtoGg,"ERROR"))</f>
        <v>1.4794644538423194E-5</v>
      </c>
      <c r="Q1193" s="101">
        <f>IF('Net zero activities &amp; levers'!$C$14="Off",Constants!$H71*'Activity data'!AJ13*Constants!$H89*EF!$H214*MMVolatEF*NtoN2O*kgtoGg,IF('Net zero activities &amp; levers'!$C$14="On",Constants!$H71*'Net zero Activity data'!AJ13*Constants!$H89*EF!$H214*MMVolatEF*NtoN2O*kgtoGg,"ERROR"))</f>
        <v>1.4887429784482061E-5</v>
      </c>
      <c r="R1193" s="101">
        <f>IF('Net zero activities &amp; levers'!$C$14="Off",Constants!$H71*'Activity data'!AK13*Constants!$H89*EF!$H214*MMVolatEF*NtoN2O*kgtoGg,IF('Net zero activities &amp; levers'!$C$14="On",Constants!$H71*'Net zero Activity data'!AK13*Constants!$H89*EF!$H214*MMVolatEF*NtoN2O*kgtoGg,"ERROR"))</f>
        <v>1.4984365063470914E-5</v>
      </c>
      <c r="S1193" s="101">
        <f>IF('Net zero activities &amp; levers'!$C$14="Off",Constants!$H71*'Activity data'!AL13*Constants!$H89*EF!$H214*MMVolatEF*NtoN2O*kgtoGg,IF('Net zero activities &amp; levers'!$C$14="On",Constants!$H71*'Net zero Activity data'!AL13*Constants!$H89*EF!$H214*MMVolatEF*NtoN2O*kgtoGg,"ERROR"))</f>
        <v>1.5078737379247896E-5</v>
      </c>
      <c r="T1193" s="101">
        <f>IF('Net zero activities &amp; levers'!$C$14="Off",Constants!$H71*'Activity data'!AM13*Constants!$H89*EF!$H214*MMVolatEF*NtoN2O*kgtoGg,IF('Net zero activities &amp; levers'!$C$14="On",Constants!$H71*'Net zero Activity data'!AM13*Constants!$H89*EF!$H214*MMVolatEF*NtoN2O*kgtoGg,"ERROR"))</f>
        <v>1.5122022085784052E-5</v>
      </c>
      <c r="U1193" s="101">
        <f>IF('Net zero activities &amp; levers'!$C$14="Off",Constants!$H71*'Activity data'!AN13*Constants!$H89*EF!$H214*MMVolatEF*NtoN2O*kgtoGg,IF('Net zero activities &amp; levers'!$C$14="On",Constants!$H71*'Net zero Activity data'!AN13*Constants!$H89*EF!$H214*MMVolatEF*NtoN2O*kgtoGg,"ERROR"))</f>
        <v>1.5168700186651053E-5</v>
      </c>
      <c r="V1193" s="101">
        <f>IF('Net zero activities &amp; levers'!$C$14="Off",Constants!$H71*'Activity data'!AO13*Constants!$H89*EF!$H214*MMVolatEF*NtoN2O*kgtoGg,IF('Net zero activities &amp; levers'!$C$14="On",Constants!$H71*'Net zero Activity data'!AO13*Constants!$H89*EF!$H214*MMVolatEF*NtoN2O*kgtoGg,"ERROR"))</f>
        <v>1.5219291662698976E-5</v>
      </c>
      <c r="W1193" s="101">
        <f>IF('Net zero activities &amp; levers'!$C$14="Off",Constants!$H71*'Activity data'!AP13*Constants!$H89*EF!$H214*MMVolatEF*NtoN2O*kgtoGg,IF('Net zero activities &amp; levers'!$C$14="On",Constants!$H71*'Net zero Activity data'!AP13*Constants!$H89*EF!$H214*MMVolatEF*NtoN2O*kgtoGg,"ERROR"))</f>
        <v>1.5274171031448217E-5</v>
      </c>
      <c r="X1193" s="101">
        <f>IF('Net zero activities &amp; levers'!$C$14="Off",Constants!$H71*'Activity data'!AQ13*Constants!$H89*EF!$H214*MMVolatEF*NtoN2O*kgtoGg,IF('Net zero activities &amp; levers'!$C$14="On",Constants!$H71*'Net zero Activity data'!AQ13*Constants!$H89*EF!$H214*MMVolatEF*NtoN2O*kgtoGg,"ERROR"))</f>
        <v>1.5334076575093776E-5</v>
      </c>
      <c r="Y1193" s="101">
        <f>IF('Net zero activities &amp; levers'!$C$14="Off",Constants!$H71*'Activity data'!AR13*Constants!$H89*EF!$H214*MMVolatEF*NtoN2O*kgtoGg,IF('Net zero activities &amp; levers'!$C$14="On",Constants!$H71*'Net zero Activity data'!AR13*Constants!$H89*EF!$H214*MMVolatEF*NtoN2O*kgtoGg,"ERROR"))</f>
        <v>1.5372633836154438E-5</v>
      </c>
      <c r="Z1193" s="101">
        <f>IF('Net zero activities &amp; levers'!$C$14="Off",Constants!$H71*'Activity data'!AS13*Constants!$H89*EF!$H214*MMVolatEF*NtoN2O*kgtoGg,IF('Net zero activities &amp; levers'!$C$14="On",Constants!$H71*'Net zero Activity data'!AS13*Constants!$H89*EF!$H214*MMVolatEF*NtoN2O*kgtoGg,"ERROR"))</f>
        <v>1.5414710813994563E-5</v>
      </c>
      <c r="AA1193" s="101">
        <f>IF('Net zero activities &amp; levers'!$C$14="Off",Constants!$H71*'Activity data'!AT13*Constants!$H89*EF!$H214*MMVolatEF*NtoN2O*kgtoGg,IF('Net zero activities &amp; levers'!$C$14="On",Constants!$H71*'Net zero Activity data'!AT13*Constants!$H89*EF!$H214*MMVolatEF*NtoN2O*kgtoGg,"ERROR"))</f>
        <v>1.5459260848218299E-5</v>
      </c>
      <c r="AB1193" s="101">
        <f>IF('Net zero activities &amp; levers'!$C$14="Off",Constants!$H71*'Activity data'!AU13*Constants!$H89*EF!$H214*MMVolatEF*NtoN2O*kgtoGg,IF('Net zero activities &amp; levers'!$C$14="On",Constants!$H71*'Net zero Activity data'!AU13*Constants!$H89*EF!$H214*MMVolatEF*NtoN2O*kgtoGg,"ERROR"))</f>
        <v>1.550729679110253E-5</v>
      </c>
      <c r="AC1193" s="101">
        <f>IF('Net zero activities &amp; levers'!$C$14="Off",Constants!$H71*'Activity data'!AV13*Constants!$H89*EF!$H214*MMVolatEF*NtoN2O*kgtoGg,IF('Net zero activities &amp; levers'!$C$14="On",Constants!$H71*'Net zero Activity data'!AV13*Constants!$H89*EF!$H214*MMVolatEF*NtoN2O*kgtoGg,"ERROR"))</f>
        <v>1.5558834836357002E-5</v>
      </c>
      <c r="AD1193" s="101">
        <f>IF('Net zero activities &amp; levers'!$C$14="Off",Constants!$H71*'Activity data'!AW13*Constants!$H89*EF!$H214*MMVolatEF*NtoN2O*kgtoGg,IF('Net zero activities &amp; levers'!$C$14="On",Constants!$H71*'Net zero Activity data'!AW13*Constants!$H89*EF!$H214*MMVolatEF*NtoN2O*kgtoGg,"ERROR"))</f>
        <v>1.5592757830860554E-5</v>
      </c>
      <c r="AE1193" s="101">
        <f>IF('Net zero activities &amp; levers'!$C$14="Off",Constants!$H71*'Activity data'!AX13*Constants!$H89*EF!$H214*MMVolatEF*NtoN2O*kgtoGg,IF('Net zero activities &amp; levers'!$C$14="On",Constants!$H71*'Net zero Activity data'!AX13*Constants!$H89*EF!$H214*MMVolatEF*NtoN2O*kgtoGg,"ERROR"))</f>
        <v>1.5629324786279091E-5</v>
      </c>
      <c r="AF1193" s="101">
        <f>IF('Net zero activities &amp; levers'!$C$14="Off",Constants!$H71*'Activity data'!AY13*Constants!$H89*EF!$H214*MMVolatEF*NtoN2O*kgtoGg,IF('Net zero activities &amp; levers'!$C$14="On",Constants!$H71*'Net zero Activity data'!AY13*Constants!$H89*EF!$H214*MMVolatEF*NtoN2O*kgtoGg,"ERROR"))</f>
        <v>1.5668308058264363E-5</v>
      </c>
      <c r="AG1193" s="101">
        <f>IF('Net zero activities &amp; levers'!$C$14="Off",Constants!$H71*'Activity data'!AZ13*Constants!$H89*EF!$H214*MMVolatEF*NtoN2O*kgtoGg,IF('Net zero activities &amp; levers'!$C$14="On",Constants!$H71*'Net zero Activity data'!AZ13*Constants!$H89*EF!$H214*MMVolatEF*NtoN2O*kgtoGg,"ERROR"))</f>
        <v>1.5710145809478675E-5</v>
      </c>
      <c r="AH1193" s="101">
        <f>IF('Net zero activities &amp; levers'!$C$14="Off",Constants!$H71*'Activity data'!BA13*Constants!$H89*EF!$H214*MMVolatEF*NtoN2O*kgtoGg,IF('Net zero activities &amp; levers'!$C$14="On",Constants!$H71*'Net zero Activity data'!BA13*Constants!$H89*EF!$H214*MMVolatEF*NtoN2O*kgtoGg,"ERROR"))</f>
        <v>1.5753347197297649E-5</v>
      </c>
      <c r="AI1193" s="101">
        <f>IF('Net zero activities &amp; levers'!$C$14="Off",Constants!$H71*'Activity data'!BB13*Constants!$H89*EF!$H214*MMVolatEF*NtoN2O*kgtoGg,IF('Net zero activities &amp; levers'!$C$14="On",Constants!$H71*'Net zero Activity data'!BB13*Constants!$H89*EF!$H214*MMVolatEF*NtoN2O*kgtoGg,"ERROR"))</f>
        <v>1.5780128357590142E-5</v>
      </c>
      <c r="AJ1193" s="101">
        <f>IF('Net zero activities &amp; levers'!$C$14="Off",Constants!$H71*'Activity data'!BC13*Constants!$H89*EF!$H214*MMVolatEF*NtoN2O*kgtoGg,IF('Net zero activities &amp; levers'!$C$14="On",Constants!$H71*'Net zero Activity data'!BC13*Constants!$H89*EF!$H214*MMVolatEF*NtoN2O*kgtoGg,"ERROR"))</f>
        <v>1.5808895494916665E-5</v>
      </c>
      <c r="AK1193" s="101">
        <f>IF('Net zero activities &amp; levers'!$C$14="Off",Constants!$H71*'Activity data'!BD13*Constants!$H89*EF!$H214*MMVolatEF*NtoN2O*kgtoGg,IF('Net zero activities &amp; levers'!$C$14="On",Constants!$H71*'Net zero Activity data'!BD13*Constants!$H89*EF!$H214*MMVolatEF*NtoN2O*kgtoGg,"ERROR"))</f>
        <v>1.5839194459493418E-5</v>
      </c>
      <c r="AL1193" s="101">
        <f>IF('Net zero activities &amp; levers'!$C$14="Off",Constants!$H71*'Activity data'!BE13*Constants!$H89*EF!$H214*MMVolatEF*NtoN2O*kgtoGg,IF('Net zero activities &amp; levers'!$C$14="On",Constants!$H71*'Net zero Activity data'!BE13*Constants!$H89*EF!$H214*MMVolatEF*NtoN2O*kgtoGg,"ERROR"))</f>
        <v>1.5871212894447166E-5</v>
      </c>
      <c r="AM1193" s="101">
        <f>IF('Net zero activities &amp; levers'!$C$14="Off",Constants!$H71*'Activity data'!BF13*Constants!$H89*EF!$H214*MMVolatEF*NtoN2O*kgtoGg,IF('Net zero activities &amp; levers'!$C$14="On",Constants!$H71*'Net zero Activity data'!BF13*Constants!$H89*EF!$H214*MMVolatEF*NtoN2O*kgtoGg,"ERROR"))</f>
        <v>1.5905120208325659E-5</v>
      </c>
      <c r="AN1193" s="101">
        <f>IF('Net zero activities &amp; levers'!$C$14="Off",Constants!$H71*'Activity data'!BG13*Constants!$H89*EF!$H214*MMVolatEF*NtoN2O*kgtoGg,IF('Net zero activities &amp; levers'!$C$14="On",Constants!$H71*'Net zero Activity data'!BG13*Constants!$H89*EF!$H214*MMVolatEF*NtoN2O*kgtoGg,"ERROR"))</f>
        <v>1.5923608440521578E-5</v>
      </c>
      <c r="AO1193" s="101">
        <f>IF('Net zero activities &amp; levers'!$C$14="Off",Constants!$H71*'Activity data'!BH13*Constants!$H89*EF!$H214*MMVolatEF*NtoN2O*kgtoGg,IF('Net zero activities &amp; levers'!$C$14="On",Constants!$H71*'Net zero Activity data'!BH13*Constants!$H89*EF!$H214*MMVolatEF*NtoN2O*kgtoGg,"ERROR"))</f>
        <v>1.5943219194385969E-5</v>
      </c>
      <c r="AP1193" s="101">
        <f>IF('Net zero activities &amp; levers'!$C$14="Off",Constants!$H71*'Activity data'!BI13*Constants!$H89*EF!$H214*MMVolatEF*NtoN2O*kgtoGg,IF('Net zero activities &amp; levers'!$C$14="On",Constants!$H71*'Net zero Activity data'!BI13*Constants!$H89*EF!$H214*MMVolatEF*NtoN2O*kgtoGg,"ERROR"))</f>
        <v>1.5964364076511548E-5</v>
      </c>
      <c r="AQ1193" s="101">
        <f>IF('Net zero activities &amp; levers'!$C$14="Off",Constants!$H71*'Activity data'!BJ13*Constants!$H89*EF!$H214*MMVolatEF*NtoN2O*kgtoGg,IF('Net zero activities &amp; levers'!$C$14="On",Constants!$H71*'Net zero Activity data'!BJ13*Constants!$H89*EF!$H214*MMVolatEF*NtoN2O*kgtoGg,"ERROR"))</f>
        <v>1.5987003748719161E-5</v>
      </c>
      <c r="AR1193" s="101">
        <f>IF('Net zero activities &amp; levers'!$C$14="Off",Constants!$H71*'Activity data'!BK13*Constants!$H89*EF!$H214*MMVolatEF*NtoN2O*kgtoGg,IF('Net zero activities &amp; levers'!$C$14="On",Constants!$H71*'Net zero Activity data'!BK13*Constants!$H89*EF!$H214*MMVolatEF*NtoN2O*kgtoGg,"ERROR"))</f>
        <v>1.6011426014492075E-5</v>
      </c>
      <c r="AS1193" s="101">
        <f>IF('Net zero activities &amp; levers'!$C$14="Off",Constants!$H71*'Activity data'!BL13*Constants!$H89*EF!$H214*MMVolatEF*NtoN2O*kgtoGg,IF('Net zero activities &amp; levers'!$C$14="On",Constants!$H71*'Net zero Activity data'!BL13*Constants!$H89*EF!$H214*MMVolatEF*NtoN2O*kgtoGg,"ERROR"))</f>
        <v>1.6019956720470997E-5</v>
      </c>
      <c r="AT1193" s="101">
        <f>IF('Net zero activities &amp; levers'!$C$14="Off",Constants!$H71*'Activity data'!BM13*Constants!$H89*EF!$H214*MMVolatEF*NtoN2O*kgtoGg,IF('Net zero activities &amp; levers'!$C$14="On",Constants!$H71*'Net zero Activity data'!BM13*Constants!$H89*EF!$H214*MMVolatEF*NtoN2O*kgtoGg,"ERROR"))</f>
        <v>1.6026597354274649E-5</v>
      </c>
      <c r="AU1193" s="101">
        <f>IF('Net zero activities &amp; levers'!$C$14="Off",Constants!$H71*'Activity data'!BN13*Constants!$H89*EF!$H214*MMVolatEF*NtoN2O*kgtoGg,IF('Net zero activities &amp; levers'!$C$14="On",Constants!$H71*'Net zero Activity data'!BN13*Constants!$H89*EF!$H214*MMVolatEF*NtoN2O*kgtoGg,"ERROR"))</f>
        <v>1.6034206571030276E-5</v>
      </c>
      <c r="AV1193" s="101">
        <f>IF('Net zero activities &amp; levers'!$C$14="Off",Constants!$H71*'Activity data'!BO13*Constants!$H89*EF!$H214*MMVolatEF*NtoN2O*kgtoGg,IF('Net zero activities &amp; levers'!$C$14="On",Constants!$H71*'Net zero Activity data'!BO13*Constants!$H89*EF!$H214*MMVolatEF*NtoN2O*kgtoGg,"ERROR"))</f>
        <v>1.6043388029308272E-5</v>
      </c>
      <c r="AW1193" s="101">
        <f>IF('Net zero activities &amp; levers'!$C$14="Off",Constants!$H71*'Activity data'!BP13*Constants!$H89*EF!$H214*MMVolatEF*NtoN2O*kgtoGg,IF('Net zero activities &amp; levers'!$C$14="On",Constants!$H71*'Net zero Activity data'!BP13*Constants!$H89*EF!$H214*MMVolatEF*NtoN2O*kgtoGg,"ERROR"))</f>
        <v>1.6053496862987396E-5</v>
      </c>
      <c r="AY1193" s="85"/>
    </row>
    <row r="1194" spans="1:51" x14ac:dyDescent="0.25">
      <c r="A1194" s="102" t="str">
        <f t="shared" si="380"/>
        <v>CM MM Volatilisation</v>
      </c>
      <c r="B1194" s="102" t="s">
        <v>1323</v>
      </c>
      <c r="C1194" s="102" t="s">
        <v>1333</v>
      </c>
      <c r="D1194" t="s">
        <v>369</v>
      </c>
      <c r="E1194" t="s">
        <v>64</v>
      </c>
      <c r="F1194" t="s">
        <v>62</v>
      </c>
      <c r="G1194" t="s">
        <v>1171</v>
      </c>
      <c r="H1194" t="s">
        <v>1300</v>
      </c>
      <c r="I1194" t="s">
        <v>139</v>
      </c>
      <c r="J1194" t="s">
        <v>287</v>
      </c>
      <c r="K1194" s="101">
        <f>IF('Net zero activities &amp; levers'!$C$14="Off",Constants!$H72*'Activity data'!AD14*Constants!$H90*EF!$H215*MMVolatEF*NtoN2O*kgtoGg,IF('Net zero activities &amp; levers'!$C$14="On",Constants!$H72*'Net zero Activity data'!AD14*Constants!$H90*EF!$H215*MMVolatEF*NtoN2O*kgtoGg,"ERROR"))</f>
        <v>1.4734983248944019E-3</v>
      </c>
      <c r="L1194" s="101">
        <f>IF('Net zero activities &amp; levers'!$C$14="Off",Constants!$H72*'Activity data'!AE14*Constants!$H90*EF!$H215*MMVolatEF*NtoN2O*kgtoGg,IF('Net zero activities &amp; levers'!$C$14="On",Constants!$H72*'Net zero Activity data'!AE14*Constants!$H90*EF!$H215*MMVolatEF*NtoN2O*kgtoGg,"ERROR"))</f>
        <v>1.4773281920422968E-3</v>
      </c>
      <c r="M1194" s="101">
        <f>IF('Net zero activities &amp; levers'!$C$14="Off",Constants!$H72*'Activity data'!AF14*Constants!$H90*EF!$H215*MMVolatEF*NtoN2O*kgtoGg,IF('Net zero activities &amp; levers'!$C$14="On",Constants!$H72*'Net zero Activity data'!AF14*Constants!$H90*EF!$H215*MMVolatEF*NtoN2O*kgtoGg,"ERROR"))</f>
        <v>1.4824928425740808E-3</v>
      </c>
      <c r="N1194" s="101">
        <f>IF('Net zero activities &amp; levers'!$C$14="Off",Constants!$H72*'Activity data'!AG14*Constants!$H90*EF!$H215*MMVolatEF*NtoN2O*kgtoGg,IF('Net zero activities &amp; levers'!$C$14="On",Constants!$H72*'Net zero Activity data'!AG14*Constants!$H90*EF!$H215*MMVolatEF*NtoN2O*kgtoGg,"ERROR"))</f>
        <v>1.4887832558011719E-3</v>
      </c>
      <c r="O1194" s="101">
        <f>IF('Net zero activities &amp; levers'!$C$14="Off",Constants!$H72*'Activity data'!AH14*Constants!$H90*EF!$H215*MMVolatEF*NtoN2O*kgtoGg,IF('Net zero activities &amp; levers'!$C$14="On",Constants!$H72*'Net zero Activity data'!AH14*Constants!$H90*EF!$H215*MMVolatEF*NtoN2O*kgtoGg,"ERROR"))</f>
        <v>1.4963176534244689E-3</v>
      </c>
      <c r="P1194" s="101">
        <f>IF('Net zero activities &amp; levers'!$C$14="Off",Constants!$H72*'Activity data'!AI14*Constants!$H90*EF!$H215*MMVolatEF*NtoN2O*kgtoGg,IF('Net zero activities &amp; levers'!$C$14="On",Constants!$H72*'Net zero Activity data'!AI14*Constants!$H90*EF!$H215*MMVolatEF*NtoN2O*kgtoGg,"ERROR"))</f>
        <v>1.5052250508030326E-3</v>
      </c>
      <c r="Q1194" s="101">
        <f>IF('Net zero activities &amp; levers'!$C$14="Off",Constants!$H72*'Activity data'!AJ14*Constants!$H90*EF!$H215*MMVolatEF*NtoN2O*kgtoGg,IF('Net zero activities &amp; levers'!$C$14="On",Constants!$H72*'Net zero Activity data'!AJ14*Constants!$H90*EF!$H215*MMVolatEF*NtoN2O*kgtoGg,"ERROR"))</f>
        <v>1.5146651340946602E-3</v>
      </c>
      <c r="R1194" s="101">
        <f>IF('Net zero activities &amp; levers'!$C$14="Off",Constants!$H72*'Activity data'!AK14*Constants!$H90*EF!$H215*MMVolatEF*NtoN2O*kgtoGg,IF('Net zero activities &amp; levers'!$C$14="On",Constants!$H72*'Net zero Activity data'!AK14*Constants!$H90*EF!$H215*MMVolatEF*NtoN2O*kgtoGg,"ERROR"))</f>
        <v>1.5245274467620346E-3</v>
      </c>
      <c r="S1194" s="101">
        <f>IF('Net zero activities &amp; levers'!$C$14="Off",Constants!$H72*'Activity data'!AL14*Constants!$H90*EF!$H215*MMVolatEF*NtoN2O*kgtoGg,IF('Net zero activities &amp; levers'!$C$14="On",Constants!$H72*'Net zero Activity data'!AL14*Constants!$H90*EF!$H215*MMVolatEF*NtoN2O*kgtoGg,"ERROR"))</f>
        <v>1.5341290004486333E-3</v>
      </c>
      <c r="T1194" s="101">
        <f>IF('Net zero activities &amp; levers'!$C$14="Off",Constants!$H72*'Activity data'!AM14*Constants!$H90*EF!$H215*MMVolatEF*NtoN2O*kgtoGg,IF('Net zero activities &amp; levers'!$C$14="On",Constants!$H72*'Net zero Activity data'!AM14*Constants!$H90*EF!$H215*MMVolatEF*NtoN2O*kgtoGg,"ERROR"))</f>
        <v>1.5385328389069129E-3</v>
      </c>
      <c r="U1194" s="101">
        <f>IF('Net zero activities &amp; levers'!$C$14="Off",Constants!$H72*'Activity data'!AN14*Constants!$H90*EF!$H215*MMVolatEF*NtoN2O*kgtoGg,IF('Net zero activities &amp; levers'!$C$14="On",Constants!$H72*'Net zero Activity data'!AN14*Constants!$H90*EF!$H215*MMVolatEF*NtoN2O*kgtoGg,"ERROR"))</f>
        <v>1.5432819254136169E-3</v>
      </c>
      <c r="V1194" s="101">
        <f>IF('Net zero activities &amp; levers'!$C$14="Off",Constants!$H72*'Activity data'!AO14*Constants!$H90*EF!$H215*MMVolatEF*NtoN2O*kgtoGg,IF('Net zero activities &amp; levers'!$C$14="On",Constants!$H72*'Net zero Activity data'!AO14*Constants!$H90*EF!$H215*MMVolatEF*NtoN2O*kgtoGg,"ERROR"))</f>
        <v>1.5484291634501014E-3</v>
      </c>
      <c r="W1194" s="101">
        <f>IF('Net zero activities &amp; levers'!$C$14="Off",Constants!$H72*'Activity data'!AP14*Constants!$H90*EF!$H215*MMVolatEF*NtoN2O*kgtoGg,IF('Net zero activities &amp; levers'!$C$14="On",Constants!$H72*'Net zero Activity data'!AP14*Constants!$H90*EF!$H215*MMVolatEF*NtoN2O*kgtoGg,"ERROR"))</f>
        <v>1.5540126568824096E-3</v>
      </c>
      <c r="X1194" s="101">
        <f>IF('Net zero activities &amp; levers'!$C$14="Off",Constants!$H72*'Activity data'!AQ14*Constants!$H90*EF!$H215*MMVolatEF*NtoN2O*kgtoGg,IF('Net zero activities &amp; levers'!$C$14="On",Constants!$H72*'Net zero Activity data'!AQ14*Constants!$H90*EF!$H215*MMVolatEF*NtoN2O*kgtoGg,"ERROR"))</f>
        <v>1.5601075194350781E-3</v>
      </c>
      <c r="Y1194" s="101">
        <f>IF('Net zero activities &amp; levers'!$C$14="Off",Constants!$H72*'Activity data'!AR14*Constants!$H90*EF!$H215*MMVolatEF*NtoN2O*kgtoGg,IF('Net zero activities &amp; levers'!$C$14="On",Constants!$H72*'Net zero Activity data'!AR14*Constants!$H90*EF!$H215*MMVolatEF*NtoN2O*kgtoGg,"ERROR"))</f>
        <v>1.5640303818660153E-3</v>
      </c>
      <c r="Z1194" s="101">
        <f>IF('Net zero activities &amp; levers'!$C$14="Off",Constants!$H72*'Activity data'!AS14*Constants!$H90*EF!$H215*MMVolatEF*NtoN2O*kgtoGg,IF('Net zero activities &amp; levers'!$C$14="On",Constants!$H72*'Net zero Activity data'!AS14*Constants!$H90*EF!$H215*MMVolatEF*NtoN2O*kgtoGg,"ERROR"))</f>
        <v>1.5683113445442707E-3</v>
      </c>
      <c r="AA1194" s="101">
        <f>IF('Net zero activities &amp; levers'!$C$14="Off",Constants!$H72*'Activity data'!AT14*Constants!$H90*EF!$H215*MMVolatEF*NtoN2O*kgtoGg,IF('Net zero activities &amp; levers'!$C$14="On",Constants!$H72*'Net zero Activity data'!AT14*Constants!$H90*EF!$H215*MMVolatEF*NtoN2O*kgtoGg,"ERROR"))</f>
        <v>1.5728439189737231E-3</v>
      </c>
      <c r="AB1194" s="101">
        <f>IF('Net zero activities &amp; levers'!$C$14="Off",Constants!$H72*'Activity data'!AU14*Constants!$H90*EF!$H215*MMVolatEF*NtoN2O*kgtoGg,IF('Net zero activities &amp; levers'!$C$14="On",Constants!$H72*'Net zero Activity data'!AU14*Constants!$H90*EF!$H215*MMVolatEF*NtoN2O*kgtoGg,"ERROR"))</f>
        <v>1.5777311539715299E-3</v>
      </c>
      <c r="AC1194" s="101">
        <f>IF('Net zero activities &amp; levers'!$C$14="Off",Constants!$H72*'Activity data'!AV14*Constants!$H90*EF!$H215*MMVolatEF*NtoN2O*kgtoGg,IF('Net zero activities &amp; levers'!$C$14="On",Constants!$H72*'Net zero Activity data'!AV14*Constants!$H90*EF!$H215*MMVolatEF*NtoN2O*kgtoGg,"ERROR"))</f>
        <v>1.5829746971053286E-3</v>
      </c>
      <c r="AD1194" s="101">
        <f>IF('Net zero activities &amp; levers'!$C$14="Off",Constants!$H72*'Activity data'!AW14*Constants!$H90*EF!$H215*MMVolatEF*NtoN2O*kgtoGg,IF('Net zero activities &amp; levers'!$C$14="On",Constants!$H72*'Net zero Activity data'!AW14*Constants!$H90*EF!$H215*MMVolatEF*NtoN2O*kgtoGg,"ERROR"))</f>
        <v>1.5864260636449165E-3</v>
      </c>
      <c r="AE1194" s="101">
        <f>IF('Net zero activities &amp; levers'!$C$14="Off",Constants!$H72*'Activity data'!AX14*Constants!$H90*EF!$H215*MMVolatEF*NtoN2O*kgtoGg,IF('Net zero activities &amp; levers'!$C$14="On",Constants!$H72*'Net zero Activity data'!AX14*Constants!$H90*EF!$H215*MMVolatEF*NtoN2O*kgtoGg,"ERROR"))</f>
        <v>1.5901464299696787E-3</v>
      </c>
      <c r="AF1194" s="101">
        <f>IF('Net zero activities &amp; levers'!$C$14="Off",Constants!$H72*'Activity data'!AY14*Constants!$H90*EF!$H215*MMVolatEF*NtoN2O*kgtoGg,IF('Net zero activities &amp; levers'!$C$14="On",Constants!$H72*'Net zero Activity data'!AY14*Constants!$H90*EF!$H215*MMVolatEF*NtoN2O*kgtoGg,"ERROR"))</f>
        <v>1.5941126352679608E-3</v>
      </c>
      <c r="AG1194" s="101">
        <f>IF('Net zero activities &amp; levers'!$C$14="Off",Constants!$H72*'Activity data'!AZ14*Constants!$H90*EF!$H215*MMVolatEF*NtoN2O*kgtoGg,IF('Net zero activities &amp; levers'!$C$14="On",Constants!$H72*'Net zero Activity data'!AZ14*Constants!$H90*EF!$H215*MMVolatEF*NtoN2O*kgtoGg,"ERROR"))</f>
        <v>1.5983692587396162E-3</v>
      </c>
      <c r="AH1194" s="101">
        <f>IF('Net zero activities &amp; levers'!$C$14="Off",Constants!$H72*'Activity data'!BA14*Constants!$H90*EF!$H215*MMVolatEF*NtoN2O*kgtoGg,IF('Net zero activities &amp; levers'!$C$14="On",Constants!$H72*'Net zero Activity data'!BA14*Constants!$H90*EF!$H215*MMVolatEF*NtoN2O*kgtoGg,"ERROR"))</f>
        <v>1.6027646202507156E-3</v>
      </c>
      <c r="AI1194" s="101">
        <f>IF('Net zero activities &amp; levers'!$C$14="Off",Constants!$H72*'Activity data'!BB14*Constants!$H90*EF!$H215*MMVolatEF*NtoN2O*kgtoGg,IF('Net zero activities &amp; levers'!$C$14="On",Constants!$H72*'Net zero Activity data'!BB14*Constants!$H90*EF!$H215*MMVolatEF*NtoN2O*kgtoGg,"ERROR"))</f>
        <v>1.6054893679293186E-3</v>
      </c>
      <c r="AJ1194" s="101">
        <f>IF('Net zero activities &amp; levers'!$C$14="Off",Constants!$H72*'Activity data'!BC14*Constants!$H90*EF!$H215*MMVolatEF*NtoN2O*kgtoGg,IF('Net zero activities &amp; levers'!$C$14="On",Constants!$H72*'Net zero Activity data'!BC14*Constants!$H90*EF!$H215*MMVolatEF*NtoN2O*kgtoGg,"ERROR"))</f>
        <v>1.6084161713162683E-3</v>
      </c>
      <c r="AK1194" s="101">
        <f>IF('Net zero activities &amp; levers'!$C$14="Off",Constants!$H72*'Activity data'!BD14*Constants!$H90*EF!$H215*MMVolatEF*NtoN2O*kgtoGg,IF('Net zero activities &amp; levers'!$C$14="On",Constants!$H72*'Net zero Activity data'!BD14*Constants!$H90*EF!$H215*MMVolatEF*NtoN2O*kgtoGg,"ERROR"))</f>
        <v>1.6114988246626113E-3</v>
      </c>
      <c r="AL1194" s="101">
        <f>IF('Net zero activities &amp; levers'!$C$14="Off",Constants!$H72*'Activity data'!BE14*Constants!$H90*EF!$H215*MMVolatEF*NtoN2O*kgtoGg,IF('Net zero activities &amp; levers'!$C$14="On",Constants!$H72*'Net zero Activity data'!BE14*Constants!$H90*EF!$H215*MMVolatEF*NtoN2O*kgtoGg,"ERROR"))</f>
        <v>1.6147564190072887E-3</v>
      </c>
      <c r="AM1194" s="101">
        <f>IF('Net zero activities &amp; levers'!$C$14="Off",Constants!$H72*'Activity data'!BF14*Constants!$H90*EF!$H215*MMVolatEF*NtoN2O*kgtoGg,IF('Net zero activities &amp; levers'!$C$14="On",Constants!$H72*'Net zero Activity data'!BF14*Constants!$H90*EF!$H215*MMVolatEF*NtoN2O*kgtoGg,"ERROR"))</f>
        <v>1.6182061901810947E-3</v>
      </c>
      <c r="AN1194" s="101">
        <f>IF('Net zero activities &amp; levers'!$C$14="Off",Constants!$H72*'Activity data'!BG14*Constants!$H90*EF!$H215*MMVolatEF*NtoN2O*kgtoGg,IF('Net zero activities &amp; levers'!$C$14="On",Constants!$H72*'Net zero Activity data'!BG14*Constants!$H90*EF!$H215*MMVolatEF*NtoN2O*kgtoGg,"ERROR"))</f>
        <v>1.6200872053128935E-3</v>
      </c>
      <c r="AO1194" s="101">
        <f>IF('Net zero activities &amp; levers'!$C$14="Off",Constants!$H72*'Activity data'!BH14*Constants!$H90*EF!$H215*MMVolatEF*NtoN2O*kgtoGg,IF('Net zero activities &amp; levers'!$C$14="On",Constants!$H72*'Net zero Activity data'!BH14*Constants!$H90*EF!$H215*MMVolatEF*NtoN2O*kgtoGg,"ERROR"))</f>
        <v>1.6220824271585524E-3</v>
      </c>
      <c r="AP1194" s="101">
        <f>IF('Net zero activities &amp; levers'!$C$14="Off",Constants!$H72*'Activity data'!BI14*Constants!$H90*EF!$H215*MMVolatEF*NtoN2O*kgtoGg,IF('Net zero activities &amp; levers'!$C$14="On",Constants!$H72*'Net zero Activity data'!BI14*Constants!$H90*EF!$H215*MMVolatEF*NtoN2O*kgtoGg,"ERROR"))</f>
        <v>1.6242337330712453E-3</v>
      </c>
      <c r="AQ1194" s="101">
        <f>IF('Net zero activities &amp; levers'!$C$14="Off",Constants!$H72*'Activity data'!BJ14*Constants!$H90*EF!$H215*MMVolatEF*NtoN2O*kgtoGg,IF('Net zero activities &amp; levers'!$C$14="On",Constants!$H72*'Net zero Activity data'!BJ14*Constants!$H90*EF!$H215*MMVolatEF*NtoN2O*kgtoGg,"ERROR"))</f>
        <v>1.6265371207369889E-3</v>
      </c>
      <c r="AR1194" s="101">
        <f>IF('Net zero activities &amp; levers'!$C$14="Off",Constants!$H72*'Activity data'!BK14*Constants!$H90*EF!$H215*MMVolatEF*NtoN2O*kgtoGg,IF('Net zero activities &amp; levers'!$C$14="On",Constants!$H72*'Net zero Activity data'!BK14*Constants!$H90*EF!$H215*MMVolatEF*NtoN2O*kgtoGg,"ERROR"))</f>
        <v>1.6290218716306845E-3</v>
      </c>
      <c r="AS1194" s="101">
        <f>IF('Net zero activities &amp; levers'!$C$14="Off",Constants!$H72*'Activity data'!BL14*Constants!$H90*EF!$H215*MMVolatEF*NtoN2O*kgtoGg,IF('Net zero activities &amp; levers'!$C$14="On",Constants!$H72*'Net zero Activity data'!BL14*Constants!$H90*EF!$H215*MMVolatEF*NtoN2O*kgtoGg,"ERROR"))</f>
        <v>1.6298897959871744E-3</v>
      </c>
      <c r="AT1194" s="101">
        <f>IF('Net zero activities &amp; levers'!$C$14="Off",Constants!$H72*'Activity data'!BM14*Constants!$H90*EF!$H215*MMVolatEF*NtoN2O*kgtoGg,IF('Net zero activities &amp; levers'!$C$14="On",Constants!$H72*'Net zero Activity data'!BM14*Constants!$H90*EF!$H215*MMVolatEF*NtoN2O*kgtoGg,"ERROR"))</f>
        <v>1.6305654221117833E-3</v>
      </c>
      <c r="AU1194" s="101">
        <f>IF('Net zero activities &amp; levers'!$C$14="Off",Constants!$H72*'Activity data'!BN14*Constants!$H90*EF!$H215*MMVolatEF*NtoN2O*kgtoGg,IF('Net zero activities &amp; levers'!$C$14="On",Constants!$H72*'Net zero Activity data'!BN14*Constants!$H90*EF!$H215*MMVolatEF*NtoN2O*kgtoGg,"ERROR"))</f>
        <v>1.6313395930388258E-3</v>
      </c>
      <c r="AV1194" s="101">
        <f>IF('Net zero activities &amp; levers'!$C$14="Off",Constants!$H72*'Activity data'!BO14*Constants!$H90*EF!$H215*MMVolatEF*NtoN2O*kgtoGg,IF('Net zero activities &amp; levers'!$C$14="On",Constants!$H72*'Net zero Activity data'!BO14*Constants!$H90*EF!$H215*MMVolatEF*NtoN2O*kgtoGg,"ERROR"))</f>
        <v>1.6322737257222465E-3</v>
      </c>
      <c r="AW1194" s="101">
        <f>IF('Net zero activities &amp; levers'!$C$14="Off",Constants!$H72*'Activity data'!BP14*Constants!$H90*EF!$H215*MMVolatEF*NtoN2O*kgtoGg,IF('Net zero activities &amp; levers'!$C$14="On",Constants!$H72*'Net zero Activity data'!BP14*Constants!$H90*EF!$H215*MMVolatEF*NtoN2O*kgtoGg,"ERROR"))</f>
        <v>1.6333022107019772E-3</v>
      </c>
      <c r="AY1194" s="85"/>
    </row>
    <row r="1195" spans="1:51" x14ac:dyDescent="0.25">
      <c r="A1195" s="102" t="str">
        <f t="shared" si="380"/>
        <v>CM MM Volatilisation</v>
      </c>
      <c r="B1195" s="102" t="s">
        <v>1323</v>
      </c>
      <c r="C1195" s="102" t="s">
        <v>1333</v>
      </c>
      <c r="D1195" t="s">
        <v>369</v>
      </c>
      <c r="E1195" t="s">
        <v>64</v>
      </c>
      <c r="F1195" t="s">
        <v>62</v>
      </c>
      <c r="G1195" t="s">
        <v>1173</v>
      </c>
      <c r="H1195" t="s">
        <v>1301</v>
      </c>
      <c r="I1195" t="s">
        <v>139</v>
      </c>
      <c r="J1195" t="s">
        <v>287</v>
      </c>
      <c r="K1195" s="101">
        <f>IF('Net zero activities &amp; levers'!$C$14="Off",Constants!$H73*'Activity data'!AD15*Constants!$H91*EF!$H216*MMVolatEF*NtoN2O*kgtoGg,IF('Net zero activities &amp; levers'!$C$14="On",Constants!$H73*'Net zero Activity data'!AD15*Constants!$H91*EF!$H216*MMVolatEF*NtoN2O*kgtoGg,"ERROR"))</f>
        <v>0</v>
      </c>
      <c r="L1195" s="101">
        <f>IF('Net zero activities &amp; levers'!$C$14="Off",Constants!$H73*'Activity data'!AE15*Constants!$H91*EF!$H216*MMVolatEF*NtoN2O*kgtoGg,IF('Net zero activities &amp; levers'!$C$14="On",Constants!$H73*'Net zero Activity data'!AE15*Constants!$H91*EF!$H216*MMVolatEF*NtoN2O*kgtoGg,"ERROR"))</f>
        <v>0</v>
      </c>
      <c r="M1195" s="101">
        <f>IF('Net zero activities &amp; levers'!$C$14="Off",Constants!$H73*'Activity data'!AF15*Constants!$H91*EF!$H216*MMVolatEF*NtoN2O*kgtoGg,IF('Net zero activities &amp; levers'!$C$14="On",Constants!$H73*'Net zero Activity data'!AF15*Constants!$H91*EF!$H216*MMVolatEF*NtoN2O*kgtoGg,"ERROR"))</f>
        <v>0</v>
      </c>
      <c r="N1195" s="101">
        <f>IF('Net zero activities &amp; levers'!$C$14="Off",Constants!$H73*'Activity data'!AG15*Constants!$H91*EF!$H216*MMVolatEF*NtoN2O*kgtoGg,IF('Net zero activities &amp; levers'!$C$14="On",Constants!$H73*'Net zero Activity data'!AG15*Constants!$H91*EF!$H216*MMVolatEF*NtoN2O*kgtoGg,"ERROR"))</f>
        <v>0</v>
      </c>
      <c r="O1195" s="101">
        <f>IF('Net zero activities &amp; levers'!$C$14="Off",Constants!$H73*'Activity data'!AH15*Constants!$H91*EF!$H216*MMVolatEF*NtoN2O*kgtoGg,IF('Net zero activities &amp; levers'!$C$14="On",Constants!$H73*'Net zero Activity data'!AH15*Constants!$H91*EF!$H216*MMVolatEF*NtoN2O*kgtoGg,"ERROR"))</f>
        <v>0</v>
      </c>
      <c r="P1195" s="101">
        <f>IF('Net zero activities &amp; levers'!$C$14="Off",Constants!$H73*'Activity data'!AI15*Constants!$H91*EF!$H216*MMVolatEF*NtoN2O*kgtoGg,IF('Net zero activities &amp; levers'!$C$14="On",Constants!$H73*'Net zero Activity data'!AI15*Constants!$H91*EF!$H216*MMVolatEF*NtoN2O*kgtoGg,"ERROR"))</f>
        <v>0</v>
      </c>
      <c r="Q1195" s="101">
        <f>IF('Net zero activities &amp; levers'!$C$14="Off",Constants!$H73*'Activity data'!AJ15*Constants!$H91*EF!$H216*MMVolatEF*NtoN2O*kgtoGg,IF('Net zero activities &amp; levers'!$C$14="On",Constants!$H73*'Net zero Activity data'!AJ15*Constants!$H91*EF!$H216*MMVolatEF*NtoN2O*kgtoGg,"ERROR"))</f>
        <v>0</v>
      </c>
      <c r="R1195" s="101">
        <f>IF('Net zero activities &amp; levers'!$C$14="Off",Constants!$H73*'Activity data'!AK15*Constants!$H91*EF!$H216*MMVolatEF*NtoN2O*kgtoGg,IF('Net zero activities &amp; levers'!$C$14="On",Constants!$H73*'Net zero Activity data'!AK15*Constants!$H91*EF!$H216*MMVolatEF*NtoN2O*kgtoGg,"ERROR"))</f>
        <v>0</v>
      </c>
      <c r="S1195" s="101">
        <f>IF('Net zero activities &amp; levers'!$C$14="Off",Constants!$H73*'Activity data'!AL15*Constants!$H91*EF!$H216*MMVolatEF*NtoN2O*kgtoGg,IF('Net zero activities &amp; levers'!$C$14="On",Constants!$H73*'Net zero Activity data'!AL15*Constants!$H91*EF!$H216*MMVolatEF*NtoN2O*kgtoGg,"ERROR"))</f>
        <v>0</v>
      </c>
      <c r="T1195" s="101">
        <f>IF('Net zero activities &amp; levers'!$C$14="Off",Constants!$H73*'Activity data'!AM15*Constants!$H91*EF!$H216*MMVolatEF*NtoN2O*kgtoGg,IF('Net zero activities &amp; levers'!$C$14="On",Constants!$H73*'Net zero Activity data'!AM15*Constants!$H91*EF!$H216*MMVolatEF*NtoN2O*kgtoGg,"ERROR"))</f>
        <v>0</v>
      </c>
      <c r="U1195" s="101">
        <f>IF('Net zero activities &amp; levers'!$C$14="Off",Constants!$H73*'Activity data'!AN15*Constants!$H91*EF!$H216*MMVolatEF*NtoN2O*kgtoGg,IF('Net zero activities &amp; levers'!$C$14="On",Constants!$H73*'Net zero Activity data'!AN15*Constants!$H91*EF!$H216*MMVolatEF*NtoN2O*kgtoGg,"ERROR"))</f>
        <v>0</v>
      </c>
      <c r="V1195" s="101">
        <f>IF('Net zero activities &amp; levers'!$C$14="Off",Constants!$H73*'Activity data'!AO15*Constants!$H91*EF!$H216*MMVolatEF*NtoN2O*kgtoGg,IF('Net zero activities &amp; levers'!$C$14="On",Constants!$H73*'Net zero Activity data'!AO15*Constants!$H91*EF!$H216*MMVolatEF*NtoN2O*kgtoGg,"ERROR"))</f>
        <v>0</v>
      </c>
      <c r="W1195" s="101">
        <f>IF('Net zero activities &amp; levers'!$C$14="Off",Constants!$H73*'Activity data'!AP15*Constants!$H91*EF!$H216*MMVolatEF*NtoN2O*kgtoGg,IF('Net zero activities &amp; levers'!$C$14="On",Constants!$H73*'Net zero Activity data'!AP15*Constants!$H91*EF!$H216*MMVolatEF*NtoN2O*kgtoGg,"ERROR"))</f>
        <v>0</v>
      </c>
      <c r="X1195" s="101">
        <f>IF('Net zero activities &amp; levers'!$C$14="Off",Constants!$H73*'Activity data'!AQ15*Constants!$H91*EF!$H216*MMVolatEF*NtoN2O*kgtoGg,IF('Net zero activities &amp; levers'!$C$14="On",Constants!$H73*'Net zero Activity data'!AQ15*Constants!$H91*EF!$H216*MMVolatEF*NtoN2O*kgtoGg,"ERROR"))</f>
        <v>0</v>
      </c>
      <c r="Y1195" s="101">
        <f>IF('Net zero activities &amp; levers'!$C$14="Off",Constants!$H73*'Activity data'!AR15*Constants!$H91*EF!$H216*MMVolatEF*NtoN2O*kgtoGg,IF('Net zero activities &amp; levers'!$C$14="On",Constants!$H73*'Net zero Activity data'!AR15*Constants!$H91*EF!$H216*MMVolatEF*NtoN2O*kgtoGg,"ERROR"))</f>
        <v>0</v>
      </c>
      <c r="Z1195" s="101">
        <f>IF('Net zero activities &amp; levers'!$C$14="Off",Constants!$H73*'Activity data'!AS15*Constants!$H91*EF!$H216*MMVolatEF*NtoN2O*kgtoGg,IF('Net zero activities &amp; levers'!$C$14="On",Constants!$H73*'Net zero Activity data'!AS15*Constants!$H91*EF!$H216*MMVolatEF*NtoN2O*kgtoGg,"ERROR"))</f>
        <v>0</v>
      </c>
      <c r="AA1195" s="101">
        <f>IF('Net zero activities &amp; levers'!$C$14="Off",Constants!$H73*'Activity data'!AT15*Constants!$H91*EF!$H216*MMVolatEF*NtoN2O*kgtoGg,IF('Net zero activities &amp; levers'!$C$14="On",Constants!$H73*'Net zero Activity data'!AT15*Constants!$H91*EF!$H216*MMVolatEF*NtoN2O*kgtoGg,"ERROR"))</f>
        <v>0</v>
      </c>
      <c r="AB1195" s="101">
        <f>IF('Net zero activities &amp; levers'!$C$14="Off",Constants!$H73*'Activity data'!AU15*Constants!$H91*EF!$H216*MMVolatEF*NtoN2O*kgtoGg,IF('Net zero activities &amp; levers'!$C$14="On",Constants!$H73*'Net zero Activity data'!AU15*Constants!$H91*EF!$H216*MMVolatEF*NtoN2O*kgtoGg,"ERROR"))</f>
        <v>0</v>
      </c>
      <c r="AC1195" s="101">
        <f>IF('Net zero activities &amp; levers'!$C$14="Off",Constants!$H73*'Activity data'!AV15*Constants!$H91*EF!$H216*MMVolatEF*NtoN2O*kgtoGg,IF('Net zero activities &amp; levers'!$C$14="On",Constants!$H73*'Net zero Activity data'!AV15*Constants!$H91*EF!$H216*MMVolatEF*NtoN2O*kgtoGg,"ERROR"))</f>
        <v>0</v>
      </c>
      <c r="AD1195" s="101">
        <f>IF('Net zero activities &amp; levers'!$C$14="Off",Constants!$H73*'Activity data'!AW15*Constants!$H91*EF!$H216*MMVolatEF*NtoN2O*kgtoGg,IF('Net zero activities &amp; levers'!$C$14="On",Constants!$H73*'Net zero Activity data'!AW15*Constants!$H91*EF!$H216*MMVolatEF*NtoN2O*kgtoGg,"ERROR"))</f>
        <v>0</v>
      </c>
      <c r="AE1195" s="101">
        <f>IF('Net zero activities &amp; levers'!$C$14="Off",Constants!$H73*'Activity data'!AX15*Constants!$H91*EF!$H216*MMVolatEF*NtoN2O*kgtoGg,IF('Net zero activities &amp; levers'!$C$14="On",Constants!$H73*'Net zero Activity data'!AX15*Constants!$H91*EF!$H216*MMVolatEF*NtoN2O*kgtoGg,"ERROR"))</f>
        <v>0</v>
      </c>
      <c r="AF1195" s="101">
        <f>IF('Net zero activities &amp; levers'!$C$14="Off",Constants!$H73*'Activity data'!AY15*Constants!$H91*EF!$H216*MMVolatEF*NtoN2O*kgtoGg,IF('Net zero activities &amp; levers'!$C$14="On",Constants!$H73*'Net zero Activity data'!AY15*Constants!$H91*EF!$H216*MMVolatEF*NtoN2O*kgtoGg,"ERROR"))</f>
        <v>0</v>
      </c>
      <c r="AG1195" s="101">
        <f>IF('Net zero activities &amp; levers'!$C$14="Off",Constants!$H73*'Activity data'!AZ15*Constants!$H91*EF!$H216*MMVolatEF*NtoN2O*kgtoGg,IF('Net zero activities &amp; levers'!$C$14="On",Constants!$H73*'Net zero Activity data'!AZ15*Constants!$H91*EF!$H216*MMVolatEF*NtoN2O*kgtoGg,"ERROR"))</f>
        <v>0</v>
      </c>
      <c r="AH1195" s="101">
        <f>IF('Net zero activities &amp; levers'!$C$14="Off",Constants!$H73*'Activity data'!BA15*Constants!$H91*EF!$H216*MMVolatEF*NtoN2O*kgtoGg,IF('Net zero activities &amp; levers'!$C$14="On",Constants!$H73*'Net zero Activity data'!BA15*Constants!$H91*EF!$H216*MMVolatEF*NtoN2O*kgtoGg,"ERROR"))</f>
        <v>0</v>
      </c>
      <c r="AI1195" s="101">
        <f>IF('Net zero activities &amp; levers'!$C$14="Off",Constants!$H73*'Activity data'!BB15*Constants!$H91*EF!$H216*MMVolatEF*NtoN2O*kgtoGg,IF('Net zero activities &amp; levers'!$C$14="On",Constants!$H73*'Net zero Activity data'!BB15*Constants!$H91*EF!$H216*MMVolatEF*NtoN2O*kgtoGg,"ERROR"))</f>
        <v>0</v>
      </c>
      <c r="AJ1195" s="101">
        <f>IF('Net zero activities &amp; levers'!$C$14="Off",Constants!$H73*'Activity data'!BC15*Constants!$H91*EF!$H216*MMVolatEF*NtoN2O*kgtoGg,IF('Net zero activities &amp; levers'!$C$14="On",Constants!$H73*'Net zero Activity data'!BC15*Constants!$H91*EF!$H216*MMVolatEF*NtoN2O*kgtoGg,"ERROR"))</f>
        <v>0</v>
      </c>
      <c r="AK1195" s="101">
        <f>IF('Net zero activities &amp; levers'!$C$14="Off",Constants!$H73*'Activity data'!BD15*Constants!$H91*EF!$H216*MMVolatEF*NtoN2O*kgtoGg,IF('Net zero activities &amp; levers'!$C$14="On",Constants!$H73*'Net zero Activity data'!BD15*Constants!$H91*EF!$H216*MMVolatEF*NtoN2O*kgtoGg,"ERROR"))</f>
        <v>0</v>
      </c>
      <c r="AL1195" s="101">
        <f>IF('Net zero activities &amp; levers'!$C$14="Off",Constants!$H73*'Activity data'!BE15*Constants!$H91*EF!$H216*MMVolatEF*NtoN2O*kgtoGg,IF('Net zero activities &amp; levers'!$C$14="On",Constants!$H73*'Net zero Activity data'!BE15*Constants!$H91*EF!$H216*MMVolatEF*NtoN2O*kgtoGg,"ERROR"))</f>
        <v>0</v>
      </c>
      <c r="AM1195" s="101">
        <f>IF('Net zero activities &amp; levers'!$C$14="Off",Constants!$H73*'Activity data'!BF15*Constants!$H91*EF!$H216*MMVolatEF*NtoN2O*kgtoGg,IF('Net zero activities &amp; levers'!$C$14="On",Constants!$H73*'Net zero Activity data'!BF15*Constants!$H91*EF!$H216*MMVolatEF*NtoN2O*kgtoGg,"ERROR"))</f>
        <v>0</v>
      </c>
      <c r="AN1195" s="101">
        <f>IF('Net zero activities &amp; levers'!$C$14="Off",Constants!$H73*'Activity data'!BG15*Constants!$H91*EF!$H216*MMVolatEF*NtoN2O*kgtoGg,IF('Net zero activities &amp; levers'!$C$14="On",Constants!$H73*'Net zero Activity data'!BG15*Constants!$H91*EF!$H216*MMVolatEF*NtoN2O*kgtoGg,"ERROR"))</f>
        <v>0</v>
      </c>
      <c r="AO1195" s="101">
        <f>IF('Net zero activities &amp; levers'!$C$14="Off",Constants!$H73*'Activity data'!BH15*Constants!$H91*EF!$H216*MMVolatEF*NtoN2O*kgtoGg,IF('Net zero activities &amp; levers'!$C$14="On",Constants!$H73*'Net zero Activity data'!BH15*Constants!$H91*EF!$H216*MMVolatEF*NtoN2O*kgtoGg,"ERROR"))</f>
        <v>0</v>
      </c>
      <c r="AP1195" s="101">
        <f>IF('Net zero activities &amp; levers'!$C$14="Off",Constants!$H73*'Activity data'!BI15*Constants!$H91*EF!$H216*MMVolatEF*NtoN2O*kgtoGg,IF('Net zero activities &amp; levers'!$C$14="On",Constants!$H73*'Net zero Activity data'!BI15*Constants!$H91*EF!$H216*MMVolatEF*NtoN2O*kgtoGg,"ERROR"))</f>
        <v>0</v>
      </c>
      <c r="AQ1195" s="101">
        <f>IF('Net zero activities &amp; levers'!$C$14="Off",Constants!$H73*'Activity data'!BJ15*Constants!$H91*EF!$H216*MMVolatEF*NtoN2O*kgtoGg,IF('Net zero activities &amp; levers'!$C$14="On",Constants!$H73*'Net zero Activity data'!BJ15*Constants!$H91*EF!$H216*MMVolatEF*NtoN2O*kgtoGg,"ERROR"))</f>
        <v>0</v>
      </c>
      <c r="AR1195" s="101">
        <f>IF('Net zero activities &amp; levers'!$C$14="Off",Constants!$H73*'Activity data'!BK15*Constants!$H91*EF!$H216*MMVolatEF*NtoN2O*kgtoGg,IF('Net zero activities &amp; levers'!$C$14="On",Constants!$H73*'Net zero Activity data'!BK15*Constants!$H91*EF!$H216*MMVolatEF*NtoN2O*kgtoGg,"ERROR"))</f>
        <v>0</v>
      </c>
      <c r="AS1195" s="101">
        <f>IF('Net zero activities &amp; levers'!$C$14="Off",Constants!$H73*'Activity data'!BL15*Constants!$H91*EF!$H216*MMVolatEF*NtoN2O*kgtoGg,IF('Net zero activities &amp; levers'!$C$14="On",Constants!$H73*'Net zero Activity data'!BL15*Constants!$H91*EF!$H216*MMVolatEF*NtoN2O*kgtoGg,"ERROR"))</f>
        <v>0</v>
      </c>
      <c r="AT1195" s="101">
        <f>IF('Net zero activities &amp; levers'!$C$14="Off",Constants!$H73*'Activity data'!BM15*Constants!$H91*EF!$H216*MMVolatEF*NtoN2O*kgtoGg,IF('Net zero activities &amp; levers'!$C$14="On",Constants!$H73*'Net zero Activity data'!BM15*Constants!$H91*EF!$H216*MMVolatEF*NtoN2O*kgtoGg,"ERROR"))</f>
        <v>0</v>
      </c>
      <c r="AU1195" s="101">
        <f>IF('Net zero activities &amp; levers'!$C$14="Off",Constants!$H73*'Activity data'!BN15*Constants!$H91*EF!$H216*MMVolatEF*NtoN2O*kgtoGg,IF('Net zero activities &amp; levers'!$C$14="On",Constants!$H73*'Net zero Activity data'!BN15*Constants!$H91*EF!$H216*MMVolatEF*NtoN2O*kgtoGg,"ERROR"))</f>
        <v>0</v>
      </c>
      <c r="AV1195" s="101">
        <f>IF('Net zero activities &amp; levers'!$C$14="Off",Constants!$H73*'Activity data'!BO15*Constants!$H91*EF!$H216*MMVolatEF*NtoN2O*kgtoGg,IF('Net zero activities &amp; levers'!$C$14="On",Constants!$H73*'Net zero Activity data'!BO15*Constants!$H91*EF!$H216*MMVolatEF*NtoN2O*kgtoGg,"ERROR"))</f>
        <v>0</v>
      </c>
      <c r="AW1195" s="101">
        <f>IF('Net zero activities &amp; levers'!$C$14="Off",Constants!$H73*'Activity data'!BP15*Constants!$H91*EF!$H216*MMVolatEF*NtoN2O*kgtoGg,IF('Net zero activities &amp; levers'!$C$14="On",Constants!$H73*'Net zero Activity data'!BP15*Constants!$H91*EF!$H216*MMVolatEF*NtoN2O*kgtoGg,"ERROR"))</f>
        <v>0</v>
      </c>
      <c r="AY1195" s="85"/>
    </row>
    <row r="1196" spans="1:51" x14ac:dyDescent="0.25">
      <c r="A1196" s="102" t="str">
        <f t="shared" si="380"/>
        <v>CM MM Volatilisation</v>
      </c>
      <c r="B1196" s="102" t="s">
        <v>1323</v>
      </c>
      <c r="C1196" s="102" t="s">
        <v>1333</v>
      </c>
      <c r="D1196" t="s">
        <v>369</v>
      </c>
      <c r="E1196" t="s">
        <v>64</v>
      </c>
      <c r="F1196" t="s">
        <v>62</v>
      </c>
      <c r="G1196" t="s">
        <v>1175</v>
      </c>
      <c r="H1196" t="s">
        <v>1302</v>
      </c>
      <c r="I1196" t="s">
        <v>139</v>
      </c>
      <c r="J1196" t="s">
        <v>287</v>
      </c>
      <c r="K1196" s="101">
        <f>IF('Net zero activities &amp; levers'!$C$14="Off",Constants!$H74*'Activity data'!AD16*Constants!$H92*EF!$H217*MMVolatEF*NtoN2O*kgtoGg,IF('Net zero activities &amp; levers'!$C$14="On",Constants!$H74*'Net zero Activity data'!AD16*Constants!$H92*EF!$H217*MMVolatEF*NtoN2O*kgtoGg,"ERROR"))</f>
        <v>0</v>
      </c>
      <c r="L1196" s="101">
        <f>IF('Net zero activities &amp; levers'!$C$14="Off",Constants!$H74*'Activity data'!AE16*Constants!$H92*EF!$H217*MMVolatEF*NtoN2O*kgtoGg,IF('Net zero activities &amp; levers'!$C$14="On",Constants!$H74*'Net zero Activity data'!AE16*Constants!$H92*EF!$H217*MMVolatEF*NtoN2O*kgtoGg,"ERROR"))</f>
        <v>0</v>
      </c>
      <c r="M1196" s="101">
        <f>IF('Net zero activities &amp; levers'!$C$14="Off",Constants!$H74*'Activity data'!AF16*Constants!$H92*EF!$H217*MMVolatEF*NtoN2O*kgtoGg,IF('Net zero activities &amp; levers'!$C$14="On",Constants!$H74*'Net zero Activity data'!AF16*Constants!$H92*EF!$H217*MMVolatEF*NtoN2O*kgtoGg,"ERROR"))</f>
        <v>0</v>
      </c>
      <c r="N1196" s="101">
        <f>IF('Net zero activities &amp; levers'!$C$14="Off",Constants!$H74*'Activity data'!AG16*Constants!$H92*EF!$H217*MMVolatEF*NtoN2O*kgtoGg,IF('Net zero activities &amp; levers'!$C$14="On",Constants!$H74*'Net zero Activity data'!AG16*Constants!$H92*EF!$H217*MMVolatEF*NtoN2O*kgtoGg,"ERROR"))</f>
        <v>0</v>
      </c>
      <c r="O1196" s="101">
        <f>IF('Net zero activities &amp; levers'!$C$14="Off",Constants!$H74*'Activity data'!AH16*Constants!$H92*EF!$H217*MMVolatEF*NtoN2O*kgtoGg,IF('Net zero activities &amp; levers'!$C$14="On",Constants!$H74*'Net zero Activity data'!AH16*Constants!$H92*EF!$H217*MMVolatEF*NtoN2O*kgtoGg,"ERROR"))</f>
        <v>0</v>
      </c>
      <c r="P1196" s="101">
        <f>IF('Net zero activities &amp; levers'!$C$14="Off",Constants!$H74*'Activity data'!AI16*Constants!$H92*EF!$H217*MMVolatEF*NtoN2O*kgtoGg,IF('Net zero activities &amp; levers'!$C$14="On",Constants!$H74*'Net zero Activity data'!AI16*Constants!$H92*EF!$H217*MMVolatEF*NtoN2O*kgtoGg,"ERROR"))</f>
        <v>0</v>
      </c>
      <c r="Q1196" s="101">
        <f>IF('Net zero activities &amp; levers'!$C$14="Off",Constants!$H74*'Activity data'!AJ16*Constants!$H92*EF!$H217*MMVolatEF*NtoN2O*kgtoGg,IF('Net zero activities &amp; levers'!$C$14="On",Constants!$H74*'Net zero Activity data'!AJ16*Constants!$H92*EF!$H217*MMVolatEF*NtoN2O*kgtoGg,"ERROR"))</f>
        <v>0</v>
      </c>
      <c r="R1196" s="101">
        <f>IF('Net zero activities &amp; levers'!$C$14="Off",Constants!$H74*'Activity data'!AK16*Constants!$H92*EF!$H217*MMVolatEF*NtoN2O*kgtoGg,IF('Net zero activities &amp; levers'!$C$14="On",Constants!$H74*'Net zero Activity data'!AK16*Constants!$H92*EF!$H217*MMVolatEF*NtoN2O*kgtoGg,"ERROR"))</f>
        <v>0</v>
      </c>
      <c r="S1196" s="101">
        <f>IF('Net zero activities &amp; levers'!$C$14="Off",Constants!$H74*'Activity data'!AL16*Constants!$H92*EF!$H217*MMVolatEF*NtoN2O*kgtoGg,IF('Net zero activities &amp; levers'!$C$14="On",Constants!$H74*'Net zero Activity data'!AL16*Constants!$H92*EF!$H217*MMVolatEF*NtoN2O*kgtoGg,"ERROR"))</f>
        <v>0</v>
      </c>
      <c r="T1196" s="101">
        <f>IF('Net zero activities &amp; levers'!$C$14="Off",Constants!$H74*'Activity data'!AM16*Constants!$H92*EF!$H217*MMVolatEF*NtoN2O*kgtoGg,IF('Net zero activities &amp; levers'!$C$14="On",Constants!$H74*'Net zero Activity data'!AM16*Constants!$H92*EF!$H217*MMVolatEF*NtoN2O*kgtoGg,"ERROR"))</f>
        <v>0</v>
      </c>
      <c r="U1196" s="101">
        <f>IF('Net zero activities &amp; levers'!$C$14="Off",Constants!$H74*'Activity data'!AN16*Constants!$H92*EF!$H217*MMVolatEF*NtoN2O*kgtoGg,IF('Net zero activities &amp; levers'!$C$14="On",Constants!$H74*'Net zero Activity data'!AN16*Constants!$H92*EF!$H217*MMVolatEF*NtoN2O*kgtoGg,"ERROR"))</f>
        <v>0</v>
      </c>
      <c r="V1196" s="101">
        <f>IF('Net zero activities &amp; levers'!$C$14="Off",Constants!$H74*'Activity data'!AO16*Constants!$H92*EF!$H217*MMVolatEF*NtoN2O*kgtoGg,IF('Net zero activities &amp; levers'!$C$14="On",Constants!$H74*'Net zero Activity data'!AO16*Constants!$H92*EF!$H217*MMVolatEF*NtoN2O*kgtoGg,"ERROR"))</f>
        <v>0</v>
      </c>
      <c r="W1196" s="101">
        <f>IF('Net zero activities &amp; levers'!$C$14="Off",Constants!$H74*'Activity data'!AP16*Constants!$H92*EF!$H217*MMVolatEF*NtoN2O*kgtoGg,IF('Net zero activities &amp; levers'!$C$14="On",Constants!$H74*'Net zero Activity data'!AP16*Constants!$H92*EF!$H217*MMVolatEF*NtoN2O*kgtoGg,"ERROR"))</f>
        <v>0</v>
      </c>
      <c r="X1196" s="101">
        <f>IF('Net zero activities &amp; levers'!$C$14="Off",Constants!$H74*'Activity data'!AQ16*Constants!$H92*EF!$H217*MMVolatEF*NtoN2O*kgtoGg,IF('Net zero activities &amp; levers'!$C$14="On",Constants!$H74*'Net zero Activity data'!AQ16*Constants!$H92*EF!$H217*MMVolatEF*NtoN2O*kgtoGg,"ERROR"))</f>
        <v>0</v>
      </c>
      <c r="Y1196" s="101">
        <f>IF('Net zero activities &amp; levers'!$C$14="Off",Constants!$H74*'Activity data'!AR16*Constants!$H92*EF!$H217*MMVolatEF*NtoN2O*kgtoGg,IF('Net zero activities &amp; levers'!$C$14="On",Constants!$H74*'Net zero Activity data'!AR16*Constants!$H92*EF!$H217*MMVolatEF*NtoN2O*kgtoGg,"ERROR"))</f>
        <v>0</v>
      </c>
      <c r="Z1196" s="101">
        <f>IF('Net zero activities &amp; levers'!$C$14="Off",Constants!$H74*'Activity data'!AS16*Constants!$H92*EF!$H217*MMVolatEF*NtoN2O*kgtoGg,IF('Net zero activities &amp; levers'!$C$14="On",Constants!$H74*'Net zero Activity data'!AS16*Constants!$H92*EF!$H217*MMVolatEF*NtoN2O*kgtoGg,"ERROR"))</f>
        <v>0</v>
      </c>
      <c r="AA1196" s="101">
        <f>IF('Net zero activities &amp; levers'!$C$14="Off",Constants!$H74*'Activity data'!AT16*Constants!$H92*EF!$H217*MMVolatEF*NtoN2O*kgtoGg,IF('Net zero activities &amp; levers'!$C$14="On",Constants!$H74*'Net zero Activity data'!AT16*Constants!$H92*EF!$H217*MMVolatEF*NtoN2O*kgtoGg,"ERROR"))</f>
        <v>0</v>
      </c>
      <c r="AB1196" s="101">
        <f>IF('Net zero activities &amp; levers'!$C$14="Off",Constants!$H74*'Activity data'!AU16*Constants!$H92*EF!$H217*MMVolatEF*NtoN2O*kgtoGg,IF('Net zero activities &amp; levers'!$C$14="On",Constants!$H74*'Net zero Activity data'!AU16*Constants!$H92*EF!$H217*MMVolatEF*NtoN2O*kgtoGg,"ERROR"))</f>
        <v>0</v>
      </c>
      <c r="AC1196" s="101">
        <f>IF('Net zero activities &amp; levers'!$C$14="Off",Constants!$H74*'Activity data'!AV16*Constants!$H92*EF!$H217*MMVolatEF*NtoN2O*kgtoGg,IF('Net zero activities &amp; levers'!$C$14="On",Constants!$H74*'Net zero Activity data'!AV16*Constants!$H92*EF!$H217*MMVolatEF*NtoN2O*kgtoGg,"ERROR"))</f>
        <v>0</v>
      </c>
      <c r="AD1196" s="101">
        <f>IF('Net zero activities &amp; levers'!$C$14="Off",Constants!$H74*'Activity data'!AW16*Constants!$H92*EF!$H217*MMVolatEF*NtoN2O*kgtoGg,IF('Net zero activities &amp; levers'!$C$14="On",Constants!$H74*'Net zero Activity data'!AW16*Constants!$H92*EF!$H217*MMVolatEF*NtoN2O*kgtoGg,"ERROR"))</f>
        <v>0</v>
      </c>
      <c r="AE1196" s="101">
        <f>IF('Net zero activities &amp; levers'!$C$14="Off",Constants!$H74*'Activity data'!AX16*Constants!$H92*EF!$H217*MMVolatEF*NtoN2O*kgtoGg,IF('Net zero activities &amp; levers'!$C$14="On",Constants!$H74*'Net zero Activity data'!AX16*Constants!$H92*EF!$H217*MMVolatEF*NtoN2O*kgtoGg,"ERROR"))</f>
        <v>0</v>
      </c>
      <c r="AF1196" s="101">
        <f>IF('Net zero activities &amp; levers'!$C$14="Off",Constants!$H74*'Activity data'!AY16*Constants!$H92*EF!$H217*MMVolatEF*NtoN2O*kgtoGg,IF('Net zero activities &amp; levers'!$C$14="On",Constants!$H74*'Net zero Activity data'!AY16*Constants!$H92*EF!$H217*MMVolatEF*NtoN2O*kgtoGg,"ERROR"))</f>
        <v>0</v>
      </c>
      <c r="AG1196" s="101">
        <f>IF('Net zero activities &amp; levers'!$C$14="Off",Constants!$H74*'Activity data'!AZ16*Constants!$H92*EF!$H217*MMVolatEF*NtoN2O*kgtoGg,IF('Net zero activities &amp; levers'!$C$14="On",Constants!$H74*'Net zero Activity data'!AZ16*Constants!$H92*EF!$H217*MMVolatEF*NtoN2O*kgtoGg,"ERROR"))</f>
        <v>0</v>
      </c>
      <c r="AH1196" s="101">
        <f>IF('Net zero activities &amp; levers'!$C$14="Off",Constants!$H74*'Activity data'!BA16*Constants!$H92*EF!$H217*MMVolatEF*NtoN2O*kgtoGg,IF('Net zero activities &amp; levers'!$C$14="On",Constants!$H74*'Net zero Activity data'!BA16*Constants!$H92*EF!$H217*MMVolatEF*NtoN2O*kgtoGg,"ERROR"))</f>
        <v>0</v>
      </c>
      <c r="AI1196" s="101">
        <f>IF('Net zero activities &amp; levers'!$C$14="Off",Constants!$H74*'Activity data'!BB16*Constants!$H92*EF!$H217*MMVolatEF*NtoN2O*kgtoGg,IF('Net zero activities &amp; levers'!$C$14="On",Constants!$H74*'Net zero Activity data'!BB16*Constants!$H92*EF!$H217*MMVolatEF*NtoN2O*kgtoGg,"ERROR"))</f>
        <v>0</v>
      </c>
      <c r="AJ1196" s="101">
        <f>IF('Net zero activities &amp; levers'!$C$14="Off",Constants!$H74*'Activity data'!BC16*Constants!$H92*EF!$H217*MMVolatEF*NtoN2O*kgtoGg,IF('Net zero activities &amp; levers'!$C$14="On",Constants!$H74*'Net zero Activity data'!BC16*Constants!$H92*EF!$H217*MMVolatEF*NtoN2O*kgtoGg,"ERROR"))</f>
        <v>0</v>
      </c>
      <c r="AK1196" s="101">
        <f>IF('Net zero activities &amp; levers'!$C$14="Off",Constants!$H74*'Activity data'!BD16*Constants!$H92*EF!$H217*MMVolatEF*NtoN2O*kgtoGg,IF('Net zero activities &amp; levers'!$C$14="On",Constants!$H74*'Net zero Activity data'!BD16*Constants!$H92*EF!$H217*MMVolatEF*NtoN2O*kgtoGg,"ERROR"))</f>
        <v>0</v>
      </c>
      <c r="AL1196" s="101">
        <f>IF('Net zero activities &amp; levers'!$C$14="Off",Constants!$H74*'Activity data'!BE16*Constants!$H92*EF!$H217*MMVolatEF*NtoN2O*kgtoGg,IF('Net zero activities &amp; levers'!$C$14="On",Constants!$H74*'Net zero Activity data'!BE16*Constants!$H92*EF!$H217*MMVolatEF*NtoN2O*kgtoGg,"ERROR"))</f>
        <v>0</v>
      </c>
      <c r="AM1196" s="101">
        <f>IF('Net zero activities &amp; levers'!$C$14="Off",Constants!$H74*'Activity data'!BF16*Constants!$H92*EF!$H217*MMVolatEF*NtoN2O*kgtoGg,IF('Net zero activities &amp; levers'!$C$14="On",Constants!$H74*'Net zero Activity data'!BF16*Constants!$H92*EF!$H217*MMVolatEF*NtoN2O*kgtoGg,"ERROR"))</f>
        <v>0</v>
      </c>
      <c r="AN1196" s="101">
        <f>IF('Net zero activities &amp; levers'!$C$14="Off",Constants!$H74*'Activity data'!BG16*Constants!$H92*EF!$H217*MMVolatEF*NtoN2O*kgtoGg,IF('Net zero activities &amp; levers'!$C$14="On",Constants!$H74*'Net zero Activity data'!BG16*Constants!$H92*EF!$H217*MMVolatEF*NtoN2O*kgtoGg,"ERROR"))</f>
        <v>0</v>
      </c>
      <c r="AO1196" s="101">
        <f>IF('Net zero activities &amp; levers'!$C$14="Off",Constants!$H74*'Activity data'!BH16*Constants!$H92*EF!$H217*MMVolatEF*NtoN2O*kgtoGg,IF('Net zero activities &amp; levers'!$C$14="On",Constants!$H74*'Net zero Activity data'!BH16*Constants!$H92*EF!$H217*MMVolatEF*NtoN2O*kgtoGg,"ERROR"))</f>
        <v>0</v>
      </c>
      <c r="AP1196" s="101">
        <f>IF('Net zero activities &amp; levers'!$C$14="Off",Constants!$H74*'Activity data'!BI16*Constants!$H92*EF!$H217*MMVolatEF*NtoN2O*kgtoGg,IF('Net zero activities &amp; levers'!$C$14="On",Constants!$H74*'Net zero Activity data'!BI16*Constants!$H92*EF!$H217*MMVolatEF*NtoN2O*kgtoGg,"ERROR"))</f>
        <v>0</v>
      </c>
      <c r="AQ1196" s="101">
        <f>IF('Net zero activities &amp; levers'!$C$14="Off",Constants!$H74*'Activity data'!BJ16*Constants!$H92*EF!$H217*MMVolatEF*NtoN2O*kgtoGg,IF('Net zero activities &amp; levers'!$C$14="On",Constants!$H74*'Net zero Activity data'!BJ16*Constants!$H92*EF!$H217*MMVolatEF*NtoN2O*kgtoGg,"ERROR"))</f>
        <v>0</v>
      </c>
      <c r="AR1196" s="101">
        <f>IF('Net zero activities &amp; levers'!$C$14="Off",Constants!$H74*'Activity data'!BK16*Constants!$H92*EF!$H217*MMVolatEF*NtoN2O*kgtoGg,IF('Net zero activities &amp; levers'!$C$14="On",Constants!$H74*'Net zero Activity data'!BK16*Constants!$H92*EF!$H217*MMVolatEF*NtoN2O*kgtoGg,"ERROR"))</f>
        <v>0</v>
      </c>
      <c r="AS1196" s="101">
        <f>IF('Net zero activities &amp; levers'!$C$14="Off",Constants!$H74*'Activity data'!BL16*Constants!$H92*EF!$H217*MMVolatEF*NtoN2O*kgtoGg,IF('Net zero activities &amp; levers'!$C$14="On",Constants!$H74*'Net zero Activity data'!BL16*Constants!$H92*EF!$H217*MMVolatEF*NtoN2O*kgtoGg,"ERROR"))</f>
        <v>0</v>
      </c>
      <c r="AT1196" s="101">
        <f>IF('Net zero activities &amp; levers'!$C$14="Off",Constants!$H74*'Activity data'!BM16*Constants!$H92*EF!$H217*MMVolatEF*NtoN2O*kgtoGg,IF('Net zero activities &amp; levers'!$C$14="On",Constants!$H74*'Net zero Activity data'!BM16*Constants!$H92*EF!$H217*MMVolatEF*NtoN2O*kgtoGg,"ERROR"))</f>
        <v>0</v>
      </c>
      <c r="AU1196" s="101">
        <f>IF('Net zero activities &amp; levers'!$C$14="Off",Constants!$H74*'Activity data'!BN16*Constants!$H92*EF!$H217*MMVolatEF*NtoN2O*kgtoGg,IF('Net zero activities &amp; levers'!$C$14="On",Constants!$H74*'Net zero Activity data'!BN16*Constants!$H92*EF!$H217*MMVolatEF*NtoN2O*kgtoGg,"ERROR"))</f>
        <v>0</v>
      </c>
      <c r="AV1196" s="101">
        <f>IF('Net zero activities &amp; levers'!$C$14="Off",Constants!$H74*'Activity data'!BO16*Constants!$H92*EF!$H217*MMVolatEF*NtoN2O*kgtoGg,IF('Net zero activities &amp; levers'!$C$14="On",Constants!$H74*'Net zero Activity data'!BO16*Constants!$H92*EF!$H217*MMVolatEF*NtoN2O*kgtoGg,"ERROR"))</f>
        <v>0</v>
      </c>
      <c r="AW1196" s="101">
        <f>IF('Net zero activities &amp; levers'!$C$14="Off",Constants!$H74*'Activity data'!BP16*Constants!$H92*EF!$H217*MMVolatEF*NtoN2O*kgtoGg,IF('Net zero activities &amp; levers'!$C$14="On",Constants!$H74*'Net zero Activity data'!BP16*Constants!$H92*EF!$H217*MMVolatEF*NtoN2O*kgtoGg,"ERROR"))</f>
        <v>0</v>
      </c>
      <c r="AY1196" s="85"/>
    </row>
    <row r="1197" spans="1:51" x14ac:dyDescent="0.25">
      <c r="A1197" s="102" t="str">
        <f t="shared" si="380"/>
        <v>CM MM Volatilisation</v>
      </c>
      <c r="B1197" s="102" t="s">
        <v>1323</v>
      </c>
      <c r="C1197" s="102" t="s">
        <v>1333</v>
      </c>
      <c r="D1197" t="s">
        <v>369</v>
      </c>
      <c r="E1197" t="s">
        <v>64</v>
      </c>
      <c r="F1197" t="s">
        <v>62</v>
      </c>
      <c r="G1197" t="s">
        <v>1177</v>
      </c>
      <c r="H1197" t="s">
        <v>1303</v>
      </c>
      <c r="I1197" t="s">
        <v>139</v>
      </c>
      <c r="J1197" t="s">
        <v>287</v>
      </c>
      <c r="K1197" s="101">
        <f>IF('Net zero activities &amp; levers'!$C$14="Off",Constants!$H75*'Activity data'!AD17*Constants!$H93*EF!$H218*MMVolatEF*NtoN2O*kgtoGg,IF('Net zero activities &amp; levers'!$C$14="On",Constants!$H75*'Net zero Activity data'!AD17*Constants!$H93*EF!$H218*MMVolatEF*NtoN2O*kgtoGg,"ERROR"))</f>
        <v>0.13127680408912967</v>
      </c>
      <c r="L1197" s="101">
        <f>IF('Net zero activities &amp; levers'!$C$14="Off",Constants!$H75*'Activity data'!AE17*Constants!$H93*EF!$H218*MMVolatEF*NtoN2O*kgtoGg,IF('Net zero activities &amp; levers'!$C$14="On",Constants!$H75*'Net zero Activity data'!AE17*Constants!$H93*EF!$H218*MMVolatEF*NtoN2O*kgtoGg,"ERROR"))</f>
        <v>0.13104478756679175</v>
      </c>
      <c r="M1197" s="101">
        <f>IF('Net zero activities &amp; levers'!$C$14="Off",Constants!$H75*'Activity data'!AF17*Constants!$H93*EF!$H218*MMVolatEF*NtoN2O*kgtoGg,IF('Net zero activities &amp; levers'!$C$14="On",Constants!$H75*'Net zero Activity data'!AF17*Constants!$H93*EF!$H218*MMVolatEF*NtoN2O*kgtoGg,"ERROR"))</f>
        <v>0.13030955774266942</v>
      </c>
      <c r="N1197" s="101">
        <f>IF('Net zero activities &amp; levers'!$C$14="Off",Constants!$H75*'Activity data'!AG17*Constants!$H93*EF!$H218*MMVolatEF*NtoN2O*kgtoGg,IF('Net zero activities &amp; levers'!$C$14="On",Constants!$H75*'Net zero Activity data'!AG17*Constants!$H93*EF!$H218*MMVolatEF*NtoN2O*kgtoGg,"ERROR"))</f>
        <v>0.12743411073001928</v>
      </c>
      <c r="O1197" s="101">
        <f>IF('Net zero activities &amp; levers'!$C$14="Off",Constants!$H75*'Activity data'!AH17*Constants!$H93*EF!$H218*MMVolatEF*NtoN2O*kgtoGg,IF('Net zero activities &amp; levers'!$C$14="On",Constants!$H75*'Net zero Activity data'!AH17*Constants!$H93*EF!$H218*MMVolatEF*NtoN2O*kgtoGg,"ERROR"))</f>
        <v>0.1247149107669546</v>
      </c>
      <c r="P1197" s="101">
        <f>IF('Net zero activities &amp; levers'!$C$14="Off",Constants!$H75*'Activity data'!AI17*Constants!$H93*EF!$H218*MMVolatEF*NtoN2O*kgtoGg,IF('Net zero activities &amp; levers'!$C$14="On",Constants!$H75*'Net zero Activity data'!AI17*Constants!$H93*EF!$H218*MMVolatEF*NtoN2O*kgtoGg,"ERROR"))</f>
        <v>0.1242760261027246</v>
      </c>
      <c r="Q1197" s="101">
        <f>IF('Net zero activities &amp; levers'!$C$14="Off",Constants!$H75*'Activity data'!AJ17*Constants!$H93*EF!$H218*MMVolatEF*NtoN2O*kgtoGg,IF('Net zero activities &amp; levers'!$C$14="On",Constants!$H75*'Net zero Activity data'!AJ17*Constants!$H93*EF!$H218*MMVolatEF*NtoN2O*kgtoGg,"ERROR"))</f>
        <v>0.1232106270346093</v>
      </c>
      <c r="R1197" s="101">
        <f>IF('Net zero activities &amp; levers'!$C$14="Off",Constants!$H75*'Activity data'!AK17*Constants!$H93*EF!$H218*MMVolatEF*NtoN2O*kgtoGg,IF('Net zero activities &amp; levers'!$C$14="On",Constants!$H75*'Net zero Activity data'!AK17*Constants!$H93*EF!$H218*MMVolatEF*NtoN2O*kgtoGg,"ERROR"))</f>
        <v>0.11992927074804736</v>
      </c>
      <c r="S1197" s="101">
        <f>IF('Net zero activities &amp; levers'!$C$14="Off",Constants!$H75*'Activity data'!AL17*Constants!$H93*EF!$H218*MMVolatEF*NtoN2O*kgtoGg,IF('Net zero activities &amp; levers'!$C$14="On",Constants!$H75*'Net zero Activity data'!AL17*Constants!$H93*EF!$H218*MMVolatEF*NtoN2O*kgtoGg,"ERROR"))</f>
        <v>0.10697136059413564</v>
      </c>
      <c r="T1197" s="101">
        <f>IF('Net zero activities &amp; levers'!$C$14="Off",Constants!$H75*'Activity data'!AM17*Constants!$H93*EF!$H218*MMVolatEF*NtoN2O*kgtoGg,IF('Net zero activities &amp; levers'!$C$14="On",Constants!$H75*'Net zero Activity data'!AM17*Constants!$H93*EF!$H218*MMVolatEF*NtoN2O*kgtoGg,"ERROR"))</f>
        <v>0.10925052559704228</v>
      </c>
      <c r="U1197" s="101">
        <f>IF('Net zero activities &amp; levers'!$C$14="Off",Constants!$H75*'Activity data'!AN17*Constants!$H93*EF!$H218*MMVolatEF*NtoN2O*kgtoGg,IF('Net zero activities &amp; levers'!$C$14="On",Constants!$H75*'Net zero Activity data'!AN17*Constants!$H93*EF!$H218*MMVolatEF*NtoN2O*kgtoGg,"ERROR"))</f>
        <v>0.11028782514836863</v>
      </c>
      <c r="V1197" s="101">
        <f>IF('Net zero activities &amp; levers'!$C$14="Off",Constants!$H75*'Activity data'!AO17*Constants!$H93*EF!$H218*MMVolatEF*NtoN2O*kgtoGg,IF('Net zero activities &amp; levers'!$C$14="On",Constants!$H75*'Net zero Activity data'!AO17*Constants!$H93*EF!$H218*MMVolatEF*NtoN2O*kgtoGg,"ERROR"))</f>
        <v>0.11103699523463217</v>
      </c>
      <c r="W1197" s="101">
        <f>IF('Net zero activities &amp; levers'!$C$14="Off",Constants!$H75*'Activity data'!AP17*Constants!$H93*EF!$H218*MMVolatEF*NtoN2O*kgtoGg,IF('Net zero activities &amp; levers'!$C$14="On",Constants!$H75*'Net zero Activity data'!AP17*Constants!$H93*EF!$H218*MMVolatEF*NtoN2O*kgtoGg,"ERROR"))</f>
        <v>0.11219859335689175</v>
      </c>
      <c r="X1197" s="101">
        <f>IF('Net zero activities &amp; levers'!$C$14="Off",Constants!$H75*'Activity data'!AQ17*Constants!$H93*EF!$H218*MMVolatEF*NtoN2O*kgtoGg,IF('Net zero activities &amp; levers'!$C$14="On",Constants!$H75*'Net zero Activity data'!AQ17*Constants!$H93*EF!$H218*MMVolatEF*NtoN2O*kgtoGg,"ERROR"))</f>
        <v>0.11480451373715195</v>
      </c>
      <c r="Y1197" s="101">
        <f>IF('Net zero activities &amp; levers'!$C$14="Off",Constants!$H75*'Activity data'!AR17*Constants!$H93*EF!$H218*MMVolatEF*NtoN2O*kgtoGg,IF('Net zero activities &amp; levers'!$C$14="On",Constants!$H75*'Net zero Activity data'!AR17*Constants!$H93*EF!$H218*MMVolatEF*NtoN2O*kgtoGg,"ERROR"))</f>
        <v>0.11773903071810957</v>
      </c>
      <c r="Z1197" s="101">
        <f>IF('Net zero activities &amp; levers'!$C$14="Off",Constants!$H75*'Activity data'!AS17*Constants!$H93*EF!$H218*MMVolatEF*NtoN2O*kgtoGg,IF('Net zero activities &amp; levers'!$C$14="On",Constants!$H75*'Net zero Activity data'!AS17*Constants!$H93*EF!$H218*MMVolatEF*NtoN2O*kgtoGg,"ERROR"))</f>
        <v>0.12096927354500421</v>
      </c>
      <c r="AA1197" s="101">
        <f>IF('Net zero activities &amp; levers'!$C$14="Off",Constants!$H75*'Activity data'!AT17*Constants!$H93*EF!$H218*MMVolatEF*NtoN2O*kgtoGg,IF('Net zero activities &amp; levers'!$C$14="On",Constants!$H75*'Net zero Activity data'!AT17*Constants!$H93*EF!$H218*MMVolatEF*NtoN2O*kgtoGg,"ERROR"))</f>
        <v>0.12354640914849602</v>
      </c>
      <c r="AB1197" s="101">
        <f>IF('Net zero activities &amp; levers'!$C$14="Off",Constants!$H75*'Activity data'!AU17*Constants!$H93*EF!$H218*MMVolatEF*NtoN2O*kgtoGg,IF('Net zero activities &amp; levers'!$C$14="On",Constants!$H75*'Net zero Activity data'!AU17*Constants!$H93*EF!$H218*MMVolatEF*NtoN2O*kgtoGg,"ERROR"))</f>
        <v>0.12670722430973341</v>
      </c>
      <c r="AC1197" s="101">
        <f>IF('Net zero activities &amp; levers'!$C$14="Off",Constants!$H75*'Activity data'!AV17*Constants!$H93*EF!$H218*MMVolatEF*NtoN2O*kgtoGg,IF('Net zero activities &amp; levers'!$C$14="On",Constants!$H75*'Net zero Activity data'!AV17*Constants!$H93*EF!$H218*MMVolatEF*NtoN2O*kgtoGg,"ERROR"))</f>
        <v>0.13057945388048037</v>
      </c>
      <c r="AD1197" s="101">
        <f>IF('Net zero activities &amp; levers'!$C$14="Off",Constants!$H75*'Activity data'!AW17*Constants!$H93*EF!$H218*MMVolatEF*NtoN2O*kgtoGg,IF('Net zero activities &amp; levers'!$C$14="On",Constants!$H75*'Net zero Activity data'!AW17*Constants!$H93*EF!$H218*MMVolatEF*NtoN2O*kgtoGg,"ERROR"))</f>
        <v>0.13425527969122258</v>
      </c>
      <c r="AE1197" s="101">
        <f>IF('Net zero activities &amp; levers'!$C$14="Off",Constants!$H75*'Activity data'!AX17*Constants!$H93*EF!$H218*MMVolatEF*NtoN2O*kgtoGg,IF('Net zero activities &amp; levers'!$C$14="On",Constants!$H75*'Net zero Activity data'!AX17*Constants!$H93*EF!$H218*MMVolatEF*NtoN2O*kgtoGg,"ERROR"))</f>
        <v>0.13808078234219598</v>
      </c>
      <c r="AF1197" s="101">
        <f>IF('Net zero activities &amp; levers'!$C$14="Off",Constants!$H75*'Activity data'!AY17*Constants!$H93*EF!$H218*MMVolatEF*NtoN2O*kgtoGg,IF('Net zero activities &amp; levers'!$C$14="On",Constants!$H75*'Net zero Activity data'!AY17*Constants!$H93*EF!$H218*MMVolatEF*NtoN2O*kgtoGg,"ERROR"))</f>
        <v>0.14192802306779076</v>
      </c>
      <c r="AG1197" s="101">
        <f>IF('Net zero activities &amp; levers'!$C$14="Off",Constants!$H75*'Activity data'!AZ17*Constants!$H93*EF!$H218*MMVolatEF*NtoN2O*kgtoGg,IF('Net zero activities &amp; levers'!$C$14="On",Constants!$H75*'Net zero Activity data'!AZ17*Constants!$H93*EF!$H218*MMVolatEF*NtoN2O*kgtoGg,"ERROR"))</f>
        <v>0.1463168294100172</v>
      </c>
      <c r="AH1197" s="101">
        <f>IF('Net zero activities &amp; levers'!$C$14="Off",Constants!$H75*'Activity data'!BA17*Constants!$H93*EF!$H218*MMVolatEF*NtoN2O*kgtoGg,IF('Net zero activities &amp; levers'!$C$14="On",Constants!$H75*'Net zero Activity data'!BA17*Constants!$H93*EF!$H218*MMVolatEF*NtoN2O*kgtoGg,"ERROR"))</f>
        <v>0.14987147721926491</v>
      </c>
      <c r="AI1197" s="101">
        <f>IF('Net zero activities &amp; levers'!$C$14="Off",Constants!$H75*'Activity data'!BB17*Constants!$H93*EF!$H218*MMVolatEF*NtoN2O*kgtoGg,IF('Net zero activities &amp; levers'!$C$14="On",Constants!$H75*'Net zero Activity data'!BB17*Constants!$H93*EF!$H218*MMVolatEF*NtoN2O*kgtoGg,"ERROR"))</f>
        <v>0.15368071040323866</v>
      </c>
      <c r="AJ1197" s="101">
        <f>IF('Net zero activities &amp; levers'!$C$14="Off",Constants!$H75*'Activity data'!BC17*Constants!$H93*EF!$H218*MMVolatEF*NtoN2O*kgtoGg,IF('Net zero activities &amp; levers'!$C$14="On",Constants!$H75*'Net zero Activity data'!BC17*Constants!$H93*EF!$H218*MMVolatEF*NtoN2O*kgtoGg,"ERROR"))</f>
        <v>0.15748989919729797</v>
      </c>
      <c r="AK1197" s="101">
        <f>IF('Net zero activities &amp; levers'!$C$14="Off",Constants!$H75*'Activity data'!BD17*Constants!$H93*EF!$H218*MMVolatEF*NtoN2O*kgtoGg,IF('Net zero activities &amp; levers'!$C$14="On",Constants!$H75*'Net zero Activity data'!BD17*Constants!$H93*EF!$H218*MMVolatEF*NtoN2O*kgtoGg,"ERROR"))</f>
        <v>0.16094494337856555</v>
      </c>
      <c r="AL1197" s="101">
        <f>IF('Net zero activities &amp; levers'!$C$14="Off",Constants!$H75*'Activity data'!BE17*Constants!$H93*EF!$H218*MMVolatEF*NtoN2O*kgtoGg,IF('Net zero activities &amp; levers'!$C$14="On",Constants!$H75*'Net zero Activity data'!BE17*Constants!$H93*EF!$H218*MMVolatEF*NtoN2O*kgtoGg,"ERROR"))</f>
        <v>0.16429165196320608</v>
      </c>
      <c r="AM1197" s="101">
        <f>IF('Net zero activities &amp; levers'!$C$14="Off",Constants!$H75*'Activity data'!BF17*Constants!$H93*EF!$H218*MMVolatEF*NtoN2O*kgtoGg,IF('Net zero activities &amp; levers'!$C$14="On",Constants!$H75*'Net zero Activity data'!BF17*Constants!$H93*EF!$H218*MMVolatEF*NtoN2O*kgtoGg,"ERROR"))</f>
        <v>0.16774187084588035</v>
      </c>
      <c r="AN1197" s="101">
        <f>IF('Net zero activities &amp; levers'!$C$14="Off",Constants!$H75*'Activity data'!BG17*Constants!$H93*EF!$H218*MMVolatEF*NtoN2O*kgtoGg,IF('Net zero activities &amp; levers'!$C$14="On",Constants!$H75*'Net zero Activity data'!BG17*Constants!$H93*EF!$H218*MMVolatEF*NtoN2O*kgtoGg,"ERROR"))</f>
        <v>0.17138968548667002</v>
      </c>
      <c r="AO1197" s="101">
        <f>IF('Net zero activities &amp; levers'!$C$14="Off",Constants!$H75*'Activity data'!BH17*Constants!$H93*EF!$H218*MMVolatEF*NtoN2O*kgtoGg,IF('Net zero activities &amp; levers'!$C$14="On",Constants!$H75*'Net zero Activity data'!BH17*Constants!$H93*EF!$H218*MMVolatEF*NtoN2O*kgtoGg,"ERROR"))</f>
        <v>0.1745941208754225</v>
      </c>
      <c r="AP1197" s="101">
        <f>IF('Net zero activities &amp; levers'!$C$14="Off",Constants!$H75*'Activity data'!BI17*Constants!$H93*EF!$H218*MMVolatEF*NtoN2O*kgtoGg,IF('Net zero activities &amp; levers'!$C$14="On",Constants!$H75*'Net zero Activity data'!BI17*Constants!$H93*EF!$H218*MMVolatEF*NtoN2O*kgtoGg,"ERROR"))</f>
        <v>0.1777744388622069</v>
      </c>
      <c r="AQ1197" s="101">
        <f>IF('Net zero activities &amp; levers'!$C$14="Off",Constants!$H75*'Activity data'!BJ17*Constants!$H93*EF!$H218*MMVolatEF*NtoN2O*kgtoGg,IF('Net zero activities &amp; levers'!$C$14="On",Constants!$H75*'Net zero Activity data'!BJ17*Constants!$H93*EF!$H218*MMVolatEF*NtoN2O*kgtoGg,"ERROR"))</f>
        <v>0.1809391482484165</v>
      </c>
      <c r="AR1197" s="101">
        <f>IF('Net zero activities &amp; levers'!$C$14="Off",Constants!$H75*'Activity data'!BK17*Constants!$H93*EF!$H218*MMVolatEF*NtoN2O*kgtoGg,IF('Net zero activities &amp; levers'!$C$14="On",Constants!$H75*'Net zero Activity data'!BK17*Constants!$H93*EF!$H218*MMVolatEF*NtoN2O*kgtoGg,"ERROR"))</f>
        <v>0.18436921398490858</v>
      </c>
      <c r="AS1197" s="101">
        <f>IF('Net zero activities &amp; levers'!$C$14="Off",Constants!$H75*'Activity data'!BL17*Constants!$H93*EF!$H218*MMVolatEF*NtoN2O*kgtoGg,IF('Net zero activities &amp; levers'!$C$14="On",Constants!$H75*'Net zero Activity data'!BL17*Constants!$H93*EF!$H218*MMVolatEF*NtoN2O*kgtoGg,"ERROR"))</f>
        <v>0.18784860649552212</v>
      </c>
      <c r="AT1197" s="101">
        <f>IF('Net zero activities &amp; levers'!$C$14="Off",Constants!$H75*'Activity data'!BM17*Constants!$H93*EF!$H218*MMVolatEF*NtoN2O*kgtoGg,IF('Net zero activities &amp; levers'!$C$14="On",Constants!$H75*'Net zero Activity data'!BM17*Constants!$H93*EF!$H218*MMVolatEF*NtoN2O*kgtoGg,"ERROR"))</f>
        <v>0.18864753020373984</v>
      </c>
      <c r="AU1197" s="101">
        <f>IF('Net zero activities &amp; levers'!$C$14="Off",Constants!$H75*'Activity data'!BN17*Constants!$H93*EF!$H218*MMVolatEF*NtoN2O*kgtoGg,IF('Net zero activities &amp; levers'!$C$14="On",Constants!$H75*'Net zero Activity data'!BN17*Constants!$H93*EF!$H218*MMVolatEF*NtoN2O*kgtoGg,"ERROR"))</f>
        <v>0.18922133559281129</v>
      </c>
      <c r="AV1197" s="101">
        <f>IF('Net zero activities &amp; levers'!$C$14="Off",Constants!$H75*'Activity data'!BO17*Constants!$H93*EF!$H218*MMVolatEF*NtoN2O*kgtoGg,IF('Net zero activities &amp; levers'!$C$14="On",Constants!$H75*'Net zero Activity data'!BO17*Constants!$H93*EF!$H218*MMVolatEF*NtoN2O*kgtoGg,"ERROR"))</f>
        <v>0.19009208773754074</v>
      </c>
      <c r="AW1197" s="101">
        <f>IF('Net zero activities &amp; levers'!$C$14="Off",Constants!$H75*'Activity data'!BP17*Constants!$H93*EF!$H218*MMVolatEF*NtoN2O*kgtoGg,IF('Net zero activities &amp; levers'!$C$14="On",Constants!$H75*'Net zero Activity data'!BP17*Constants!$H93*EF!$H218*MMVolatEF*NtoN2O*kgtoGg,"ERROR"))</f>
        <v>0.19076764971562013</v>
      </c>
      <c r="AY1197" s="85"/>
    </row>
    <row r="1198" spans="1:51" x14ac:dyDescent="0.25">
      <c r="A1198" s="102" t="str">
        <f t="shared" si="380"/>
        <v>CM MM Volatilisation</v>
      </c>
      <c r="B1198" s="102" t="s">
        <v>1323</v>
      </c>
      <c r="C1198" s="102" t="s">
        <v>1333</v>
      </c>
      <c r="D1198" t="s">
        <v>369</v>
      </c>
      <c r="E1198" t="s">
        <v>64</v>
      </c>
      <c r="F1198" t="s">
        <v>62</v>
      </c>
      <c r="G1198" t="s">
        <v>1179</v>
      </c>
      <c r="H1198" t="s">
        <v>1304</v>
      </c>
      <c r="I1198" t="s">
        <v>139</v>
      </c>
      <c r="J1198" t="s">
        <v>287</v>
      </c>
      <c r="K1198" s="101">
        <f>IF('Net zero activities &amp; levers'!$C$14="Off",Constants!$H76*'Activity data'!AD18*Constants!$H94*EF!$H219*MMVolatEF*NtoN2O*kgtoGg,IF('Net zero activities &amp; levers'!$C$14="On",Constants!$H76*'Net zero Activity data'!AD18*Constants!$H94*EF!$H219*MMVolatEF*NtoN2O*kgtoGg,"ERROR"))</f>
        <v>1.2775290998949166E-2</v>
      </c>
      <c r="L1198" s="101">
        <f>IF('Net zero activities &amp; levers'!$C$14="Off",Constants!$H76*'Activity data'!AE18*Constants!$H94*EF!$H219*MMVolatEF*NtoN2O*kgtoGg,IF('Net zero activities &amp; levers'!$C$14="On",Constants!$H76*'Net zero Activity data'!AE18*Constants!$H94*EF!$H219*MMVolatEF*NtoN2O*kgtoGg,"ERROR"))</f>
        <v>1.2752712154118219E-2</v>
      </c>
      <c r="M1198" s="101">
        <f>IF('Net zero activities &amp; levers'!$C$14="Off",Constants!$H76*'Activity data'!AF18*Constants!$H94*EF!$H219*MMVolatEF*NtoN2O*kgtoGg,IF('Net zero activities &amp; levers'!$C$14="On",Constants!$H76*'Net zero Activity data'!AF18*Constants!$H94*EF!$H219*MMVolatEF*NtoN2O*kgtoGg,"ERROR"))</f>
        <v>1.2681162766399339E-2</v>
      </c>
      <c r="N1198" s="101">
        <f>IF('Net zero activities &amp; levers'!$C$14="Off",Constants!$H76*'Activity data'!AG18*Constants!$H94*EF!$H219*MMVolatEF*NtoN2O*kgtoGg,IF('Net zero activities &amp; levers'!$C$14="On",Constants!$H76*'Net zero Activity data'!AG18*Constants!$H94*EF!$H219*MMVolatEF*NtoN2O*kgtoGg,"ERROR"))</f>
        <v>1.2401336695117745E-2</v>
      </c>
      <c r="O1198" s="101">
        <f>IF('Net zero activities &amp; levers'!$C$14="Off",Constants!$H76*'Activity data'!AH18*Constants!$H94*EF!$H219*MMVolatEF*NtoN2O*kgtoGg,IF('Net zero activities &amp; levers'!$C$14="On",Constants!$H76*'Net zero Activity data'!AH18*Constants!$H94*EF!$H219*MMVolatEF*NtoN2O*kgtoGg,"ERROR"))</f>
        <v>1.2136715911167996E-2</v>
      </c>
      <c r="P1198" s="101">
        <f>IF('Net zero activities &amp; levers'!$C$14="Off",Constants!$H76*'Activity data'!AI18*Constants!$H94*EF!$H219*MMVolatEF*NtoN2O*kgtoGg,IF('Net zero activities &amp; levers'!$C$14="On",Constants!$H76*'Net zero Activity data'!AI18*Constants!$H94*EF!$H219*MMVolatEF*NtoN2O*kgtoGg,"ERROR"))</f>
        <v>1.2094005553162118E-2</v>
      </c>
      <c r="Q1198" s="101">
        <f>IF('Net zero activities &amp; levers'!$C$14="Off",Constants!$H76*'Activity data'!AJ18*Constants!$H94*EF!$H219*MMVolatEF*NtoN2O*kgtoGg,IF('Net zero activities &amp; levers'!$C$14="On",Constants!$H76*'Net zero Activity data'!AJ18*Constants!$H94*EF!$H219*MMVolatEF*NtoN2O*kgtoGg,"ERROR"))</f>
        <v>1.1990325522103915E-2</v>
      </c>
      <c r="R1198" s="101">
        <f>IF('Net zero activities &amp; levers'!$C$14="Off",Constants!$H76*'Activity data'!AK18*Constants!$H94*EF!$H219*MMVolatEF*NtoN2O*kgtoGg,IF('Net zero activities &amp; levers'!$C$14="On",Constants!$H76*'Net zero Activity data'!AK18*Constants!$H94*EF!$H219*MMVolatEF*NtoN2O*kgtoGg,"ERROR"))</f>
        <v>1.1670998115233177E-2</v>
      </c>
      <c r="S1198" s="101">
        <f>IF('Net zero activities &amp; levers'!$C$14="Off",Constants!$H76*'Activity data'!AL18*Constants!$H94*EF!$H219*MMVolatEF*NtoN2O*kgtoGg,IF('Net zero activities &amp; levers'!$C$14="On",Constants!$H76*'Net zero Activity data'!AL18*Constants!$H94*EF!$H219*MMVolatEF*NtoN2O*kgtoGg,"ERROR"))</f>
        <v>1.0409990322553617E-2</v>
      </c>
      <c r="T1198" s="101">
        <f>IF('Net zero activities &amp; levers'!$C$14="Off",Constants!$H76*'Activity data'!AM18*Constants!$H94*EF!$H219*MMVolatEF*NtoN2O*kgtoGg,IF('Net zero activities &amp; levers'!$C$14="On",Constants!$H76*'Net zero Activity data'!AM18*Constants!$H94*EF!$H219*MMVolatEF*NtoN2O*kgtoGg,"ERROR"))</f>
        <v>1.063178880667107E-2</v>
      </c>
      <c r="U1198" s="101">
        <f>IF('Net zero activities &amp; levers'!$C$14="Off",Constants!$H76*'Activity data'!AN18*Constants!$H94*EF!$H219*MMVolatEF*NtoN2O*kgtoGg,IF('Net zero activities &amp; levers'!$C$14="On",Constants!$H76*'Net zero Activity data'!AN18*Constants!$H94*EF!$H219*MMVolatEF*NtoN2O*kgtoGg,"ERROR"))</f>
        <v>1.0732734314243575E-2</v>
      </c>
      <c r="V1198" s="101">
        <f>IF('Net zero activities &amp; levers'!$C$14="Off",Constants!$H76*'Activity data'!AO18*Constants!$H94*EF!$H219*MMVolatEF*NtoN2O*kgtoGg,IF('Net zero activities &amp; levers'!$C$14="On",Constants!$H76*'Net zero Activity data'!AO18*Constants!$H94*EF!$H219*MMVolatEF*NtoN2O*kgtoGg,"ERROR"))</f>
        <v>1.0805640308003347E-2</v>
      </c>
      <c r="W1198" s="101">
        <f>IF('Net zero activities &amp; levers'!$C$14="Off",Constants!$H76*'Activity data'!AP18*Constants!$H94*EF!$H219*MMVolatEF*NtoN2O*kgtoGg,IF('Net zero activities &amp; levers'!$C$14="On",Constants!$H76*'Net zero Activity data'!AP18*Constants!$H94*EF!$H219*MMVolatEF*NtoN2O*kgtoGg,"ERROR"))</f>
        <v>1.0918682015094444E-2</v>
      </c>
      <c r="X1198" s="101">
        <f>IF('Net zero activities &amp; levers'!$C$14="Off",Constants!$H76*'Activity data'!AQ18*Constants!$H94*EF!$H219*MMVolatEF*NtoN2O*kgtoGg,IF('Net zero activities &amp; levers'!$C$14="On",Constants!$H76*'Net zero Activity data'!AQ18*Constants!$H94*EF!$H219*MMVolatEF*NtoN2O*kgtoGg,"ERROR"))</f>
        <v>1.1172278919809715E-2</v>
      </c>
      <c r="Y1198" s="101">
        <f>IF('Net zero activities &amp; levers'!$C$14="Off",Constants!$H76*'Activity data'!AR18*Constants!$H94*EF!$H219*MMVolatEF*NtoN2O*kgtoGg,IF('Net zero activities &amp; levers'!$C$14="On",Constants!$H76*'Net zero Activity data'!AR18*Constants!$H94*EF!$H219*MMVolatEF*NtoN2O*kgtoGg,"ERROR"))</f>
        <v>1.1457853425018103E-2</v>
      </c>
      <c r="Z1198" s="101">
        <f>IF('Net zero activities &amp; levers'!$C$14="Off",Constants!$H76*'Activity data'!AS18*Constants!$H94*EF!$H219*MMVolatEF*NtoN2O*kgtoGg,IF('Net zero activities &amp; levers'!$C$14="On",Constants!$H76*'Net zero Activity data'!AS18*Constants!$H94*EF!$H219*MMVolatEF*NtoN2O*kgtoGg,"ERROR"))</f>
        <v>1.1772206690982962E-2</v>
      </c>
      <c r="AA1198" s="101">
        <f>IF('Net zero activities &amp; levers'!$C$14="Off",Constants!$H76*'Activity data'!AT18*Constants!$H94*EF!$H219*MMVolatEF*NtoN2O*kgtoGg,IF('Net zero activities &amp; levers'!$C$14="On",Constants!$H76*'Net zero Activity data'!AT18*Constants!$H94*EF!$H219*MMVolatEF*NtoN2O*kgtoGg,"ERROR"))</f>
        <v>1.202300238567406E-2</v>
      </c>
      <c r="AB1198" s="101">
        <f>IF('Net zero activities &amp; levers'!$C$14="Off",Constants!$H76*'Activity data'!AU18*Constants!$H94*EF!$H219*MMVolatEF*NtoN2O*kgtoGg,IF('Net zero activities &amp; levers'!$C$14="On",Constants!$H76*'Net zero Activity data'!AU18*Constants!$H94*EF!$H219*MMVolatEF*NtoN2O*kgtoGg,"ERROR"))</f>
        <v>1.2330599251387535E-2</v>
      </c>
      <c r="AC1198" s="101">
        <f>IF('Net zero activities &amp; levers'!$C$14="Off",Constants!$H76*'Activity data'!AV18*Constants!$H94*EF!$H219*MMVolatEF*NtoN2O*kgtoGg,IF('Net zero activities &amp; levers'!$C$14="On",Constants!$H76*'Net zero Activity data'!AV18*Constants!$H94*EF!$H219*MMVolatEF*NtoN2O*kgtoGg,"ERROR"))</f>
        <v>1.2707427891635677E-2</v>
      </c>
      <c r="AD1198" s="101">
        <f>IF('Net zero activities &amp; levers'!$C$14="Off",Constants!$H76*'Activity data'!AW18*Constants!$H94*EF!$H219*MMVolatEF*NtoN2O*kgtoGg,IF('Net zero activities &amp; levers'!$C$14="On",Constants!$H76*'Net zero Activity data'!AW18*Constants!$H94*EF!$H219*MMVolatEF*NtoN2O*kgtoGg,"ERROR"))</f>
        <v>1.3065143367111426E-2</v>
      </c>
      <c r="AE1198" s="101">
        <f>IF('Net zero activities &amp; levers'!$C$14="Off",Constants!$H76*'Activity data'!AX18*Constants!$H94*EF!$H219*MMVolatEF*NtoN2O*kgtoGg,IF('Net zero activities &amp; levers'!$C$14="On",Constants!$H76*'Net zero Activity data'!AX18*Constants!$H94*EF!$H219*MMVolatEF*NtoN2O*kgtoGg,"ERROR"))</f>
        <v>1.3437424745550947E-2</v>
      </c>
      <c r="AF1198" s="101">
        <f>IF('Net zero activities &amp; levers'!$C$14="Off",Constants!$H76*'Activity data'!AY18*Constants!$H94*EF!$H219*MMVolatEF*NtoN2O*kgtoGg,IF('Net zero activities &amp; levers'!$C$14="On",Constants!$H76*'Net zero Activity data'!AY18*Constants!$H94*EF!$H219*MMVolatEF*NtoN2O*kgtoGg,"ERROR"))</f>
        <v>1.3811821579428105E-2</v>
      </c>
      <c r="AG1198" s="101">
        <f>IF('Net zero activities &amp; levers'!$C$14="Off",Constants!$H76*'Activity data'!AZ18*Constants!$H94*EF!$H219*MMVolatEF*NtoN2O*kgtoGg,IF('Net zero activities &amp; levers'!$C$14="On",Constants!$H76*'Net zero Activity data'!AZ18*Constants!$H94*EF!$H219*MMVolatEF*NtoN2O*kgtoGg,"ERROR"))</f>
        <v>1.4238921237657973E-2</v>
      </c>
      <c r="AH1198" s="101">
        <f>IF('Net zero activities &amp; levers'!$C$14="Off",Constants!$H76*'Activity data'!BA18*Constants!$H94*EF!$H219*MMVolatEF*NtoN2O*kgtoGg,IF('Net zero activities &amp; levers'!$C$14="On",Constants!$H76*'Net zero Activity data'!BA18*Constants!$H94*EF!$H219*MMVolatEF*NtoN2O*kgtoGg,"ERROR"))</f>
        <v>1.458484419394113E-2</v>
      </c>
      <c r="AI1198" s="101">
        <f>IF('Net zero activities &amp; levers'!$C$14="Off",Constants!$H76*'Activity data'!BB18*Constants!$H94*EF!$H219*MMVolatEF*NtoN2O*kgtoGg,IF('Net zero activities &amp; levers'!$C$14="On",Constants!$H76*'Net zero Activity data'!BB18*Constants!$H94*EF!$H219*MMVolatEF*NtoN2O*kgtoGg,"ERROR"))</f>
        <v>1.4955542298193264E-2</v>
      </c>
      <c r="AJ1198" s="101">
        <f>IF('Net zero activities &amp; levers'!$C$14="Off",Constants!$H76*'Activity data'!BC18*Constants!$H94*EF!$H219*MMVolatEF*NtoN2O*kgtoGg,IF('Net zero activities &amp; levers'!$C$14="On",Constants!$H76*'Net zero Activity data'!BC18*Constants!$H94*EF!$H219*MMVolatEF*NtoN2O*kgtoGg,"ERROR"))</f>
        <v>1.5326236082610833E-2</v>
      </c>
      <c r="AK1198" s="101">
        <f>IF('Net zero activities &amp; levers'!$C$14="Off",Constants!$H76*'Activity data'!BD18*Constants!$H94*EF!$H219*MMVolatEF*NtoN2O*kgtoGg,IF('Net zero activities &amp; levers'!$C$14="On",Constants!$H76*'Net zero Activity data'!BD18*Constants!$H94*EF!$H219*MMVolatEF*NtoN2O*kgtoGg,"ERROR"))</f>
        <v>1.5662466044455051E-2</v>
      </c>
      <c r="AL1198" s="101">
        <f>IF('Net zero activities &amp; levers'!$C$14="Off",Constants!$H76*'Activity data'!BE18*Constants!$H94*EF!$H219*MMVolatEF*NtoN2O*kgtoGg,IF('Net zero activities &amp; levers'!$C$14="On",Constants!$H76*'Net zero Activity data'!BE18*Constants!$H94*EF!$H219*MMVolatEF*NtoN2O*kgtoGg,"ERROR"))</f>
        <v>1.5988153254424275E-2</v>
      </c>
      <c r="AM1198" s="101">
        <f>IF('Net zero activities &amp; levers'!$C$14="Off",Constants!$H76*'Activity data'!BF18*Constants!$H94*EF!$H219*MMVolatEF*NtoN2O*kgtoGg,IF('Net zero activities &amp; levers'!$C$14="On",Constants!$H76*'Net zero Activity data'!BF18*Constants!$H94*EF!$H219*MMVolatEF*NtoN2O*kgtoGg,"ERROR"))</f>
        <v>1.6323913639071558E-2</v>
      </c>
      <c r="AN1198" s="101">
        <f>IF('Net zero activities &amp; levers'!$C$14="Off",Constants!$H76*'Activity data'!BG18*Constants!$H94*EF!$H219*MMVolatEF*NtoN2O*kgtoGg,IF('Net zero activities &amp; levers'!$C$14="On",Constants!$H76*'Net zero Activity data'!BG18*Constants!$H94*EF!$H219*MMVolatEF*NtoN2O*kgtoGg,"ERROR"))</f>
        <v>1.6678903188593767E-2</v>
      </c>
      <c r="AO1198" s="101">
        <f>IF('Net zero activities &amp; levers'!$C$14="Off",Constants!$H76*'Activity data'!BH18*Constants!$H94*EF!$H219*MMVolatEF*NtoN2O*kgtoGg,IF('Net zero activities &amp; levers'!$C$14="On",Constants!$H76*'Net zero Activity data'!BH18*Constants!$H94*EF!$H219*MMVolatEF*NtoN2O*kgtoGg,"ERROR"))</f>
        <v>1.699074498625705E-2</v>
      </c>
      <c r="AP1198" s="101">
        <f>IF('Net zero activities &amp; levers'!$C$14="Off",Constants!$H76*'Activity data'!BI18*Constants!$H94*EF!$H219*MMVolatEF*NtoN2O*kgtoGg,IF('Net zero activities &amp; levers'!$C$14="On",Constants!$H76*'Net zero Activity data'!BI18*Constants!$H94*EF!$H219*MMVolatEF*NtoN2O*kgtoGg,"ERROR"))</f>
        <v>1.7300239782632326E-2</v>
      </c>
      <c r="AQ1198" s="101">
        <f>IF('Net zero activities &amp; levers'!$C$14="Off",Constants!$H76*'Activity data'!BJ18*Constants!$H94*EF!$H219*MMVolatEF*NtoN2O*kgtoGg,IF('Net zero activities &amp; levers'!$C$14="On",Constants!$H76*'Net zero Activity data'!BJ18*Constants!$H94*EF!$H219*MMVolatEF*NtoN2O*kgtoGg,"ERROR"))</f>
        <v>1.7608215617483422E-2</v>
      </c>
      <c r="AR1198" s="101">
        <f>IF('Net zero activities &amp; levers'!$C$14="Off",Constants!$H76*'Activity data'!BK18*Constants!$H94*EF!$H219*MMVolatEF*NtoN2O*kgtoGg,IF('Net zero activities &amp; levers'!$C$14="On",Constants!$H76*'Net zero Activity data'!BK18*Constants!$H94*EF!$H219*MMVolatEF*NtoN2O*kgtoGg,"ERROR"))</f>
        <v>1.794201478507635E-2</v>
      </c>
      <c r="AS1198" s="101">
        <f>IF('Net zero activities &amp; levers'!$C$14="Off",Constants!$H76*'Activity data'!BL18*Constants!$H94*EF!$H219*MMVolatEF*NtoN2O*kgtoGg,IF('Net zero activities &amp; levers'!$C$14="On",Constants!$H76*'Net zero Activity data'!BL18*Constants!$H94*EF!$H219*MMVolatEF*NtoN2O*kgtoGg,"ERROR"))</f>
        <v>1.8280614221062561E-2</v>
      </c>
      <c r="AT1198" s="101">
        <f>IF('Net zero activities &amp; levers'!$C$14="Off",Constants!$H76*'Activity data'!BM18*Constants!$H94*EF!$H219*MMVolatEF*NtoN2O*kgtoGg,IF('Net zero activities &amp; levers'!$C$14="On",Constants!$H76*'Net zero Activity data'!BM18*Constants!$H94*EF!$H219*MMVolatEF*NtoN2O*kgtoGg,"ERROR"))</f>
        <v>1.8358362022201223E-2</v>
      </c>
      <c r="AU1198" s="101">
        <f>IF('Net zero activities &amp; levers'!$C$14="Off",Constants!$H76*'Activity data'!BN18*Constants!$H94*EF!$H219*MMVolatEF*NtoN2O*kgtoGg,IF('Net zero activities &amp; levers'!$C$14="On",Constants!$H76*'Net zero Activity data'!BN18*Constants!$H94*EF!$H219*MMVolatEF*NtoN2O*kgtoGg,"ERROR"))</f>
        <v>1.8414202281819184E-2</v>
      </c>
      <c r="AV1198" s="101">
        <f>IF('Net zero activities &amp; levers'!$C$14="Off",Constants!$H76*'Activity data'!BO18*Constants!$H94*EF!$H219*MMVolatEF*NtoN2O*kgtoGg,IF('Net zero activities &amp; levers'!$C$14="On",Constants!$H76*'Net zero Activity data'!BO18*Constants!$H94*EF!$H219*MMVolatEF*NtoN2O*kgtoGg,"ERROR"))</f>
        <v>1.8498940115849072E-2</v>
      </c>
      <c r="AW1198" s="101">
        <f>IF('Net zero activities &amp; levers'!$C$14="Off",Constants!$H76*'Activity data'!BP18*Constants!$H94*EF!$H219*MMVolatEF*NtoN2O*kgtoGg,IF('Net zero activities &amp; levers'!$C$14="On",Constants!$H76*'Net zero Activity data'!BP18*Constants!$H94*EF!$H219*MMVolatEF*NtoN2O*kgtoGg,"ERROR"))</f>
        <v>1.8564682886764862E-2</v>
      </c>
      <c r="AY1198" s="85"/>
    </row>
    <row r="1199" spans="1:51" x14ac:dyDescent="0.25">
      <c r="A1199" s="102" t="str">
        <f t="shared" si="380"/>
        <v>CM MM Volatilisation</v>
      </c>
      <c r="B1199" s="102" t="s">
        <v>1323</v>
      </c>
      <c r="C1199" s="102" t="s">
        <v>1333</v>
      </c>
      <c r="D1199" t="s">
        <v>369</v>
      </c>
      <c r="E1199" t="s">
        <v>64</v>
      </c>
      <c r="F1199" t="s">
        <v>62</v>
      </c>
      <c r="G1199" t="s">
        <v>1181</v>
      </c>
      <c r="H1199" t="s">
        <v>1305</v>
      </c>
      <c r="I1199" t="s">
        <v>139</v>
      </c>
      <c r="J1199" t="s">
        <v>287</v>
      </c>
      <c r="K1199" s="101">
        <f>IF('Net zero activities &amp; levers'!$C$14="Off",Constants!$H77*'Activity data'!AD19*Constants!$H95*EF!$H220*MMVolatEF*NtoN2O*kgtoGg,IF('Net zero activities &amp; levers'!$C$14="On",Constants!$H77*'Net zero Activity data'!AD19*Constants!$H95*EF!$H220*MMVolatEF*NtoN2O*kgtoGg,"ERROR"))</f>
        <v>6.4639922525530427E-2</v>
      </c>
      <c r="L1199" s="101">
        <f>IF('Net zero activities &amp; levers'!$C$14="Off",Constants!$H77*'Activity data'!AE19*Constants!$H95*EF!$H220*MMVolatEF*NtoN2O*kgtoGg,IF('Net zero activities &amp; levers'!$C$14="On",Constants!$H77*'Net zero Activity data'!AE19*Constants!$H95*EF!$H220*MMVolatEF*NtoN2O*kgtoGg,"ERROR"))</f>
        <v>6.6092820241884495E-2</v>
      </c>
      <c r="M1199" s="101">
        <f>IF('Net zero activities &amp; levers'!$C$14="Off",Constants!$H77*'Activity data'!AF19*Constants!$H95*EF!$H220*MMVolatEF*NtoN2O*kgtoGg,IF('Net zero activities &amp; levers'!$C$14="On",Constants!$H77*'Net zero Activity data'!AF19*Constants!$H95*EF!$H220*MMVolatEF*NtoN2O*kgtoGg,"ERROR"))</f>
        <v>6.7406950311631311E-2</v>
      </c>
      <c r="N1199" s="101">
        <f>IF('Net zero activities &amp; levers'!$C$14="Off",Constants!$H77*'Activity data'!AG19*Constants!$H95*EF!$H220*MMVolatEF*NtoN2O*kgtoGg,IF('Net zero activities &amp; levers'!$C$14="On",Constants!$H77*'Net zero Activity data'!AG19*Constants!$H95*EF!$H220*MMVolatEF*NtoN2O*kgtoGg,"ERROR"))</f>
        <v>6.8085378535523336E-2</v>
      </c>
      <c r="O1199" s="101">
        <f>IF('Net zero activities &amp; levers'!$C$14="Off",Constants!$H77*'Activity data'!AH19*Constants!$H95*EF!$H220*MMVolatEF*NtoN2O*kgtoGg,IF('Net zero activities &amp; levers'!$C$14="On",Constants!$H77*'Net zero Activity data'!AH19*Constants!$H95*EF!$H220*MMVolatEF*NtoN2O*kgtoGg,"ERROR"))</f>
        <v>6.8782509933711544E-2</v>
      </c>
      <c r="P1199" s="101">
        <f>IF('Net zero activities &amp; levers'!$C$14="Off",Constants!$H77*'Activity data'!AI19*Constants!$H95*EF!$H220*MMVolatEF*NtoN2O*kgtoGg,IF('Net zero activities &amp; levers'!$C$14="On",Constants!$H77*'Net zero Activity data'!AI19*Constants!$H95*EF!$H220*MMVolatEF*NtoN2O*kgtoGg,"ERROR"))</f>
        <v>7.0170496606956442E-2</v>
      </c>
      <c r="Q1199" s="101">
        <f>IF('Net zero activities &amp; levers'!$C$14="Off",Constants!$H77*'Activity data'!AJ19*Constants!$H95*EF!$H220*MMVolatEF*NtoN2O*kgtoGg,IF('Net zero activities &amp; levers'!$C$14="On",Constants!$H77*'Net zero Activity data'!AJ19*Constants!$H95*EF!$H220*MMVolatEF*NtoN2O*kgtoGg,"ERROR"))</f>
        <v>7.1357352719614867E-2</v>
      </c>
      <c r="R1199" s="101">
        <f>IF('Net zero activities &amp; levers'!$C$14="Off",Constants!$H77*'Activity data'!AK19*Constants!$H95*EF!$H220*MMVolatEF*NtoN2O*kgtoGg,IF('Net zero activities &amp; levers'!$C$14="On",Constants!$H77*'Net zero Activity data'!AK19*Constants!$H95*EF!$H220*MMVolatEF*NtoN2O*kgtoGg,"ERROR"))</f>
        <v>7.1807853842609945E-2</v>
      </c>
      <c r="S1199" s="101">
        <f>IF('Net zero activities &amp; levers'!$C$14="Off",Constants!$H77*'Activity data'!AL19*Constants!$H95*EF!$H220*MMVolatEF*NtoN2O*kgtoGg,IF('Net zero activities &amp; levers'!$C$14="On",Constants!$H77*'Net zero Activity data'!AL19*Constants!$H95*EF!$H220*MMVolatEF*NtoN2O*kgtoGg,"ERROR"))</f>
        <v>6.89560372793145E-2</v>
      </c>
      <c r="T1199" s="101">
        <f>IF('Net zero activities &amp; levers'!$C$14="Off",Constants!$H77*'Activity data'!AM19*Constants!$H95*EF!$H220*MMVolatEF*NtoN2O*kgtoGg,IF('Net zero activities &amp; levers'!$C$14="On",Constants!$H77*'Net zero Activity data'!AM19*Constants!$H95*EF!$H220*MMVolatEF*NtoN2O*kgtoGg,"ERROR"))</f>
        <v>7.1008173280929857E-2</v>
      </c>
      <c r="U1199" s="101">
        <f>IF('Net zero activities &amp; levers'!$C$14="Off",Constants!$H77*'Activity data'!AN19*Constants!$H95*EF!$H220*MMVolatEF*NtoN2O*kgtoGg,IF('Net zero activities &amp; levers'!$C$14="On",Constants!$H77*'Net zero Activity data'!AN19*Constants!$H95*EF!$H220*MMVolatEF*NtoN2O*kgtoGg,"ERROR"))</f>
        <v>7.2666722437194436E-2</v>
      </c>
      <c r="V1199" s="101">
        <f>IF('Net zero activities &amp; levers'!$C$14="Off",Constants!$H77*'Activity data'!AO19*Constants!$H95*EF!$H220*MMVolatEF*NtoN2O*kgtoGg,IF('Net zero activities &amp; levers'!$C$14="On",Constants!$H77*'Net zero Activity data'!AO19*Constants!$H95*EF!$H220*MMVolatEF*NtoN2O*kgtoGg,"ERROR"))</f>
        <v>7.4247222856444403E-2</v>
      </c>
      <c r="W1199" s="101">
        <f>IF('Net zero activities &amp; levers'!$C$14="Off",Constants!$H77*'Activity data'!AP19*Constants!$H95*EF!$H220*MMVolatEF*NtoN2O*kgtoGg,IF('Net zero activities &amp; levers'!$C$14="On",Constants!$H77*'Net zero Activity data'!AP19*Constants!$H95*EF!$H220*MMVolatEF*NtoN2O*kgtoGg,"ERROR"))</f>
        <v>7.600218438166105E-2</v>
      </c>
      <c r="X1199" s="101">
        <f>IF('Net zero activities &amp; levers'!$C$14="Off",Constants!$H77*'Activity data'!AQ19*Constants!$H95*EF!$H220*MMVolatEF*NtoN2O*kgtoGg,IF('Net zero activities &amp; levers'!$C$14="On",Constants!$H77*'Net zero Activity data'!AQ19*Constants!$H95*EF!$H220*MMVolatEF*NtoN2O*kgtoGg,"ERROR"))</f>
        <v>7.8331736592242102E-2</v>
      </c>
      <c r="Y1199" s="101">
        <f>IF('Net zero activities &amp; levers'!$C$14="Off",Constants!$H77*'Activity data'!AR19*Constants!$H95*EF!$H220*MMVolatEF*NtoN2O*kgtoGg,IF('Net zero activities &amp; levers'!$C$14="On",Constants!$H77*'Net zero Activity data'!AR19*Constants!$H95*EF!$H220*MMVolatEF*NtoN2O*kgtoGg,"ERROR"))</f>
        <v>8.0778487004079483E-2</v>
      </c>
      <c r="Z1199" s="101">
        <f>IF('Net zero activities &amp; levers'!$C$14="Off",Constants!$H77*'Activity data'!AS19*Constants!$H95*EF!$H220*MMVolatEF*NtoN2O*kgtoGg,IF('Net zero activities &amp; levers'!$C$14="On",Constants!$H77*'Net zero Activity data'!AS19*Constants!$H95*EF!$H220*MMVolatEF*NtoN2O*kgtoGg,"ERROR"))</f>
        <v>8.3401229369706939E-2</v>
      </c>
      <c r="AA1199" s="101">
        <f>IF('Net zero activities &amp; levers'!$C$14="Off",Constants!$H77*'Activity data'!AT19*Constants!$H95*EF!$H220*MMVolatEF*NtoN2O*kgtoGg,IF('Net zero activities &amp; levers'!$C$14="On",Constants!$H77*'Net zero Activity data'!AT19*Constants!$H95*EF!$H220*MMVolatEF*NtoN2O*kgtoGg,"ERROR"))</f>
        <v>8.5827271656106763E-2</v>
      </c>
      <c r="AB1199" s="101">
        <f>IF('Net zero activities &amp; levers'!$C$14="Off",Constants!$H77*'Activity data'!AU19*Constants!$H95*EF!$H220*MMVolatEF*NtoN2O*kgtoGg,IF('Net zero activities &amp; levers'!$C$14="On",Constants!$H77*'Net zero Activity data'!AU19*Constants!$H95*EF!$H220*MMVolatEF*NtoN2O*kgtoGg,"ERROR"))</f>
        <v>8.8549064394725929E-2</v>
      </c>
      <c r="AC1199" s="101">
        <f>IF('Net zero activities &amp; levers'!$C$14="Off",Constants!$H77*'Activity data'!AV19*Constants!$H95*EF!$H220*MMVolatEF*NtoN2O*kgtoGg,IF('Net zero activities &amp; levers'!$C$14="On",Constants!$H77*'Net zero Activity data'!AV19*Constants!$H95*EF!$H220*MMVolatEF*NtoN2O*kgtoGg,"ERROR"))</f>
        <v>9.1636240743728642E-2</v>
      </c>
      <c r="AD1199" s="101">
        <f>IF('Net zero activities &amp; levers'!$C$14="Off",Constants!$H77*'Activity data'!AW19*Constants!$H95*EF!$H220*MMVolatEF*NtoN2O*kgtoGg,IF('Net zero activities &amp; levers'!$C$14="On",Constants!$H77*'Net zero Activity data'!AW19*Constants!$H95*EF!$H220*MMVolatEF*NtoN2O*kgtoGg,"ERROR"))</f>
        <v>9.4662173779080358E-2</v>
      </c>
      <c r="AE1199" s="101">
        <f>IF('Net zero activities &amp; levers'!$C$14="Off",Constants!$H77*'Activity data'!AX19*Constants!$H95*EF!$H220*MMVolatEF*NtoN2O*kgtoGg,IF('Net zero activities &amp; levers'!$C$14="On",Constants!$H77*'Net zero Activity data'!AX19*Constants!$H95*EF!$H220*MMVolatEF*NtoN2O*kgtoGg,"ERROR"))</f>
        <v>9.7831321391472395E-2</v>
      </c>
      <c r="AF1199" s="101">
        <f>IF('Net zero activities &amp; levers'!$C$14="Off",Constants!$H77*'Activity data'!AY19*Constants!$H95*EF!$H220*MMVolatEF*NtoN2O*kgtoGg,IF('Net zero activities &amp; levers'!$C$14="On",Constants!$H77*'Net zero Activity data'!AY19*Constants!$H95*EF!$H220*MMVolatEF*NtoN2O*kgtoGg,"ERROR"))</f>
        <v>0.1010924495137356</v>
      </c>
      <c r="AG1199" s="101">
        <f>IF('Net zero activities &amp; levers'!$C$14="Off",Constants!$H77*'Activity data'!AZ19*Constants!$H95*EF!$H220*MMVolatEF*NtoN2O*kgtoGg,IF('Net zero activities &amp; levers'!$C$14="On",Constants!$H77*'Net zero Activity data'!AZ19*Constants!$H95*EF!$H220*MMVolatEF*NtoN2O*kgtoGg,"ERROR"))</f>
        <v>0.10468368456707709</v>
      </c>
      <c r="AH1199" s="101">
        <f>IF('Net zero activities &amp; levers'!$C$14="Off",Constants!$H77*'Activity data'!BA19*Constants!$H95*EF!$H220*MMVolatEF*NtoN2O*kgtoGg,IF('Net zero activities &amp; levers'!$C$14="On",Constants!$H77*'Net zero Activity data'!BA19*Constants!$H95*EF!$H220*MMVolatEF*NtoN2O*kgtoGg,"ERROR"))</f>
        <v>0.10798542807128246</v>
      </c>
      <c r="AI1199" s="101">
        <f>IF('Net zero activities &amp; levers'!$C$14="Off",Constants!$H77*'Activity data'!BB19*Constants!$H95*EF!$H220*MMVolatEF*NtoN2O*kgtoGg,IF('Net zero activities &amp; levers'!$C$14="On",Constants!$H77*'Net zero Activity data'!BB19*Constants!$H95*EF!$H220*MMVolatEF*NtoN2O*kgtoGg,"ERROR"))</f>
        <v>0.11143964262193619</v>
      </c>
      <c r="AJ1199" s="101">
        <f>IF('Net zero activities &amp; levers'!$C$14="Off",Constants!$H77*'Activity data'!BC19*Constants!$H95*EF!$H220*MMVolatEF*NtoN2O*kgtoGg,IF('Net zero activities &amp; levers'!$C$14="On",Constants!$H77*'Net zero Activity data'!BC19*Constants!$H95*EF!$H220*MMVolatEF*NtoN2O*kgtoGg,"ERROR"))</f>
        <v>0.11498300476041527</v>
      </c>
      <c r="AK1199" s="101">
        <f>IF('Net zero activities &amp; levers'!$C$14="Off",Constants!$H77*'Activity data'!BD19*Constants!$H95*EF!$H220*MMVolatEF*NtoN2O*kgtoGg,IF('Net zero activities &amp; levers'!$C$14="On",Constants!$H77*'Net zero Activity data'!BD19*Constants!$H95*EF!$H220*MMVolatEF*NtoN2O*kgtoGg,"ERROR"))</f>
        <v>0.11844428302751359</v>
      </c>
      <c r="AL1199" s="101">
        <f>IF('Net zero activities &amp; levers'!$C$14="Off",Constants!$H77*'Activity data'!BE19*Constants!$H95*EF!$H220*MMVolatEF*NtoN2O*kgtoGg,IF('Net zero activities &amp; levers'!$C$14="On",Constants!$H77*'Net zero Activity data'!BE19*Constants!$H95*EF!$H220*MMVolatEF*NtoN2O*kgtoGg,"ERROR"))</f>
        <v>0.12193846206930534</v>
      </c>
      <c r="AM1199" s="101">
        <f>IF('Net zero activities &amp; levers'!$C$14="Off",Constants!$H77*'Activity data'!BF19*Constants!$H95*EF!$H220*MMVolatEF*NtoN2O*kgtoGg,IF('Net zero activities &amp; levers'!$C$14="On",Constants!$H77*'Net zero Activity data'!BF19*Constants!$H95*EF!$H220*MMVolatEF*NtoN2O*kgtoGg,"ERROR"))</f>
        <v>0.12557241914152842</v>
      </c>
      <c r="AN1199" s="101">
        <f>IF('Net zero activities &amp; levers'!$C$14="Off",Constants!$H77*'Activity data'!BG19*Constants!$H95*EF!$H220*MMVolatEF*NtoN2O*kgtoGg,IF('Net zero activities &amp; levers'!$C$14="On",Constants!$H77*'Net zero Activity data'!BG19*Constants!$H95*EF!$H220*MMVolatEF*NtoN2O*kgtoGg,"ERROR"))</f>
        <v>0.12935192234708767</v>
      </c>
      <c r="AO1199" s="101">
        <f>IF('Net zero activities &amp; levers'!$C$14="Off",Constants!$H77*'Activity data'!BH19*Constants!$H95*EF!$H220*MMVolatEF*NtoN2O*kgtoGg,IF('Net zero activities &amp; levers'!$C$14="On",Constants!$H77*'Net zero Activity data'!BH19*Constants!$H95*EF!$H220*MMVolatEF*NtoN2O*kgtoGg,"ERROR"))</f>
        <v>0.13299431940651141</v>
      </c>
      <c r="AP1199" s="101">
        <f>IF('Net zero activities &amp; levers'!$C$14="Off",Constants!$H77*'Activity data'!BI19*Constants!$H95*EF!$H220*MMVolatEF*NtoN2O*kgtoGg,IF('Net zero activities &amp; levers'!$C$14="On",Constants!$H77*'Net zero Activity data'!BI19*Constants!$H95*EF!$H220*MMVolatEF*NtoN2O*kgtoGg,"ERROR"))</f>
        <v>0.13671453058130023</v>
      </c>
      <c r="AQ1199" s="101">
        <f>IF('Net zero activities &amp; levers'!$C$14="Off",Constants!$H77*'Activity data'!BJ19*Constants!$H95*EF!$H220*MMVolatEF*NtoN2O*kgtoGg,IF('Net zero activities &amp; levers'!$C$14="On",Constants!$H77*'Net zero Activity data'!BJ19*Constants!$H95*EF!$H220*MMVolatEF*NtoN2O*kgtoGg,"ERROR"))</f>
        <v>0.14051897664424154</v>
      </c>
      <c r="AR1199" s="101">
        <f>IF('Net zero activities &amp; levers'!$C$14="Off",Constants!$H77*'Activity data'!BK19*Constants!$H95*EF!$H220*MMVolatEF*NtoN2O*kgtoGg,IF('Net zero activities &amp; levers'!$C$14="On",Constants!$H77*'Net zero Activity data'!BK19*Constants!$H95*EF!$H220*MMVolatEF*NtoN2O*kgtoGg,"ERROR"))</f>
        <v>0.14456662668799888</v>
      </c>
      <c r="AS1199" s="101">
        <f>IF('Net zero activities &amp; levers'!$C$14="Off",Constants!$H77*'Activity data'!BL19*Constants!$H95*EF!$H220*MMVolatEF*NtoN2O*kgtoGg,IF('Net zero activities &amp; levers'!$C$14="On",Constants!$H77*'Net zero Activity data'!BL19*Constants!$H95*EF!$H220*MMVolatEF*NtoN2O*kgtoGg,"ERROR"))</f>
        <v>0.14869599338087189</v>
      </c>
      <c r="AT1199" s="101">
        <f>IF('Net zero activities &amp; levers'!$C$14="Off",Constants!$H77*'Activity data'!BM19*Constants!$H95*EF!$H220*MMVolatEF*NtoN2O*kgtoGg,IF('Net zero activities &amp; levers'!$C$14="On",Constants!$H77*'Net zero Activity data'!BM19*Constants!$H95*EF!$H220*MMVolatEF*NtoN2O*kgtoGg,"ERROR"))</f>
        <v>0.15137911693275455</v>
      </c>
      <c r="AU1199" s="101">
        <f>IF('Net zero activities &amp; levers'!$C$14="Off",Constants!$H77*'Activity data'!BN19*Constants!$H95*EF!$H220*MMVolatEF*NtoN2O*kgtoGg,IF('Net zero activities &amp; levers'!$C$14="On",Constants!$H77*'Net zero Activity data'!BN19*Constants!$H95*EF!$H220*MMVolatEF*NtoN2O*kgtoGg,"ERROR"))</f>
        <v>0.1539813872955596</v>
      </c>
      <c r="AV1199" s="101">
        <f>IF('Net zero activities &amp; levers'!$C$14="Off",Constants!$H77*'Activity data'!BO19*Constants!$H95*EF!$H220*MMVolatEF*NtoN2O*kgtoGg,IF('Net zero activities &amp; levers'!$C$14="On",Constants!$H77*'Net zero Activity data'!BO19*Constants!$H95*EF!$H220*MMVolatEF*NtoN2O*kgtoGg,"ERROR"))</f>
        <v>0.15681091101615385</v>
      </c>
      <c r="AW1199" s="101">
        <f>IF('Net zero activities &amp; levers'!$C$14="Off",Constants!$H77*'Activity data'!BP19*Constants!$H95*EF!$H220*MMVolatEF*NtoN2O*kgtoGg,IF('Net zero activities &amp; levers'!$C$14="On",Constants!$H77*'Net zero Activity data'!BP19*Constants!$H95*EF!$H220*MMVolatEF*NtoN2O*kgtoGg,"ERROR"))</f>
        <v>0.15957796848952543</v>
      </c>
      <c r="AY1199" s="85"/>
    </row>
    <row r="1200" spans="1:51" x14ac:dyDescent="0.25">
      <c r="A1200" s="102" t="str">
        <f t="shared" si="380"/>
        <v>CM MM Volatilisation</v>
      </c>
      <c r="B1200" s="102" t="s">
        <v>1323</v>
      </c>
      <c r="C1200" s="102" t="s">
        <v>1333</v>
      </c>
      <c r="D1200" t="s">
        <v>369</v>
      </c>
      <c r="E1200" t="s">
        <v>64</v>
      </c>
      <c r="F1200" t="s">
        <v>62</v>
      </c>
      <c r="G1200" t="s">
        <v>1183</v>
      </c>
      <c r="H1200" t="s">
        <v>1306</v>
      </c>
      <c r="I1200" t="s">
        <v>139</v>
      </c>
      <c r="J1200" t="s">
        <v>287</v>
      </c>
      <c r="K1200" s="101">
        <f>IF('Net zero activities &amp; levers'!$C$14="Off",Constants!$H78*'Activity data'!AD20*Constants!$H96*EF!$H221*MMVolatEF*NtoN2O*kgtoGg,IF('Net zero activities &amp; levers'!$C$14="On",Constants!$H78*'Net zero Activity data'!AD20*Constants!$H96*EF!$H221*MMVolatEF*NtoN2O*kgtoGg,"ERROR"))</f>
        <v>0.3124157271084777</v>
      </c>
      <c r="L1200" s="101">
        <f>IF('Net zero activities &amp; levers'!$C$14="Off",Constants!$H78*'Activity data'!AE20*Constants!$H96*EF!$H221*MMVolatEF*NtoN2O*kgtoGg,IF('Net zero activities &amp; levers'!$C$14="On",Constants!$H78*'Net zero Activity data'!AE20*Constants!$H96*EF!$H221*MMVolatEF*NtoN2O*kgtoGg,"ERROR"))</f>
        <v>0.31821414255231495</v>
      </c>
      <c r="M1200" s="101">
        <f>IF('Net zero activities &amp; levers'!$C$14="Off",Constants!$H78*'Activity data'!AF20*Constants!$H96*EF!$H221*MMVolatEF*NtoN2O*kgtoGg,IF('Net zero activities &amp; levers'!$C$14="On",Constants!$H78*'Net zero Activity data'!AF20*Constants!$H96*EF!$H221*MMVolatEF*NtoN2O*kgtoGg,"ERROR"))</f>
        <v>0.32201191440693633</v>
      </c>
      <c r="N1200" s="101">
        <f>IF('Net zero activities &amp; levers'!$C$14="Off",Constants!$H78*'Activity data'!AG20*Constants!$H96*EF!$H221*MMVolatEF*NtoN2O*kgtoGg,IF('Net zero activities &amp; levers'!$C$14="On",Constants!$H78*'Net zero Activity data'!AG20*Constants!$H96*EF!$H221*MMVolatEF*NtoN2O*kgtoGg,"ERROR"))</f>
        <v>0.3178348082585094</v>
      </c>
      <c r="O1200" s="101">
        <f>IF('Net zero activities &amp; levers'!$C$14="Off",Constants!$H78*'Activity data'!AH20*Constants!$H96*EF!$H221*MMVolatEF*NtoN2O*kgtoGg,IF('Net zero activities &amp; levers'!$C$14="On",Constants!$H78*'Net zero Activity data'!AH20*Constants!$H96*EF!$H221*MMVolatEF*NtoN2O*kgtoGg,"ERROR"))</f>
        <v>0.31378386599173785</v>
      </c>
      <c r="P1200" s="101">
        <f>IF('Net zero activities &amp; levers'!$C$14="Off",Constants!$H78*'Activity data'!AI20*Constants!$H96*EF!$H221*MMVolatEF*NtoN2O*kgtoGg,IF('Net zero activities &amp; levers'!$C$14="On",Constants!$H78*'Net zero Activity data'!AI20*Constants!$H96*EF!$H221*MMVolatEF*NtoN2O*kgtoGg,"ERROR"))</f>
        <v>0.31779798966820449</v>
      </c>
      <c r="Q1200" s="101">
        <f>IF('Net zero activities &amp; levers'!$C$14="Off",Constants!$H78*'Activity data'!AJ20*Constants!$H96*EF!$H221*MMVolatEF*NtoN2O*kgtoGg,IF('Net zero activities &amp; levers'!$C$14="On",Constants!$H78*'Net zero Activity data'!AJ20*Constants!$H96*EF!$H221*MMVolatEF*NtoN2O*kgtoGg,"ERROR"))</f>
        <v>0.31934474546532327</v>
      </c>
      <c r="R1200" s="101">
        <f>IF('Net zero activities &amp; levers'!$C$14="Off",Constants!$H78*'Activity data'!AK20*Constants!$H96*EF!$H221*MMVolatEF*NtoN2O*kgtoGg,IF('Net zero activities &amp; levers'!$C$14="On",Constants!$H78*'Net zero Activity data'!AK20*Constants!$H96*EF!$H221*MMVolatEF*NtoN2O*kgtoGg,"ERROR"))</f>
        <v>0.3122534460886785</v>
      </c>
      <c r="S1200" s="101">
        <f>IF('Net zero activities &amp; levers'!$C$14="Off",Constants!$H78*'Activity data'!AL20*Constants!$H96*EF!$H221*MMVolatEF*NtoN2O*kgtoGg,IF('Net zero activities &amp; levers'!$C$14="On",Constants!$H78*'Net zero Activity data'!AL20*Constants!$H96*EF!$H221*MMVolatEF*NtoN2O*kgtoGg,"ERROR"))</f>
        <v>0.26726842990845273</v>
      </c>
      <c r="T1200" s="101">
        <f>IF('Net zero activities &amp; levers'!$C$14="Off",Constants!$H78*'Activity data'!AM20*Constants!$H96*EF!$H221*MMVolatEF*NtoN2O*kgtoGg,IF('Net zero activities &amp; levers'!$C$14="On",Constants!$H78*'Net zero Activity data'!AM20*Constants!$H96*EF!$H221*MMVolatEF*NtoN2O*kgtoGg,"ERROR"))</f>
        <v>0.28149752379629178</v>
      </c>
      <c r="U1200" s="101">
        <f>IF('Net zero activities &amp; levers'!$C$14="Off",Constants!$H78*'Activity data'!AN20*Constants!$H96*EF!$H221*MMVolatEF*NtoN2O*kgtoGg,IF('Net zero activities &amp; levers'!$C$14="On",Constants!$H78*'Net zero Activity data'!AN20*Constants!$H96*EF!$H221*MMVolatEF*NtoN2O*kgtoGg,"ERROR"))</f>
        <v>0.29100109620111575</v>
      </c>
      <c r="V1200" s="101">
        <f>IF('Net zero activities &amp; levers'!$C$14="Off",Constants!$H78*'Activity data'!AO20*Constants!$H96*EF!$H221*MMVolatEF*NtoN2O*kgtoGg,IF('Net zero activities &amp; levers'!$C$14="On",Constants!$H78*'Net zero Activity data'!AO20*Constants!$H96*EF!$H221*MMVolatEF*NtoN2O*kgtoGg,"ERROR"))</f>
        <v>0.29943868908565568</v>
      </c>
      <c r="W1200" s="101">
        <f>IF('Net zero activities &amp; levers'!$C$14="Off",Constants!$H78*'Activity data'!AP20*Constants!$H96*EF!$H221*MMVolatEF*NtoN2O*kgtoGg,IF('Net zero activities &amp; levers'!$C$14="On",Constants!$H78*'Net zero Activity data'!AP20*Constants!$H96*EF!$H221*MMVolatEF*NtoN2O*kgtoGg,"ERROR"))</f>
        <v>0.30963619199798065</v>
      </c>
      <c r="X1200" s="101">
        <f>IF('Net zero activities &amp; levers'!$C$14="Off",Constants!$H78*'Activity data'!AQ20*Constants!$H96*EF!$H221*MMVolatEF*NtoN2O*kgtoGg,IF('Net zero activities &amp; levers'!$C$14="On",Constants!$H78*'Net zero Activity data'!AQ20*Constants!$H96*EF!$H221*MMVolatEF*NtoN2O*kgtoGg,"ERROR"))</f>
        <v>0.32594152478003718</v>
      </c>
      <c r="Y1200" s="101">
        <f>IF('Net zero activities &amp; levers'!$C$14="Off",Constants!$H78*'Activity data'!AR20*Constants!$H96*EF!$H221*MMVolatEF*NtoN2O*kgtoGg,IF('Net zero activities &amp; levers'!$C$14="On",Constants!$H78*'Net zero Activity data'!AR20*Constants!$H96*EF!$H221*MMVolatEF*NtoN2O*kgtoGg,"ERROR"))</f>
        <v>0.34417763201161744</v>
      </c>
      <c r="Z1200" s="101">
        <f>IF('Net zero activities &amp; levers'!$C$14="Off",Constants!$H78*'Activity data'!AS20*Constants!$H96*EF!$H221*MMVolatEF*NtoN2O*kgtoGg,IF('Net zero activities &amp; levers'!$C$14="On",Constants!$H78*'Net zero Activity data'!AS20*Constants!$H96*EF!$H221*MMVolatEF*NtoN2O*kgtoGg,"ERROR"))</f>
        <v>0.36400688785449525</v>
      </c>
      <c r="AA1200" s="101">
        <f>IF('Net zero activities &amp; levers'!$C$14="Off",Constants!$H78*'Activity data'!AT20*Constants!$H96*EF!$H221*MMVolatEF*NtoN2O*kgtoGg,IF('Net zero activities &amp; levers'!$C$14="On",Constants!$H78*'Net zero Activity data'!AT20*Constants!$H96*EF!$H221*MMVolatEF*NtoN2O*kgtoGg,"ERROR"))</f>
        <v>0.38140282158838484</v>
      </c>
      <c r="AB1200" s="101">
        <f>IF('Net zero activities &amp; levers'!$C$14="Off",Constants!$H78*'Activity data'!AU20*Constants!$H96*EF!$H221*MMVolatEF*NtoN2O*kgtoGg,IF('Net zero activities &amp; levers'!$C$14="On",Constants!$H78*'Net zero Activity data'!AU20*Constants!$H96*EF!$H221*MMVolatEF*NtoN2O*kgtoGg,"ERROR"))</f>
        <v>0.40166079626580675</v>
      </c>
      <c r="AC1200" s="101">
        <f>IF('Net zero activities &amp; levers'!$C$14="Off",Constants!$H78*'Activity data'!AV20*Constants!$H96*EF!$H221*MMVolatEF*NtoN2O*kgtoGg,IF('Net zero activities &amp; levers'!$C$14="On",Constants!$H78*'Net zero Activity data'!AV20*Constants!$H96*EF!$H221*MMVolatEF*NtoN2O*kgtoGg,"ERROR"))</f>
        <v>0.42545278577099055</v>
      </c>
      <c r="AD1200" s="101">
        <f>IF('Net zero activities &amp; levers'!$C$14="Off",Constants!$H78*'Activity data'!AW20*Constants!$H96*EF!$H221*MMVolatEF*NtoN2O*kgtoGg,IF('Net zero activities &amp; levers'!$C$14="On",Constants!$H78*'Net zero Activity data'!AW20*Constants!$H96*EF!$H221*MMVolatEF*NtoN2O*kgtoGg,"ERROR"))</f>
        <v>0.44904228664877921</v>
      </c>
      <c r="AE1200" s="101">
        <f>IF('Net zero activities &amp; levers'!$C$14="Off",Constants!$H78*'Activity data'!AX20*Constants!$H96*EF!$H221*MMVolatEF*NtoN2O*kgtoGg,IF('Net zero activities &amp; levers'!$C$14="On",Constants!$H78*'Net zero Activity data'!AX20*Constants!$H96*EF!$H221*MMVolatEF*NtoN2O*kgtoGg,"ERROR"))</f>
        <v>0.47378350482992165</v>
      </c>
      <c r="AF1200" s="101">
        <f>IF('Net zero activities &amp; levers'!$C$14="Off",Constants!$H78*'Activity data'!AY20*Constants!$H96*EF!$H221*MMVolatEF*NtoN2O*kgtoGg,IF('Net zero activities &amp; levers'!$C$14="On",Constants!$H78*'Net zero Activity data'!AY20*Constants!$H96*EF!$H221*MMVolatEF*NtoN2O*kgtoGg,"ERROR"))</f>
        <v>0.49912777283301984</v>
      </c>
      <c r="AG1200" s="101">
        <f>IF('Net zero activities &amp; levers'!$C$14="Off",Constants!$H78*'Activity data'!AZ20*Constants!$H96*EF!$H221*MMVolatEF*NtoN2O*kgtoGg,IF('Net zero activities &amp; levers'!$C$14="On",Constants!$H78*'Net zero Activity data'!AZ20*Constants!$H96*EF!$H221*MMVolatEF*NtoN2O*kgtoGg,"ERROR"))</f>
        <v>0.52750766269172011</v>
      </c>
      <c r="AH1200" s="101">
        <f>IF('Net zero activities &amp; levers'!$C$14="Off",Constants!$H78*'Activity data'!BA20*Constants!$H96*EF!$H221*MMVolatEF*NtoN2O*kgtoGg,IF('Net zero activities &amp; levers'!$C$14="On",Constants!$H78*'Net zero Activity data'!BA20*Constants!$H96*EF!$H221*MMVolatEF*NtoN2O*kgtoGg,"ERROR"))</f>
        <v>0.55255847654057766</v>
      </c>
      <c r="AI1200" s="101">
        <f>IF('Net zero activities &amp; levers'!$C$14="Off",Constants!$H78*'Activity data'!BB20*Constants!$H96*EF!$H221*MMVolatEF*NtoN2O*kgtoGg,IF('Net zero activities &amp; levers'!$C$14="On",Constants!$H78*'Net zero Activity data'!BB20*Constants!$H96*EF!$H221*MMVolatEF*NtoN2O*kgtoGg,"ERROR"))</f>
        <v>0.57952874869387505</v>
      </c>
      <c r="AJ1200" s="101">
        <f>IF('Net zero activities &amp; levers'!$C$14="Off",Constants!$H78*'Activity data'!BC20*Constants!$H96*EF!$H221*MMVolatEF*NtoN2O*kgtoGg,IF('Net zero activities &amp; levers'!$C$14="On",Constants!$H78*'Net zero Activity data'!BC20*Constants!$H96*EF!$H221*MMVolatEF*NtoN2O*kgtoGg,"ERROR"))</f>
        <v>0.60705604694210669</v>
      </c>
      <c r="AK1200" s="101">
        <f>IF('Net zero activities &amp; levers'!$C$14="Off",Constants!$H78*'Activity data'!BD20*Constants!$H96*EF!$H221*MMVolatEF*NtoN2O*kgtoGg,IF('Net zero activities &amp; levers'!$C$14="On",Constants!$H78*'Net zero Activity data'!BD20*Constants!$H96*EF!$H221*MMVolatEF*NtoN2O*kgtoGg,"ERROR"))</f>
        <v>0.63342452330576016</v>
      </c>
      <c r="AL1200" s="101">
        <f>IF('Net zero activities &amp; levers'!$C$14="Off",Constants!$H78*'Activity data'!BE20*Constants!$H96*EF!$H221*MMVolatEF*NtoN2O*kgtoGg,IF('Net zero activities &amp; levers'!$C$14="On",Constants!$H78*'Net zero Activity data'!BE20*Constants!$H96*EF!$H221*MMVolatEF*NtoN2O*kgtoGg,"ERROR"))</f>
        <v>0.6598004513834399</v>
      </c>
      <c r="AM1200" s="101">
        <f>IF('Net zero activities &amp; levers'!$C$14="Off",Constants!$H78*'Activity data'!BF20*Constants!$H96*EF!$H221*MMVolatEF*NtoN2O*kgtoGg,IF('Net zero activities &amp; levers'!$C$14="On",Constants!$H78*'Net zero Activity data'!BF20*Constants!$H96*EF!$H221*MMVolatEF*NtoN2O*kgtoGg,"ERROR"))</f>
        <v>0.68724062713814504</v>
      </c>
      <c r="AN1200" s="101">
        <f>IF('Net zero activities &amp; levers'!$C$14="Off",Constants!$H78*'Activity data'!BG20*Constants!$H96*EF!$H221*MMVolatEF*NtoN2O*kgtoGg,IF('Net zero activities &amp; levers'!$C$14="On",Constants!$H78*'Net zero Activity data'!BG20*Constants!$H96*EF!$H221*MMVolatEF*NtoN2O*kgtoGg,"ERROR"))</f>
        <v>0.71643669359531958</v>
      </c>
      <c r="AO1200" s="101">
        <f>IF('Net zero activities &amp; levers'!$C$14="Off",Constants!$H78*'Activity data'!BH20*Constants!$H96*EF!$H221*MMVolatEF*NtoN2O*kgtoGg,IF('Net zero activities &amp; levers'!$C$14="On",Constants!$H78*'Net zero Activity data'!BH20*Constants!$H96*EF!$H221*MMVolatEF*NtoN2O*kgtoGg,"ERROR"))</f>
        <v>0.74396899257921123</v>
      </c>
      <c r="AP1200" s="101">
        <f>IF('Net zero activities &amp; levers'!$C$14="Off",Constants!$H78*'Activity data'!BI20*Constants!$H96*EF!$H221*MMVolatEF*NtoN2O*kgtoGg,IF('Net zero activities &amp; levers'!$C$14="On",Constants!$H78*'Net zero Activity data'!BI20*Constants!$H96*EF!$H221*MMVolatEF*NtoN2O*kgtoGg,"ERROR"))</f>
        <v>0.77195107982069755</v>
      </c>
      <c r="AQ1200" s="101">
        <f>IF('Net zero activities &amp; levers'!$C$14="Off",Constants!$H78*'Activity data'!BJ20*Constants!$H96*EF!$H221*MMVolatEF*NtoN2O*kgtoGg,IF('Net zero activities &amp; levers'!$C$14="On",Constants!$H78*'Net zero Activity data'!BJ20*Constants!$H96*EF!$H221*MMVolatEF*NtoN2O*kgtoGg,"ERROR"))</f>
        <v>0.80043989002306049</v>
      </c>
      <c r="AR1200" s="101">
        <f>IF('Net zero activities &amp; levers'!$C$14="Off",Constants!$H78*'Activity data'!BK20*Constants!$H96*EF!$H221*MMVolatEF*NtoN2O*kgtoGg,IF('Net zero activities &amp; levers'!$C$14="On",Constants!$H78*'Net zero Activity data'!BK20*Constants!$H96*EF!$H221*MMVolatEF*NtoN2O*kgtoGg,"ERROR"))</f>
        <v>0.83095100019093759</v>
      </c>
      <c r="AS1200" s="101">
        <f>IF('Net zero activities &amp; levers'!$C$14="Off",Constants!$H78*'Activity data'!BL20*Constants!$H96*EF!$H221*MMVolatEF*NtoN2O*kgtoGg,IF('Net zero activities &amp; levers'!$C$14="On",Constants!$H78*'Net zero Activity data'!BL20*Constants!$H96*EF!$H221*MMVolatEF*NtoN2O*kgtoGg,"ERROR"))</f>
        <v>0.86256647353347826</v>
      </c>
      <c r="AT1200" s="101">
        <f>IF('Net zero activities &amp; levers'!$C$14="Off",Constants!$H78*'Activity data'!BM20*Constants!$H96*EF!$H221*MMVolatEF*NtoN2O*kgtoGg,IF('Net zero activities &amp; levers'!$C$14="On",Constants!$H78*'Net zero Activity data'!BM20*Constants!$H96*EF!$H221*MMVolatEF*NtoN2O*kgtoGg,"ERROR"))</f>
        <v>0.88017139678430001</v>
      </c>
      <c r="AU1200" s="101">
        <f>IF('Net zero activities &amp; levers'!$C$14="Off",Constants!$H78*'Activity data'!BN20*Constants!$H96*EF!$H221*MMVolatEF*NtoN2O*kgtoGg,IF('Net zero activities &amp; levers'!$C$14="On",Constants!$H78*'Net zero Activity data'!BN20*Constants!$H96*EF!$H221*MMVolatEF*NtoN2O*kgtoGg,"ERROR"))</f>
        <v>0.89684956854163267</v>
      </c>
      <c r="AV1200" s="101">
        <f>IF('Net zero activities &amp; levers'!$C$14="Off",Constants!$H78*'Activity data'!BO20*Constants!$H96*EF!$H221*MMVolatEF*NtoN2O*kgtoGg,IF('Net zero activities &amp; levers'!$C$14="On",Constants!$H78*'Net zero Activity data'!BO20*Constants!$H96*EF!$H221*MMVolatEF*NtoN2O*kgtoGg,"ERROR"))</f>
        <v>0.91550117653650265</v>
      </c>
      <c r="AW1200" s="101">
        <f>IF('Net zero activities &amp; levers'!$C$14="Off",Constants!$H78*'Activity data'!BP20*Constants!$H96*EF!$H221*MMVolatEF*NtoN2O*kgtoGg,IF('Net zero activities &amp; levers'!$C$14="On",Constants!$H78*'Net zero Activity data'!BP20*Constants!$H96*EF!$H221*MMVolatEF*NtoN2O*kgtoGg,"ERROR"))</f>
        <v>0.9333977526854218</v>
      </c>
      <c r="AY1200" s="85"/>
    </row>
    <row r="1201" spans="1:51" x14ac:dyDescent="0.25">
      <c r="A1201" s="102" t="str">
        <f t="shared" si="380"/>
        <v>CM MM Leaching</v>
      </c>
      <c r="B1201" s="102" t="s">
        <v>1323</v>
      </c>
      <c r="C1201" s="102" t="s">
        <v>1334</v>
      </c>
      <c r="D1201" t="s">
        <v>369</v>
      </c>
      <c r="E1201" t="s">
        <v>64</v>
      </c>
      <c r="F1201" t="s">
        <v>63</v>
      </c>
      <c r="G1201" t="s">
        <v>1153</v>
      </c>
      <c r="H1201" t="s">
        <v>1307</v>
      </c>
      <c r="I1201" t="s">
        <v>139</v>
      </c>
      <c r="J1201" t="s">
        <v>287</v>
      </c>
      <c r="K1201" s="101">
        <f>IF('Net zero activities &amp; levers'!$C$14="Off",Constants!$H63*'Activity data'!AD5*Constants!$H81*FracLEACHMM*MMLeachEF*NtoN2O*kgtoGg,IF('Net zero activities &amp; levers'!$C$14="On",Constants!$H63*'Net zero Activity data'!AD5*Constants!$H81*FracLEACHMM*MMLeachEF*NtoN2O*kgtoGg,"ERROR"))</f>
        <v>8.9301817319657029E-2</v>
      </c>
      <c r="L1201" s="101">
        <f>IF('Net zero activities &amp; levers'!$C$14="Off",Constants!$H63*'Activity data'!AE5*Constants!$H81*FracLEACHMM*MMLeachEF*NtoN2O*kgtoGg,IF('Net zero activities &amp; levers'!$C$14="On",Constants!$H63*'Net zero Activity data'!AE5*Constants!$H81*FracLEACHMM*MMLeachEF*NtoN2O*kgtoGg,"ERROR"))</f>
        <v>8.9904788204048389E-2</v>
      </c>
      <c r="M1201" s="101">
        <f>IF('Net zero activities &amp; levers'!$C$14="Off",Constants!$H63*'Activity data'!AF5*Constants!$H81*FracLEACHMM*MMLeachEF*NtoN2O*kgtoGg,IF('Net zero activities &amp; levers'!$C$14="On",Constants!$H63*'Net zero Activity data'!AF5*Constants!$H81*FracLEACHMM*MMLeachEF*NtoN2O*kgtoGg,"ERROR"))</f>
        <v>9.0432234991344826E-2</v>
      </c>
      <c r="N1201" s="101">
        <f>IF('Net zero activities &amp; levers'!$C$14="Off",Constants!$H63*'Activity data'!AG5*Constants!$H81*FracLEACHMM*MMLeachEF*NtoN2O*kgtoGg,IF('Net zero activities &amp; levers'!$C$14="On",Constants!$H63*'Net zero Activity data'!AG5*Constants!$H81*FracLEACHMM*MMLeachEF*NtoN2O*kgtoGg,"ERROR"))</f>
        <v>9.0500461338876806E-2</v>
      </c>
      <c r="O1201" s="101">
        <f>IF('Net zero activities &amp; levers'!$C$14="Off",Constants!$H63*'Activity data'!AH5*Constants!$H81*FracLEACHMM*MMLeachEF*NtoN2O*kgtoGg,IF('Net zero activities &amp; levers'!$C$14="On",Constants!$H63*'Net zero Activity data'!AH5*Constants!$H81*FracLEACHMM*MMLeachEF*NtoN2O*kgtoGg,"ERROR"))</f>
        <v>9.0617974533052939E-2</v>
      </c>
      <c r="P1201" s="101">
        <f>IF('Net zero activities &amp; levers'!$C$14="Off",Constants!$H63*'Activity data'!AI5*Constants!$H81*FracLEACHMM*MMLeachEF*NtoN2O*kgtoGg,IF('Net zero activities &amp; levers'!$C$14="On",Constants!$H63*'Net zero Activity data'!AI5*Constants!$H81*FracLEACHMM*MMLeachEF*NtoN2O*kgtoGg,"ERROR"))</f>
        <v>9.1292243565634368E-2</v>
      </c>
      <c r="Q1201" s="101">
        <f>IF('Net zero activities &amp; levers'!$C$14="Off",Constants!$H63*'Activity data'!AJ5*Constants!$H81*FracLEACHMM*MMLeachEF*NtoN2O*kgtoGg,IF('Net zero activities &amp; levers'!$C$14="On",Constants!$H63*'Net zero Activity data'!AJ5*Constants!$H81*FracLEACHMM*MMLeachEF*NtoN2O*kgtoGg,"ERROR"))</f>
        <v>9.1831411898207801E-2</v>
      </c>
      <c r="R1201" s="101">
        <f>IF('Net zero activities &amp; levers'!$C$14="Off",Constants!$H63*'Activity data'!AK5*Constants!$H81*FracLEACHMM*MMLeachEF*NtoN2O*kgtoGg,IF('Net zero activities &amp; levers'!$C$14="On",Constants!$H63*'Net zero Activity data'!AK5*Constants!$H81*FracLEACHMM*MMLeachEF*NtoN2O*kgtoGg,"ERROR"))</f>
        <v>9.1836139358568436E-2</v>
      </c>
      <c r="S1201" s="101">
        <f>IF('Net zero activities &amp; levers'!$C$14="Off",Constants!$H63*'Activity data'!AL5*Constants!$H81*FracLEACHMM*MMLeachEF*NtoN2O*kgtoGg,IF('Net zero activities &amp; levers'!$C$14="On",Constants!$H63*'Net zero Activity data'!AL5*Constants!$H81*FracLEACHMM*MMLeachEF*NtoN2O*kgtoGg,"ERROR"))</f>
        <v>8.9403055409342513E-2</v>
      </c>
      <c r="T1201" s="101">
        <f>IF('Net zero activities &amp; levers'!$C$14="Off",Constants!$H63*'Activity data'!AM5*Constants!$H81*FracLEACHMM*MMLeachEF*NtoN2O*kgtoGg,IF('Net zero activities &amp; levers'!$C$14="On",Constants!$H63*'Net zero Activity data'!AM5*Constants!$H81*FracLEACHMM*MMLeachEF*NtoN2O*kgtoGg,"ERROR"))</f>
        <v>8.9853837076661641E-2</v>
      </c>
      <c r="U1201" s="101">
        <f>IF('Net zero activities &amp; levers'!$C$14="Off",Constants!$H63*'Activity data'!AN5*Constants!$H81*FracLEACHMM*MMLeachEF*NtoN2O*kgtoGg,IF('Net zero activities &amp; levers'!$C$14="On",Constants!$H63*'Net zero Activity data'!AN5*Constants!$H81*FracLEACHMM*MMLeachEF*NtoN2O*kgtoGg,"ERROR"))</f>
        <v>9.0004737832703061E-2</v>
      </c>
      <c r="V1201" s="101">
        <f>IF('Net zero activities &amp; levers'!$C$14="Off",Constants!$H63*'Activity data'!AO5*Constants!$H81*FracLEACHMM*MMLeachEF*NtoN2O*kgtoGg,IF('Net zero activities &amp; levers'!$C$14="On",Constants!$H63*'Net zero Activity data'!AO5*Constants!$H81*FracLEACHMM*MMLeachEF*NtoN2O*kgtoGg,"ERROR"))</f>
        <v>9.0092316618185078E-2</v>
      </c>
      <c r="W1201" s="101">
        <f>IF('Net zero activities &amp; levers'!$C$14="Off",Constants!$H63*'Activity data'!AP5*Constants!$H81*FracLEACHMM*MMLeachEF*NtoN2O*kgtoGg,IF('Net zero activities &amp; levers'!$C$14="On",Constants!$H63*'Net zero Activity data'!AP5*Constants!$H81*FracLEACHMM*MMLeachEF*NtoN2O*kgtoGg,"ERROR"))</f>
        <v>9.0296098916643516E-2</v>
      </c>
      <c r="X1201" s="101">
        <f>IF('Net zero activities &amp; levers'!$C$14="Off",Constants!$H63*'Activity data'!AQ5*Constants!$H81*FracLEACHMM*MMLeachEF*NtoN2O*kgtoGg,IF('Net zero activities &amp; levers'!$C$14="On",Constants!$H63*'Net zero Activity data'!AQ5*Constants!$H81*FracLEACHMM*MMLeachEF*NtoN2O*kgtoGg,"ERROR"))</f>
        <v>9.0888785211794637E-2</v>
      </c>
      <c r="Y1201" s="101">
        <f>IF('Net zero activities &amp; levers'!$C$14="Off",Constants!$H63*'Activity data'!AR5*Constants!$H81*FracLEACHMM*MMLeachEF*NtoN2O*kgtoGg,IF('Net zero activities &amp; levers'!$C$14="On",Constants!$H63*'Net zero Activity data'!AR5*Constants!$H81*FracLEACHMM*MMLeachEF*NtoN2O*kgtoGg,"ERROR"))</f>
        <v>9.1513749286867813E-2</v>
      </c>
      <c r="Z1201" s="101">
        <f>IF('Net zero activities &amp; levers'!$C$14="Off",Constants!$H63*'Activity data'!AS5*Constants!$H81*FracLEACHMM*MMLeachEF*NtoN2O*kgtoGg,IF('Net zero activities &amp; levers'!$C$14="On",Constants!$H63*'Net zero Activity data'!AS5*Constants!$H81*FracLEACHMM*MMLeachEF*NtoN2O*kgtoGg,"ERROR"))</f>
        <v>9.2233674517820691E-2</v>
      </c>
      <c r="AA1201" s="101">
        <f>IF('Net zero activities &amp; levers'!$C$14="Off",Constants!$H63*'Activity data'!AT5*Constants!$H81*FracLEACHMM*MMLeachEF*NtoN2O*kgtoGg,IF('Net zero activities &amp; levers'!$C$14="On",Constants!$H63*'Net zero Activity data'!AT5*Constants!$H81*FracLEACHMM*MMLeachEF*NtoN2O*kgtoGg,"ERROR"))</f>
        <v>9.2794604576419068E-2</v>
      </c>
      <c r="AB1201" s="101">
        <f>IF('Net zero activities &amp; levers'!$C$14="Off",Constants!$H63*'Activity data'!AU5*Constants!$H81*FracLEACHMM*MMLeachEF*NtoN2O*kgtoGg,IF('Net zero activities &amp; levers'!$C$14="On",Constants!$H63*'Net zero Activity data'!AU5*Constants!$H81*FracLEACHMM*MMLeachEF*NtoN2O*kgtoGg,"ERROR"))</f>
        <v>9.3526600011856906E-2</v>
      </c>
      <c r="AC1201" s="101">
        <f>IF('Net zero activities &amp; levers'!$C$14="Off",Constants!$H63*'Activity data'!AV5*Constants!$H81*FracLEACHMM*MMLeachEF*NtoN2O*kgtoGg,IF('Net zero activities &amp; levers'!$C$14="On",Constants!$H63*'Net zero Activity data'!AV5*Constants!$H81*FracLEACHMM*MMLeachEF*NtoN2O*kgtoGg,"ERROR"))</f>
        <v>9.4467284840718646E-2</v>
      </c>
      <c r="AD1201" s="101">
        <f>IF('Net zero activities &amp; levers'!$C$14="Off",Constants!$H63*'Activity data'!AW5*Constants!$H81*FracLEACHMM*MMLeachEF*NtoN2O*kgtoGg,IF('Net zero activities &amp; levers'!$C$14="On",Constants!$H63*'Net zero Activity data'!AW5*Constants!$H81*FracLEACHMM*MMLeachEF*NtoN2O*kgtoGg,"ERROR"))</f>
        <v>9.5992399278593599E-2</v>
      </c>
      <c r="AE1201" s="101">
        <f>IF('Net zero activities &amp; levers'!$C$14="Off",Constants!$H63*'Activity data'!AX5*Constants!$H81*FracLEACHMM*MMLeachEF*NtoN2O*kgtoGg,IF('Net zero activities &amp; levers'!$C$14="On",Constants!$H63*'Net zero Activity data'!AX5*Constants!$H81*FracLEACHMM*MMLeachEF*NtoN2O*kgtoGg,"ERROR"))</f>
        <v>9.7599426450737645E-2</v>
      </c>
      <c r="AF1201" s="101">
        <f>IF('Net zero activities &amp; levers'!$C$14="Off",Constants!$H63*'Activity data'!AY5*Constants!$H81*FracLEACHMM*MMLeachEF*NtoN2O*kgtoGg,IF('Net zero activities &amp; levers'!$C$14="On",Constants!$H63*'Net zero Activity data'!AY5*Constants!$H81*FracLEACHMM*MMLeachEF*NtoN2O*kgtoGg,"ERROR"))</f>
        <v>9.9254092779043387E-2</v>
      </c>
      <c r="AG1201" s="101">
        <f>IF('Net zero activities &amp; levers'!$C$14="Off",Constants!$H63*'Activity data'!AZ5*Constants!$H81*FracLEACHMM*MMLeachEF*NtoN2O*kgtoGg,IF('Net zero activities &amp; levers'!$C$14="On",Constants!$H63*'Net zero Activity data'!AZ5*Constants!$H81*FracLEACHMM*MMLeachEF*NtoN2O*kgtoGg,"ERROR"))</f>
        <v>0.1011069826205645</v>
      </c>
      <c r="AH1201" s="101">
        <f>IF('Net zero activities &amp; levers'!$C$14="Off",Constants!$H63*'Activity data'!BA5*Constants!$H81*FracLEACHMM*MMLeachEF*NtoN2O*kgtoGg,IF('Net zero activities &amp; levers'!$C$14="On",Constants!$H63*'Net zero Activity data'!BA5*Constants!$H81*FracLEACHMM*MMLeachEF*NtoN2O*kgtoGg,"ERROR"))</f>
        <v>0.10276284809188103</v>
      </c>
      <c r="AI1201" s="101">
        <f>IF('Net zero activities &amp; levers'!$C$14="Off",Constants!$H63*'Activity data'!BB5*Constants!$H81*FracLEACHMM*MMLeachEF*NtoN2O*kgtoGg,IF('Net zero activities &amp; levers'!$C$14="On",Constants!$H63*'Net zero Activity data'!BB5*Constants!$H81*FracLEACHMM*MMLeachEF*NtoN2O*kgtoGg,"ERROR"))</f>
        <v>0.10448385950273555</v>
      </c>
      <c r="AJ1201" s="101">
        <f>IF('Net zero activities &amp; levers'!$C$14="Off",Constants!$H63*'Activity data'!BC5*Constants!$H81*FracLEACHMM*MMLeachEF*NtoN2O*kgtoGg,IF('Net zero activities &amp; levers'!$C$14="On",Constants!$H63*'Net zero Activity data'!BC5*Constants!$H81*FracLEACHMM*MMLeachEF*NtoN2O*kgtoGg,"ERROR"))</f>
        <v>0.10624796513610275</v>
      </c>
      <c r="AK1201" s="101">
        <f>IF('Net zero activities &amp; levers'!$C$14="Off",Constants!$H63*'Activity data'!BD5*Constants!$H81*FracLEACHMM*MMLeachEF*NtoN2O*kgtoGg,IF('Net zero activities &amp; levers'!$C$14="On",Constants!$H63*'Net zero Activity data'!BD5*Constants!$H81*FracLEACHMM*MMLeachEF*NtoN2O*kgtoGg,"ERROR"))</f>
        <v>0.10794790342656081</v>
      </c>
      <c r="AL1201" s="101">
        <f>IF('Net zero activities &amp; levers'!$C$14="Off",Constants!$H63*'Activity data'!BE5*Constants!$H81*FracLEACHMM*MMLeachEF*NtoN2O*kgtoGg,IF('Net zero activities &amp; levers'!$C$14="On",Constants!$H63*'Net zero Activity data'!BE5*Constants!$H81*FracLEACHMM*MMLeachEF*NtoN2O*kgtoGg,"ERROR"))</f>
        <v>0.10965583483948149</v>
      </c>
      <c r="AM1201" s="101">
        <f>IF('Net zero activities &amp; levers'!$C$14="Off",Constants!$H63*'Activity data'!BF5*Constants!$H81*FracLEACHMM*MMLeachEF*NtoN2O*kgtoGg,IF('Net zero activities &amp; levers'!$C$14="On",Constants!$H63*'Net zero Activity data'!BF5*Constants!$H81*FracLEACHMM*MMLeachEF*NtoN2O*kgtoGg,"ERROR"))</f>
        <v>0.11143740616132826</v>
      </c>
      <c r="AN1201" s="101">
        <f>IF('Net zero activities &amp; levers'!$C$14="Off",Constants!$H63*'Activity data'!BG5*Constants!$H81*FracLEACHMM*MMLeachEF*NtoN2O*kgtoGg,IF('Net zero activities &amp; levers'!$C$14="On",Constants!$H63*'Net zero Activity data'!BG5*Constants!$H81*FracLEACHMM*MMLeachEF*NtoN2O*kgtoGg,"ERROR"))</f>
        <v>0.11327736032258968</v>
      </c>
      <c r="AO1201" s="101">
        <f>IF('Net zero activities &amp; levers'!$C$14="Off",Constants!$H63*'Activity data'!BH5*Constants!$H81*FracLEACHMM*MMLeachEF*NtoN2O*kgtoGg,IF('Net zero activities &amp; levers'!$C$14="On",Constants!$H63*'Net zero Activity data'!BH5*Constants!$H81*FracLEACHMM*MMLeachEF*NtoN2O*kgtoGg,"ERROR"))</f>
        <v>0.11501984048188811</v>
      </c>
      <c r="AP1201" s="101">
        <f>IF('Net zero activities &amp; levers'!$C$14="Off",Constants!$H63*'Activity data'!BI5*Constants!$H81*FracLEACHMM*MMLeachEF*NtoN2O*kgtoGg,IF('Net zero activities &amp; levers'!$C$14="On",Constants!$H63*'Net zero Activity data'!BI5*Constants!$H81*FracLEACHMM*MMLeachEF*NtoN2O*kgtoGg,"ERROR"))</f>
        <v>0.11679661277125378</v>
      </c>
      <c r="AQ1201" s="101">
        <f>IF('Net zero activities &amp; levers'!$C$14="Off",Constants!$H63*'Activity data'!BJ5*Constants!$H81*FracLEACHMM*MMLeachEF*NtoN2O*kgtoGg,IF('Net zero activities &amp; levers'!$C$14="On",Constants!$H63*'Net zero Activity data'!BJ5*Constants!$H81*FracLEACHMM*MMLeachEF*NtoN2O*kgtoGg,"ERROR"))</f>
        <v>0.11861101470741885</v>
      </c>
      <c r="AR1201" s="101">
        <f>IF('Net zero activities &amp; levers'!$C$14="Off",Constants!$H63*'Activity data'!BK5*Constants!$H81*FracLEACHMM*MMLeachEF*NtoN2O*kgtoGg,IF('Net zero activities &amp; levers'!$C$14="On",Constants!$H63*'Net zero Activity data'!BK5*Constants!$H81*FracLEACHMM*MMLeachEF*NtoN2O*kgtoGg,"ERROR"))</f>
        <v>0.12055790640879982</v>
      </c>
      <c r="AS1201" s="101">
        <f>IF('Net zero activities &amp; levers'!$C$14="Off",Constants!$H63*'Activity data'!BL5*Constants!$H81*FracLEACHMM*MMLeachEF*NtoN2O*kgtoGg,IF('Net zero activities &amp; levers'!$C$14="On",Constants!$H63*'Net zero Activity data'!BL5*Constants!$H81*FracLEACHMM*MMLeachEF*NtoN2O*kgtoGg,"ERROR"))</f>
        <v>0.12252119463661891</v>
      </c>
      <c r="AT1201" s="101">
        <f>IF('Net zero activities &amp; levers'!$C$14="Off",Constants!$H63*'Activity data'!BM5*Constants!$H81*FracLEACHMM*MMLeachEF*NtoN2O*kgtoGg,IF('Net zero activities &amp; levers'!$C$14="On",Constants!$H63*'Net zero Activity data'!BM5*Constants!$H81*FracLEACHMM*MMLeachEF*NtoN2O*kgtoGg,"ERROR"))</f>
        <v>0.12360955750326327</v>
      </c>
      <c r="AU1201" s="101">
        <f>IF('Net zero activities &amp; levers'!$C$14="Off",Constants!$H63*'Activity data'!BN5*Constants!$H81*FracLEACHMM*MMLeachEF*NtoN2O*kgtoGg,IF('Net zero activities &amp; levers'!$C$14="On",Constants!$H63*'Net zero Activity data'!BN5*Constants!$H81*FracLEACHMM*MMLeachEF*NtoN2O*kgtoGg,"ERROR"))</f>
        <v>0.12464341218196845</v>
      </c>
      <c r="AV1201" s="101">
        <f>IF('Net zero activities &amp; levers'!$C$14="Off",Constants!$H63*'Activity data'!BO5*Constants!$H81*FracLEACHMM*MMLeachEF*NtoN2O*kgtoGg,IF('Net zero activities &amp; levers'!$C$14="On",Constants!$H63*'Net zero Activity data'!BO5*Constants!$H81*FracLEACHMM*MMLeachEF*NtoN2O*kgtoGg,"ERROR"))</f>
        <v>0.12580490805174577</v>
      </c>
      <c r="AW1201" s="101">
        <f>IF('Net zero activities &amp; levers'!$C$14="Off",Constants!$H63*'Activity data'!BP5*Constants!$H81*FracLEACHMM*MMLeachEF*NtoN2O*kgtoGg,IF('Net zero activities &amp; levers'!$C$14="On",Constants!$H63*'Net zero Activity data'!BP5*Constants!$H81*FracLEACHMM*MMLeachEF*NtoN2O*kgtoGg,"ERROR"))</f>
        <v>0.12692234865501834</v>
      </c>
      <c r="AY1201" s="85"/>
    </row>
    <row r="1202" spans="1:51" x14ac:dyDescent="0.25">
      <c r="A1202" s="102" t="str">
        <f t="shared" si="380"/>
        <v>CM MM Leaching</v>
      </c>
      <c r="B1202" s="102" t="s">
        <v>1323</v>
      </c>
      <c r="C1202" s="102" t="s">
        <v>1334</v>
      </c>
      <c r="D1202" t="s">
        <v>369</v>
      </c>
      <c r="E1202" t="s">
        <v>64</v>
      </c>
      <c r="F1202" t="s">
        <v>63</v>
      </c>
      <c r="G1202" t="s">
        <v>1155</v>
      </c>
      <c r="H1202" t="s">
        <v>1308</v>
      </c>
      <c r="I1202" t="s">
        <v>139</v>
      </c>
      <c r="J1202" t="s">
        <v>287</v>
      </c>
      <c r="K1202" s="101">
        <f>IF('Net zero activities &amp; levers'!$C$14="Off",Constants!$H64*'Activity data'!AD6*Constants!$H82*FracLEACHMM*MMLeachEF*NtoN2O*kgtoGg,IF('Net zero activities &amp; levers'!$C$14="On",Constants!$H64*'Net zero Activity data'!AD6*Constants!$H82*FracLEACHMM*MMLeachEF*NtoN2O*kgtoGg,"ERROR"))</f>
        <v>2.69668832410737E-2</v>
      </c>
      <c r="L1202" s="101">
        <f>IF('Net zero activities &amp; levers'!$C$14="Off",Constants!$H64*'Activity data'!AE6*Constants!$H82*FracLEACHMM*MMLeachEF*NtoN2O*kgtoGg,IF('Net zero activities &amp; levers'!$C$14="On",Constants!$H64*'Net zero Activity data'!AE6*Constants!$H82*FracLEACHMM*MMLeachEF*NtoN2O*kgtoGg,"ERROR"))</f>
        <v>2.7148965150772641E-2</v>
      </c>
      <c r="M1202" s="101">
        <f>IF('Net zero activities &amp; levers'!$C$14="Off",Constants!$H64*'Activity data'!AF6*Constants!$H82*FracLEACHMM*MMLeachEF*NtoN2O*kgtoGg,IF('Net zero activities &amp; levers'!$C$14="On",Constants!$H64*'Net zero Activity data'!AF6*Constants!$H82*FracLEACHMM*MMLeachEF*NtoN2O*kgtoGg,"ERROR"))</f>
        <v>2.730824069919725E-2</v>
      </c>
      <c r="N1202" s="101">
        <f>IF('Net zero activities &amp; levers'!$C$14="Off",Constants!$H64*'Activity data'!AG6*Constants!$H82*FracLEACHMM*MMLeachEF*NtoN2O*kgtoGg,IF('Net zero activities &amp; levers'!$C$14="On",Constants!$H64*'Net zero Activity data'!AG6*Constants!$H82*FracLEACHMM*MMLeachEF*NtoN2O*kgtoGg,"ERROR"))</f>
        <v>2.7328843325247671E-2</v>
      </c>
      <c r="O1202" s="101">
        <f>IF('Net zero activities &amp; levers'!$C$14="Off",Constants!$H64*'Activity data'!AH6*Constants!$H82*FracLEACHMM*MMLeachEF*NtoN2O*kgtoGg,IF('Net zero activities &amp; levers'!$C$14="On",Constants!$H64*'Net zero Activity data'!AH6*Constants!$H82*FracLEACHMM*MMLeachEF*NtoN2O*kgtoGg,"ERROR"))</f>
        <v>2.7364329328576024E-2</v>
      </c>
      <c r="P1202" s="101">
        <f>IF('Net zero activities &amp; levers'!$C$14="Off",Constants!$H64*'Activity data'!AI6*Constants!$H82*FracLEACHMM*MMLeachEF*NtoN2O*kgtoGg,IF('Net zero activities &amp; levers'!$C$14="On",Constants!$H64*'Net zero Activity data'!AI6*Constants!$H82*FracLEACHMM*MMLeachEF*NtoN2O*kgtoGg,"ERROR"))</f>
        <v>2.756794147019246E-2</v>
      </c>
      <c r="Q1202" s="101">
        <f>IF('Net zero activities &amp; levers'!$C$14="Off",Constants!$H64*'Activity data'!AJ6*Constants!$H82*FracLEACHMM*MMLeachEF*NtoN2O*kgtoGg,IF('Net zero activities &amp; levers'!$C$14="On",Constants!$H64*'Net zero Activity data'!AJ6*Constants!$H82*FracLEACHMM*MMLeachEF*NtoN2O*kgtoGg,"ERROR"))</f>
        <v>2.7730756627914813E-2</v>
      </c>
      <c r="R1202" s="101">
        <f>IF('Net zero activities &amp; levers'!$C$14="Off",Constants!$H64*'Activity data'!AK6*Constants!$H82*FracLEACHMM*MMLeachEF*NtoN2O*kgtoGg,IF('Net zero activities &amp; levers'!$C$14="On",Constants!$H64*'Net zero Activity data'!AK6*Constants!$H82*FracLEACHMM*MMLeachEF*NtoN2O*kgtoGg,"ERROR"))</f>
        <v>2.7732184201007922E-2</v>
      </c>
      <c r="S1202" s="101">
        <f>IF('Net zero activities &amp; levers'!$C$14="Off",Constants!$H64*'Activity data'!AL6*Constants!$H82*FracLEACHMM*MMLeachEF*NtoN2O*kgtoGg,IF('Net zero activities &amp; levers'!$C$14="On",Constants!$H64*'Net zero Activity data'!AL6*Constants!$H82*FracLEACHMM*MMLeachEF*NtoN2O*kgtoGg,"ERROR"))</f>
        <v>2.6997454575745719E-2</v>
      </c>
      <c r="T1202" s="101">
        <f>IF('Net zero activities &amp; levers'!$C$14="Off",Constants!$H64*'Activity data'!AM6*Constants!$H82*FracLEACHMM*MMLeachEF*NtoN2O*kgtoGg,IF('Net zero activities &amp; levers'!$C$14="On",Constants!$H64*'Net zero Activity data'!AM6*Constants!$H82*FracLEACHMM*MMLeachEF*NtoN2O*kgtoGg,"ERROR"))</f>
        <v>2.7133579202933297E-2</v>
      </c>
      <c r="U1202" s="101">
        <f>IF('Net zero activities &amp; levers'!$C$14="Off",Constants!$H64*'Activity data'!AN6*Constants!$H82*FracLEACHMM*MMLeachEF*NtoN2O*kgtoGg,IF('Net zero activities &amp; levers'!$C$14="On",Constants!$H64*'Net zero Activity data'!AN6*Constants!$H82*FracLEACHMM*MMLeachEF*NtoN2O*kgtoGg,"ERROR"))</f>
        <v>2.7179147402901629E-2</v>
      </c>
      <c r="V1202" s="101">
        <f>IF('Net zero activities &amp; levers'!$C$14="Off",Constants!$H64*'Activity data'!AO6*Constants!$H82*FracLEACHMM*MMLeachEF*NtoN2O*kgtoGg,IF('Net zero activities &amp; levers'!$C$14="On",Constants!$H64*'Net zero Activity data'!AO6*Constants!$H82*FracLEACHMM*MMLeachEF*NtoN2O*kgtoGg,"ERROR"))</f>
        <v>2.7205593974241105E-2</v>
      </c>
      <c r="W1202" s="101">
        <f>IF('Net zero activities &amp; levers'!$C$14="Off",Constants!$H64*'Activity data'!AP6*Constants!$H82*FracLEACHMM*MMLeachEF*NtoN2O*kgtoGg,IF('Net zero activities &amp; levers'!$C$14="On",Constants!$H64*'Net zero Activity data'!AP6*Constants!$H82*FracLEACHMM*MMLeachEF*NtoN2O*kgtoGg,"ERROR"))</f>
        <v>2.7267131058413264E-2</v>
      </c>
      <c r="X1202" s="101">
        <f>IF('Net zero activities &amp; levers'!$C$14="Off",Constants!$H64*'Activity data'!AQ6*Constants!$H82*FracLEACHMM*MMLeachEF*NtoN2O*kgtoGg,IF('Net zero activities &amp; levers'!$C$14="On",Constants!$H64*'Net zero Activity data'!AQ6*Constants!$H82*FracLEACHMM*MMLeachEF*NtoN2O*kgtoGg,"ERROR"))</f>
        <v>2.7446107283081948E-2</v>
      </c>
      <c r="Y1202" s="101">
        <f>IF('Net zero activities &amp; levers'!$C$14="Off",Constants!$H64*'Activity data'!AR6*Constants!$H82*FracLEACHMM*MMLeachEF*NtoN2O*kgtoGg,IF('Net zero activities &amp; levers'!$C$14="On",Constants!$H64*'Net zero Activity data'!AR6*Constants!$H82*FracLEACHMM*MMLeachEF*NtoN2O*kgtoGg,"ERROR"))</f>
        <v>2.7634830578398963E-2</v>
      </c>
      <c r="Z1202" s="101">
        <f>IF('Net zero activities &amp; levers'!$C$14="Off",Constants!$H64*'Activity data'!AS6*Constants!$H82*FracLEACHMM*MMLeachEF*NtoN2O*kgtoGg,IF('Net zero activities &amp; levers'!$C$14="On",Constants!$H64*'Net zero Activity data'!AS6*Constants!$H82*FracLEACHMM*MMLeachEF*NtoN2O*kgtoGg,"ERROR"))</f>
        <v>2.7852229733624626E-2</v>
      </c>
      <c r="AA1202" s="101">
        <f>IF('Net zero activities &amp; levers'!$C$14="Off",Constants!$H64*'Activity data'!AT6*Constants!$H82*FracLEACHMM*MMLeachEF*NtoN2O*kgtoGg,IF('Net zero activities &amp; levers'!$C$14="On",Constants!$H64*'Net zero Activity data'!AT6*Constants!$H82*FracLEACHMM*MMLeachEF*NtoN2O*kgtoGg,"ERROR"))</f>
        <v>2.8021616380510938E-2</v>
      </c>
      <c r="AB1202" s="101">
        <f>IF('Net zero activities &amp; levers'!$C$14="Off",Constants!$H64*'Activity data'!AU6*Constants!$H82*FracLEACHMM*MMLeachEF*NtoN2O*kgtoGg,IF('Net zero activities &amp; levers'!$C$14="On",Constants!$H64*'Net zero Activity data'!AU6*Constants!$H82*FracLEACHMM*MMLeachEF*NtoN2O*kgtoGg,"ERROR"))</f>
        <v>2.8242660431269641E-2</v>
      </c>
      <c r="AC1202" s="101">
        <f>IF('Net zero activities &amp; levers'!$C$14="Off",Constants!$H64*'Activity data'!AV6*Constants!$H82*FracLEACHMM*MMLeachEF*NtoN2O*kgtoGg,IF('Net zero activities &amp; levers'!$C$14="On",Constants!$H64*'Net zero Activity data'!AV6*Constants!$H82*FracLEACHMM*MMLeachEF*NtoN2O*kgtoGg,"ERROR"))</f>
        <v>2.8526723384386957E-2</v>
      </c>
      <c r="AD1202" s="101">
        <f>IF('Net zero activities &amp; levers'!$C$14="Off",Constants!$H64*'Activity data'!AW6*Constants!$H82*FracLEACHMM*MMLeachEF*NtoN2O*kgtoGg,IF('Net zero activities &amp; levers'!$C$14="On",Constants!$H64*'Net zero Activity data'!AW6*Constants!$H82*FracLEACHMM*MMLeachEF*NtoN2O*kgtoGg,"ERROR"))</f>
        <v>2.8987269252431634E-2</v>
      </c>
      <c r="AE1202" s="101">
        <f>IF('Net zero activities &amp; levers'!$C$14="Off",Constants!$H64*'Activity data'!AX6*Constants!$H82*FracLEACHMM*MMLeachEF*NtoN2O*kgtoGg,IF('Net zero activities &amp; levers'!$C$14="On",Constants!$H64*'Net zero Activity data'!AX6*Constants!$H82*FracLEACHMM*MMLeachEF*NtoN2O*kgtoGg,"ERROR"))</f>
        <v>2.9472550688097367E-2</v>
      </c>
      <c r="AF1202" s="101">
        <f>IF('Net zero activities &amp; levers'!$C$14="Off",Constants!$H64*'Activity data'!AY6*Constants!$H82*FracLEACHMM*MMLeachEF*NtoN2O*kgtoGg,IF('Net zero activities &amp; levers'!$C$14="On",Constants!$H64*'Net zero Activity data'!AY6*Constants!$H82*FracLEACHMM*MMLeachEF*NtoN2O*kgtoGg,"ERROR"))</f>
        <v>2.9972217940317274E-2</v>
      </c>
      <c r="AG1202" s="101">
        <f>IF('Net zero activities &amp; levers'!$C$14="Off",Constants!$H64*'Activity data'!AZ6*Constants!$H82*FracLEACHMM*MMLeachEF*NtoN2O*kgtoGg,IF('Net zero activities &amp; levers'!$C$14="On",Constants!$H64*'Net zero Activity data'!AZ6*Constants!$H82*FracLEACHMM*MMLeachEF*NtoN2O*kgtoGg,"ERROR"))</f>
        <v>3.0531743664592451E-2</v>
      </c>
      <c r="AH1202" s="101">
        <f>IF('Net zero activities &amp; levers'!$C$14="Off",Constants!$H64*'Activity data'!BA6*Constants!$H82*FracLEACHMM*MMLeachEF*NtoN2O*kgtoGg,IF('Net zero activities &amp; levers'!$C$14="On",Constants!$H64*'Net zero Activity data'!BA6*Constants!$H82*FracLEACHMM*MMLeachEF*NtoN2O*kgtoGg,"ERROR"))</f>
        <v>3.1031773027579337E-2</v>
      </c>
      <c r="AI1202" s="101">
        <f>IF('Net zero activities &amp; levers'!$C$14="Off",Constants!$H64*'Activity data'!BB6*Constants!$H82*FracLEACHMM*MMLeachEF*NtoN2O*kgtoGg,IF('Net zero activities &amp; levers'!$C$14="On",Constants!$H64*'Net zero Activity data'!BB6*Constants!$H82*FracLEACHMM*MMLeachEF*NtoN2O*kgtoGg,"ERROR"))</f>
        <v>3.1551474811552467E-2</v>
      </c>
      <c r="AJ1202" s="101">
        <f>IF('Net zero activities &amp; levers'!$C$14="Off",Constants!$H64*'Activity data'!BC6*Constants!$H82*FracLEACHMM*MMLeachEF*NtoN2O*kgtoGg,IF('Net zero activities &amp; levers'!$C$14="On",Constants!$H64*'Net zero Activity data'!BC6*Constants!$H82*FracLEACHMM*MMLeachEF*NtoN2O*kgtoGg,"ERROR"))</f>
        <v>3.2084189957422883E-2</v>
      </c>
      <c r="AK1202" s="101">
        <f>IF('Net zero activities &amp; levers'!$C$14="Off",Constants!$H64*'Activity data'!BD6*Constants!$H82*FracLEACHMM*MMLeachEF*NtoN2O*kgtoGg,IF('Net zero activities &amp; levers'!$C$14="On",Constants!$H64*'Net zero Activity data'!BD6*Constants!$H82*FracLEACHMM*MMLeachEF*NtoN2O*kgtoGg,"ERROR"))</f>
        <v>3.2597528193661907E-2</v>
      </c>
      <c r="AL1202" s="101">
        <f>IF('Net zero activities &amp; levers'!$C$14="Off",Constants!$H64*'Activity data'!BE6*Constants!$H82*FracLEACHMM*MMLeachEF*NtoN2O*kgtoGg,IF('Net zero activities &amp; levers'!$C$14="On",Constants!$H64*'Net zero Activity data'!BE6*Constants!$H82*FracLEACHMM*MMLeachEF*NtoN2O*kgtoGg,"ERROR"))</f>
        <v>3.3113280150098928E-2</v>
      </c>
      <c r="AM1202" s="101">
        <f>IF('Net zero activities &amp; levers'!$C$14="Off",Constants!$H64*'Activity data'!BF6*Constants!$H82*FracLEACHMM*MMLeachEF*NtoN2O*kgtoGg,IF('Net zero activities &amp; levers'!$C$14="On",Constants!$H64*'Net zero Activity data'!BF6*Constants!$H82*FracLEACHMM*MMLeachEF*NtoN2O*kgtoGg,"ERROR"))</f>
        <v>3.3651269490785195E-2</v>
      </c>
      <c r="AN1202" s="101">
        <f>IF('Net zero activities &amp; levers'!$C$14="Off",Constants!$H64*'Activity data'!BG6*Constants!$H82*FracLEACHMM*MMLeachEF*NtoN2O*kgtoGg,IF('Net zero activities &amp; levers'!$C$14="On",Constants!$H64*'Net zero Activity data'!BG6*Constants!$H82*FracLEACHMM*MMLeachEF*NtoN2O*kgtoGg,"ERROR"))</f>
        <v>3.420688896780049E-2</v>
      </c>
      <c r="AO1202" s="101">
        <f>IF('Net zero activities &amp; levers'!$C$14="Off",Constants!$H64*'Activity data'!BH6*Constants!$H82*FracLEACHMM*MMLeachEF*NtoN2O*kgtoGg,IF('Net zero activities &amp; levers'!$C$14="On",Constants!$H64*'Net zero Activity data'!BH6*Constants!$H82*FracLEACHMM*MMLeachEF*NtoN2O*kgtoGg,"ERROR"))</f>
        <v>3.4733073769140969E-2</v>
      </c>
      <c r="AP1202" s="101">
        <f>IF('Net zero activities &amp; levers'!$C$14="Off",Constants!$H64*'Activity data'!BI6*Constants!$H82*FracLEACHMM*MMLeachEF*NtoN2O*kgtoGg,IF('Net zero activities &amp; levers'!$C$14="On",Constants!$H64*'Net zero Activity data'!BI6*Constants!$H82*FracLEACHMM*MMLeachEF*NtoN2O*kgtoGg,"ERROR"))</f>
        <v>3.5269613923769531E-2</v>
      </c>
      <c r="AQ1202" s="101">
        <f>IF('Net zero activities &amp; levers'!$C$14="Off",Constants!$H64*'Activity data'!BJ6*Constants!$H82*FracLEACHMM*MMLeachEF*NtoN2O*kgtoGg,IF('Net zero activities &amp; levers'!$C$14="On",Constants!$H64*'Net zero Activity data'!BJ6*Constants!$H82*FracLEACHMM*MMLeachEF*NtoN2O*kgtoGg,"ERROR"))</f>
        <v>3.581751727706637E-2</v>
      </c>
      <c r="AR1202" s="101">
        <f>IF('Net zero activities &amp; levers'!$C$14="Off",Constants!$H64*'Activity data'!BK6*Constants!$H82*FracLEACHMM*MMLeachEF*NtoN2O*kgtoGg,IF('Net zero activities &amp; levers'!$C$14="On",Constants!$H64*'Net zero Activity data'!BK6*Constants!$H82*FracLEACHMM*MMLeachEF*NtoN2O*kgtoGg,"ERROR"))</f>
        <v>3.6405429178189563E-2</v>
      </c>
      <c r="AS1202" s="101">
        <f>IF('Net zero activities &amp; levers'!$C$14="Off",Constants!$H64*'Activity data'!BL6*Constants!$H82*FracLEACHMM*MMLeachEF*NtoN2O*kgtoGg,IF('Net zero activities &amp; levers'!$C$14="On",Constants!$H64*'Net zero Activity data'!BL6*Constants!$H82*FracLEACHMM*MMLeachEF*NtoN2O*kgtoGg,"ERROR"))</f>
        <v>3.6998292414316764E-2</v>
      </c>
      <c r="AT1202" s="101">
        <f>IF('Net zero activities &amp; levers'!$C$14="Off",Constants!$H64*'Activity data'!BM6*Constants!$H82*FracLEACHMM*MMLeachEF*NtoN2O*kgtoGg,IF('Net zero activities &amp; levers'!$C$14="On",Constants!$H64*'Net zero Activity data'!BM6*Constants!$H82*FracLEACHMM*MMLeachEF*NtoN2O*kgtoGg,"ERROR"))</f>
        <v>3.7326950388248702E-2</v>
      </c>
      <c r="AU1202" s="101">
        <f>IF('Net zero activities &amp; levers'!$C$14="Off",Constants!$H64*'Activity data'!BN6*Constants!$H82*FracLEACHMM*MMLeachEF*NtoN2O*kgtoGg,IF('Net zero activities &amp; levers'!$C$14="On",Constants!$H64*'Net zero Activity data'!BN6*Constants!$H82*FracLEACHMM*MMLeachEF*NtoN2O*kgtoGg,"ERROR"))</f>
        <v>3.7639148272297182E-2</v>
      </c>
      <c r="AV1202" s="101">
        <f>IF('Net zero activities &amp; levers'!$C$14="Off",Constants!$H64*'Activity data'!BO6*Constants!$H82*FracLEACHMM*MMLeachEF*NtoN2O*kgtoGg,IF('Net zero activities &amp; levers'!$C$14="On",Constants!$H64*'Net zero Activity data'!BO6*Constants!$H82*FracLEACHMM*MMLeachEF*NtoN2O*kgtoGg,"ERROR"))</f>
        <v>3.7989890557789049E-2</v>
      </c>
      <c r="AW1202" s="101">
        <f>IF('Net zero activities &amp; levers'!$C$14="Off",Constants!$H64*'Activity data'!BP6*Constants!$H82*FracLEACHMM*MMLeachEF*NtoN2O*kgtoGg,IF('Net zero activities &amp; levers'!$C$14="On",Constants!$H64*'Net zero Activity data'!BP6*Constants!$H82*FracLEACHMM*MMLeachEF*NtoN2O*kgtoGg,"ERROR"))</f>
        <v>3.8327329270479757E-2</v>
      </c>
      <c r="AY1202" s="85"/>
    </row>
    <row r="1203" spans="1:51" x14ac:dyDescent="0.25">
      <c r="A1203" s="102" t="str">
        <f t="shared" si="380"/>
        <v>CM MM Leaching</v>
      </c>
      <c r="B1203" s="102" t="s">
        <v>1323</v>
      </c>
      <c r="C1203" s="102" t="s">
        <v>1334</v>
      </c>
      <c r="D1203" t="s">
        <v>369</v>
      </c>
      <c r="E1203" t="s">
        <v>64</v>
      </c>
      <c r="F1203" t="s">
        <v>63</v>
      </c>
      <c r="G1203" t="s">
        <v>1157</v>
      </c>
      <c r="H1203" t="s">
        <v>1309</v>
      </c>
      <c r="I1203" t="s">
        <v>139</v>
      </c>
      <c r="J1203" t="s">
        <v>287</v>
      </c>
      <c r="K1203" s="101">
        <f>IF('Net zero activities &amp; levers'!$C$14="Off",Constants!$H65*'Activity data'!AD7*Constants!$H83*FracLEACHMM*MMLeachEF*NtoN2O*kgtoGg,IF('Net zero activities &amp; levers'!$C$14="On",Constants!$H65*'Net zero Activity data'!AD7*Constants!$H83*FracLEACHMM*MMLeachEF*NtoN2O*kgtoGg,"ERROR"))</f>
        <v>1.4498393681804938E-3</v>
      </c>
      <c r="L1203" s="101">
        <f>IF('Net zero activities &amp; levers'!$C$14="Off",Constants!$H65*'Activity data'!AE7*Constants!$H83*FracLEACHMM*MMLeachEF*NtoN2O*kgtoGg,IF('Net zero activities &amp; levers'!$C$14="On",Constants!$H65*'Net zero Activity data'!AE7*Constants!$H83*FracLEACHMM*MMLeachEF*NtoN2O*kgtoGg,"ERROR"))</f>
        <v>1.4596287649956559E-3</v>
      </c>
      <c r="M1203" s="101">
        <f>IF('Net zero activities &amp; levers'!$C$14="Off",Constants!$H65*'Activity data'!AF7*Constants!$H83*FracLEACHMM*MMLeachEF*NtoN2O*kgtoGg,IF('Net zero activities &amp; levers'!$C$14="On",Constants!$H65*'Net zero Activity data'!AF7*Constants!$H83*FracLEACHMM*MMLeachEF*NtoN2O*kgtoGg,"ERROR"))</f>
        <v>1.4681920074894272E-3</v>
      </c>
      <c r="N1203" s="101">
        <f>IF('Net zero activities &amp; levers'!$C$14="Off",Constants!$H65*'Activity data'!AG7*Constants!$H83*FracLEACHMM*MMLeachEF*NtoN2O*kgtoGg,IF('Net zero activities &amp; levers'!$C$14="On",Constants!$H65*'Net zero Activity data'!AG7*Constants!$H83*FracLEACHMM*MMLeachEF*NtoN2O*kgtoGg,"ERROR"))</f>
        <v>1.4692996808556361E-3</v>
      </c>
      <c r="O1203" s="101">
        <f>IF('Net zero activities &amp; levers'!$C$14="Off",Constants!$H65*'Activity data'!AH7*Constants!$H83*FracLEACHMM*MMLeachEF*NtoN2O*kgtoGg,IF('Net zero activities &amp; levers'!$C$14="On",Constants!$H65*'Net zero Activity data'!AH7*Constants!$H83*FracLEACHMM*MMLeachEF*NtoN2O*kgtoGg,"ERROR"))</f>
        <v>1.4712075396239221E-3</v>
      </c>
      <c r="P1203" s="101">
        <f>IF('Net zero activities &amp; levers'!$C$14="Off",Constants!$H65*'Activity data'!AI7*Constants!$H83*FracLEACHMM*MMLeachEF*NtoN2O*kgtoGg,IF('Net zero activities &amp; levers'!$C$14="On",Constants!$H65*'Net zero Activity data'!AI7*Constants!$H83*FracLEACHMM*MMLeachEF*NtoN2O*kgtoGg,"ERROR"))</f>
        <v>1.4821544813270488E-3</v>
      </c>
      <c r="Q1203" s="101">
        <f>IF('Net zero activities &amp; levers'!$C$14="Off",Constants!$H65*'Activity data'!AJ7*Constants!$H83*FracLEACHMM*MMLeachEF*NtoN2O*kgtoGg,IF('Net zero activities &amp; levers'!$C$14="On",Constants!$H65*'Net zero Activity data'!AJ7*Constants!$H83*FracLEACHMM*MMLeachEF*NtoN2O*kgtoGg,"ERROR"))</f>
        <v>1.4909080263063527E-3</v>
      </c>
      <c r="R1203" s="101">
        <f>IF('Net zero activities &amp; levers'!$C$14="Off",Constants!$H65*'Activity data'!AK7*Constants!$H83*FracLEACHMM*MMLeachEF*NtoN2O*kgtoGg,IF('Net zero activities &amp; levers'!$C$14="On",Constants!$H65*'Net zero Activity data'!AK7*Constants!$H83*FracLEACHMM*MMLeachEF*NtoN2O*kgtoGg,"ERROR"))</f>
        <v>1.4909847779150886E-3</v>
      </c>
      <c r="S1203" s="101">
        <f>IF('Net zero activities &amp; levers'!$C$14="Off",Constants!$H65*'Activity data'!AL7*Constants!$H83*FracLEACHMM*MMLeachEF*NtoN2O*kgtoGg,IF('Net zero activities &amp; levers'!$C$14="On",Constants!$H65*'Net zero Activity data'!AL7*Constants!$H83*FracLEACHMM*MMLeachEF*NtoN2O*kgtoGg,"ERROR"))</f>
        <v>1.451482996187078E-3</v>
      </c>
      <c r="T1203" s="101">
        <f>IF('Net zero activities &amp; levers'!$C$14="Off",Constants!$H65*'Activity data'!AM7*Constants!$H83*FracLEACHMM*MMLeachEF*NtoN2O*kgtoGg,IF('Net zero activities &amp; levers'!$C$14="On",Constants!$H65*'Net zero Activity data'!AM7*Constants!$H83*FracLEACHMM*MMLeachEF*NtoN2O*kgtoGg,"ERROR"))</f>
        <v>1.4588015595416611E-3</v>
      </c>
      <c r="U1203" s="101">
        <f>IF('Net zero activities &amp; levers'!$C$14="Off",Constants!$H65*'Activity data'!AN7*Constants!$H83*FracLEACHMM*MMLeachEF*NtoN2O*kgtoGg,IF('Net zero activities &amp; levers'!$C$14="On",Constants!$H65*'Net zero Activity data'!AN7*Constants!$H83*FracLEACHMM*MMLeachEF*NtoN2O*kgtoGg,"ERROR"))</f>
        <v>1.4612514744858764E-3</v>
      </c>
      <c r="V1203" s="101">
        <f>IF('Net zero activities &amp; levers'!$C$14="Off",Constants!$H65*'Activity data'!AO7*Constants!$H83*FracLEACHMM*MMLeachEF*NtoN2O*kgtoGg,IF('Net zero activities &amp; levers'!$C$14="On",Constants!$H65*'Net zero Activity data'!AO7*Constants!$H83*FracLEACHMM*MMLeachEF*NtoN2O*kgtoGg,"ERROR"))</f>
        <v>1.4626733399620826E-3</v>
      </c>
      <c r="W1203" s="101">
        <f>IF('Net zero activities &amp; levers'!$C$14="Off",Constants!$H65*'Activity data'!AP7*Constants!$H83*FracLEACHMM*MMLeachEF*NtoN2O*kgtoGg,IF('Net zero activities &amp; levers'!$C$14="On",Constants!$H65*'Net zero Activity data'!AP7*Constants!$H83*FracLEACHMM*MMLeachEF*NtoN2O*kgtoGg,"ERROR"))</f>
        <v>1.46598180117498E-3</v>
      </c>
      <c r="X1203" s="101">
        <f>IF('Net zero activities &amp; levers'!$C$14="Off",Constants!$H65*'Activity data'!AQ7*Constants!$H83*FracLEACHMM*MMLeachEF*NtoN2O*kgtoGg,IF('Net zero activities &amp; levers'!$C$14="On",Constants!$H65*'Net zero Activity data'!AQ7*Constants!$H83*FracLEACHMM*MMLeachEF*NtoN2O*kgtoGg,"ERROR"))</f>
        <v>1.4756042248779075E-3</v>
      </c>
      <c r="Y1203" s="101">
        <f>IF('Net zero activities &amp; levers'!$C$14="Off",Constants!$H65*'Activity data'!AR7*Constants!$H83*FracLEACHMM*MMLeachEF*NtoN2O*kgtoGg,IF('Net zero activities &amp; levers'!$C$14="On",Constants!$H65*'Net zero Activity data'!AR7*Constants!$H83*FracLEACHMM*MMLeachEF*NtoN2O*kgtoGg,"ERROR"))</f>
        <v>1.4857506871441366E-3</v>
      </c>
      <c r="Z1203" s="101">
        <f>IF('Net zero activities &amp; levers'!$C$14="Off",Constants!$H65*'Activity data'!AS7*Constants!$H83*FracLEACHMM*MMLeachEF*NtoN2O*kgtoGg,IF('Net zero activities &amp; levers'!$C$14="On",Constants!$H65*'Net zero Activity data'!AS7*Constants!$H83*FracLEACHMM*MMLeachEF*NtoN2O*kgtoGg,"ERROR"))</f>
        <v>1.4974388696840919E-3</v>
      </c>
      <c r="AA1203" s="101">
        <f>IF('Net zero activities &amp; levers'!$C$14="Off",Constants!$H65*'Activity data'!AT7*Constants!$H83*FracLEACHMM*MMLeachEF*NtoN2O*kgtoGg,IF('Net zero activities &amp; levers'!$C$14="On",Constants!$H65*'Net zero Activity data'!AT7*Constants!$H83*FracLEACHMM*MMLeachEF*NtoN2O*kgtoGg,"ERROR"))</f>
        <v>1.5065457222226094E-3</v>
      </c>
      <c r="AB1203" s="101">
        <f>IF('Net zero activities &amp; levers'!$C$14="Off",Constants!$H65*'Activity data'!AU7*Constants!$H83*FracLEACHMM*MMLeachEF*NtoN2O*kgtoGg,IF('Net zero activities &amp; levers'!$C$14="On",Constants!$H65*'Net zero Activity data'!AU7*Constants!$H83*FracLEACHMM*MMLeachEF*NtoN2O*kgtoGg,"ERROR"))</f>
        <v>1.5184298678254621E-3</v>
      </c>
      <c r="AC1203" s="101">
        <f>IF('Net zero activities &amp; levers'!$C$14="Off",Constants!$H65*'Activity data'!AV7*Constants!$H83*FracLEACHMM*MMLeachEF*NtoN2O*kgtoGg,IF('Net zero activities &amp; levers'!$C$14="On",Constants!$H65*'Net zero Activity data'!AV7*Constants!$H83*FracLEACHMM*MMLeachEF*NtoN2O*kgtoGg,"ERROR"))</f>
        <v>1.5337021426667682E-3</v>
      </c>
      <c r="AD1203" s="101">
        <f>IF('Net zero activities &amp; levers'!$C$14="Off",Constants!$H65*'Activity data'!AW7*Constants!$H83*FracLEACHMM*MMLeachEF*NtoN2O*kgtoGg,IF('Net zero activities &amp; levers'!$C$14="On",Constants!$H65*'Net zero Activity data'!AW7*Constants!$H83*FracLEACHMM*MMLeachEF*NtoN2O*kgtoGg,"ERROR"))</f>
        <v>1.5584627916589006E-3</v>
      </c>
      <c r="AE1203" s="101">
        <f>IF('Net zero activities &amp; levers'!$C$14="Off",Constants!$H65*'Activity data'!AX7*Constants!$H83*FracLEACHMM*MMLeachEF*NtoN2O*kgtoGg,IF('Net zero activities &amp; levers'!$C$14="On",Constants!$H65*'Net zero Activity data'!AX7*Constants!$H83*FracLEACHMM*MMLeachEF*NtoN2O*kgtoGg,"ERROR"))</f>
        <v>1.5845533162399429E-3</v>
      </c>
      <c r="AF1203" s="101">
        <f>IF('Net zero activities &amp; levers'!$C$14="Off",Constants!$H65*'Activity data'!AY7*Constants!$H83*FracLEACHMM*MMLeachEF*NtoN2O*kgtoGg,IF('Net zero activities &amp; levers'!$C$14="On",Constants!$H65*'Net zero Activity data'!AY7*Constants!$H83*FracLEACHMM*MMLeachEF*NtoN2O*kgtoGg,"ERROR"))</f>
        <v>1.6114172755185435E-3</v>
      </c>
      <c r="AG1203" s="101">
        <f>IF('Net zero activities &amp; levers'!$C$14="Off",Constants!$H65*'Activity data'!AZ7*Constants!$H83*FracLEACHMM*MMLeachEF*NtoN2O*kgtoGg,IF('Net zero activities &amp; levers'!$C$14="On",Constants!$H65*'Net zero Activity data'!AZ7*Constants!$H83*FracLEACHMM*MMLeachEF*NtoN2O*kgtoGg,"ERROR"))</f>
        <v>1.6414994476150312E-3</v>
      </c>
      <c r="AH1203" s="101">
        <f>IF('Net zero activities &amp; levers'!$C$14="Off",Constants!$H65*'Activity data'!BA7*Constants!$H83*FracLEACHMM*MMLeachEF*NtoN2O*kgtoGg,IF('Net zero activities &amp; levers'!$C$14="On",Constants!$H65*'Net zero Activity data'!BA7*Constants!$H83*FracLEACHMM*MMLeachEF*NtoN2O*kgtoGg,"ERROR"))</f>
        <v>1.6683828753075722E-3</v>
      </c>
      <c r="AI1203" s="101">
        <f>IF('Net zero activities &amp; levers'!$C$14="Off",Constants!$H65*'Activity data'!BB7*Constants!$H83*FracLEACHMM*MMLeachEF*NtoN2O*kgtoGg,IF('Net zero activities &amp; levers'!$C$14="On",Constants!$H65*'Net zero Activity data'!BB7*Constants!$H83*FracLEACHMM*MMLeachEF*NtoN2O*kgtoGg,"ERROR"))</f>
        <v>1.6963239651021182E-3</v>
      </c>
      <c r="AJ1203" s="101">
        <f>IF('Net zero activities &amp; levers'!$C$14="Off",Constants!$H65*'Activity data'!BC7*Constants!$H83*FracLEACHMM*MMLeachEF*NtoN2O*kgtoGg,IF('Net zero activities &amp; levers'!$C$14="On",Constants!$H65*'Net zero Activity data'!BC7*Constants!$H83*FracLEACHMM*MMLeachEF*NtoN2O*kgtoGg,"ERROR"))</f>
        <v>1.7249647013564498E-3</v>
      </c>
      <c r="AK1203" s="101">
        <f>IF('Net zero activities &amp; levers'!$C$14="Off",Constants!$H65*'Activity data'!BD7*Constants!$H83*FracLEACHMM*MMLeachEF*NtoN2O*kgtoGg,IF('Net zero activities &amp; levers'!$C$14="On",Constants!$H65*'Net zero Activity data'!BD7*Constants!$H83*FracLEACHMM*MMLeachEF*NtoN2O*kgtoGg,"ERROR"))</f>
        <v>1.7525636632920311E-3</v>
      </c>
      <c r="AL1203" s="101">
        <f>IF('Net zero activities &amp; levers'!$C$14="Off",Constants!$H65*'Activity data'!BE7*Constants!$H83*FracLEACHMM*MMLeachEF*NtoN2O*kgtoGg,IF('Net zero activities &amp; levers'!$C$14="On",Constants!$H65*'Net zero Activity data'!BE7*Constants!$H83*FracLEACHMM*MMLeachEF*NtoN2O*kgtoGg,"ERROR"))</f>
        <v>1.7802923957515385E-3</v>
      </c>
      <c r="AM1203" s="101">
        <f>IF('Net zero activities &amp; levers'!$C$14="Off",Constants!$H65*'Activity data'!BF7*Constants!$H83*FracLEACHMM*MMLeachEF*NtoN2O*kgtoGg,IF('Net zero activities &amp; levers'!$C$14="On",Constants!$H65*'Net zero Activity data'!BF7*Constants!$H83*FracLEACHMM*MMLeachEF*NtoN2O*kgtoGg,"ERROR"))</f>
        <v>1.8092166922234565E-3</v>
      </c>
      <c r="AN1203" s="101">
        <f>IF('Net zero activities &amp; levers'!$C$14="Off",Constants!$H65*'Activity data'!BG7*Constants!$H83*FracLEACHMM*MMLeachEF*NtoN2O*kgtoGg,IF('Net zero activities &amp; levers'!$C$14="On",Constants!$H65*'Net zero Activity data'!BG7*Constants!$H83*FracLEACHMM*MMLeachEF*NtoN2O*kgtoGg,"ERROR"))</f>
        <v>1.8390888500217182E-3</v>
      </c>
      <c r="AO1203" s="101">
        <f>IF('Net zero activities &amp; levers'!$C$14="Off",Constants!$H65*'Activity data'!BH7*Constants!$H83*FracLEACHMM*MMLeachEF*NtoN2O*kgtoGg,IF('Net zero activities &amp; levers'!$C$14="On",Constants!$H65*'Net zero Activity data'!BH7*Constants!$H83*FracLEACHMM*MMLeachEF*NtoN2O*kgtoGg,"ERROR"))</f>
        <v>1.8673784908045175E-3</v>
      </c>
      <c r="AP1203" s="101">
        <f>IF('Net zero activities &amp; levers'!$C$14="Off",Constants!$H65*'Activity data'!BI7*Constants!$H83*FracLEACHMM*MMLeachEF*NtoN2O*kgtoGg,IF('Net zero activities &amp; levers'!$C$14="On",Constants!$H65*'Net zero Activity data'!BI7*Constants!$H83*FracLEACHMM*MMLeachEF*NtoN2O*kgtoGg,"ERROR"))</f>
        <v>1.8962248736747967E-3</v>
      </c>
      <c r="AQ1203" s="101">
        <f>IF('Net zero activities &amp; levers'!$C$14="Off",Constants!$H65*'Activity data'!BJ7*Constants!$H83*FracLEACHMM*MMLeachEF*NtoN2O*kgtoGg,IF('Net zero activities &amp; levers'!$C$14="On",Constants!$H65*'Net zero Activity data'!BJ7*Constants!$H83*FracLEACHMM*MMLeachEF*NtoN2O*kgtoGg,"ERROR"))</f>
        <v>1.9256821841272681E-3</v>
      </c>
      <c r="AR1203" s="101">
        <f>IF('Net zero activities &amp; levers'!$C$14="Off",Constants!$H65*'Activity data'!BK7*Constants!$H83*FracLEACHMM*MMLeachEF*NtoN2O*kgtoGg,IF('Net zero activities &amp; levers'!$C$14="On",Constants!$H65*'Net zero Activity data'!BK7*Constants!$H83*FracLEACHMM*MMLeachEF*NtoN2O*kgtoGg,"ERROR"))</f>
        <v>1.9572905020648779E-3</v>
      </c>
      <c r="AS1203" s="101">
        <f>IF('Net zero activities &amp; levers'!$C$14="Off",Constants!$H65*'Activity data'!BL7*Constants!$H83*FracLEACHMM*MMLeachEF*NtoN2O*kgtoGg,IF('Net zero activities &amp; levers'!$C$14="On",Constants!$H65*'Net zero Activity data'!BL7*Constants!$H83*FracLEACHMM*MMLeachEF*NtoN2O*kgtoGg,"ERROR"))</f>
        <v>1.9891650220826341E-3</v>
      </c>
      <c r="AT1203" s="101">
        <f>IF('Net zero activities &amp; levers'!$C$14="Off",Constants!$H65*'Activity data'!BM7*Constants!$H83*FracLEACHMM*MMLeachEF*NtoN2O*kgtoGg,IF('Net zero activities &amp; levers'!$C$14="On",Constants!$H65*'Net zero Activity data'!BM7*Constants!$H83*FracLEACHMM*MMLeachEF*NtoN2O*kgtoGg,"ERROR"))</f>
        <v>2.006834890157978E-3</v>
      </c>
      <c r="AU1203" s="101">
        <f>IF('Net zero activities &amp; levers'!$C$14="Off",Constants!$H65*'Activity data'!BN7*Constants!$H83*FracLEACHMM*MMLeachEF*NtoN2O*kgtoGg,IF('Net zero activities &amp; levers'!$C$14="On",Constants!$H65*'Net zero Activity data'!BN7*Constants!$H83*FracLEACHMM*MMLeachEF*NtoN2O*kgtoGg,"ERROR"))</f>
        <v>2.0236198029307934E-3</v>
      </c>
      <c r="AV1203" s="101">
        <f>IF('Net zero activities &amp; levers'!$C$14="Off",Constants!$H65*'Activity data'!BO7*Constants!$H83*FracLEACHMM*MMLeachEF*NtoN2O*kgtoGg,IF('Net zero activities &amp; levers'!$C$14="On",Constants!$H65*'Net zero Activity data'!BO7*Constants!$H83*FracLEACHMM*MMLeachEF*NtoN2O*kgtoGg,"ERROR"))</f>
        <v>2.042477005264698E-3</v>
      </c>
      <c r="AW1203" s="101">
        <f>IF('Net zero activities &amp; levers'!$C$14="Off",Constants!$H65*'Activity data'!BP7*Constants!$H83*FracLEACHMM*MMLeachEF*NtoN2O*kgtoGg,IF('Net zero activities &amp; levers'!$C$14="On",Constants!$H65*'Net zero Activity data'!BP7*Constants!$H83*FracLEACHMM*MMLeachEF*NtoN2O*kgtoGg,"ERROR"))</f>
        <v>2.0606189583274076E-3</v>
      </c>
      <c r="AY1203" s="85"/>
    </row>
    <row r="1204" spans="1:51" x14ac:dyDescent="0.25">
      <c r="A1204" s="102" t="str">
        <f t="shared" si="380"/>
        <v>CM MM Leaching</v>
      </c>
      <c r="B1204" s="102" t="s">
        <v>1323</v>
      </c>
      <c r="C1204" s="102" t="s">
        <v>1334</v>
      </c>
      <c r="D1204" t="s">
        <v>369</v>
      </c>
      <c r="E1204" t="s">
        <v>64</v>
      </c>
      <c r="F1204" t="s">
        <v>63</v>
      </c>
      <c r="G1204" t="s">
        <v>1159</v>
      </c>
      <c r="H1204" t="s">
        <v>1310</v>
      </c>
      <c r="I1204" t="s">
        <v>139</v>
      </c>
      <c r="J1204" t="s">
        <v>287</v>
      </c>
      <c r="K1204" s="101">
        <f>IF('Net zero activities &amp; levers'!$C$14="Off",Constants!$H66*'Activity data'!AD8*Constants!$H84*FracLEACHMM*MMLeachEF*NtoN2O*kgtoGg,IF('Net zero activities &amp; levers'!$C$14="On",Constants!$H66*'Net zero Activity data'!AD8*Constants!$H84*FracLEACHMM*MMLeachEF*NtoN2O*kgtoGg,"ERROR"))</f>
        <v>3.0452527896293373E-2</v>
      </c>
      <c r="L1204" s="101">
        <f>IF('Net zero activities &amp; levers'!$C$14="Off",Constants!$H66*'Activity data'!AE8*Constants!$H84*FracLEACHMM*MMLeachEF*NtoN2O*kgtoGg,IF('Net zero activities &amp; levers'!$C$14="On",Constants!$H66*'Net zero Activity data'!AE8*Constants!$H84*FracLEACHMM*MMLeachEF*NtoN2O*kgtoGg,"ERROR"))</f>
        <v>3.0297487464546878E-2</v>
      </c>
      <c r="M1204" s="101">
        <f>IF('Net zero activities &amp; levers'!$C$14="Off",Constants!$H66*'Activity data'!AF8*Constants!$H84*FracLEACHMM*MMLeachEF*NtoN2O*kgtoGg,IF('Net zero activities &amp; levers'!$C$14="On",Constants!$H66*'Net zero Activity data'!AF8*Constants!$H84*FracLEACHMM*MMLeachEF*NtoN2O*kgtoGg,"ERROR"))</f>
        <v>3.0014510280911927E-2</v>
      </c>
      <c r="N1204" s="101">
        <f>IF('Net zero activities &amp; levers'!$C$14="Off",Constants!$H66*'Activity data'!AG8*Constants!$H84*FracLEACHMM*MMLeachEF*NtoN2O*kgtoGg,IF('Net zero activities &amp; levers'!$C$14="On",Constants!$H66*'Net zero Activity data'!AG8*Constants!$H84*FracLEACHMM*MMLeachEF*NtoN2O*kgtoGg,"ERROR"))</f>
        <v>2.9239921775422131E-2</v>
      </c>
      <c r="O1204" s="101">
        <f>IF('Net zero activities &amp; levers'!$C$14="Off",Constants!$H66*'Activity data'!AH8*Constants!$H84*FracLEACHMM*MMLeachEF*NtoN2O*kgtoGg,IF('Net zero activities &amp; levers'!$C$14="On",Constants!$H66*'Net zero Activity data'!AH8*Constants!$H84*FracLEACHMM*MMLeachEF*NtoN2O*kgtoGg,"ERROR"))</f>
        <v>2.8496244024993216E-2</v>
      </c>
      <c r="P1204" s="101">
        <f>IF('Net zero activities &amp; levers'!$C$14="Off",Constants!$H66*'Activity data'!AI8*Constants!$H84*FracLEACHMM*MMLeachEF*NtoN2O*kgtoGg,IF('Net zero activities &amp; levers'!$C$14="On",Constants!$H66*'Net zero Activity data'!AI8*Constants!$H84*FracLEACHMM*MMLeachEF*NtoN2O*kgtoGg,"ERROR"))</f>
        <v>2.8252813512235145E-2</v>
      </c>
      <c r="Q1204" s="101">
        <f>IF('Net zero activities &amp; levers'!$C$14="Off",Constants!$H66*'Activity data'!AJ8*Constants!$H84*FracLEACHMM*MMLeachEF*NtoN2O*kgtoGg,IF('Net zero activities &amp; levers'!$C$14="On",Constants!$H66*'Net zero Activity data'!AJ8*Constants!$H84*FracLEACHMM*MMLeachEF*NtoN2O*kgtoGg,"ERROR"))</f>
        <v>2.7859647334891578E-2</v>
      </c>
      <c r="R1204" s="101">
        <f>IF('Net zero activities &amp; levers'!$C$14="Off",Constants!$H66*'Activity data'!AK8*Constants!$H84*FracLEACHMM*MMLeachEF*NtoN2O*kgtoGg,IF('Net zero activities &amp; levers'!$C$14="On",Constants!$H66*'Net zero Activity data'!AK8*Constants!$H84*FracLEACHMM*MMLeachEF*NtoN2O*kgtoGg,"ERROR"))</f>
        <v>2.6976279512961457E-2</v>
      </c>
      <c r="S1204" s="101">
        <f>IF('Net zero activities &amp; levers'!$C$14="Off",Constants!$H66*'Activity data'!AL8*Constants!$H84*FracLEACHMM*MMLeachEF*NtoN2O*kgtoGg,IF('Net zero activities &amp; levers'!$C$14="On",Constants!$H66*'Net zero Activity data'!AL8*Constants!$H84*FracLEACHMM*MMLeachEF*NtoN2O*kgtoGg,"ERROR"))</f>
        <v>2.4012489752417959E-2</v>
      </c>
      <c r="T1204" s="101">
        <f>IF('Net zero activities &amp; levers'!$C$14="Off",Constants!$H66*'Activity data'!AM8*Constants!$H84*FracLEACHMM*MMLeachEF*NtoN2O*kgtoGg,IF('Net zero activities &amp; levers'!$C$14="On",Constants!$H66*'Net zero Activity data'!AM8*Constants!$H84*FracLEACHMM*MMLeachEF*NtoN2O*kgtoGg,"ERROR"))</f>
        <v>2.3975912548713531E-2</v>
      </c>
      <c r="U1204" s="101">
        <f>IF('Net zero activities &amp; levers'!$C$14="Off",Constants!$H66*'Activity data'!AN8*Constants!$H84*FracLEACHMM*MMLeachEF*NtoN2O*kgtoGg,IF('Net zero activities &amp; levers'!$C$14="On",Constants!$H66*'Net zero Activity data'!AN8*Constants!$H84*FracLEACHMM*MMLeachEF*NtoN2O*kgtoGg,"ERROR"))</f>
        <v>2.36640372625052E-2</v>
      </c>
      <c r="V1204" s="101">
        <f>IF('Net zero activities &amp; levers'!$C$14="Off",Constants!$H66*'Activity data'!AO8*Constants!$H84*FracLEACHMM*MMLeachEF*NtoN2O*kgtoGg,IF('Net zero activities &amp; levers'!$C$14="On",Constants!$H66*'Net zero Activity data'!AO8*Constants!$H84*FracLEACHMM*MMLeachEF*NtoN2O*kgtoGg,"ERROR"))</f>
        <v>2.3286265237017153E-2</v>
      </c>
      <c r="W1204" s="101">
        <f>IF('Net zero activities &amp; levers'!$C$14="Off",Constants!$H66*'Activity data'!AP8*Constants!$H84*FracLEACHMM*MMLeachEF*NtoN2O*kgtoGg,IF('Net zero activities &amp; levers'!$C$14="On",Constants!$H66*'Net zero Activity data'!AP8*Constants!$H84*FracLEACHMM*MMLeachEF*NtoN2O*kgtoGg,"ERROR"))</f>
        <v>2.2984822878528582E-2</v>
      </c>
      <c r="X1204" s="101">
        <f>IF('Net zero activities &amp; levers'!$C$14="Off",Constants!$H66*'Activity data'!AQ8*Constants!$H84*FracLEACHMM*MMLeachEF*NtoN2O*kgtoGg,IF('Net zero activities &amp; levers'!$C$14="On",Constants!$H66*'Net zero Activity data'!AQ8*Constants!$H84*FracLEACHMM*MMLeachEF*NtoN2O*kgtoGg,"ERROR"))</f>
        <v>2.2953061631528947E-2</v>
      </c>
      <c r="Y1204" s="101">
        <f>IF('Net zero activities &amp; levers'!$C$14="Off",Constants!$H66*'Activity data'!AR8*Constants!$H84*FracLEACHMM*MMLeachEF*NtoN2O*kgtoGg,IF('Net zero activities &amp; levers'!$C$14="On",Constants!$H66*'Net zero Activity data'!AR8*Constants!$H84*FracLEACHMM*MMLeachEF*NtoN2O*kgtoGg,"ERROR"))</f>
        <v>2.2954586488073189E-2</v>
      </c>
      <c r="Z1204" s="101">
        <f>IF('Net zero activities &amp; levers'!$C$14="Off",Constants!$H66*'Activity data'!AS8*Constants!$H84*FracLEACHMM*MMLeachEF*NtoN2O*kgtoGg,IF('Net zero activities &amp; levers'!$C$14="On",Constants!$H66*'Net zero Activity data'!AS8*Constants!$H84*FracLEACHMM*MMLeachEF*NtoN2O*kgtoGg,"ERROR"))</f>
        <v>2.298773893315845E-2</v>
      </c>
      <c r="AA1204" s="101">
        <f>IF('Net zero activities &amp; levers'!$C$14="Off",Constants!$H66*'Activity data'!AT8*Constants!$H84*FracLEACHMM*MMLeachEF*NtoN2O*kgtoGg,IF('Net zero activities &amp; levers'!$C$14="On",Constants!$H66*'Net zero Activity data'!AT8*Constants!$H84*FracLEACHMM*MMLeachEF*NtoN2O*kgtoGg,"ERROR"))</f>
        <v>2.2879163612437803E-2</v>
      </c>
      <c r="AB1204" s="101">
        <f>IF('Net zero activities &amp; levers'!$C$14="Off",Constants!$H66*'Activity data'!AU8*Constants!$H84*FracLEACHMM*MMLeachEF*NtoN2O*kgtoGg,IF('Net zero activities &amp; levers'!$C$14="On",Constants!$H66*'Net zero Activity data'!AU8*Constants!$H84*FracLEACHMM*MMLeachEF*NtoN2O*kgtoGg,"ERROR"))</f>
        <v>2.2854032186005933E-2</v>
      </c>
      <c r="AC1204" s="101">
        <f>IF('Net zero activities &amp; levers'!$C$14="Off",Constants!$H66*'Activity data'!AV8*Constants!$H84*FracLEACHMM*MMLeachEF*NtoN2O*kgtoGg,IF('Net zero activities &amp; levers'!$C$14="On",Constants!$H66*'Net zero Activity data'!AV8*Constants!$H84*FracLEACHMM*MMLeachEF*NtoN2O*kgtoGg,"ERROR"))</f>
        <v>2.2926948033579753E-2</v>
      </c>
      <c r="AD1204" s="101">
        <f>IF('Net zero activities &amp; levers'!$C$14="Off",Constants!$H66*'Activity data'!AW8*Constants!$H84*FracLEACHMM*MMLeachEF*NtoN2O*kgtoGg,IF('Net zero activities &amp; levers'!$C$14="On",Constants!$H66*'Net zero Activity data'!AW8*Constants!$H84*FracLEACHMM*MMLeachEF*NtoN2O*kgtoGg,"ERROR"))</f>
        <v>2.3056798554605934E-2</v>
      </c>
      <c r="AE1204" s="101">
        <f>IF('Net zero activities &amp; levers'!$C$14="Off",Constants!$H66*'Activity data'!AX8*Constants!$H84*FracLEACHMM*MMLeachEF*NtoN2O*kgtoGg,IF('Net zero activities &amp; levers'!$C$14="On",Constants!$H66*'Net zero Activity data'!AX8*Constants!$H84*FracLEACHMM*MMLeachEF*NtoN2O*kgtoGg,"ERROR"))</f>
        <v>2.3185868032579597E-2</v>
      </c>
      <c r="AF1204" s="101">
        <f>IF('Net zero activities &amp; levers'!$C$14="Off",Constants!$H66*'Activity data'!AY8*Constants!$H84*FracLEACHMM*MMLeachEF*NtoN2O*kgtoGg,IF('Net zero activities &amp; levers'!$C$14="On",Constants!$H66*'Net zero Activity data'!AY8*Constants!$H84*FracLEACHMM*MMLeachEF*NtoN2O*kgtoGg,"ERROR"))</f>
        <v>2.3292385896533856E-2</v>
      </c>
      <c r="AG1204" s="101">
        <f>IF('Net zero activities &amp; levers'!$C$14="Off",Constants!$H66*'Activity data'!AZ8*Constants!$H84*FracLEACHMM*MMLeachEF*NtoN2O*kgtoGg,IF('Net zero activities &amp; levers'!$C$14="On",Constants!$H66*'Net zero Activity data'!AZ8*Constants!$H84*FracLEACHMM*MMLeachEF*NtoN2O*kgtoGg,"ERROR"))</f>
        <v>2.3457623332417701E-2</v>
      </c>
      <c r="AH1204" s="101">
        <f>IF('Net zero activities &amp; levers'!$C$14="Off",Constants!$H66*'Activity data'!BA8*Constants!$H84*FracLEACHMM*MMLeachEF*NtoN2O*kgtoGg,IF('Net zero activities &amp; levers'!$C$14="On",Constants!$H66*'Net zero Activity data'!BA8*Constants!$H84*FracLEACHMM*MMLeachEF*NtoN2O*kgtoGg,"ERROR"))</f>
        <v>2.3465999049395767E-2</v>
      </c>
      <c r="AI1204" s="101">
        <f>IF('Net zero activities &amp; levers'!$C$14="Off",Constants!$H66*'Activity data'!BB8*Constants!$H84*FracLEACHMM*MMLeachEF*NtoN2O*kgtoGg,IF('Net zero activities &amp; levers'!$C$14="On",Constants!$H66*'Net zero Activity data'!BB8*Constants!$H84*FracLEACHMM*MMLeachEF*NtoN2O*kgtoGg,"ERROR"))</f>
        <v>2.3485070401321945E-2</v>
      </c>
      <c r="AJ1204" s="101">
        <f>IF('Net zero activities &amp; levers'!$C$14="Off",Constants!$H66*'Activity data'!BC8*Constants!$H84*FracLEACHMM*MMLeachEF*NtoN2O*kgtoGg,IF('Net zero activities &amp; levers'!$C$14="On",Constants!$H66*'Net zero Activity data'!BC8*Constants!$H84*FracLEACHMM*MMLeachEF*NtoN2O*kgtoGg,"ERROR"))</f>
        <v>2.3479631715033328E-2</v>
      </c>
      <c r="AK1204" s="101">
        <f>IF('Net zero activities &amp; levers'!$C$14="Off",Constants!$H66*'Activity data'!BD8*Constants!$H84*FracLEACHMM*MMLeachEF*NtoN2O*kgtoGg,IF('Net zero activities &amp; levers'!$C$14="On",Constants!$H66*'Net zero Activity data'!BD8*Constants!$H84*FracLEACHMM*MMLeachEF*NtoN2O*kgtoGg,"ERROR"))</f>
        <v>2.3399589041754196E-2</v>
      </c>
      <c r="AL1204" s="101">
        <f>IF('Net zero activities &amp; levers'!$C$14="Off",Constants!$H66*'Activity data'!BE8*Constants!$H84*FracLEACHMM*MMLeachEF*NtoN2O*kgtoGg,IF('Net zero activities &amp; levers'!$C$14="On",Constants!$H66*'Net zero Activity data'!BE8*Constants!$H84*FracLEACHMM*MMLeachEF*NtoN2O*kgtoGg,"ERROR"))</f>
        <v>2.328305924520107E-2</v>
      </c>
      <c r="AM1204" s="101">
        <f>IF('Net zero activities &amp; levers'!$C$14="Off",Constants!$H66*'Activity data'!BF8*Constants!$H84*FracLEACHMM*MMLeachEF*NtoN2O*kgtoGg,IF('Net zero activities &amp; levers'!$C$14="On",Constants!$H66*'Net zero Activity data'!BF8*Constants!$H84*FracLEACHMM*MMLeachEF*NtoN2O*kgtoGg,"ERROR"))</f>
        <v>2.3160152037708052E-2</v>
      </c>
      <c r="AN1204" s="101">
        <f>IF('Net zero activities &amp; levers'!$C$14="Off",Constants!$H66*'Activity data'!BG8*Constants!$H84*FracLEACHMM*MMLeachEF*NtoN2O*kgtoGg,IF('Net zero activities &amp; levers'!$C$14="On",Constants!$H66*'Net zero Activity data'!BG8*Constants!$H84*FracLEACHMM*MMLeachEF*NtoN2O*kgtoGg,"ERROR"))</f>
        <v>2.3328030910143772E-2</v>
      </c>
      <c r="AO1204" s="101">
        <f>IF('Net zero activities &amp; levers'!$C$14="Off",Constants!$H66*'Activity data'!BH8*Constants!$H84*FracLEACHMM*MMLeachEF*NtoN2O*kgtoGg,IF('Net zero activities &amp; levers'!$C$14="On",Constants!$H66*'Net zero Activity data'!BH8*Constants!$H84*FracLEACHMM*MMLeachEF*NtoN2O*kgtoGg,"ERROR"))</f>
        <v>2.3423062453357575E-2</v>
      </c>
      <c r="AP1204" s="101">
        <f>IF('Net zero activities &amp; levers'!$C$14="Off",Constants!$H66*'Activity data'!BI8*Constants!$H84*FracLEACHMM*MMLeachEF*NtoN2O*kgtoGg,IF('Net zero activities &amp; levers'!$C$14="On",Constants!$H66*'Net zero Activity data'!BI8*Constants!$H84*FracLEACHMM*MMLeachEF*NtoN2O*kgtoGg,"ERROR"))</f>
        <v>2.3502162898818513E-2</v>
      </c>
      <c r="AQ1204" s="101">
        <f>IF('Net zero activities &amp; levers'!$C$14="Off",Constants!$H66*'Activity data'!BJ8*Constants!$H84*FracLEACHMM*MMLeachEF*NtoN2O*kgtoGg,IF('Net zero activities &amp; levers'!$C$14="On",Constants!$H66*'Net zero Activity data'!BJ8*Constants!$H84*FracLEACHMM*MMLeachEF*NtoN2O*kgtoGg,"ERROR"))</f>
        <v>2.3566568019175432E-2</v>
      </c>
      <c r="AR1204" s="101">
        <f>IF('Net zero activities &amp; levers'!$C$14="Off",Constants!$H66*'Activity data'!BK8*Constants!$H84*FracLEACHMM*MMLeachEF*NtoN2O*kgtoGg,IF('Net zero activities &amp; levers'!$C$14="On",Constants!$H66*'Net zero Activity data'!BK8*Constants!$H84*FracLEACHMM*MMLeachEF*NtoN2O*kgtoGg,"ERROR"))</f>
        <v>2.3651807849423816E-2</v>
      </c>
      <c r="AS1204" s="101">
        <f>IF('Net zero activities &amp; levers'!$C$14="Off",Constants!$H66*'Activity data'!BL8*Constants!$H84*FracLEACHMM*MMLeachEF*NtoN2O*kgtoGg,IF('Net zero activities &amp; levers'!$C$14="On",Constants!$H66*'Net zero Activity data'!BL8*Constants!$H84*FracLEACHMM*MMLeachEF*NtoN2O*kgtoGg,"ERROR"))</f>
        <v>2.3726865374870433E-2</v>
      </c>
      <c r="AT1204" s="101">
        <f>IF('Net zero activities &amp; levers'!$C$14="Off",Constants!$H66*'Activity data'!BM8*Constants!$H84*FracLEACHMM*MMLeachEF*NtoN2O*kgtoGg,IF('Net zero activities &amp; levers'!$C$14="On",Constants!$H66*'Net zero Activity data'!BM8*Constants!$H84*FracLEACHMM*MMLeachEF*NtoN2O*kgtoGg,"ERROR"))</f>
        <v>2.3460322327416669E-2</v>
      </c>
      <c r="AU1204" s="101">
        <f>IF('Net zero activities &amp; levers'!$C$14="Off",Constants!$H66*'Activity data'!BN8*Constants!$H84*FracLEACHMM*MMLeachEF*NtoN2O*kgtoGg,IF('Net zero activities &amp; levers'!$C$14="On",Constants!$H66*'Net zero Activity data'!BN8*Constants!$H84*FracLEACHMM*MMLeachEF*NtoN2O*kgtoGg,"ERROR"))</f>
        <v>2.3163108209019571E-2</v>
      </c>
      <c r="AV1204" s="101">
        <f>IF('Net zero activities &amp; levers'!$C$14="Off",Constants!$H66*'Activity data'!BO8*Constants!$H84*FracLEACHMM*MMLeachEF*NtoN2O*kgtoGg,IF('Net zero activities &amp; levers'!$C$14="On",Constants!$H66*'Net zero Activity data'!BO8*Constants!$H84*FracLEACHMM*MMLeachEF*NtoN2O*kgtoGg,"ERROR"))</f>
        <v>2.2898434536127273E-2</v>
      </c>
      <c r="AW1204" s="101">
        <f>IF('Net zero activities &amp; levers'!$C$14="Off",Constants!$H66*'Activity data'!BP8*Constants!$H84*FracLEACHMM*MMLeachEF*NtoN2O*kgtoGg,IF('Net zero activities &amp; levers'!$C$14="On",Constants!$H66*'Net zero Activity data'!BP8*Constants!$H84*FracLEACHMM*MMLeachEF*NtoN2O*kgtoGg,"ERROR"))</f>
        <v>2.2607216669828994E-2</v>
      </c>
      <c r="AY1204" s="85"/>
    </row>
    <row r="1205" spans="1:51" x14ac:dyDescent="0.25">
      <c r="A1205" s="102" t="str">
        <f t="shared" si="380"/>
        <v>CM MM Leaching</v>
      </c>
      <c r="B1205" s="102" t="s">
        <v>1323</v>
      </c>
      <c r="C1205" s="102" t="s">
        <v>1334</v>
      </c>
      <c r="D1205" t="s">
        <v>369</v>
      </c>
      <c r="E1205" t="s">
        <v>64</v>
      </c>
      <c r="F1205" t="s">
        <v>63</v>
      </c>
      <c r="G1205" t="s">
        <v>1161</v>
      </c>
      <c r="H1205" t="s">
        <v>1311</v>
      </c>
      <c r="I1205" t="s">
        <v>139</v>
      </c>
      <c r="J1205" t="s">
        <v>287</v>
      </c>
      <c r="K1205" s="101">
        <f>IF('Net zero activities &amp; levers'!$C$14="Off",Constants!$H67*'Activity data'!AD9*Constants!$H85*FracLEACHMM*MMLeachEF*NtoN2O*kgtoGg,IF('Net zero activities &amp; levers'!$C$14="On",Constants!$H67*'Net zero Activity data'!AD9*Constants!$H85*FracLEACHMM*MMLeachEF*NtoN2O*kgtoGg,"ERROR"))</f>
        <v>4.0424767632491129E-2</v>
      </c>
      <c r="L1205" s="101">
        <f>IF('Net zero activities &amp; levers'!$C$14="Off",Constants!$H67*'Activity data'!AE9*Constants!$H85*FracLEACHMM*MMLeachEF*NtoN2O*kgtoGg,IF('Net zero activities &amp; levers'!$C$14="On",Constants!$H67*'Net zero Activity data'!AE9*Constants!$H85*FracLEACHMM*MMLeachEF*NtoN2O*kgtoGg,"ERROR"))</f>
        <v>4.0218956362952633E-2</v>
      </c>
      <c r="M1205" s="101">
        <f>IF('Net zero activities &amp; levers'!$C$14="Off",Constants!$H67*'Activity data'!AF9*Constants!$H85*FracLEACHMM*MMLeachEF*NtoN2O*kgtoGg,IF('Net zero activities &amp; levers'!$C$14="On",Constants!$H67*'Net zero Activity data'!AF9*Constants!$H85*FracLEACHMM*MMLeachEF*NtoN2O*kgtoGg,"ERROR"))</f>
        <v>3.9843313101654371E-2</v>
      </c>
      <c r="N1205" s="101">
        <f>IF('Net zero activities &amp; levers'!$C$14="Off",Constants!$H67*'Activity data'!AG9*Constants!$H85*FracLEACHMM*MMLeachEF*NtoN2O*kgtoGg,IF('Net zero activities &amp; levers'!$C$14="On",Constants!$H67*'Net zero Activity data'!AG9*Constants!$H85*FracLEACHMM*MMLeachEF*NtoN2O*kgtoGg,"ERROR"))</f>
        <v>3.8815071359232893E-2</v>
      </c>
      <c r="O1205" s="101">
        <f>IF('Net zero activities &amp; levers'!$C$14="Off",Constants!$H67*'Activity data'!AH9*Constants!$H85*FracLEACHMM*MMLeachEF*NtoN2O*kgtoGg,IF('Net zero activities &amp; levers'!$C$14="On",Constants!$H67*'Net zero Activity data'!AH9*Constants!$H85*FracLEACHMM*MMLeachEF*NtoN2O*kgtoGg,"ERROR"))</f>
        <v>3.7827862666512127E-2</v>
      </c>
      <c r="P1205" s="101">
        <f>IF('Net zero activities &amp; levers'!$C$14="Off",Constants!$H67*'Activity data'!AI9*Constants!$H85*FracLEACHMM*MMLeachEF*NtoN2O*kgtoGg,IF('Net zero activities &amp; levers'!$C$14="On",Constants!$H67*'Net zero Activity data'!AI9*Constants!$H85*FracLEACHMM*MMLeachEF*NtoN2O*kgtoGg,"ERROR"))</f>
        <v>3.7504716360024323E-2</v>
      </c>
      <c r="Q1205" s="101">
        <f>IF('Net zero activities &amp; levers'!$C$14="Off",Constants!$H67*'Activity data'!AJ9*Constants!$H85*FracLEACHMM*MMLeachEF*NtoN2O*kgtoGg,IF('Net zero activities &amp; levers'!$C$14="On",Constants!$H67*'Net zero Activity data'!AJ9*Constants!$H85*FracLEACHMM*MMLeachEF*NtoN2O*kgtoGg,"ERROR"))</f>
        <v>3.6982800694625562E-2</v>
      </c>
      <c r="R1205" s="101">
        <f>IF('Net zero activities &amp; levers'!$C$14="Off",Constants!$H67*'Activity data'!AK9*Constants!$H85*FracLEACHMM*MMLeachEF*NtoN2O*kgtoGg,IF('Net zero activities &amp; levers'!$C$14="On",Constants!$H67*'Net zero Activity data'!AK9*Constants!$H85*FracLEACHMM*MMLeachEF*NtoN2O*kgtoGg,"ERROR"))</f>
        <v>3.5810157850092082E-2</v>
      </c>
      <c r="S1205" s="101">
        <f>IF('Net zero activities &amp; levers'!$C$14="Off",Constants!$H67*'Activity data'!AL9*Constants!$H85*FracLEACHMM*MMLeachEF*NtoN2O*kgtoGg,IF('Net zero activities &amp; levers'!$C$14="On",Constants!$H67*'Net zero Activity data'!AL9*Constants!$H85*FracLEACHMM*MMLeachEF*NtoN2O*kgtoGg,"ERROR"))</f>
        <v>3.1875820681448994E-2</v>
      </c>
      <c r="T1205" s="101">
        <f>IF('Net zero activities &amp; levers'!$C$14="Off",Constants!$H67*'Activity data'!AM9*Constants!$H85*FracLEACHMM*MMLeachEF*NtoN2O*kgtoGg,IF('Net zero activities &amp; levers'!$C$14="On",Constants!$H67*'Net zero Activity data'!AM9*Constants!$H85*FracLEACHMM*MMLeachEF*NtoN2O*kgtoGg,"ERROR"))</f>
        <v>3.1827265600391896E-2</v>
      </c>
      <c r="U1205" s="101">
        <f>IF('Net zero activities &amp; levers'!$C$14="Off",Constants!$H67*'Activity data'!AN9*Constants!$H85*FracLEACHMM*MMLeachEF*NtoN2O*kgtoGg,IF('Net zero activities &amp; levers'!$C$14="On",Constants!$H67*'Net zero Activity data'!AN9*Constants!$H85*FracLEACHMM*MMLeachEF*NtoN2O*kgtoGg,"ERROR"))</f>
        <v>3.14132610219141E-2</v>
      </c>
      <c r="V1205" s="101">
        <f>IF('Net zero activities &amp; levers'!$C$14="Off",Constants!$H67*'Activity data'!AO9*Constants!$H85*FracLEACHMM*MMLeachEF*NtoN2O*kgtoGg,IF('Net zero activities &amp; levers'!$C$14="On",Constants!$H67*'Net zero Activity data'!AO9*Constants!$H85*FracLEACHMM*MMLeachEF*NtoN2O*kgtoGg,"ERROR"))</f>
        <v>3.0911780606218669E-2</v>
      </c>
      <c r="W1205" s="101">
        <f>IF('Net zero activities &amp; levers'!$C$14="Off",Constants!$H67*'Activity data'!AP9*Constants!$H85*FracLEACHMM*MMLeachEF*NtoN2O*kgtoGg,IF('Net zero activities &amp; levers'!$C$14="On",Constants!$H67*'Net zero Activity data'!AP9*Constants!$H85*FracLEACHMM*MMLeachEF*NtoN2O*kgtoGg,"ERROR"))</f>
        <v>3.051162540931714E-2</v>
      </c>
      <c r="X1205" s="101">
        <f>IF('Net zero activities &amp; levers'!$C$14="Off",Constants!$H67*'Activity data'!AQ9*Constants!$H85*FracLEACHMM*MMLeachEF*NtoN2O*kgtoGg,IF('Net zero activities &amp; levers'!$C$14="On",Constants!$H67*'Net zero Activity data'!AQ9*Constants!$H85*FracLEACHMM*MMLeachEF*NtoN2O*kgtoGg,"ERROR"))</f>
        <v>3.0469463358467022E-2</v>
      </c>
      <c r="Y1205" s="101">
        <f>IF('Net zero activities &amp; levers'!$C$14="Off",Constants!$H67*'Activity data'!AR9*Constants!$H85*FracLEACHMM*MMLeachEF*NtoN2O*kgtoGg,IF('Net zero activities &amp; levers'!$C$14="On",Constants!$H67*'Net zero Activity data'!AR9*Constants!$H85*FracLEACHMM*MMLeachEF*NtoN2O*kgtoGg,"ERROR"))</f>
        <v>3.0471487557301471E-2</v>
      </c>
      <c r="Z1205" s="101">
        <f>IF('Net zero activities &amp; levers'!$C$14="Off",Constants!$H67*'Activity data'!AS9*Constants!$H85*FracLEACHMM*MMLeachEF*NtoN2O*kgtoGg,IF('Net zero activities &amp; levers'!$C$14="On",Constants!$H67*'Net zero Activity data'!AS9*Constants!$H85*FracLEACHMM*MMLeachEF*NtoN2O*kgtoGg,"ERROR"))</f>
        <v>3.0515496379609583E-2</v>
      </c>
      <c r="AA1205" s="101">
        <f>IF('Net zero activities &amp; levers'!$C$14="Off",Constants!$H67*'Activity data'!AT9*Constants!$H85*FracLEACHMM*MMLeachEF*NtoN2O*kgtoGg,IF('Net zero activities &amp; levers'!$C$14="On",Constants!$H67*'Net zero Activity data'!AT9*Constants!$H85*FracLEACHMM*MMLeachEF*NtoN2O*kgtoGg,"ERROR"))</f>
        <v>3.037136607536349E-2</v>
      </c>
      <c r="AB1205" s="101">
        <f>IF('Net zero activities &amp; levers'!$C$14="Off",Constants!$H67*'Activity data'!AU9*Constants!$H85*FracLEACHMM*MMLeachEF*NtoN2O*kgtoGg,IF('Net zero activities &amp; levers'!$C$14="On",Constants!$H67*'Net zero Activity data'!AU9*Constants!$H85*FracLEACHMM*MMLeachEF*NtoN2O*kgtoGg,"ERROR"))</f>
        <v>3.0338004901629696E-2</v>
      </c>
      <c r="AC1205" s="101">
        <f>IF('Net zero activities &amp; levers'!$C$14="Off",Constants!$H67*'Activity data'!AV9*Constants!$H85*FracLEACHMM*MMLeachEF*NtoN2O*kgtoGg,IF('Net zero activities &amp; levers'!$C$14="On",Constants!$H67*'Net zero Activity data'!AV9*Constants!$H85*FracLEACHMM*MMLeachEF*NtoN2O*kgtoGg,"ERROR"))</f>
        <v>3.0434798383108023E-2</v>
      </c>
      <c r="AD1205" s="101">
        <f>IF('Net zero activities &amp; levers'!$C$14="Off",Constants!$H67*'Activity data'!AW9*Constants!$H85*FracLEACHMM*MMLeachEF*NtoN2O*kgtoGg,IF('Net zero activities &amp; levers'!$C$14="On",Constants!$H67*'Net zero Activity data'!AW9*Constants!$H85*FracLEACHMM*MMLeachEF*NtoN2O*kgtoGg,"ERROR"))</f>
        <v>3.0607170842869562E-2</v>
      </c>
      <c r="AE1205" s="101">
        <f>IF('Net zero activities &amp; levers'!$C$14="Off",Constants!$H67*'Activity data'!AX9*Constants!$H85*FracLEACHMM*MMLeachEF*NtoN2O*kgtoGg,IF('Net zero activities &amp; levers'!$C$14="On",Constants!$H67*'Net zero Activity data'!AX9*Constants!$H85*FracLEACHMM*MMLeachEF*NtoN2O*kgtoGg,"ERROR"))</f>
        <v>3.077850649268165E-2</v>
      </c>
      <c r="AF1205" s="101">
        <f>IF('Net zero activities &amp; levers'!$C$14="Off",Constants!$H67*'Activity data'!AY9*Constants!$H85*FracLEACHMM*MMLeachEF*NtoN2O*kgtoGg,IF('Net zero activities &amp; levers'!$C$14="On",Constants!$H67*'Net zero Activity data'!AY9*Constants!$H85*FracLEACHMM*MMLeachEF*NtoN2O*kgtoGg,"ERROR"))</f>
        <v>3.091990558814342E-2</v>
      </c>
      <c r="AG1205" s="101">
        <f>IF('Net zero activities &amp; levers'!$C$14="Off",Constants!$H67*'Activity data'!AZ9*Constants!$H85*FracLEACHMM*MMLeachEF*NtoN2O*kgtoGg,IF('Net zero activities &amp; levers'!$C$14="On",Constants!$H67*'Net zero Activity data'!AZ9*Constants!$H85*FracLEACHMM*MMLeachEF*NtoN2O*kgtoGg,"ERROR"))</f>
        <v>3.113925305816433E-2</v>
      </c>
      <c r="AH1205" s="101">
        <f>IF('Net zero activities &amp; levers'!$C$14="Off",Constants!$H67*'Activity data'!BA9*Constants!$H85*FracLEACHMM*MMLeachEF*NtoN2O*kgtoGg,IF('Net zero activities &amp; levers'!$C$14="On",Constants!$H67*'Net zero Activity data'!BA9*Constants!$H85*FracLEACHMM*MMLeachEF*NtoN2O*kgtoGg,"ERROR"))</f>
        <v>3.1150371557546273E-2</v>
      </c>
      <c r="AI1205" s="101">
        <f>IF('Net zero activities &amp; levers'!$C$14="Off",Constants!$H67*'Activity data'!BB9*Constants!$H85*FracLEACHMM*MMLeachEF*NtoN2O*kgtoGg,IF('Net zero activities &amp; levers'!$C$14="On",Constants!$H67*'Net zero Activity data'!BB9*Constants!$H85*FracLEACHMM*MMLeachEF*NtoN2O*kgtoGg,"ERROR"))</f>
        <v>3.1175688174041268E-2</v>
      </c>
      <c r="AJ1205" s="101">
        <f>IF('Net zero activities &amp; levers'!$C$14="Off",Constants!$H67*'Activity data'!BC9*Constants!$H85*FracLEACHMM*MMLeachEF*NtoN2O*kgtoGg,IF('Net zero activities &amp; levers'!$C$14="On",Constants!$H67*'Net zero Activity data'!BC9*Constants!$H85*FracLEACHMM*MMLeachEF*NtoN2O*kgtoGg,"ERROR"))</f>
        <v>3.1168468490007418E-2</v>
      </c>
      <c r="AK1205" s="101">
        <f>IF('Net zero activities &amp; levers'!$C$14="Off",Constants!$H67*'Activity data'!BD9*Constants!$H85*FracLEACHMM*MMLeachEF*NtoN2O*kgtoGg,IF('Net zero activities &amp; levers'!$C$14="On",Constants!$H67*'Net zero Activity data'!BD9*Constants!$H85*FracLEACHMM*MMLeachEF*NtoN2O*kgtoGg,"ERROR"))</f>
        <v>3.1062214372811897E-2</v>
      </c>
      <c r="AL1205" s="101">
        <f>IF('Net zero activities &amp; levers'!$C$14="Off",Constants!$H67*'Activity data'!BE9*Constants!$H85*FracLEACHMM*MMLeachEF*NtoN2O*kgtoGg,IF('Net zero activities &amp; levers'!$C$14="On",Constants!$H67*'Net zero Activity data'!BE9*Constants!$H85*FracLEACHMM*MMLeachEF*NtoN2O*kgtoGg,"ERROR"))</f>
        <v>3.0907524753481647E-2</v>
      </c>
      <c r="AM1205" s="101">
        <f>IF('Net zero activities &amp; levers'!$C$14="Off",Constants!$H67*'Activity data'!BF9*Constants!$H85*FracLEACHMM*MMLeachEF*NtoN2O*kgtoGg,IF('Net zero activities &amp; levers'!$C$14="On",Constants!$H67*'Net zero Activity data'!BF9*Constants!$H85*FracLEACHMM*MMLeachEF*NtoN2O*kgtoGg,"ERROR"))</f>
        <v>3.0744369322832872E-2</v>
      </c>
      <c r="AN1205" s="101">
        <f>IF('Net zero activities &amp; levers'!$C$14="Off",Constants!$H67*'Activity data'!BG9*Constants!$H85*FracLEACHMM*MMLeachEF*NtoN2O*kgtoGg,IF('Net zero activities &amp; levers'!$C$14="On",Constants!$H67*'Net zero Activity data'!BG9*Constants!$H85*FracLEACHMM*MMLeachEF*NtoN2O*kgtoGg,"ERROR"))</f>
        <v>3.0967223216333276E-2</v>
      </c>
      <c r="AO1205" s="101">
        <f>IF('Net zero activities &amp; levers'!$C$14="Off",Constants!$H67*'Activity data'!BH9*Constants!$H85*FracLEACHMM*MMLeachEF*NtoN2O*kgtoGg,IF('Net zero activities &amp; levers'!$C$14="On",Constants!$H67*'Net zero Activity data'!BH9*Constants!$H85*FracLEACHMM*MMLeachEF*NtoN2O*kgtoGg,"ERROR"))</f>
        <v>3.1093374584300417E-2</v>
      </c>
      <c r="AP1205" s="101">
        <f>IF('Net zero activities &amp; levers'!$C$14="Off",Constants!$H67*'Activity data'!BI9*Constants!$H85*FracLEACHMM*MMLeachEF*NtoN2O*kgtoGg,IF('Net zero activities &amp; levers'!$C$14="On",Constants!$H67*'Net zero Activity data'!BI9*Constants!$H85*FracLEACHMM*MMLeachEF*NtoN2O*kgtoGg,"ERROR"))</f>
        <v>3.1198377923867971E-2</v>
      </c>
      <c r="AQ1205" s="101">
        <f>IF('Net zero activities &amp; levers'!$C$14="Off",Constants!$H67*'Activity data'!BJ9*Constants!$H85*FracLEACHMM*MMLeachEF*NtoN2O*kgtoGg,IF('Net zero activities &amp; levers'!$C$14="On",Constants!$H67*'Net zero Activity data'!BJ9*Constants!$H85*FracLEACHMM*MMLeachEF*NtoN2O*kgtoGg,"ERROR"))</f>
        <v>3.1283873684142378E-2</v>
      </c>
      <c r="AR1205" s="101">
        <f>IF('Net zero activities &amp; levers'!$C$14="Off",Constants!$H67*'Activity data'!BK9*Constants!$H85*FracLEACHMM*MMLeachEF*NtoN2O*kgtoGg,IF('Net zero activities &amp; levers'!$C$14="On",Constants!$H67*'Net zero Activity data'!BK9*Constants!$H85*FracLEACHMM*MMLeachEF*NtoN2O*kgtoGg,"ERROR"))</f>
        <v>3.1397026862839357E-2</v>
      </c>
      <c r="AS1205" s="101">
        <f>IF('Net zero activities &amp; levers'!$C$14="Off",Constants!$H67*'Activity data'!BL9*Constants!$H85*FracLEACHMM*MMLeachEF*NtoN2O*kgtoGg,IF('Net zero activities &amp; levers'!$C$14="On",Constants!$H67*'Net zero Activity data'!BL9*Constants!$H85*FracLEACHMM*MMLeachEF*NtoN2O*kgtoGg,"ERROR"))</f>
        <v>3.1496663353957004E-2</v>
      </c>
      <c r="AT1205" s="101">
        <f>IF('Net zero activities &amp; levers'!$C$14="Off",Constants!$H67*'Activity data'!BM9*Constants!$H85*FracLEACHMM*MMLeachEF*NtoN2O*kgtoGg,IF('Net zero activities &amp; levers'!$C$14="On",Constants!$H67*'Net zero Activity data'!BM9*Constants!$H85*FracLEACHMM*MMLeachEF*NtoN2O*kgtoGg,"ERROR"))</f>
        <v>3.1142835888661888E-2</v>
      </c>
      <c r="AU1205" s="101">
        <f>IF('Net zero activities &amp; levers'!$C$14="Off",Constants!$H67*'Activity data'!BN9*Constants!$H85*FracLEACHMM*MMLeachEF*NtoN2O*kgtoGg,IF('Net zero activities &amp; levers'!$C$14="On",Constants!$H67*'Net zero Activity data'!BN9*Constants!$H85*FracLEACHMM*MMLeachEF*NtoN2O*kgtoGg,"ERROR"))</f>
        <v>3.0748293546751383E-2</v>
      </c>
      <c r="AV1205" s="101">
        <f>IF('Net zero activities &amp; levers'!$C$14="Off",Constants!$H67*'Activity data'!BO9*Constants!$H85*FracLEACHMM*MMLeachEF*NtoN2O*kgtoGg,IF('Net zero activities &amp; levers'!$C$14="On",Constants!$H67*'Net zero Activity data'!BO9*Constants!$H85*FracLEACHMM*MMLeachEF*NtoN2O*kgtoGg,"ERROR"))</f>
        <v>3.0396947617062204E-2</v>
      </c>
      <c r="AW1205" s="101">
        <f>IF('Net zero activities &amp; levers'!$C$14="Off",Constants!$H67*'Activity data'!BP9*Constants!$H85*FracLEACHMM*MMLeachEF*NtoN2O*kgtoGg,IF('Net zero activities &amp; levers'!$C$14="On",Constants!$H67*'Net zero Activity data'!BP9*Constants!$H85*FracLEACHMM*MMLeachEF*NtoN2O*kgtoGg,"ERROR"))</f>
        <v>3.0010365110163955E-2</v>
      </c>
      <c r="AY1205" s="85"/>
    </row>
    <row r="1206" spans="1:51" x14ac:dyDescent="0.25">
      <c r="A1206" s="102" t="str">
        <f t="shared" si="380"/>
        <v>CM MM Leaching</v>
      </c>
      <c r="B1206" s="102" t="s">
        <v>1323</v>
      </c>
      <c r="C1206" s="102" t="s">
        <v>1334</v>
      </c>
      <c r="D1206" t="s">
        <v>369</v>
      </c>
      <c r="E1206" t="s">
        <v>64</v>
      </c>
      <c r="F1206" t="s">
        <v>63</v>
      </c>
      <c r="G1206" t="s">
        <v>1163</v>
      </c>
      <c r="H1206" t="s">
        <v>1312</v>
      </c>
      <c r="I1206" t="s">
        <v>139</v>
      </c>
      <c r="J1206" t="s">
        <v>287</v>
      </c>
      <c r="K1206" s="101">
        <f>IF('Net zero activities &amp; levers'!$C$14="Off",Constants!$H68*'Activity data'!AD10*Constants!$H86*FracLEACHMM*MMLeachEF*NtoN2O*kgtoGg,IF('Net zero activities &amp; levers'!$C$14="On",Constants!$H68*'Net zero Activity data'!AD10*Constants!$H86*FracLEACHMM*MMLeachEF*NtoN2O*kgtoGg,"ERROR"))</f>
        <v>4.2088279910489731E-2</v>
      </c>
      <c r="L1206" s="101">
        <f>IF('Net zero activities &amp; levers'!$C$14="Off",Constants!$H68*'Activity data'!AE10*Constants!$H86*FracLEACHMM*MMLeachEF*NtoN2O*kgtoGg,IF('Net zero activities &amp; levers'!$C$14="On",Constants!$H68*'Net zero Activity data'!AE10*Constants!$H86*FracLEACHMM*MMLeachEF*NtoN2O*kgtoGg,"ERROR"))</f>
        <v>4.3658426789379527E-2</v>
      </c>
      <c r="M1206" s="101">
        <f>IF('Net zero activities &amp; levers'!$C$14="Off",Constants!$H68*'Activity data'!AF10*Constants!$H86*FracLEACHMM*MMLeachEF*NtoN2O*kgtoGg,IF('Net zero activities &amp; levers'!$C$14="On",Constants!$H68*'Net zero Activity data'!AF10*Constants!$H86*FracLEACHMM*MMLeachEF*NtoN2O*kgtoGg,"ERROR"))</f>
        <v>4.5069001422451092E-2</v>
      </c>
      <c r="N1206" s="101">
        <f>IF('Net zero activities &amp; levers'!$C$14="Off",Constants!$H68*'Activity data'!AG10*Constants!$H86*FracLEACHMM*MMLeachEF*NtoN2O*kgtoGg,IF('Net zero activities &amp; levers'!$C$14="On",Constants!$H68*'Net zero Activity data'!AG10*Constants!$H86*FracLEACHMM*MMLeachEF*NtoN2O*kgtoGg,"ERROR"))</f>
        <v>4.5730945940485053E-2</v>
      </c>
      <c r="O1206" s="101">
        <f>IF('Net zero activities &amp; levers'!$C$14="Off",Constants!$H68*'Activity data'!AH10*Constants!$H86*FracLEACHMM*MMLeachEF*NtoN2O*kgtoGg,IF('Net zero activities &amp; levers'!$C$14="On",Constants!$H68*'Net zero Activity data'!AH10*Constants!$H86*FracLEACHMM*MMLeachEF*NtoN2O*kgtoGg,"ERROR"))</f>
        <v>4.6403018793330496E-2</v>
      </c>
      <c r="P1206" s="101">
        <f>IF('Net zero activities &amp; levers'!$C$14="Off",Constants!$H68*'Activity data'!AI10*Constants!$H86*FracLEACHMM*MMLeachEF*NtoN2O*kgtoGg,IF('Net zero activities &amp; levers'!$C$14="On",Constants!$H68*'Net zero Activity data'!AI10*Constants!$H86*FracLEACHMM*MMLeachEF*NtoN2O*kgtoGg,"ERROR"))</f>
        <v>4.788652540684897E-2</v>
      </c>
      <c r="Q1206" s="101">
        <f>IF('Net zero activities &amp; levers'!$C$14="Off",Constants!$H68*'Activity data'!AJ10*Constants!$H86*FracLEACHMM*MMLeachEF*NtoN2O*kgtoGg,IF('Net zero activities &amp; levers'!$C$14="On",Constants!$H68*'Net zero Activity data'!AJ10*Constants!$H86*FracLEACHMM*MMLeachEF*NtoN2O*kgtoGg,"ERROR"))</f>
        <v>4.9137870108527694E-2</v>
      </c>
      <c r="R1206" s="101">
        <f>IF('Net zero activities &amp; levers'!$C$14="Off",Constants!$H68*'Activity data'!AK10*Constants!$H86*FracLEACHMM*MMLeachEF*NtoN2O*kgtoGg,IF('Net zero activities &amp; levers'!$C$14="On",Constants!$H68*'Net zero Activity data'!AK10*Constants!$H86*FracLEACHMM*MMLeachEF*NtoN2O*kgtoGg,"ERROR"))</f>
        <v>4.9503165411805869E-2</v>
      </c>
      <c r="S1206" s="101">
        <f>IF('Net zero activities &amp; levers'!$C$14="Off",Constants!$H68*'Activity data'!AL10*Constants!$H86*FracLEACHMM*MMLeachEF*NtoN2O*kgtoGg,IF('Net zero activities &amp; levers'!$C$14="On",Constants!$H68*'Net zero Activity data'!AL10*Constants!$H86*FracLEACHMM*MMLeachEF*NtoN2O*kgtoGg,"ERROR"))</f>
        <v>4.5839757980885354E-2</v>
      </c>
      <c r="T1206" s="101">
        <f>IF('Net zero activities &amp; levers'!$C$14="Off",Constants!$H68*'Activity data'!AM10*Constants!$H86*FracLEACHMM*MMLeachEF*NtoN2O*kgtoGg,IF('Net zero activities &amp; levers'!$C$14="On",Constants!$H68*'Net zero Activity data'!AM10*Constants!$H86*FracLEACHMM*MMLeachEF*NtoN2O*kgtoGg,"ERROR"))</f>
        <v>4.7374328809953931E-2</v>
      </c>
      <c r="U1206" s="101">
        <f>IF('Net zero activities &amp; levers'!$C$14="Off",Constants!$H68*'Activity data'!AN10*Constants!$H86*FracLEACHMM*MMLeachEF*NtoN2O*kgtoGg,IF('Net zero activities &amp; levers'!$C$14="On",Constants!$H68*'Net zero Activity data'!AN10*Constants!$H86*FracLEACHMM*MMLeachEF*NtoN2O*kgtoGg,"ERROR"))</f>
        <v>4.8385087638075454E-2</v>
      </c>
      <c r="V1206" s="101">
        <f>IF('Net zero activities &amp; levers'!$C$14="Off",Constants!$H68*'Activity data'!AO10*Constants!$H86*FracLEACHMM*MMLeachEF*NtoN2O*kgtoGg,IF('Net zero activities &amp; levers'!$C$14="On",Constants!$H68*'Net zero Activity data'!AO10*Constants!$H86*FracLEACHMM*MMLeachEF*NtoN2O*kgtoGg,"ERROR"))</f>
        <v>4.9258578492451674E-2</v>
      </c>
      <c r="W1206" s="101">
        <f>IF('Net zero activities &amp; levers'!$C$14="Off",Constants!$H68*'Activity data'!AP10*Constants!$H86*FracLEACHMM*MMLeachEF*NtoN2O*kgtoGg,IF('Net zero activities &amp; levers'!$C$14="On",Constants!$H68*'Net zero Activity data'!AP10*Constants!$H86*FracLEACHMM*MMLeachEF*NtoN2O*kgtoGg,"ERROR"))</f>
        <v>5.0291952299074204E-2</v>
      </c>
      <c r="X1206" s="101">
        <f>IF('Net zero activities &amp; levers'!$C$14="Off",Constants!$H68*'Activity data'!AQ10*Constants!$H86*FracLEACHMM*MMLeachEF*NtoN2O*kgtoGg,IF('Net zero activities &amp; levers'!$C$14="On",Constants!$H68*'Net zero Activity data'!AQ10*Constants!$H86*FracLEACHMM*MMLeachEF*NtoN2O*kgtoGg,"ERROR"))</f>
        <v>5.1939711724589818E-2</v>
      </c>
      <c r="Y1206" s="101">
        <f>IF('Net zero activities &amp; levers'!$C$14="Off",Constants!$H68*'Activity data'!AR10*Constants!$H86*FracLEACHMM*MMLeachEF*NtoN2O*kgtoGg,IF('Net zero activities &amp; levers'!$C$14="On",Constants!$H68*'Net zero Activity data'!AR10*Constants!$H86*FracLEACHMM*MMLeachEF*NtoN2O*kgtoGg,"ERROR"))</f>
        <v>5.3711299521856999E-2</v>
      </c>
      <c r="Z1206" s="101">
        <f>IF('Net zero activities &amp; levers'!$C$14="Off",Constants!$H68*'Activity data'!AS10*Constants!$H86*FracLEACHMM*MMLeachEF*NtoN2O*kgtoGg,IF('Net zero activities &amp; levers'!$C$14="On",Constants!$H68*'Net zero Activity data'!AS10*Constants!$H86*FracLEACHMM*MMLeachEF*NtoN2O*kgtoGg,"ERROR"))</f>
        <v>5.561270789509077E-2</v>
      </c>
      <c r="AA1206" s="101">
        <f>IF('Net zero activities &amp; levers'!$C$14="Off",Constants!$H68*'Activity data'!AT10*Constants!$H86*FracLEACHMM*MMLeachEF*NtoN2O*kgtoGg,IF('Net zero activities &amp; levers'!$C$14="On",Constants!$H68*'Net zero Activity data'!AT10*Constants!$H86*FracLEACHMM*MMLeachEF*NtoN2O*kgtoGg,"ERROR"))</f>
        <v>5.7220519996954537E-2</v>
      </c>
      <c r="AB1206" s="101">
        <f>IF('Net zero activities &amp; levers'!$C$14="Off",Constants!$H68*'Activity data'!AU10*Constants!$H86*FracLEACHMM*MMLeachEF*NtoN2O*kgtoGg,IF('Net zero activities &amp; levers'!$C$14="On",Constants!$H68*'Net zero Activity data'!AU10*Constants!$H86*FracLEACHMM*MMLeachEF*NtoN2O*kgtoGg,"ERROR"))</f>
        <v>5.9083740281731877E-2</v>
      </c>
      <c r="AC1206" s="101">
        <f>IF('Net zero activities &amp; levers'!$C$14="Off",Constants!$H68*'Activity data'!AV10*Constants!$H86*FracLEACHMM*MMLeachEF*NtoN2O*kgtoGg,IF('Net zero activities &amp; levers'!$C$14="On",Constants!$H68*'Net zero Activity data'!AV10*Constants!$H86*FracLEACHMM*MMLeachEF*NtoN2O*kgtoGg,"ERROR"))</f>
        <v>6.1264843378282627E-2</v>
      </c>
      <c r="AD1206" s="101">
        <f>IF('Net zero activities &amp; levers'!$C$14="Off",Constants!$H68*'Activity data'!AW10*Constants!$H86*FracLEACHMM*MMLeachEF*NtoN2O*kgtoGg,IF('Net zero activities &amp; levers'!$C$14="On",Constants!$H68*'Net zero Activity data'!AW10*Constants!$H86*FracLEACHMM*MMLeachEF*NtoN2O*kgtoGg,"ERROR"))</f>
        <v>6.3685236331864695E-2</v>
      </c>
      <c r="AE1206" s="101">
        <f>IF('Net zero activities &amp; levers'!$C$14="Off",Constants!$H68*'Activity data'!AX10*Constants!$H86*FracLEACHMM*MMLeachEF*NtoN2O*kgtoGg,IF('Net zero activities &amp; levers'!$C$14="On",Constants!$H68*'Net zero Activity data'!AX10*Constants!$H86*FracLEACHMM*MMLeachEF*NtoN2O*kgtoGg,"ERROR"))</f>
        <v>6.6201305217715362E-2</v>
      </c>
      <c r="AF1206" s="101">
        <f>IF('Net zero activities &amp; levers'!$C$14="Off",Constants!$H68*'Activity data'!AY10*Constants!$H86*FracLEACHMM*MMLeachEF*NtoN2O*kgtoGg,IF('Net zero activities &amp; levers'!$C$14="On",Constants!$H68*'Net zero Activity data'!AY10*Constants!$H86*FracLEACHMM*MMLeachEF*NtoN2O*kgtoGg,"ERROR"))</f>
        <v>6.8754048942702928E-2</v>
      </c>
      <c r="AG1206" s="101">
        <f>IF('Net zero activities &amp; levers'!$C$14="Off",Constants!$H68*'Activity data'!AZ10*Constants!$H86*FracLEACHMM*MMLeachEF*NtoN2O*kgtoGg,IF('Net zero activities &amp; levers'!$C$14="On",Constants!$H68*'Net zero Activity data'!AZ10*Constants!$H86*FracLEACHMM*MMLeachEF*NtoN2O*kgtoGg,"ERROR"))</f>
        <v>7.1590583966406801E-2</v>
      </c>
      <c r="AH1206" s="101">
        <f>IF('Net zero activities &amp; levers'!$C$14="Off",Constants!$H68*'Activity data'!BA10*Constants!$H86*FracLEACHMM*MMLeachEF*NtoN2O*kgtoGg,IF('Net zero activities &amp; levers'!$C$14="On",Constants!$H68*'Net zero Activity data'!BA10*Constants!$H86*FracLEACHMM*MMLeachEF*NtoN2O*kgtoGg,"ERROR"))</f>
        <v>7.4054894468481555E-2</v>
      </c>
      <c r="AI1206" s="101">
        <f>IF('Net zero activities &amp; levers'!$C$14="Off",Constants!$H68*'Activity data'!BB10*Constants!$H86*FracLEACHMM*MMLeachEF*NtoN2O*kgtoGg,IF('Net zero activities &amp; levers'!$C$14="On",Constants!$H68*'Net zero Activity data'!BB10*Constants!$H86*FracLEACHMM*MMLeachEF*NtoN2O*kgtoGg,"ERROR"))</f>
        <v>7.6650212505560159E-2</v>
      </c>
      <c r="AJ1206" s="101">
        <f>IF('Net zero activities &amp; levers'!$C$14="Off",Constants!$H68*'Activity data'!BC10*Constants!$H86*FracLEACHMM*MMLeachEF*NtoN2O*kgtoGg,IF('Net zero activities &amp; levers'!$C$14="On",Constants!$H68*'Net zero Activity data'!BC10*Constants!$H86*FracLEACHMM*MMLeachEF*NtoN2O*kgtoGg,"ERROR"))</f>
        <v>7.926697266464891E-2</v>
      </c>
      <c r="AK1206" s="101">
        <f>IF('Net zero activities &amp; levers'!$C$14="Off",Constants!$H68*'Activity data'!BD10*Constants!$H86*FracLEACHMM*MMLeachEF*NtoN2O*kgtoGg,IF('Net zero activities &amp; levers'!$C$14="On",Constants!$H68*'Net zero Activity data'!BD10*Constants!$H86*FracLEACHMM*MMLeachEF*NtoN2O*kgtoGg,"ERROR"))</f>
        <v>8.1727886974846925E-2</v>
      </c>
      <c r="AL1206" s="101">
        <f>IF('Net zero activities &amp; levers'!$C$14="Off",Constants!$H68*'Activity data'!BE10*Constants!$H86*FracLEACHMM*MMLeachEF*NtoN2O*kgtoGg,IF('Net zero activities &amp; levers'!$C$14="On",Constants!$H68*'Net zero Activity data'!BE10*Constants!$H86*FracLEACHMM*MMLeachEF*NtoN2O*kgtoGg,"ERROR"))</f>
        <v>8.4149908352579239E-2</v>
      </c>
      <c r="AM1206" s="101">
        <f>IF('Net zero activities &amp; levers'!$C$14="Off",Constants!$H68*'Activity data'!BF10*Constants!$H86*FracLEACHMM*MMLeachEF*NtoN2O*kgtoGg,IF('Net zero activities &amp; levers'!$C$14="On",Constants!$H68*'Net zero Activity data'!BF10*Constants!$H86*FracLEACHMM*MMLeachEF*NtoN2O*kgtoGg,"ERROR"))</f>
        <v>8.6637560601822261E-2</v>
      </c>
      <c r="AN1206" s="101">
        <f>IF('Net zero activities &amp; levers'!$C$14="Off",Constants!$H68*'Activity data'!BG10*Constants!$H86*FracLEACHMM*MMLeachEF*NtoN2O*kgtoGg,IF('Net zero activities &amp; levers'!$C$14="On",Constants!$H68*'Net zero Activity data'!BG10*Constants!$H86*FracLEACHMM*MMLeachEF*NtoN2O*kgtoGg,"ERROR"))</f>
        <v>8.9774381331054462E-2</v>
      </c>
      <c r="AO1206" s="101">
        <f>IF('Net zero activities &amp; levers'!$C$14="Off",Constants!$H68*'Activity data'!BH10*Constants!$H86*FracLEACHMM*MMLeachEF*NtoN2O*kgtoGg,IF('Net zero activities &amp; levers'!$C$14="On",Constants!$H68*'Net zero Activity data'!BH10*Constants!$H86*FracLEACHMM*MMLeachEF*NtoN2O*kgtoGg,"ERROR"))</f>
        <v>9.2740753913483548E-2</v>
      </c>
      <c r="AP1206" s="101">
        <f>IF('Net zero activities &amp; levers'!$C$14="Off",Constants!$H68*'Activity data'!BI10*Constants!$H86*FracLEACHMM*MMLeachEF*NtoN2O*kgtoGg,IF('Net zero activities &amp; levers'!$C$14="On",Constants!$H68*'Net zero Activity data'!BI10*Constants!$H86*FracLEACHMM*MMLeachEF*NtoN2O*kgtoGg,"ERROR"))</f>
        <v>9.5749348874395443E-2</v>
      </c>
      <c r="AQ1206" s="101">
        <f>IF('Net zero activities &amp; levers'!$C$14="Off",Constants!$H68*'Activity data'!BJ10*Constants!$H86*FracLEACHMM*MMLeachEF*NtoN2O*kgtoGg,IF('Net zero activities &amp; levers'!$C$14="On",Constants!$H68*'Net zero Activity data'!BJ10*Constants!$H86*FracLEACHMM*MMLeachEF*NtoN2O*kgtoGg,"ERROR"))</f>
        <v>9.8805067332979044E-2</v>
      </c>
      <c r="AR1206" s="101">
        <f>IF('Net zero activities &amp; levers'!$C$14="Off",Constants!$H68*'Activity data'!BK10*Constants!$H86*FracLEACHMM*MMLeachEF*NtoN2O*kgtoGg,IF('Net zero activities &amp; levers'!$C$14="On",Constants!$H68*'Net zero Activity data'!BK10*Constants!$H86*FracLEACHMM*MMLeachEF*NtoN2O*kgtoGg,"ERROR"))</f>
        <v>0.1020613595708047</v>
      </c>
      <c r="AS1206" s="101">
        <f>IF('Net zero activities &amp; levers'!$C$14="Off",Constants!$H68*'Activity data'!BL10*Constants!$H86*FracLEACHMM*MMLeachEF*NtoN2O*kgtoGg,IF('Net zero activities &amp; levers'!$C$14="On",Constants!$H68*'Net zero Activity data'!BL10*Constants!$H86*FracLEACHMM*MMLeachEF*NtoN2O*kgtoGg,"ERROR"))</f>
        <v>0.10539408347278972</v>
      </c>
      <c r="AT1206" s="101">
        <f>IF('Net zero activities &amp; levers'!$C$14="Off",Constants!$H68*'Activity data'!BM10*Constants!$H86*FracLEACHMM*MMLeachEF*NtoN2O*kgtoGg,IF('Net zero activities &amp; levers'!$C$14="On",Constants!$H68*'Net zero Activity data'!BM10*Constants!$H86*FracLEACHMM*MMLeachEF*NtoN2O*kgtoGg,"ERROR"))</f>
        <v>0.10728993490272434</v>
      </c>
      <c r="AU1206" s="101">
        <f>IF('Net zero activities &amp; levers'!$C$14="Off",Constants!$H68*'Activity data'!BN10*Constants!$H86*FracLEACHMM*MMLeachEF*NtoN2O*kgtoGg,IF('Net zero activities &amp; levers'!$C$14="On",Constants!$H68*'Net zero Activity data'!BN10*Constants!$H86*FracLEACHMM*MMLeachEF*NtoN2O*kgtoGg,"ERROR"))</f>
        <v>0.10908044995452261</v>
      </c>
      <c r="AV1206" s="101">
        <f>IF('Net zero activities &amp; levers'!$C$14="Off",Constants!$H68*'Activity data'!BO10*Constants!$H86*FracLEACHMM*MMLeachEF*NtoN2O*kgtoGg,IF('Net zero activities &amp; levers'!$C$14="On",Constants!$H68*'Net zero Activity data'!BO10*Constants!$H86*FracLEACHMM*MMLeachEF*NtoN2O*kgtoGg,"ERROR"))</f>
        <v>0.11106127642330926</v>
      </c>
      <c r="AW1206" s="101">
        <f>IF('Net zero activities &amp; levers'!$C$14="Off",Constants!$H68*'Activity data'!BP10*Constants!$H86*FracLEACHMM*MMLeachEF*NtoN2O*kgtoGg,IF('Net zero activities &amp; levers'!$C$14="On",Constants!$H68*'Net zero Activity data'!BP10*Constants!$H86*FracLEACHMM*MMLeachEF*NtoN2O*kgtoGg,"ERROR"))</f>
        <v>0.11295315373217359</v>
      </c>
      <c r="AY1206" s="85"/>
    </row>
    <row r="1207" spans="1:51" x14ac:dyDescent="0.25">
      <c r="A1207" s="102" t="str">
        <f t="shared" si="380"/>
        <v>CM MM Leaching</v>
      </c>
      <c r="B1207" s="102" t="s">
        <v>1323</v>
      </c>
      <c r="C1207" s="102" t="s">
        <v>1334</v>
      </c>
      <c r="D1207" t="s">
        <v>369</v>
      </c>
      <c r="E1207" t="s">
        <v>64</v>
      </c>
      <c r="F1207" t="s">
        <v>63</v>
      </c>
      <c r="G1207" t="s">
        <v>1165</v>
      </c>
      <c r="H1207" t="s">
        <v>1313</v>
      </c>
      <c r="I1207" t="s">
        <v>139</v>
      </c>
      <c r="J1207" t="s">
        <v>287</v>
      </c>
      <c r="K1207" s="101">
        <f>IF('Net zero activities &amp; levers'!$C$14="Off",Constants!$H69*'Activity data'!AD11*Constants!$H87*FracLEACHMM*MMLeachEF*NtoN2O*kgtoGg,IF('Net zero activities &amp; levers'!$C$14="On",Constants!$H69*'Net zero Activity data'!AD11*Constants!$H87*FracLEACHMM*MMLeachEF*NtoN2O*kgtoGg,"ERROR"))</f>
        <v>4.3939271631598543E-3</v>
      </c>
      <c r="L1207" s="101">
        <f>IF('Net zero activities &amp; levers'!$C$14="Off",Constants!$H69*'Activity data'!AE11*Constants!$H87*FracLEACHMM*MMLeachEF*NtoN2O*kgtoGg,IF('Net zero activities &amp; levers'!$C$14="On",Constants!$H69*'Net zero Activity data'!AE11*Constants!$H87*FracLEACHMM*MMLeachEF*NtoN2O*kgtoGg,"ERROR"))</f>
        <v>4.3962984818877171E-3</v>
      </c>
      <c r="M1207" s="101">
        <f>IF('Net zero activities &amp; levers'!$C$14="Off",Constants!$H69*'Activity data'!AF11*Constants!$H87*FracLEACHMM*MMLeachEF*NtoN2O*kgtoGg,IF('Net zero activities &amp; levers'!$C$14="On",Constants!$H69*'Net zero Activity data'!AF11*Constants!$H87*FracLEACHMM*MMLeachEF*NtoN2O*kgtoGg,"ERROR"))</f>
        <v>4.4017499414647923E-3</v>
      </c>
      <c r="N1207" s="101">
        <f>IF('Net zero activities &amp; levers'!$C$14="Off",Constants!$H69*'Activity data'!AG11*Constants!$H87*FracLEACHMM*MMLeachEF*NtoN2O*kgtoGg,IF('Net zero activities &amp; levers'!$C$14="On",Constants!$H69*'Net zero Activity data'!AG11*Constants!$H87*FracLEACHMM*MMLeachEF*NtoN2O*kgtoGg,"ERROR"))</f>
        <v>4.4098431410874153E-3</v>
      </c>
      <c r="O1207" s="101">
        <f>IF('Net zero activities &amp; levers'!$C$14="Off",Constants!$H69*'Activity data'!AH11*Constants!$H87*FracLEACHMM*MMLeachEF*NtoN2O*kgtoGg,IF('Net zero activities &amp; levers'!$C$14="On",Constants!$H69*'Net zero Activity data'!AH11*Constants!$H87*FracLEACHMM*MMLeachEF*NtoN2O*kgtoGg,"ERROR"))</f>
        <v>4.4207667549247352E-3</v>
      </c>
      <c r="P1207" s="101">
        <f>IF('Net zero activities &amp; levers'!$C$14="Off",Constants!$H69*'Activity data'!AI11*Constants!$H87*FracLEACHMM*MMLeachEF*NtoN2O*kgtoGg,IF('Net zero activities &amp; levers'!$C$14="On",Constants!$H69*'Net zero Activity data'!AI11*Constants!$H87*FracLEACHMM*MMLeachEF*NtoN2O*kgtoGg,"ERROR"))</f>
        <v>4.4347403177031263E-3</v>
      </c>
      <c r="Q1207" s="101">
        <f>IF('Net zero activities &amp; levers'!$C$14="Off",Constants!$H69*'Activity data'!AJ11*Constants!$H87*FracLEACHMM*MMLeachEF*NtoN2O*kgtoGg,IF('Net zero activities &amp; levers'!$C$14="On",Constants!$H69*'Net zero Activity data'!AJ11*Constants!$H87*FracLEACHMM*MMLeachEF*NtoN2O*kgtoGg,"ERROR"))</f>
        <v>4.4501377302209226E-3</v>
      </c>
      <c r="R1207" s="101">
        <f>IF('Net zero activities &amp; levers'!$C$14="Off",Constants!$H69*'Activity data'!AK11*Constants!$H87*FracLEACHMM*MMLeachEF*NtoN2O*kgtoGg,IF('Net zero activities &amp; levers'!$C$14="On",Constants!$H69*'Net zero Activity data'!AK11*Constants!$H87*FracLEACHMM*MMLeachEF*NtoN2O*kgtoGg,"ERROR"))</f>
        <v>4.4667198464041179E-3</v>
      </c>
      <c r="S1207" s="101">
        <f>IF('Net zero activities &amp; levers'!$C$14="Off",Constants!$H69*'Activity data'!AL11*Constants!$H87*FracLEACHMM*MMLeachEF*NtoN2O*kgtoGg,IF('Net zero activities &amp; levers'!$C$14="On",Constants!$H69*'Net zero Activity data'!AL11*Constants!$H87*FracLEACHMM*MMLeachEF*NtoN2O*kgtoGg,"ERROR"))</f>
        <v>4.4831484324149608E-3</v>
      </c>
      <c r="T1207" s="101">
        <f>IF('Net zero activities &amp; levers'!$C$14="Off",Constants!$H69*'Activity data'!AM11*Constants!$H87*FracLEACHMM*MMLeachEF*NtoN2O*kgtoGg,IF('Net zero activities &amp; levers'!$C$14="On",Constants!$H69*'Net zero Activity data'!AM11*Constants!$H87*FracLEACHMM*MMLeachEF*NtoN2O*kgtoGg,"ERROR"))</f>
        <v>4.4889737684212288E-3</v>
      </c>
      <c r="U1207" s="101">
        <f>IF('Net zero activities &amp; levers'!$C$14="Off",Constants!$H69*'Activity data'!AN11*Constants!$H87*FracLEACHMM*MMLeachEF*NtoN2O*kgtoGg,IF('Net zero activities &amp; levers'!$C$14="On",Constants!$H69*'Net zero Activity data'!AN11*Constants!$H87*FracLEACHMM*MMLeachEF*NtoN2O*kgtoGg,"ERROR"))</f>
        <v>4.4957072679122842E-3</v>
      </c>
      <c r="V1207" s="101">
        <f>IF('Net zero activities &amp; levers'!$C$14="Off",Constants!$H69*'Activity data'!AO11*Constants!$H87*FracLEACHMM*MMLeachEF*NtoN2O*kgtoGg,IF('Net zero activities &amp; levers'!$C$14="On",Constants!$H69*'Net zero Activity data'!AO11*Constants!$H87*FracLEACHMM*MMLeachEF*NtoN2O*kgtoGg,"ERROR"))</f>
        <v>4.5034366967498501E-3</v>
      </c>
      <c r="W1207" s="101">
        <f>IF('Net zero activities &amp; levers'!$C$14="Off",Constants!$H69*'Activity data'!AP11*Constants!$H87*FracLEACHMM*MMLeachEF*NtoN2O*kgtoGg,IF('Net zero activities &amp; levers'!$C$14="On",Constants!$H69*'Net zero Activity data'!AP11*Constants!$H87*FracLEACHMM*MMLeachEF*NtoN2O*kgtoGg,"ERROR"))</f>
        <v>4.5122240359380481E-3</v>
      </c>
      <c r="X1207" s="101">
        <f>IF('Net zero activities &amp; levers'!$C$14="Off",Constants!$H69*'Activity data'!AQ11*Constants!$H87*FracLEACHMM*MMLeachEF*NtoN2O*kgtoGg,IF('Net zero activities &amp; levers'!$C$14="On",Constants!$H69*'Net zero Activity data'!AQ11*Constants!$H87*FracLEACHMM*MMLeachEF*NtoN2O*kgtoGg,"ERROR"))</f>
        <v>4.5222055949191058E-3</v>
      </c>
      <c r="Y1207" s="101">
        <f>IF('Net zero activities &amp; levers'!$C$14="Off",Constants!$H69*'Activity data'!AR11*Constants!$H87*FracLEACHMM*MMLeachEF*NtoN2O*kgtoGg,IF('Net zero activities &amp; levers'!$C$14="On",Constants!$H69*'Net zero Activity data'!AR11*Constants!$H87*FracLEACHMM*MMLeachEF*NtoN2O*kgtoGg,"ERROR"))</f>
        <v>4.5281427201003489E-3</v>
      </c>
      <c r="Z1207" s="101">
        <f>IF('Net zero activities &amp; levers'!$C$14="Off",Constants!$H69*'Activity data'!AS11*Constants!$H87*FracLEACHMM*MMLeachEF*NtoN2O*kgtoGg,IF('Net zero activities &amp; levers'!$C$14="On",Constants!$H69*'Net zero Activity data'!AS11*Constants!$H87*FracLEACHMM*MMLeachEF*NtoN2O*kgtoGg,"ERROR"))</f>
        <v>4.5349394320648275E-3</v>
      </c>
      <c r="AA1207" s="101">
        <f>IF('Net zero activities &amp; levers'!$C$14="Off",Constants!$H69*'Activity data'!AT11*Constants!$H87*FracLEACHMM*MMLeachEF*NtoN2O*kgtoGg,IF('Net zero activities &amp; levers'!$C$14="On",Constants!$H69*'Net zero Activity data'!AT11*Constants!$H87*FracLEACHMM*MMLeachEF*NtoN2O*kgtoGg,"ERROR"))</f>
        <v>4.5423808586201519E-3</v>
      </c>
      <c r="AB1207" s="101">
        <f>IF('Net zero activities &amp; levers'!$C$14="Off",Constants!$H69*'Activity data'!AU11*Constants!$H87*FracLEACHMM*MMLeachEF*NtoN2O*kgtoGg,IF('Net zero activities &amp; levers'!$C$14="On",Constants!$H69*'Net zero Activity data'!AU11*Constants!$H87*FracLEACHMM*MMLeachEF*NtoN2O*kgtoGg,"ERROR"))</f>
        <v>4.5506623286141138E-3</v>
      </c>
      <c r="AC1207" s="101">
        <f>IF('Net zero activities &amp; levers'!$C$14="Off",Constants!$H69*'Activity data'!AV11*Constants!$H87*FracLEACHMM*MMLeachEF*NtoN2O*kgtoGg,IF('Net zero activities &amp; levers'!$C$14="On",Constants!$H69*'Net zero Activity data'!AV11*Constants!$H87*FracLEACHMM*MMLeachEF*NtoN2O*kgtoGg,"ERROR"))</f>
        <v>4.559782282848872E-3</v>
      </c>
      <c r="AD1207" s="101">
        <f>IF('Net zero activities &amp; levers'!$C$14="Off",Constants!$H69*'Activity data'!AW11*Constants!$H87*FracLEACHMM*MMLeachEF*NtoN2O*kgtoGg,IF('Net zero activities &amp; levers'!$C$14="On",Constants!$H69*'Net zero Activity data'!AW11*Constants!$H87*FracLEACHMM*MMLeachEF*NtoN2O*kgtoGg,"ERROR"))</f>
        <v>4.5659645300642612E-3</v>
      </c>
      <c r="AE1207" s="101">
        <f>IF('Net zero activities &amp; levers'!$C$14="Off",Constants!$H69*'Activity data'!AX11*Constants!$H87*FracLEACHMM*MMLeachEF*NtoN2O*kgtoGg,IF('Net zero activities &amp; levers'!$C$14="On",Constants!$H69*'Net zero Activity data'!AX11*Constants!$H87*FracLEACHMM*MMLeachEF*NtoN2O*kgtoGg,"ERROR"))</f>
        <v>4.5727913320007998E-3</v>
      </c>
      <c r="AF1207" s="101">
        <f>IF('Net zero activities &amp; levers'!$C$14="Off",Constants!$H69*'Activity data'!AY11*Constants!$H87*FracLEACHMM*MMLeachEF*NtoN2O*kgtoGg,IF('Net zero activities &amp; levers'!$C$14="On",Constants!$H69*'Net zero Activity data'!AY11*Constants!$H87*FracLEACHMM*MMLeachEF*NtoN2O*kgtoGg,"ERROR"))</f>
        <v>4.5802135652405103E-3</v>
      </c>
      <c r="AG1207" s="101">
        <f>IF('Net zero activities &amp; levers'!$C$14="Off",Constants!$H69*'Activity data'!AZ11*Constants!$H87*FracLEACHMM*MMLeachEF*NtoN2O*kgtoGg,IF('Net zero activities &amp; levers'!$C$14="On",Constants!$H69*'Net zero Activity data'!AZ11*Constants!$H87*FracLEACHMM*MMLeachEF*NtoN2O*kgtoGg,"ERROR"))</f>
        <v>4.5883163489597459E-3</v>
      </c>
      <c r="AH1207" s="101">
        <f>IF('Net zero activities &amp; levers'!$C$14="Off",Constants!$H69*'Activity data'!BA11*Constants!$H87*FracLEACHMM*MMLeachEF*NtoN2O*kgtoGg,IF('Net zero activities &amp; levers'!$C$14="On",Constants!$H69*'Net zero Activity data'!BA11*Constants!$H87*FracLEACHMM*MMLeachEF*NtoN2O*kgtoGg,"ERROR"))</f>
        <v>4.5967965263891833E-3</v>
      </c>
      <c r="AI1207" s="101">
        <f>IF('Net zero activities &amp; levers'!$C$14="Off",Constants!$H69*'Activity data'!BB11*Constants!$H87*FracLEACHMM*MMLeachEF*NtoN2O*kgtoGg,IF('Net zero activities &amp; levers'!$C$14="On",Constants!$H69*'Net zero Activity data'!BB11*Constants!$H87*FracLEACHMM*MMLeachEF*NtoN2O*kgtoGg,"ERROR"))</f>
        <v>4.6020547637311863E-3</v>
      </c>
      <c r="AJ1207" s="101">
        <f>IF('Net zero activities &amp; levers'!$C$14="Off",Constants!$H69*'Activity data'!BC11*Constants!$H87*FracLEACHMM*MMLeachEF*NtoN2O*kgtoGg,IF('Net zero activities &amp; levers'!$C$14="On",Constants!$H69*'Net zero Activity data'!BC11*Constants!$H87*FracLEACHMM*MMLeachEF*NtoN2O*kgtoGg,"ERROR"))</f>
        <v>4.607796951668121E-3</v>
      </c>
      <c r="AK1207" s="101">
        <f>IF('Net zero activities &amp; levers'!$C$14="Off",Constants!$H69*'Activity data'!BD11*Constants!$H87*FracLEACHMM*MMLeachEF*NtoN2O*kgtoGg,IF('Net zero activities &amp; levers'!$C$14="On",Constants!$H69*'Net zero Activity data'!BD11*Constants!$H87*FracLEACHMM*MMLeachEF*NtoN2O*kgtoGg,"ERROR"))</f>
        <v>4.6139290005402086E-3</v>
      </c>
      <c r="AL1207" s="101">
        <f>IF('Net zero activities &amp; levers'!$C$14="Off",Constants!$H69*'Activity data'!BE11*Constants!$H87*FracLEACHMM*MMLeachEF*NtoN2O*kgtoGg,IF('Net zero activities &amp; levers'!$C$14="On",Constants!$H69*'Net zero Activity data'!BE11*Constants!$H87*FracLEACHMM*MMLeachEF*NtoN2O*kgtoGg,"ERROR"))</f>
        <v>4.6204868853136393E-3</v>
      </c>
      <c r="AM1207" s="101">
        <f>IF('Net zero activities &amp; levers'!$C$14="Off",Constants!$H69*'Activity data'!BF11*Constants!$H87*FracLEACHMM*MMLeachEF*NtoN2O*kgtoGg,IF('Net zero activities &amp; levers'!$C$14="On",Constants!$H69*'Net zero Activity data'!BF11*Constants!$H87*FracLEACHMM*MMLeachEF*NtoN2O*kgtoGg,"ERROR"))</f>
        <v>4.6275033637722977E-3</v>
      </c>
      <c r="AN1207" s="101">
        <f>IF('Net zero activities &amp; levers'!$C$14="Off",Constants!$H69*'Activity data'!BG11*Constants!$H87*FracLEACHMM*MMLeachEF*NtoN2O*kgtoGg,IF('Net zero activities &amp; levers'!$C$14="On",Constants!$H69*'Net zero Activity data'!BG11*Constants!$H87*FracLEACHMM*MMLeachEF*NtoN2O*kgtoGg,"ERROR"))</f>
        <v>4.6314473101854124E-3</v>
      </c>
      <c r="AO1207" s="101">
        <f>IF('Net zero activities &amp; levers'!$C$14="Off",Constants!$H69*'Activity data'!BH11*Constants!$H87*FracLEACHMM*MMLeachEF*NtoN2O*kgtoGg,IF('Net zero activities &amp; levers'!$C$14="On",Constants!$H69*'Net zero Activity data'!BH11*Constants!$H87*FracLEACHMM*MMLeachEF*NtoN2O*kgtoGg,"ERROR"))</f>
        <v>4.6356791737951842E-3</v>
      </c>
      <c r="AP1207" s="101">
        <f>IF('Net zero activities &amp; levers'!$C$14="Off",Constants!$H69*'Activity data'!BI11*Constants!$H87*FracLEACHMM*MMLeachEF*NtoN2O*kgtoGg,IF('Net zero activities &amp; levers'!$C$14="On",Constants!$H69*'Net zero Activity data'!BI11*Constants!$H87*FracLEACHMM*MMLeachEF*NtoN2O*kgtoGg,"ERROR"))</f>
        <v>4.6402816224053456E-3</v>
      </c>
      <c r="AQ1207" s="101">
        <f>IF('Net zero activities &amp; levers'!$C$14="Off",Constants!$H69*'Activity data'!BJ11*Constants!$H87*FracLEACHMM*MMLeachEF*NtoN2O*kgtoGg,IF('Net zero activities &amp; levers'!$C$14="On",Constants!$H69*'Net zero Activity data'!BJ11*Constants!$H87*FracLEACHMM*MMLeachEF*NtoN2O*kgtoGg,"ERROR"))</f>
        <v>4.6452456056515212E-3</v>
      </c>
      <c r="AR1207" s="101">
        <f>IF('Net zero activities &amp; levers'!$C$14="Off",Constants!$H69*'Activity data'!BK11*Constants!$H87*FracLEACHMM*MMLeachEF*NtoN2O*kgtoGg,IF('Net zero activities &amp; levers'!$C$14="On",Constants!$H69*'Net zero Activity data'!BK11*Constants!$H87*FracLEACHMM*MMLeachEF*NtoN2O*kgtoGg,"ERROR"))</f>
        <v>4.65062930262091E-3</v>
      </c>
      <c r="AS1207" s="101">
        <f>IF('Net zero activities &amp; levers'!$C$14="Off",Constants!$H69*'Activity data'!BL11*Constants!$H87*FracLEACHMM*MMLeachEF*NtoN2O*kgtoGg,IF('Net zero activities &amp; levers'!$C$14="On",Constants!$H69*'Net zero Activity data'!BL11*Constants!$H87*FracLEACHMM*MMLeachEF*NtoN2O*kgtoGg,"ERROR"))</f>
        <v>4.65279884571924E-3</v>
      </c>
      <c r="AT1207" s="101">
        <f>IF('Net zero activities &amp; levers'!$C$14="Off",Constants!$H69*'Activity data'!BM11*Constants!$H87*FracLEACHMM*MMLeachEF*NtoN2O*kgtoGg,IF('Net zero activities &amp; levers'!$C$14="On",Constants!$H69*'Net zero Activity data'!BM11*Constants!$H87*FracLEACHMM*MMLeachEF*NtoN2O*kgtoGg,"ERROR"))</f>
        <v>4.6546198777133755E-3</v>
      </c>
      <c r="AU1207" s="101">
        <f>IF('Net zero activities &amp; levers'!$C$14="Off",Constants!$H69*'Activity data'!BN11*Constants!$H87*FracLEACHMM*MMLeachEF*NtoN2O*kgtoGg,IF('Net zero activities &amp; levers'!$C$14="On",Constants!$H69*'Net zero Activity data'!BN11*Constants!$H87*FracLEACHMM*MMLeachEF*NtoN2O*kgtoGg,"ERROR"))</f>
        <v>4.6566783073387283E-3</v>
      </c>
      <c r="AV1207" s="101">
        <f>IF('Net zero activities &amp; levers'!$C$14="Off",Constants!$H69*'Activity data'!BO11*Constants!$H87*FracLEACHMM*MMLeachEF*NtoN2O*kgtoGg,IF('Net zero activities &amp; levers'!$C$14="On",Constants!$H69*'Net zero Activity data'!BO11*Constants!$H87*FracLEACHMM*MMLeachEF*NtoN2O*kgtoGg,"ERROR"))</f>
        <v>4.659098042964503E-3</v>
      </c>
      <c r="AW1207" s="101">
        <f>IF('Net zero activities &amp; levers'!$C$14="Off",Constants!$H69*'Activity data'!BP11*Constants!$H87*FracLEACHMM*MMLeachEF*NtoN2O*kgtoGg,IF('Net zero activities &amp; levers'!$C$14="On",Constants!$H69*'Net zero Activity data'!BP11*Constants!$H87*FracLEACHMM*MMLeachEF*NtoN2O*kgtoGg,"ERROR"))</f>
        <v>4.6617455979604842E-3</v>
      </c>
      <c r="AY1207" s="85"/>
    </row>
    <row r="1208" spans="1:51" x14ac:dyDescent="0.25">
      <c r="A1208" s="102" t="str">
        <f t="shared" si="380"/>
        <v>CM MM Leaching</v>
      </c>
      <c r="B1208" s="102" t="s">
        <v>1323</v>
      </c>
      <c r="C1208" s="102" t="s">
        <v>1334</v>
      </c>
      <c r="D1208" t="s">
        <v>369</v>
      </c>
      <c r="E1208" t="s">
        <v>64</v>
      </c>
      <c r="F1208" t="s">
        <v>63</v>
      </c>
      <c r="G1208" t="s">
        <v>1167</v>
      </c>
      <c r="H1208" t="s">
        <v>1314</v>
      </c>
      <c r="I1208" t="s">
        <v>139</v>
      </c>
      <c r="J1208" t="s">
        <v>287</v>
      </c>
      <c r="K1208" s="101">
        <f>IF('Net zero activities &amp; levers'!$C$14="Off",Constants!$H70*'Activity data'!AD12*Constants!$H88*FracLEACHMM*MMLeachEF*NtoN2O*kgtoGg,IF('Net zero activities &amp; levers'!$C$14="On",Constants!$H70*'Net zero Activity data'!AD12*Constants!$H88*FracLEACHMM*MMLeachEF*NtoN2O*kgtoGg,"ERROR"))</f>
        <v>3.6549565945200539E-3</v>
      </c>
      <c r="L1208" s="101">
        <f>IF('Net zero activities &amp; levers'!$C$14="Off",Constants!$H70*'Activity data'!AE12*Constants!$H88*FracLEACHMM*MMLeachEF*NtoN2O*kgtoGg,IF('Net zero activities &amp; levers'!$C$14="On",Constants!$H70*'Net zero Activity data'!AE12*Constants!$H88*FracLEACHMM*MMLeachEF*NtoN2O*kgtoGg,"ERROR"))</f>
        <v>3.6569291049191287E-3</v>
      </c>
      <c r="M1208" s="101">
        <f>IF('Net zero activities &amp; levers'!$C$14="Off",Constants!$H70*'Activity data'!AF12*Constants!$H88*FracLEACHMM*MMLeachEF*NtoN2O*kgtoGg,IF('Net zero activities &amp; levers'!$C$14="On",Constants!$H70*'Net zero Activity data'!AF12*Constants!$H88*FracLEACHMM*MMLeachEF*NtoN2O*kgtoGg,"ERROR"))</f>
        <v>3.6614637381506597E-3</v>
      </c>
      <c r="N1208" s="101">
        <f>IF('Net zero activities &amp; levers'!$C$14="Off",Constants!$H70*'Activity data'!AG12*Constants!$H88*FracLEACHMM*MMLeachEF*NtoN2O*kgtoGg,IF('Net zero activities &amp; levers'!$C$14="On",Constants!$H70*'Net zero Activity data'!AG12*Constants!$H88*FracLEACHMM*MMLeachEF*NtoN2O*kgtoGg,"ERROR"))</f>
        <v>3.6681958236479987E-3</v>
      </c>
      <c r="O1208" s="101">
        <f>IF('Net zero activities &amp; levers'!$C$14="Off",Constants!$H70*'Activity data'!AH12*Constants!$H88*FracLEACHMM*MMLeachEF*NtoN2O*kgtoGg,IF('Net zero activities &amp; levers'!$C$14="On",Constants!$H70*'Net zero Activity data'!AH12*Constants!$H88*FracLEACHMM*MMLeachEF*NtoN2O*kgtoGg,"ERROR"))</f>
        <v>3.677282304362893E-3</v>
      </c>
      <c r="P1208" s="101">
        <f>IF('Net zero activities &amp; levers'!$C$14="Off",Constants!$H70*'Activity data'!AI12*Constants!$H88*FracLEACHMM*MMLeachEF*NtoN2O*kgtoGg,IF('Net zero activities &amp; levers'!$C$14="On",Constants!$H70*'Net zero Activity data'!AI12*Constants!$H88*FracLEACHMM*MMLeachEF*NtoN2O*kgtoGg,"ERROR"))</f>
        <v>3.6889057936765148E-3</v>
      </c>
      <c r="Q1208" s="101">
        <f>IF('Net zero activities &amp; levers'!$C$14="Off",Constants!$H70*'Activity data'!AJ12*Constants!$H88*FracLEACHMM*MMLeachEF*NtoN2O*kgtoGg,IF('Net zero activities &amp; levers'!$C$14="On",Constants!$H70*'Net zero Activity data'!AJ12*Constants!$H88*FracLEACHMM*MMLeachEF*NtoN2O*kgtoGg,"ERROR"))</f>
        <v>3.7017136697133114E-3</v>
      </c>
      <c r="R1208" s="101">
        <f>IF('Net zero activities &amp; levers'!$C$14="Off",Constants!$H70*'Activity data'!AK12*Constants!$H88*FracLEACHMM*MMLeachEF*NtoN2O*kgtoGg,IF('Net zero activities &amp; levers'!$C$14="On",Constants!$H70*'Net zero Activity data'!AK12*Constants!$H88*FracLEACHMM*MMLeachEF*NtoN2O*kgtoGg,"ERROR"))</f>
        <v>3.7155070059804707E-3</v>
      </c>
      <c r="S1208" s="101">
        <f>IF('Net zero activities &amp; levers'!$C$14="Off",Constants!$H70*'Activity data'!AL12*Constants!$H88*FracLEACHMM*MMLeachEF*NtoN2O*kgtoGg,IF('Net zero activities &amp; levers'!$C$14="On",Constants!$H70*'Net zero Activity data'!AL12*Constants!$H88*FracLEACHMM*MMLeachEF*NtoN2O*kgtoGg,"ERROR"))</f>
        <v>3.7291726327761108E-3</v>
      </c>
      <c r="T1208" s="101">
        <f>IF('Net zero activities &amp; levers'!$C$14="Off",Constants!$H70*'Activity data'!AM12*Constants!$H88*FracLEACHMM*MMLeachEF*NtoN2O*kgtoGg,IF('Net zero activities &amp; levers'!$C$14="On",Constants!$H70*'Net zero Activity data'!AM12*Constants!$H88*FracLEACHMM*MMLeachEF*NtoN2O*kgtoGg,"ERROR"))</f>
        <v>3.7340182639076227E-3</v>
      </c>
      <c r="U1208" s="101">
        <f>IF('Net zero activities &amp; levers'!$C$14="Off",Constants!$H70*'Activity data'!AN12*Constants!$H88*FracLEACHMM*MMLeachEF*NtoN2O*kgtoGg,IF('Net zero activities &amp; levers'!$C$14="On",Constants!$H70*'Net zero Activity data'!AN12*Constants!$H88*FracLEACHMM*MMLeachEF*NtoN2O*kgtoGg,"ERROR"))</f>
        <v>3.7396193236100628E-3</v>
      </c>
      <c r="V1208" s="101">
        <f>IF('Net zero activities &amp; levers'!$C$14="Off",Constants!$H70*'Activity data'!AO12*Constants!$H88*FracLEACHMM*MMLeachEF*NtoN2O*kgtoGg,IF('Net zero activities &amp; levers'!$C$14="On",Constants!$H70*'Net zero Activity data'!AO12*Constants!$H88*FracLEACHMM*MMLeachEF*NtoN2O*kgtoGg,"ERROR"))</f>
        <v>3.7460488172845587E-3</v>
      </c>
      <c r="W1208" s="101">
        <f>IF('Net zero activities &amp; levers'!$C$14="Off",Constants!$H70*'Activity data'!AP12*Constants!$H88*FracLEACHMM*MMLeachEF*NtoN2O*kgtoGg,IF('Net zero activities &amp; levers'!$C$14="On",Constants!$H70*'Net zero Activity data'!AP12*Constants!$H88*FracLEACHMM*MMLeachEF*NtoN2O*kgtoGg,"ERROR"))</f>
        <v>3.7533583019713958E-3</v>
      </c>
      <c r="X1208" s="101">
        <f>IF('Net zero activities &amp; levers'!$C$14="Off",Constants!$H70*'Activity data'!AQ12*Constants!$H88*FracLEACHMM*MMLeachEF*NtoN2O*kgtoGg,IF('Net zero activities &amp; levers'!$C$14="On",Constants!$H70*'Net zero Activity data'!AQ12*Constants!$H88*FracLEACHMM*MMLeachEF*NtoN2O*kgtoGg,"ERROR"))</f>
        <v>3.7616611625939577E-3</v>
      </c>
      <c r="Y1208" s="101">
        <f>IF('Net zero activities &amp; levers'!$C$14="Off",Constants!$H70*'Activity data'!AR12*Constants!$H88*FracLEACHMM*MMLeachEF*NtoN2O*kgtoGg,IF('Net zero activities &amp; levers'!$C$14="On",Constants!$H70*'Net zero Activity data'!AR12*Constants!$H88*FracLEACHMM*MMLeachEF*NtoN2O*kgtoGg,"ERROR"))</f>
        <v>3.766599782199584E-3</v>
      </c>
      <c r="Z1208" s="101">
        <f>IF('Net zero activities &amp; levers'!$C$14="Off",Constants!$H70*'Activity data'!AS12*Constants!$H88*FracLEACHMM*MMLeachEF*NtoN2O*kgtoGg,IF('Net zero activities &amp; levers'!$C$14="On",Constants!$H70*'Net zero Activity data'!AS12*Constants!$H88*FracLEACHMM*MMLeachEF*NtoN2O*kgtoGg,"ERROR"))</f>
        <v>3.7722534233031305E-3</v>
      </c>
      <c r="AA1208" s="101">
        <f>IF('Net zero activities &amp; levers'!$C$14="Off",Constants!$H70*'Activity data'!AT12*Constants!$H88*FracLEACHMM*MMLeachEF*NtoN2O*kgtoGg,IF('Net zero activities &amp; levers'!$C$14="On",Constants!$H70*'Net zero Activity data'!AT12*Constants!$H88*FracLEACHMM*MMLeachEF*NtoN2O*kgtoGg,"ERROR"))</f>
        <v>3.7784433509125497E-3</v>
      </c>
      <c r="AB1208" s="101">
        <f>IF('Net zero activities &amp; levers'!$C$14="Off",Constants!$H70*'Activity data'!AU12*Constants!$H88*FracLEACHMM*MMLeachEF*NtoN2O*kgtoGg,IF('Net zero activities &amp; levers'!$C$14="On",Constants!$H70*'Net zero Activity data'!AU12*Constants!$H88*FracLEACHMM*MMLeachEF*NtoN2O*kgtoGg,"ERROR"))</f>
        <v>3.785332043474531E-3</v>
      </c>
      <c r="AC1208" s="101">
        <f>IF('Net zero activities &amp; levers'!$C$14="Off",Constants!$H70*'Activity data'!AV12*Constants!$H88*FracLEACHMM*MMLeachEF*NtoN2O*kgtoGg,IF('Net zero activities &amp; levers'!$C$14="On",Constants!$H70*'Net zero Activity data'!AV12*Constants!$H88*FracLEACHMM*MMLeachEF*NtoN2O*kgtoGg,"ERROR"))</f>
        <v>3.7929182040170911E-3</v>
      </c>
      <c r="AD1208" s="101">
        <f>IF('Net zero activities &amp; levers'!$C$14="Off",Constants!$H70*'Activity data'!AW12*Constants!$H88*FracLEACHMM*MMLeachEF*NtoN2O*kgtoGg,IF('Net zero activities &amp; levers'!$C$14="On",Constants!$H70*'Net zero Activity data'!AW12*Constants!$H88*FracLEACHMM*MMLeachEF*NtoN2O*kgtoGg,"ERROR"))</f>
        <v>3.7980607210388326E-3</v>
      </c>
      <c r="AE1208" s="101">
        <f>IF('Net zero activities &amp; levers'!$C$14="Off",Constants!$H70*'Activity data'!AX12*Constants!$H88*FracLEACHMM*MMLeachEF*NtoN2O*kgtoGg,IF('Net zero activities &amp; levers'!$C$14="On",Constants!$H70*'Net zero Activity data'!AX12*Constants!$H88*FracLEACHMM*MMLeachEF*NtoN2O*kgtoGg,"ERROR"))</f>
        <v>3.8037393915836327E-3</v>
      </c>
      <c r="AF1208" s="101">
        <f>IF('Net zero activities &amp; levers'!$C$14="Off",Constants!$H70*'Activity data'!AY12*Constants!$H88*FracLEACHMM*MMLeachEF*NtoN2O*kgtoGg,IF('Net zero activities &amp; levers'!$C$14="On",Constants!$H70*'Net zero Activity data'!AY12*Constants!$H88*FracLEACHMM*MMLeachEF*NtoN2O*kgtoGg,"ERROR"))</f>
        <v>3.8099133538088141E-3</v>
      </c>
      <c r="AG1208" s="101">
        <f>IF('Net zero activities &amp; levers'!$C$14="Off",Constants!$H70*'Activity data'!AZ12*Constants!$H88*FracLEACHMM*MMLeachEF*NtoN2O*kgtoGg,IF('Net zero activities &amp; levers'!$C$14="On",Constants!$H70*'Net zero Activity data'!AZ12*Constants!$H88*FracLEACHMM*MMLeachEF*NtoN2O*kgtoGg,"ERROR"))</f>
        <v>3.8166534115496196E-3</v>
      </c>
      <c r="AH1208" s="101">
        <f>IF('Net zero activities &amp; levers'!$C$14="Off",Constants!$H70*'Activity data'!BA12*Constants!$H88*FracLEACHMM*MMLeachEF*NtoN2O*kgtoGg,IF('Net zero activities &amp; levers'!$C$14="On",Constants!$H70*'Net zero Activity data'!BA12*Constants!$H88*FracLEACHMM*MMLeachEF*NtoN2O*kgtoGg,"ERROR"))</f>
        <v>3.8237073929351757E-3</v>
      </c>
      <c r="AI1208" s="101">
        <f>IF('Net zero activities &amp; levers'!$C$14="Off",Constants!$H70*'Activity data'!BB12*Constants!$H88*FracLEACHMM*MMLeachEF*NtoN2O*kgtoGg,IF('Net zero activities &amp; levers'!$C$14="On",Constants!$H70*'Net zero Activity data'!BB12*Constants!$H88*FracLEACHMM*MMLeachEF*NtoN2O*kgtoGg,"ERROR"))</f>
        <v>3.8280813000426597E-3</v>
      </c>
      <c r="AJ1208" s="101">
        <f>IF('Net zero activities &amp; levers'!$C$14="Off",Constants!$H70*'Activity data'!BC12*Constants!$H88*FracLEACHMM*MMLeachEF*NtoN2O*kgtoGg,IF('Net zero activities &amp; levers'!$C$14="On",Constants!$H70*'Net zero Activity data'!BC12*Constants!$H88*FracLEACHMM*MMLeachEF*NtoN2O*kgtoGg,"ERROR"))</f>
        <v>3.8328577669452142E-3</v>
      </c>
      <c r="AK1208" s="101">
        <f>IF('Net zero activities &amp; levers'!$C$14="Off",Constants!$H70*'Activity data'!BD12*Constants!$H88*FracLEACHMM*MMLeachEF*NtoN2O*kgtoGg,IF('Net zero activities &amp; levers'!$C$14="On",Constants!$H70*'Net zero Activity data'!BD12*Constants!$H88*FracLEACHMM*MMLeachEF*NtoN2O*kgtoGg,"ERROR"))</f>
        <v>3.8379585279798688E-3</v>
      </c>
      <c r="AL1208" s="101">
        <f>IF('Net zero activities &amp; levers'!$C$14="Off",Constants!$H70*'Activity data'!BE12*Constants!$H88*FracLEACHMM*MMLeachEF*NtoN2O*kgtoGg,IF('Net zero activities &amp; levers'!$C$14="On",Constants!$H70*'Net zero Activity data'!BE12*Constants!$H88*FracLEACHMM*MMLeachEF*NtoN2O*kgtoGg,"ERROR"))</f>
        <v>3.8434135078438316E-3</v>
      </c>
      <c r="AM1208" s="101">
        <f>IF('Net zero activities &amp; levers'!$C$14="Off",Constants!$H70*'Activity data'!BF12*Constants!$H88*FracLEACHMM*MMLeachEF*NtoN2O*kgtoGg,IF('Net zero activities &amp; levers'!$C$14="On",Constants!$H70*'Net zero Activity data'!BF12*Constants!$H88*FracLEACHMM*MMLeachEF*NtoN2O*kgtoGg,"ERROR"))</f>
        <v>3.8492499551176498E-3</v>
      </c>
      <c r="AN1208" s="101">
        <f>IF('Net zero activities &amp; levers'!$C$14="Off",Constants!$H70*'Activity data'!BG12*Constants!$H88*FracLEACHMM*MMLeachEF*NtoN2O*kgtoGg,IF('Net zero activities &amp; levers'!$C$14="On",Constants!$H70*'Net zero Activity data'!BG12*Constants!$H88*FracLEACHMM*MMLeachEF*NtoN2O*kgtoGg,"ERROR"))</f>
        <v>3.8525306087142564E-3</v>
      </c>
      <c r="AO1208" s="101">
        <f>IF('Net zero activities &amp; levers'!$C$14="Off",Constants!$H70*'Activity data'!BH12*Constants!$H88*FracLEACHMM*MMLeachEF*NtoN2O*kgtoGg,IF('Net zero activities &amp; levers'!$C$14="On",Constants!$H70*'Net zero Activity data'!BH12*Constants!$H88*FracLEACHMM*MMLeachEF*NtoN2O*kgtoGg,"ERROR"))</f>
        <v>3.8560507576000471E-3</v>
      </c>
      <c r="AP1208" s="101">
        <f>IF('Net zero activities &amp; levers'!$C$14="Off",Constants!$H70*'Activity data'!BI12*Constants!$H88*FracLEACHMM*MMLeachEF*NtoN2O*kgtoGg,IF('Net zero activities &amp; levers'!$C$14="On",Constants!$H70*'Net zero Activity data'!BI12*Constants!$H88*FracLEACHMM*MMLeachEF*NtoN2O*kgtoGg,"ERROR"))</f>
        <v>3.859879166509437E-3</v>
      </c>
      <c r="AQ1208" s="101">
        <f>IF('Net zero activities &amp; levers'!$C$14="Off",Constants!$H70*'Activity data'!BJ12*Constants!$H88*FracLEACHMM*MMLeachEF*NtoN2O*kgtoGg,IF('Net zero activities &amp; levers'!$C$14="On",Constants!$H70*'Net zero Activity data'!BJ12*Constants!$H88*FracLEACHMM*MMLeachEF*NtoN2O*kgtoGg,"ERROR"))</f>
        <v>3.8640083071681199E-3</v>
      </c>
      <c r="AR1208" s="101">
        <f>IF('Net zero activities &amp; levers'!$C$14="Off",Constants!$H70*'Activity data'!BK12*Constants!$H88*FracLEACHMM*MMLeachEF*NtoN2O*kgtoGg,IF('Net zero activities &amp; levers'!$C$14="On",Constants!$H70*'Net zero Activity data'!BK12*Constants!$H88*FracLEACHMM*MMLeachEF*NtoN2O*kgtoGg,"ERROR"))</f>
        <v>3.8684865741057564E-3</v>
      </c>
      <c r="AS1208" s="101">
        <f>IF('Net zero activities &amp; levers'!$C$14="Off",Constants!$H70*'Activity data'!BL12*Constants!$H88*FracLEACHMM*MMLeachEF*NtoN2O*kgtoGg,IF('Net zero activities &amp; levers'!$C$14="On",Constants!$H70*'Net zero Activity data'!BL12*Constants!$H88*FracLEACHMM*MMLeachEF*NtoN2O*kgtoGg,"ERROR"))</f>
        <v>3.870291243496006E-3</v>
      </c>
      <c r="AT1208" s="101">
        <f>IF('Net zero activities &amp; levers'!$C$14="Off",Constants!$H70*'Activity data'!BM12*Constants!$H88*FracLEACHMM*MMLeachEF*NtoN2O*kgtoGg,IF('Net zero activities &amp; levers'!$C$14="On",Constants!$H70*'Net zero Activity data'!BM12*Constants!$H88*FracLEACHMM*MMLeachEF*NtoN2O*kgtoGg,"ERROR"))</f>
        <v>3.8718060143715003E-3</v>
      </c>
      <c r="AU1208" s="101">
        <f>IF('Net zero activities &amp; levers'!$C$14="Off",Constants!$H70*'Activity data'!BN12*Constants!$H88*FracLEACHMM*MMLeachEF*NtoN2O*kgtoGg,IF('Net zero activities &amp; levers'!$C$14="On",Constants!$H70*'Net zero Activity data'!BN12*Constants!$H88*FracLEACHMM*MMLeachEF*NtoN2O*kgtoGg,"ERROR"))</f>
        <v>3.8735182573500864E-3</v>
      </c>
      <c r="AV1208" s="101">
        <f>IF('Net zero activities &amp; levers'!$C$14="Off",Constants!$H70*'Activity data'!BO12*Constants!$H88*FracLEACHMM*MMLeachEF*NtoN2O*kgtoGg,IF('Net zero activities &amp; levers'!$C$14="On",Constants!$H70*'Net zero Activity data'!BO12*Constants!$H88*FracLEACHMM*MMLeachEF*NtoN2O*kgtoGg,"ERROR"))</f>
        <v>3.8755310418943016E-3</v>
      </c>
      <c r="AW1208" s="101">
        <f>IF('Net zero activities &amp; levers'!$C$14="Off",Constants!$H70*'Activity data'!BP12*Constants!$H88*FracLEACHMM*MMLeachEF*NtoN2O*kgtoGg,IF('Net zero activities &amp; levers'!$C$14="On",Constants!$H70*'Net zero Activity data'!BP12*Constants!$H88*FracLEACHMM*MMLeachEF*NtoN2O*kgtoGg,"ERROR"))</f>
        <v>3.8777333311523147E-3</v>
      </c>
      <c r="AY1208" s="85"/>
    </row>
    <row r="1209" spans="1:51" x14ac:dyDescent="0.25">
      <c r="A1209" s="102" t="str">
        <f t="shared" si="380"/>
        <v>CM MM Leaching</v>
      </c>
      <c r="B1209" s="102" t="s">
        <v>1323</v>
      </c>
      <c r="C1209" s="102" t="s">
        <v>1334</v>
      </c>
      <c r="D1209" t="s">
        <v>369</v>
      </c>
      <c r="E1209" t="s">
        <v>64</v>
      </c>
      <c r="F1209" t="s">
        <v>63</v>
      </c>
      <c r="G1209" t="s">
        <v>1169</v>
      </c>
      <c r="H1209" t="s">
        <v>1315</v>
      </c>
      <c r="I1209" t="s">
        <v>139</v>
      </c>
      <c r="J1209" t="s">
        <v>287</v>
      </c>
      <c r="K1209" s="101">
        <f>IF('Net zero activities &amp; levers'!$C$14="Off",Constants!$H71*'Activity data'!AD13*Constants!$H89*FracLEACHMM*MMLeachEF*NtoN2O*kgtoGg,IF('Net zero activities &amp; levers'!$C$14="On",Constants!$H71*'Net zero Activity data'!AD13*Constants!$H89*FracLEACHMM*MMLeachEF*NtoN2O*kgtoGg,"ERROR"))</f>
        <v>5.4310526355704706E-4</v>
      </c>
      <c r="L1209" s="101">
        <f>IF('Net zero activities &amp; levers'!$C$14="Off",Constants!$H71*'Activity data'!AE13*Constants!$H89*FracLEACHMM*MMLeachEF*NtoN2O*kgtoGg,IF('Net zero activities &amp; levers'!$C$14="On",Constants!$H71*'Net zero Activity data'!AE13*Constants!$H89*FracLEACHMM*MMLeachEF*NtoN2O*kgtoGg,"ERROR"))</f>
        <v>5.4451688444022309E-4</v>
      </c>
      <c r="M1209" s="101">
        <f>IF('Net zero activities &amp; levers'!$C$14="Off",Constants!$H71*'Activity data'!AF13*Constants!$H89*FracLEACHMM*MMLeachEF*NtoN2O*kgtoGg,IF('Net zero activities &amp; levers'!$C$14="On",Constants!$H71*'Net zero Activity data'!AF13*Constants!$H89*FracLEACHMM*MMLeachEF*NtoN2O*kgtoGg,"ERROR"))</f>
        <v>5.4642048272795488E-4</v>
      </c>
      <c r="N1209" s="101">
        <f>IF('Net zero activities &amp; levers'!$C$14="Off",Constants!$H71*'Activity data'!AG13*Constants!$H89*FracLEACHMM*MMLeachEF*NtoN2O*kgtoGg,IF('Net zero activities &amp; levers'!$C$14="On",Constants!$H71*'Net zero Activity data'!AG13*Constants!$H89*FracLEACHMM*MMLeachEF*NtoN2O*kgtoGg,"ERROR"))</f>
        <v>5.4873901711368408E-4</v>
      </c>
      <c r="O1209" s="101">
        <f>IF('Net zero activities &amp; levers'!$C$14="Off",Constants!$H71*'Activity data'!AH13*Constants!$H89*FracLEACHMM*MMLeachEF*NtoN2O*kgtoGg,IF('Net zero activities &amp; levers'!$C$14="On",Constants!$H71*'Net zero Activity data'!AH13*Constants!$H89*FracLEACHMM*MMLeachEF*NtoN2O*kgtoGg,"ERROR"))</f>
        <v>5.5151606201275956E-4</v>
      </c>
      <c r="P1209" s="101">
        <f>IF('Net zero activities &amp; levers'!$C$14="Off",Constants!$H71*'Activity data'!AI13*Constants!$H89*FracLEACHMM*MMLeachEF*NtoN2O*kgtoGg,IF('Net zero activities &amp; levers'!$C$14="On",Constants!$H71*'Net zero Activity data'!AI13*Constants!$H89*FracLEACHMM*MMLeachEF*NtoN2O*kgtoGg,"ERROR"))</f>
        <v>5.5479917019086967E-4</v>
      </c>
      <c r="Q1209" s="101">
        <f>IF('Net zero activities &amp; levers'!$C$14="Off",Constants!$H71*'Activity data'!AJ13*Constants!$H89*FracLEACHMM*MMLeachEF*NtoN2O*kgtoGg,IF('Net zero activities &amp; levers'!$C$14="On",Constants!$H71*'Net zero Activity data'!AJ13*Constants!$H89*FracLEACHMM*MMLeachEF*NtoN2O*kgtoGg,"ERROR"))</f>
        <v>5.5827861691807733E-4</v>
      </c>
      <c r="R1209" s="101">
        <f>IF('Net zero activities &amp; levers'!$C$14="Off",Constants!$H71*'Activity data'!AK13*Constants!$H89*FracLEACHMM*MMLeachEF*NtoN2O*kgtoGg,IF('Net zero activities &amp; levers'!$C$14="On",Constants!$H71*'Net zero Activity data'!AK13*Constants!$H89*FracLEACHMM*MMLeachEF*NtoN2O*kgtoGg,"ERROR"))</f>
        <v>5.6191368988015911E-4</v>
      </c>
      <c r="S1209" s="101">
        <f>IF('Net zero activities &amp; levers'!$C$14="Off",Constants!$H71*'Activity data'!AL13*Constants!$H89*FracLEACHMM*MMLeachEF*NtoN2O*kgtoGg,IF('Net zero activities &amp; levers'!$C$14="On",Constants!$H71*'Net zero Activity data'!AL13*Constants!$H89*FracLEACHMM*MMLeachEF*NtoN2O*kgtoGg,"ERROR"))</f>
        <v>5.6545265172179603E-4</v>
      </c>
      <c r="T1209" s="101">
        <f>IF('Net zero activities &amp; levers'!$C$14="Off",Constants!$H71*'Activity data'!AM13*Constants!$H89*FracLEACHMM*MMLeachEF*NtoN2O*kgtoGg,IF('Net zero activities &amp; levers'!$C$14="On",Constants!$H71*'Net zero Activity data'!AM13*Constants!$H89*FracLEACHMM*MMLeachEF*NtoN2O*kgtoGg,"ERROR"))</f>
        <v>5.6707582821690196E-4</v>
      </c>
      <c r="U1209" s="101">
        <f>IF('Net zero activities &amp; levers'!$C$14="Off",Constants!$H71*'Activity data'!AN13*Constants!$H89*FracLEACHMM*MMLeachEF*NtoN2O*kgtoGg,IF('Net zero activities &amp; levers'!$C$14="On",Constants!$H71*'Net zero Activity data'!AN13*Constants!$H89*FracLEACHMM*MMLeachEF*NtoN2O*kgtoGg,"ERROR"))</f>
        <v>5.688262569994144E-4</v>
      </c>
      <c r="V1209" s="101">
        <f>IF('Net zero activities &amp; levers'!$C$14="Off",Constants!$H71*'Activity data'!AO13*Constants!$H89*FracLEACHMM*MMLeachEF*NtoN2O*kgtoGg,IF('Net zero activities &amp; levers'!$C$14="On",Constants!$H71*'Net zero Activity data'!AO13*Constants!$H89*FracLEACHMM*MMLeachEF*NtoN2O*kgtoGg,"ERROR"))</f>
        <v>5.7072343735121143E-4</v>
      </c>
      <c r="W1209" s="101">
        <f>IF('Net zero activities &amp; levers'!$C$14="Off",Constants!$H71*'Activity data'!AP13*Constants!$H89*FracLEACHMM*MMLeachEF*NtoN2O*kgtoGg,IF('Net zero activities &amp; levers'!$C$14="On",Constants!$H71*'Net zero Activity data'!AP13*Constants!$H89*FracLEACHMM*MMLeachEF*NtoN2O*kgtoGg,"ERROR"))</f>
        <v>5.7278141367930822E-4</v>
      </c>
      <c r="X1209" s="101">
        <f>IF('Net zero activities &amp; levers'!$C$14="Off",Constants!$H71*'Activity data'!AQ13*Constants!$H89*FracLEACHMM*MMLeachEF*NtoN2O*kgtoGg,IF('Net zero activities &amp; levers'!$C$14="On",Constants!$H71*'Net zero Activity data'!AQ13*Constants!$H89*FracLEACHMM*MMLeachEF*NtoN2O*kgtoGg,"ERROR"))</f>
        <v>5.7502787156601661E-4</v>
      </c>
      <c r="Y1209" s="101">
        <f>IF('Net zero activities &amp; levers'!$C$14="Off",Constants!$H71*'Activity data'!AR13*Constants!$H89*FracLEACHMM*MMLeachEF*NtoN2O*kgtoGg,IF('Net zero activities &amp; levers'!$C$14="On",Constants!$H71*'Net zero Activity data'!AR13*Constants!$H89*FracLEACHMM*MMLeachEF*NtoN2O*kgtoGg,"ERROR"))</f>
        <v>5.7647376885579151E-4</v>
      </c>
      <c r="Z1209" s="101">
        <f>IF('Net zero activities &amp; levers'!$C$14="Off",Constants!$H71*'Activity data'!AS13*Constants!$H89*FracLEACHMM*MMLeachEF*NtoN2O*kgtoGg,IF('Net zero activities &amp; levers'!$C$14="On",Constants!$H71*'Net zero Activity data'!AS13*Constants!$H89*FracLEACHMM*MMLeachEF*NtoN2O*kgtoGg,"ERROR"))</f>
        <v>5.7805165552479612E-4</v>
      </c>
      <c r="AA1209" s="101">
        <f>IF('Net zero activities &amp; levers'!$C$14="Off",Constants!$H71*'Activity data'!AT13*Constants!$H89*FracLEACHMM*MMLeachEF*NtoN2O*kgtoGg,IF('Net zero activities &amp; levers'!$C$14="On",Constants!$H71*'Net zero Activity data'!AT13*Constants!$H89*FracLEACHMM*MMLeachEF*NtoN2O*kgtoGg,"ERROR"))</f>
        <v>5.7972228180818623E-4</v>
      </c>
      <c r="AB1209" s="101">
        <f>IF('Net zero activities &amp; levers'!$C$14="Off",Constants!$H71*'Activity data'!AU13*Constants!$H89*FracLEACHMM*MMLeachEF*NtoN2O*kgtoGg,IF('Net zero activities &amp; levers'!$C$14="On",Constants!$H71*'Net zero Activity data'!AU13*Constants!$H89*FracLEACHMM*MMLeachEF*NtoN2O*kgtoGg,"ERROR"))</f>
        <v>5.8152362966634491E-4</v>
      </c>
      <c r="AC1209" s="101">
        <f>IF('Net zero activities &amp; levers'!$C$14="Off",Constants!$H71*'Activity data'!AV13*Constants!$H89*FracLEACHMM*MMLeachEF*NtoN2O*kgtoGg,IF('Net zero activities &amp; levers'!$C$14="On",Constants!$H71*'Net zero Activity data'!AV13*Constants!$H89*FracLEACHMM*MMLeachEF*NtoN2O*kgtoGg,"ERROR"))</f>
        <v>5.8345630636338756E-4</v>
      </c>
      <c r="AD1209" s="101">
        <f>IF('Net zero activities &amp; levers'!$C$14="Off",Constants!$H71*'Activity data'!AW13*Constants!$H89*FracLEACHMM*MMLeachEF*NtoN2O*kgtoGg,IF('Net zero activities &amp; levers'!$C$14="On",Constants!$H71*'Net zero Activity data'!AW13*Constants!$H89*FracLEACHMM*MMLeachEF*NtoN2O*kgtoGg,"ERROR"))</f>
        <v>5.8472841865727081E-4</v>
      </c>
      <c r="AE1209" s="101">
        <f>IF('Net zero activities &amp; levers'!$C$14="Off",Constants!$H71*'Activity data'!AX13*Constants!$H89*FracLEACHMM*MMLeachEF*NtoN2O*kgtoGg,IF('Net zero activities &amp; levers'!$C$14="On",Constants!$H71*'Net zero Activity data'!AX13*Constants!$H89*FracLEACHMM*MMLeachEF*NtoN2O*kgtoGg,"ERROR"))</f>
        <v>5.8609967948546591E-4</v>
      </c>
      <c r="AF1209" s="101">
        <f>IF('Net zero activities &amp; levers'!$C$14="Off",Constants!$H71*'Activity data'!AY13*Constants!$H89*FracLEACHMM*MMLeachEF*NtoN2O*kgtoGg,IF('Net zero activities &amp; levers'!$C$14="On",Constants!$H71*'Net zero Activity data'!AY13*Constants!$H89*FracLEACHMM*MMLeachEF*NtoN2O*kgtoGg,"ERROR"))</f>
        <v>5.8756155218491358E-4</v>
      </c>
      <c r="AG1209" s="101">
        <f>IF('Net zero activities &amp; levers'!$C$14="Off",Constants!$H71*'Activity data'!AZ13*Constants!$H89*FracLEACHMM*MMLeachEF*NtoN2O*kgtoGg,IF('Net zero activities &amp; levers'!$C$14="On",Constants!$H71*'Net zero Activity data'!AZ13*Constants!$H89*FracLEACHMM*MMLeachEF*NtoN2O*kgtoGg,"ERROR"))</f>
        <v>5.8913046785545045E-4</v>
      </c>
      <c r="AH1209" s="101">
        <f>IF('Net zero activities &amp; levers'!$C$14="Off",Constants!$H71*'Activity data'!BA13*Constants!$H89*FracLEACHMM*MMLeachEF*NtoN2O*kgtoGg,IF('Net zero activities &amp; levers'!$C$14="On",Constants!$H71*'Net zero Activity data'!BA13*Constants!$H89*FracLEACHMM*MMLeachEF*NtoN2O*kgtoGg,"ERROR"))</f>
        <v>5.907505198986619E-4</v>
      </c>
      <c r="AI1209" s="101">
        <f>IF('Net zero activities &amp; levers'!$C$14="Off",Constants!$H71*'Activity data'!BB13*Constants!$H89*FracLEACHMM*MMLeachEF*NtoN2O*kgtoGg,IF('Net zero activities &amp; levers'!$C$14="On",Constants!$H71*'Net zero Activity data'!BB13*Constants!$H89*FracLEACHMM*MMLeachEF*NtoN2O*kgtoGg,"ERROR"))</f>
        <v>5.9175481340963034E-4</v>
      </c>
      <c r="AJ1209" s="101">
        <f>IF('Net zero activities &amp; levers'!$C$14="Off",Constants!$H71*'Activity data'!BC13*Constants!$H89*FracLEACHMM*MMLeachEF*NtoN2O*kgtoGg,IF('Net zero activities &amp; levers'!$C$14="On",Constants!$H71*'Net zero Activity data'!BC13*Constants!$H89*FracLEACHMM*MMLeachEF*NtoN2O*kgtoGg,"ERROR"))</f>
        <v>5.9283358105937484E-4</v>
      </c>
      <c r="AK1209" s="101">
        <f>IF('Net zero activities &amp; levers'!$C$14="Off",Constants!$H71*'Activity data'!BD13*Constants!$H89*FracLEACHMM*MMLeachEF*NtoN2O*kgtoGg,IF('Net zero activities &amp; levers'!$C$14="On",Constants!$H71*'Net zero Activity data'!BD13*Constants!$H89*FracLEACHMM*MMLeachEF*NtoN2O*kgtoGg,"ERROR"))</f>
        <v>5.9396979223100309E-4</v>
      </c>
      <c r="AL1209" s="101">
        <f>IF('Net zero activities &amp; levers'!$C$14="Off",Constants!$H71*'Activity data'!BE13*Constants!$H89*FracLEACHMM*MMLeachEF*NtoN2O*kgtoGg,IF('Net zero activities &amp; levers'!$C$14="On",Constants!$H71*'Net zero Activity data'!BE13*Constants!$H89*FracLEACHMM*MMLeachEF*NtoN2O*kgtoGg,"ERROR"))</f>
        <v>5.951704835417687E-4</v>
      </c>
      <c r="AM1209" s="101">
        <f>IF('Net zero activities &amp; levers'!$C$14="Off",Constants!$H71*'Activity data'!BF13*Constants!$H89*FracLEACHMM*MMLeachEF*NtoN2O*kgtoGg,IF('Net zero activities &amp; levers'!$C$14="On",Constants!$H71*'Net zero Activity data'!BF13*Constants!$H89*FracLEACHMM*MMLeachEF*NtoN2O*kgtoGg,"ERROR"))</f>
        <v>5.9644200781221212E-4</v>
      </c>
      <c r="AN1209" s="101">
        <f>IF('Net zero activities &amp; levers'!$C$14="Off",Constants!$H71*'Activity data'!BG13*Constants!$H89*FracLEACHMM*MMLeachEF*NtoN2O*kgtoGg,IF('Net zero activities &amp; levers'!$C$14="On",Constants!$H71*'Net zero Activity data'!BG13*Constants!$H89*FracLEACHMM*MMLeachEF*NtoN2O*kgtoGg,"ERROR"))</f>
        <v>5.9713531651955909E-4</v>
      </c>
      <c r="AO1209" s="101">
        <f>IF('Net zero activities &amp; levers'!$C$14="Off",Constants!$H71*'Activity data'!BH13*Constants!$H89*FracLEACHMM*MMLeachEF*NtoN2O*kgtoGg,IF('Net zero activities &amp; levers'!$C$14="On",Constants!$H71*'Net zero Activity data'!BH13*Constants!$H89*FracLEACHMM*MMLeachEF*NtoN2O*kgtoGg,"ERROR"))</f>
        <v>5.9787071978947392E-4</v>
      </c>
      <c r="AP1209" s="101">
        <f>IF('Net zero activities &amp; levers'!$C$14="Off",Constants!$H71*'Activity data'!BI13*Constants!$H89*FracLEACHMM*MMLeachEF*NtoN2O*kgtoGg,IF('Net zero activities &amp; levers'!$C$14="On",Constants!$H71*'Net zero Activity data'!BI13*Constants!$H89*FracLEACHMM*MMLeachEF*NtoN2O*kgtoGg,"ERROR"))</f>
        <v>5.9866365286918302E-4</v>
      </c>
      <c r="AQ1209" s="101">
        <f>IF('Net zero activities &amp; levers'!$C$14="Off",Constants!$H71*'Activity data'!BJ13*Constants!$H89*FracLEACHMM*MMLeachEF*NtoN2O*kgtoGg,IF('Net zero activities &amp; levers'!$C$14="On",Constants!$H71*'Net zero Activity data'!BJ13*Constants!$H89*FracLEACHMM*MMLeachEF*NtoN2O*kgtoGg,"ERROR"))</f>
        <v>5.995126405769686E-4</v>
      </c>
      <c r="AR1209" s="101">
        <f>IF('Net zero activities &amp; levers'!$C$14="Off",Constants!$H71*'Activity data'!BK13*Constants!$H89*FracLEACHMM*MMLeachEF*NtoN2O*kgtoGg,IF('Net zero activities &amp; levers'!$C$14="On",Constants!$H71*'Net zero Activity data'!BK13*Constants!$H89*FracLEACHMM*MMLeachEF*NtoN2O*kgtoGg,"ERROR"))</f>
        <v>6.0042847554345289E-4</v>
      </c>
      <c r="AS1209" s="101">
        <f>IF('Net zero activities &amp; levers'!$C$14="Off",Constants!$H71*'Activity data'!BL13*Constants!$H89*FracLEACHMM*MMLeachEF*NtoN2O*kgtoGg,IF('Net zero activities &amp; levers'!$C$14="On",Constants!$H71*'Net zero Activity data'!BL13*Constants!$H89*FracLEACHMM*MMLeachEF*NtoN2O*kgtoGg,"ERROR"))</f>
        <v>6.0074837701766222E-4</v>
      </c>
      <c r="AT1209" s="101">
        <f>IF('Net zero activities &amp; levers'!$C$14="Off",Constants!$H71*'Activity data'!BM13*Constants!$H89*FracLEACHMM*MMLeachEF*NtoN2O*kgtoGg,IF('Net zero activities &amp; levers'!$C$14="On",Constants!$H71*'Net zero Activity data'!BM13*Constants!$H89*FracLEACHMM*MMLeachEF*NtoN2O*kgtoGg,"ERROR"))</f>
        <v>6.009974007852993E-4</v>
      </c>
      <c r="AU1209" s="101">
        <f>IF('Net zero activities &amp; levers'!$C$14="Off",Constants!$H71*'Activity data'!BN13*Constants!$H89*FracLEACHMM*MMLeachEF*NtoN2O*kgtoGg,IF('Net zero activities &amp; levers'!$C$14="On",Constants!$H71*'Net zero Activity data'!BN13*Constants!$H89*FracLEACHMM*MMLeachEF*NtoN2O*kgtoGg,"ERROR"))</f>
        <v>6.0128274641363551E-4</v>
      </c>
      <c r="AV1209" s="101">
        <f>IF('Net zero activities &amp; levers'!$C$14="Off",Constants!$H71*'Activity data'!BO13*Constants!$H89*FracLEACHMM*MMLeachEF*NtoN2O*kgtoGg,IF('Net zero activities &amp; levers'!$C$14="On",Constants!$H71*'Net zero Activity data'!BO13*Constants!$H89*FracLEACHMM*MMLeachEF*NtoN2O*kgtoGg,"ERROR"))</f>
        <v>6.0162705109906029E-4</v>
      </c>
      <c r="AW1209" s="101">
        <f>IF('Net zero activities &amp; levers'!$C$14="Off",Constants!$H71*'Activity data'!BP13*Constants!$H89*FracLEACHMM*MMLeachEF*NtoN2O*kgtoGg,IF('Net zero activities &amp; levers'!$C$14="On",Constants!$H71*'Net zero Activity data'!BP13*Constants!$H89*FracLEACHMM*MMLeachEF*NtoN2O*kgtoGg,"ERROR"))</f>
        <v>6.0200613236202735E-4</v>
      </c>
      <c r="AY1209" s="85"/>
    </row>
    <row r="1210" spans="1:51" x14ac:dyDescent="0.25">
      <c r="A1210" s="102" t="str">
        <f t="shared" si="380"/>
        <v>CM MM Leaching</v>
      </c>
      <c r="B1210" s="102" t="s">
        <v>1323</v>
      </c>
      <c r="C1210" s="102" t="s">
        <v>1334</v>
      </c>
      <c r="D1210" t="s">
        <v>369</v>
      </c>
      <c r="E1210" t="s">
        <v>64</v>
      </c>
      <c r="F1210" t="s">
        <v>63</v>
      </c>
      <c r="G1210" t="s">
        <v>1171</v>
      </c>
      <c r="H1210" t="s">
        <v>1316</v>
      </c>
      <c r="I1210" t="s">
        <v>139</v>
      </c>
      <c r="J1210" t="s">
        <v>287</v>
      </c>
      <c r="K1210" s="101">
        <f>IF('Net zero activities &amp; levers'!$C$14="Off",Constants!$H72*'Activity data'!AD14*Constants!$H90*FracLEACHMM*MMLeachEF*NtoN2O*kgtoGg,IF('Net zero activities &amp; levers'!$C$14="On",Constants!$H72*'Net zero Activity data'!AD14*Constants!$H90*FracLEACHMM*MMLeachEF*NtoN2O*kgtoGg,"ERROR"))</f>
        <v>6.697719658610918E-3</v>
      </c>
      <c r="L1210" s="101">
        <f>IF('Net zero activities &amp; levers'!$C$14="Off",Constants!$H72*'Activity data'!AE14*Constants!$H90*FracLEACHMM*MMLeachEF*NtoN2O*kgtoGg,IF('Net zero activities &amp; levers'!$C$14="On",Constants!$H72*'Net zero Activity data'!AE14*Constants!$H90*FracLEACHMM*MMLeachEF*NtoN2O*kgtoGg,"ERROR"))</f>
        <v>6.7151281456468035E-3</v>
      </c>
      <c r="M1210" s="101">
        <f>IF('Net zero activities &amp; levers'!$C$14="Off",Constants!$H72*'Activity data'!AF14*Constants!$H90*FracLEACHMM*MMLeachEF*NtoN2O*kgtoGg,IF('Net zero activities &amp; levers'!$C$14="On",Constants!$H72*'Net zero Activity data'!AF14*Constants!$H90*FracLEACHMM*MMLeachEF*NtoN2O*kgtoGg,"ERROR"))</f>
        <v>6.7386038298821848E-3</v>
      </c>
      <c r="N1210" s="101">
        <f>IF('Net zero activities &amp; levers'!$C$14="Off",Constants!$H72*'Activity data'!AG14*Constants!$H90*FracLEACHMM*MMLeachEF*NtoN2O*kgtoGg,IF('Net zero activities &amp; levers'!$C$14="On",Constants!$H72*'Net zero Activity data'!AG14*Constants!$H90*FracLEACHMM*MMLeachEF*NtoN2O*kgtoGg,"ERROR"))</f>
        <v>6.7671966172780547E-3</v>
      </c>
      <c r="O1210" s="101">
        <f>IF('Net zero activities &amp; levers'!$C$14="Off",Constants!$H72*'Activity data'!AH14*Constants!$H90*FracLEACHMM*MMLeachEF*NtoN2O*kgtoGg,IF('Net zero activities &amp; levers'!$C$14="On",Constants!$H72*'Net zero Activity data'!AH14*Constants!$H90*FracLEACHMM*MMLeachEF*NtoN2O*kgtoGg,"ERROR"))</f>
        <v>6.801443879202132E-3</v>
      </c>
      <c r="P1210" s="101">
        <f>IF('Net zero activities &amp; levers'!$C$14="Off",Constants!$H72*'Activity data'!AI14*Constants!$H90*FracLEACHMM*MMLeachEF*NtoN2O*kgtoGg,IF('Net zero activities &amp; levers'!$C$14="On",Constants!$H72*'Net zero Activity data'!AI14*Constants!$H90*FracLEACHMM*MMLeachEF*NtoN2O*kgtoGg,"ERROR"))</f>
        <v>6.8419320491046936E-3</v>
      </c>
      <c r="Q1210" s="101">
        <f>IF('Net zero activities &amp; levers'!$C$14="Off",Constants!$H72*'Activity data'!AJ14*Constants!$H90*FracLEACHMM*MMLeachEF*NtoN2O*kgtoGg,IF('Net zero activities &amp; levers'!$C$14="On",Constants!$H72*'Net zero Activity data'!AJ14*Constants!$H90*FracLEACHMM*MMLeachEF*NtoN2O*kgtoGg,"ERROR"))</f>
        <v>6.8848415186120908E-3</v>
      </c>
      <c r="R1210" s="101">
        <f>IF('Net zero activities &amp; levers'!$C$14="Off",Constants!$H72*'Activity data'!AK14*Constants!$H90*FracLEACHMM*MMLeachEF*NtoN2O*kgtoGg,IF('Net zero activities &amp; levers'!$C$14="On",Constants!$H72*'Net zero Activity data'!AK14*Constants!$H90*FracLEACHMM*MMLeachEF*NtoN2O*kgtoGg,"ERROR"))</f>
        <v>6.9296702125547019E-3</v>
      </c>
      <c r="S1210" s="101">
        <f>IF('Net zero activities &amp; levers'!$C$14="Off",Constants!$H72*'Activity data'!AL14*Constants!$H90*FracLEACHMM*MMLeachEF*NtoN2O*kgtoGg,IF('Net zero activities &amp; levers'!$C$14="On",Constants!$H72*'Net zero Activity data'!AL14*Constants!$H90*FracLEACHMM*MMLeachEF*NtoN2O*kgtoGg,"ERROR"))</f>
        <v>6.9733136384028775E-3</v>
      </c>
      <c r="T1210" s="101">
        <f>IF('Net zero activities &amp; levers'!$C$14="Off",Constants!$H72*'Activity data'!AM14*Constants!$H90*FracLEACHMM*MMLeachEF*NtoN2O*kgtoGg,IF('Net zero activities &amp; levers'!$C$14="On",Constants!$H72*'Net zero Activity data'!AM14*Constants!$H90*FracLEACHMM*MMLeachEF*NtoN2O*kgtoGg,"ERROR"))</f>
        <v>6.9933310859405127E-3</v>
      </c>
      <c r="U1210" s="101">
        <f>IF('Net zero activities &amp; levers'!$C$14="Off",Constants!$H72*'Activity data'!AN14*Constants!$H90*FracLEACHMM*MMLeachEF*NtoN2O*kgtoGg,IF('Net zero activities &amp; levers'!$C$14="On",Constants!$H72*'Net zero Activity data'!AN14*Constants!$H90*FracLEACHMM*MMLeachEF*NtoN2O*kgtoGg,"ERROR"))</f>
        <v>7.0149178427891682E-3</v>
      </c>
      <c r="V1210" s="101">
        <f>IF('Net zero activities &amp; levers'!$C$14="Off",Constants!$H72*'Activity data'!AO14*Constants!$H90*FracLEACHMM*MMLeachEF*NtoN2O*kgtoGg,IF('Net zero activities &amp; levers'!$C$14="On",Constants!$H72*'Net zero Activity data'!AO14*Constants!$H90*FracLEACHMM*MMLeachEF*NtoN2O*kgtoGg,"ERROR"))</f>
        <v>7.0383143793186411E-3</v>
      </c>
      <c r="W1210" s="101">
        <f>IF('Net zero activities &amp; levers'!$C$14="Off",Constants!$H72*'Activity data'!AP14*Constants!$H90*FracLEACHMM*MMLeachEF*NtoN2O*kgtoGg,IF('Net zero activities &amp; levers'!$C$14="On",Constants!$H72*'Net zero Activity data'!AP14*Constants!$H90*FracLEACHMM*MMLeachEF*NtoN2O*kgtoGg,"ERROR"))</f>
        <v>7.0636938949200419E-3</v>
      </c>
      <c r="X1210" s="101">
        <f>IF('Net zero activities &amp; levers'!$C$14="Off",Constants!$H72*'Activity data'!AQ14*Constants!$H90*FracLEACHMM*MMLeachEF*NtoN2O*kgtoGg,IF('Net zero activities &amp; levers'!$C$14="On",Constants!$H72*'Net zero Activity data'!AQ14*Constants!$H90*FracLEACHMM*MMLeachEF*NtoN2O*kgtoGg,"ERROR"))</f>
        <v>7.0913978156139906E-3</v>
      </c>
      <c r="Y1210" s="101">
        <f>IF('Net zero activities &amp; levers'!$C$14="Off",Constants!$H72*'Activity data'!AR14*Constants!$H90*FracLEACHMM*MMLeachEF*NtoN2O*kgtoGg,IF('Net zero activities &amp; levers'!$C$14="On",Constants!$H72*'Net zero Activity data'!AR14*Constants!$H90*FracLEACHMM*MMLeachEF*NtoN2O*kgtoGg,"ERROR"))</f>
        <v>7.1092290084818878E-3</v>
      </c>
      <c r="Z1210" s="101">
        <f>IF('Net zero activities &amp; levers'!$C$14="Off",Constants!$H72*'Activity data'!AS14*Constants!$H90*FracLEACHMM*MMLeachEF*NtoN2O*kgtoGg,IF('Net zero activities &amp; levers'!$C$14="On",Constants!$H72*'Net zero Activity data'!AS14*Constants!$H90*FracLEACHMM*MMLeachEF*NtoN2O*kgtoGg,"ERROR"))</f>
        <v>7.1286879297466866E-3</v>
      </c>
      <c r="AA1210" s="101">
        <f>IF('Net zero activities &amp; levers'!$C$14="Off",Constants!$H72*'Activity data'!AT14*Constants!$H90*FracLEACHMM*MMLeachEF*NtoN2O*kgtoGg,IF('Net zero activities &amp; levers'!$C$14="On",Constants!$H72*'Net zero Activity data'!AT14*Constants!$H90*FracLEACHMM*MMLeachEF*NtoN2O*kgtoGg,"ERROR"))</f>
        <v>7.1492905407896492E-3</v>
      </c>
      <c r="AB1210" s="101">
        <f>IF('Net zero activities &amp; levers'!$C$14="Off",Constants!$H72*'Activity data'!AU14*Constants!$H90*FracLEACHMM*MMLeachEF*NtoN2O*kgtoGg,IF('Net zero activities &amp; levers'!$C$14="On",Constants!$H72*'Net zero Activity data'!AU14*Constants!$H90*FracLEACHMM*MMLeachEF*NtoN2O*kgtoGg,"ERROR"))</f>
        <v>7.1715052453251351E-3</v>
      </c>
      <c r="AC1210" s="101">
        <f>IF('Net zero activities &amp; levers'!$C$14="Off",Constants!$H72*'Activity data'!AV14*Constants!$H90*FracLEACHMM*MMLeachEF*NtoN2O*kgtoGg,IF('Net zero activities &amp; levers'!$C$14="On",Constants!$H72*'Net zero Activity data'!AV14*Constants!$H90*FracLEACHMM*MMLeachEF*NtoN2O*kgtoGg,"ERROR"))</f>
        <v>7.1953395322969481E-3</v>
      </c>
      <c r="AD1210" s="101">
        <f>IF('Net zero activities &amp; levers'!$C$14="Off",Constants!$H72*'Activity data'!AW14*Constants!$H90*FracLEACHMM*MMLeachEF*NtoN2O*kgtoGg,IF('Net zero activities &amp; levers'!$C$14="On",Constants!$H72*'Net zero Activity data'!AW14*Constants!$H90*FracLEACHMM*MMLeachEF*NtoN2O*kgtoGg,"ERROR"))</f>
        <v>7.2110275620223471E-3</v>
      </c>
      <c r="AE1210" s="101">
        <f>IF('Net zero activities &amp; levers'!$C$14="Off",Constants!$H72*'Activity data'!AX14*Constants!$H90*FracLEACHMM*MMLeachEF*NtoN2O*kgtoGg,IF('Net zero activities &amp; levers'!$C$14="On",Constants!$H72*'Net zero Activity data'!AX14*Constants!$H90*FracLEACHMM*MMLeachEF*NtoN2O*kgtoGg,"ERROR"))</f>
        <v>7.2279383180439954E-3</v>
      </c>
      <c r="AF1210" s="101">
        <f>IF('Net zero activities &amp; levers'!$C$14="Off",Constants!$H72*'Activity data'!AY14*Constants!$H90*FracLEACHMM*MMLeachEF*NtoN2O*kgtoGg,IF('Net zero activities &amp; levers'!$C$14="On",Constants!$H72*'Net zero Activity data'!AY14*Constants!$H90*FracLEACHMM*MMLeachEF*NtoN2O*kgtoGg,"ERROR"))</f>
        <v>7.2459665239452764E-3</v>
      </c>
      <c r="AG1210" s="101">
        <f>IF('Net zero activities &amp; levers'!$C$14="Off",Constants!$H72*'Activity data'!AZ14*Constants!$H90*FracLEACHMM*MMLeachEF*NtoN2O*kgtoGg,IF('Net zero activities &amp; levers'!$C$14="On",Constants!$H72*'Net zero Activity data'!AZ14*Constants!$H90*FracLEACHMM*MMLeachEF*NtoN2O*kgtoGg,"ERROR"))</f>
        <v>7.2653148124528005E-3</v>
      </c>
      <c r="AH1210" s="101">
        <f>IF('Net zero activities &amp; levers'!$C$14="Off",Constants!$H72*'Activity data'!BA14*Constants!$H90*FracLEACHMM*MMLeachEF*NtoN2O*kgtoGg,IF('Net zero activities &amp; levers'!$C$14="On",Constants!$H72*'Net zero Activity data'!BA14*Constants!$H90*FracLEACHMM*MMLeachEF*NtoN2O*kgtoGg,"ERROR"))</f>
        <v>7.2852937284123434E-3</v>
      </c>
      <c r="AI1210" s="101">
        <f>IF('Net zero activities &amp; levers'!$C$14="Off",Constants!$H72*'Activity data'!BB14*Constants!$H90*FracLEACHMM*MMLeachEF*NtoN2O*kgtoGg,IF('Net zero activities &amp; levers'!$C$14="On",Constants!$H72*'Net zero Activity data'!BB14*Constants!$H90*FracLEACHMM*MMLeachEF*NtoN2O*kgtoGg,"ERROR"))</f>
        <v>7.2976789451332669E-3</v>
      </c>
      <c r="AJ1210" s="101">
        <f>IF('Net zero activities &amp; levers'!$C$14="Off",Constants!$H72*'Activity data'!BC14*Constants!$H90*FracLEACHMM*MMLeachEF*NtoN2O*kgtoGg,IF('Net zero activities &amp; levers'!$C$14="On",Constants!$H72*'Net zero Activity data'!BC14*Constants!$H90*FracLEACHMM*MMLeachEF*NtoN2O*kgtoGg,"ERROR"))</f>
        <v>7.3109825968921283E-3</v>
      </c>
      <c r="AK1210" s="101">
        <f>IF('Net zero activities &amp; levers'!$C$14="Off",Constants!$H72*'Activity data'!BD14*Constants!$H90*FracLEACHMM*MMLeachEF*NtoN2O*kgtoGg,IF('Net zero activities &amp; levers'!$C$14="On",Constants!$H72*'Net zero Activity data'!BD14*Constants!$H90*FracLEACHMM*MMLeachEF*NtoN2O*kgtoGg,"ERROR"))</f>
        <v>7.3249946575573233E-3</v>
      </c>
      <c r="AL1210" s="101">
        <f>IF('Net zero activities &amp; levers'!$C$14="Off",Constants!$H72*'Activity data'!BE14*Constants!$H90*FracLEACHMM*MMLeachEF*NtoN2O*kgtoGg,IF('Net zero activities &amp; levers'!$C$14="On",Constants!$H72*'Net zero Activity data'!BE14*Constants!$H90*FracLEACHMM*MMLeachEF*NtoN2O*kgtoGg,"ERROR"))</f>
        <v>7.3398019045785847E-3</v>
      </c>
      <c r="AM1210" s="101">
        <f>IF('Net zero activities &amp; levers'!$C$14="Off",Constants!$H72*'Activity data'!BF14*Constants!$H90*FracLEACHMM*MMLeachEF*NtoN2O*kgtoGg,IF('Net zero activities &amp; levers'!$C$14="On",Constants!$H72*'Net zero Activity data'!BF14*Constants!$H90*FracLEACHMM*MMLeachEF*NtoN2O*kgtoGg,"ERROR"))</f>
        <v>7.3554826826413384E-3</v>
      </c>
      <c r="AN1210" s="101">
        <f>IF('Net zero activities &amp; levers'!$C$14="Off",Constants!$H72*'Activity data'!BG14*Constants!$H90*FracLEACHMM*MMLeachEF*NtoN2O*kgtoGg,IF('Net zero activities &amp; levers'!$C$14="On",Constants!$H72*'Net zero Activity data'!BG14*Constants!$H90*FracLEACHMM*MMLeachEF*NtoN2O*kgtoGg,"ERROR"))</f>
        <v>7.3640327514222425E-3</v>
      </c>
      <c r="AO1210" s="101">
        <f>IF('Net zero activities &amp; levers'!$C$14="Off",Constants!$H72*'Activity data'!BH14*Constants!$H90*FracLEACHMM*MMLeachEF*NtoN2O*kgtoGg,IF('Net zero activities &amp; levers'!$C$14="On",Constants!$H72*'Net zero Activity data'!BH14*Constants!$H90*FracLEACHMM*MMLeachEF*NtoN2O*kgtoGg,"ERROR"))</f>
        <v>7.3731019416297819E-3</v>
      </c>
      <c r="AP1210" s="101">
        <f>IF('Net zero activities &amp; levers'!$C$14="Off",Constants!$H72*'Activity data'!BI14*Constants!$H90*FracLEACHMM*MMLeachEF*NtoN2O*kgtoGg,IF('Net zero activities &amp; levers'!$C$14="On",Constants!$H72*'Net zero Activity data'!BI14*Constants!$H90*FracLEACHMM*MMLeachEF*NtoN2O*kgtoGg,"ERROR"))</f>
        <v>7.3828806048692958E-3</v>
      </c>
      <c r="AQ1210" s="101">
        <f>IF('Net zero activities &amp; levers'!$C$14="Off",Constants!$H72*'Activity data'!BJ14*Constants!$H90*FracLEACHMM*MMLeachEF*NtoN2O*kgtoGg,IF('Net zero activities &amp; levers'!$C$14="On",Constants!$H72*'Net zero Activity data'!BJ14*Constants!$H90*FracLEACHMM*MMLeachEF*NtoN2O*kgtoGg,"ERROR"))</f>
        <v>7.3933505488044948E-3</v>
      </c>
      <c r="AR1210" s="101">
        <f>IF('Net zero activities &amp; levers'!$C$14="Off",Constants!$H72*'Activity data'!BK14*Constants!$H90*FracLEACHMM*MMLeachEF*NtoN2O*kgtoGg,IF('Net zero activities &amp; levers'!$C$14="On",Constants!$H72*'Net zero Activity data'!BK14*Constants!$H90*FracLEACHMM*MMLeachEF*NtoN2O*kgtoGg,"ERROR"))</f>
        <v>7.4046448710485676E-3</v>
      </c>
      <c r="AS1210" s="101">
        <f>IF('Net zero activities &amp; levers'!$C$14="Off",Constants!$H72*'Activity data'!BL14*Constants!$H90*FracLEACHMM*MMLeachEF*NtoN2O*kgtoGg,IF('Net zero activities &amp; levers'!$C$14="On",Constants!$H72*'Net zero Activity data'!BL14*Constants!$H90*FracLEACHMM*MMLeachEF*NtoN2O*kgtoGg,"ERROR"))</f>
        <v>7.4085899817598836E-3</v>
      </c>
      <c r="AT1210" s="101">
        <f>IF('Net zero activities &amp; levers'!$C$14="Off",Constants!$H72*'Activity data'!BM14*Constants!$H90*FracLEACHMM*MMLeachEF*NtoN2O*kgtoGg,IF('Net zero activities &amp; levers'!$C$14="On",Constants!$H72*'Net zero Activity data'!BM14*Constants!$H90*FracLEACHMM*MMLeachEF*NtoN2O*kgtoGg,"ERROR"))</f>
        <v>7.411661009599016E-3</v>
      </c>
      <c r="AU1210" s="101">
        <f>IF('Net zero activities &amp; levers'!$C$14="Off",Constants!$H72*'Activity data'!BN14*Constants!$H90*FracLEACHMM*MMLeachEF*NtoN2O*kgtoGg,IF('Net zero activities &amp; levers'!$C$14="On",Constants!$H72*'Net zero Activity data'!BN14*Constants!$H90*FracLEACHMM*MMLeachEF*NtoN2O*kgtoGg,"ERROR"))</f>
        <v>7.4151799683582981E-3</v>
      </c>
      <c r="AV1210" s="101">
        <f>IF('Net zero activities &amp; levers'!$C$14="Off",Constants!$H72*'Activity data'!BO14*Constants!$H90*FracLEACHMM*MMLeachEF*NtoN2O*kgtoGg,IF('Net zero activities &amp; levers'!$C$14="On",Constants!$H72*'Net zero Activity data'!BO14*Constants!$H90*FracLEACHMM*MMLeachEF*NtoN2O*kgtoGg,"ERROR"))</f>
        <v>7.4194260260102111E-3</v>
      </c>
      <c r="AW1210" s="101">
        <f>IF('Net zero activities &amp; levers'!$C$14="Off",Constants!$H72*'Activity data'!BP14*Constants!$H90*FracLEACHMM*MMLeachEF*NtoN2O*kgtoGg,IF('Net zero activities &amp; levers'!$C$14="On",Constants!$H72*'Net zero Activity data'!BP14*Constants!$H90*FracLEACHMM*MMLeachEF*NtoN2O*kgtoGg,"ERROR"))</f>
        <v>7.4241009577362587E-3</v>
      </c>
      <c r="AY1210" s="85"/>
    </row>
    <row r="1211" spans="1:51" x14ac:dyDescent="0.25">
      <c r="A1211" s="102" t="str">
        <f t="shared" si="380"/>
        <v>CM MM Leaching</v>
      </c>
      <c r="B1211" s="102" t="s">
        <v>1323</v>
      </c>
      <c r="C1211" s="102" t="s">
        <v>1334</v>
      </c>
      <c r="D1211" t="s">
        <v>369</v>
      </c>
      <c r="E1211" t="s">
        <v>64</v>
      </c>
      <c r="F1211" t="s">
        <v>63</v>
      </c>
      <c r="G1211" t="s">
        <v>1173</v>
      </c>
      <c r="H1211" t="s">
        <v>1317</v>
      </c>
      <c r="I1211" t="s">
        <v>139</v>
      </c>
      <c r="J1211" t="s">
        <v>287</v>
      </c>
      <c r="K1211" s="101">
        <f>IF('Net zero activities &amp; levers'!$C$14="Off",Constants!$H73*'Activity data'!AD15*Constants!$H91*FracLEACHMM*MMLeachEF*NtoN2O*kgtoGg,IF('Net zero activities &amp; levers'!$C$14="On",Constants!$H73*'Net zero Activity data'!AD15*Constants!$H91*FracLEACHMM*MMLeachEF*NtoN2O*kgtoGg,"ERROR"))</f>
        <v>0</v>
      </c>
      <c r="L1211" s="101">
        <f>IF('Net zero activities &amp; levers'!$C$14="Off",Constants!$H73*'Activity data'!AE15*Constants!$H91*FracLEACHMM*MMLeachEF*NtoN2O*kgtoGg,IF('Net zero activities &amp; levers'!$C$14="On",Constants!$H73*'Net zero Activity data'!AE15*Constants!$H91*FracLEACHMM*MMLeachEF*NtoN2O*kgtoGg,"ERROR"))</f>
        <v>0</v>
      </c>
      <c r="M1211" s="101">
        <f>IF('Net zero activities &amp; levers'!$C$14="Off",Constants!$H73*'Activity data'!AF15*Constants!$H91*FracLEACHMM*MMLeachEF*NtoN2O*kgtoGg,IF('Net zero activities &amp; levers'!$C$14="On",Constants!$H73*'Net zero Activity data'!AF15*Constants!$H91*FracLEACHMM*MMLeachEF*NtoN2O*kgtoGg,"ERROR"))</f>
        <v>0</v>
      </c>
      <c r="N1211" s="101">
        <f>IF('Net zero activities &amp; levers'!$C$14="Off",Constants!$H73*'Activity data'!AG15*Constants!$H91*FracLEACHMM*MMLeachEF*NtoN2O*kgtoGg,IF('Net zero activities &amp; levers'!$C$14="On",Constants!$H73*'Net zero Activity data'!AG15*Constants!$H91*FracLEACHMM*MMLeachEF*NtoN2O*kgtoGg,"ERROR"))</f>
        <v>0</v>
      </c>
      <c r="O1211" s="101">
        <f>IF('Net zero activities &amp; levers'!$C$14="Off",Constants!$H73*'Activity data'!AH15*Constants!$H91*FracLEACHMM*MMLeachEF*NtoN2O*kgtoGg,IF('Net zero activities &amp; levers'!$C$14="On",Constants!$H73*'Net zero Activity data'!AH15*Constants!$H91*FracLEACHMM*MMLeachEF*NtoN2O*kgtoGg,"ERROR"))</f>
        <v>0</v>
      </c>
      <c r="P1211" s="101">
        <f>IF('Net zero activities &amp; levers'!$C$14="Off",Constants!$H73*'Activity data'!AI15*Constants!$H91*FracLEACHMM*MMLeachEF*NtoN2O*kgtoGg,IF('Net zero activities &amp; levers'!$C$14="On",Constants!$H73*'Net zero Activity data'!AI15*Constants!$H91*FracLEACHMM*MMLeachEF*NtoN2O*kgtoGg,"ERROR"))</f>
        <v>0</v>
      </c>
      <c r="Q1211" s="101">
        <f>IF('Net zero activities &amp; levers'!$C$14="Off",Constants!$H73*'Activity data'!AJ15*Constants!$H91*FracLEACHMM*MMLeachEF*NtoN2O*kgtoGg,IF('Net zero activities &amp; levers'!$C$14="On",Constants!$H73*'Net zero Activity data'!AJ15*Constants!$H91*FracLEACHMM*MMLeachEF*NtoN2O*kgtoGg,"ERROR"))</f>
        <v>0</v>
      </c>
      <c r="R1211" s="101">
        <f>IF('Net zero activities &amp; levers'!$C$14="Off",Constants!$H73*'Activity data'!AK15*Constants!$H91*FracLEACHMM*MMLeachEF*NtoN2O*kgtoGg,IF('Net zero activities &amp; levers'!$C$14="On",Constants!$H73*'Net zero Activity data'!AK15*Constants!$H91*FracLEACHMM*MMLeachEF*NtoN2O*kgtoGg,"ERROR"))</f>
        <v>0</v>
      </c>
      <c r="S1211" s="101">
        <f>IF('Net zero activities &amp; levers'!$C$14="Off",Constants!$H73*'Activity data'!AL15*Constants!$H91*FracLEACHMM*MMLeachEF*NtoN2O*kgtoGg,IF('Net zero activities &amp; levers'!$C$14="On",Constants!$H73*'Net zero Activity data'!AL15*Constants!$H91*FracLEACHMM*MMLeachEF*NtoN2O*kgtoGg,"ERROR"))</f>
        <v>0</v>
      </c>
      <c r="T1211" s="101">
        <f>IF('Net zero activities &amp; levers'!$C$14="Off",Constants!$H73*'Activity data'!AM15*Constants!$H91*FracLEACHMM*MMLeachEF*NtoN2O*kgtoGg,IF('Net zero activities &amp; levers'!$C$14="On",Constants!$H73*'Net zero Activity data'!AM15*Constants!$H91*FracLEACHMM*MMLeachEF*NtoN2O*kgtoGg,"ERROR"))</f>
        <v>0</v>
      </c>
      <c r="U1211" s="101">
        <f>IF('Net zero activities &amp; levers'!$C$14="Off",Constants!$H73*'Activity data'!AN15*Constants!$H91*FracLEACHMM*MMLeachEF*NtoN2O*kgtoGg,IF('Net zero activities &amp; levers'!$C$14="On",Constants!$H73*'Net zero Activity data'!AN15*Constants!$H91*FracLEACHMM*MMLeachEF*NtoN2O*kgtoGg,"ERROR"))</f>
        <v>0</v>
      </c>
      <c r="V1211" s="101">
        <f>IF('Net zero activities &amp; levers'!$C$14="Off",Constants!$H73*'Activity data'!AO15*Constants!$H91*FracLEACHMM*MMLeachEF*NtoN2O*kgtoGg,IF('Net zero activities &amp; levers'!$C$14="On",Constants!$H73*'Net zero Activity data'!AO15*Constants!$H91*FracLEACHMM*MMLeachEF*NtoN2O*kgtoGg,"ERROR"))</f>
        <v>0</v>
      </c>
      <c r="W1211" s="101">
        <f>IF('Net zero activities &amp; levers'!$C$14="Off",Constants!$H73*'Activity data'!AP15*Constants!$H91*FracLEACHMM*MMLeachEF*NtoN2O*kgtoGg,IF('Net zero activities &amp; levers'!$C$14="On",Constants!$H73*'Net zero Activity data'!AP15*Constants!$H91*FracLEACHMM*MMLeachEF*NtoN2O*kgtoGg,"ERROR"))</f>
        <v>0</v>
      </c>
      <c r="X1211" s="101">
        <f>IF('Net zero activities &amp; levers'!$C$14="Off",Constants!$H73*'Activity data'!AQ15*Constants!$H91*FracLEACHMM*MMLeachEF*NtoN2O*kgtoGg,IF('Net zero activities &amp; levers'!$C$14="On",Constants!$H73*'Net zero Activity data'!AQ15*Constants!$H91*FracLEACHMM*MMLeachEF*NtoN2O*kgtoGg,"ERROR"))</f>
        <v>0</v>
      </c>
      <c r="Y1211" s="101">
        <f>IF('Net zero activities &amp; levers'!$C$14="Off",Constants!$H73*'Activity data'!AR15*Constants!$H91*FracLEACHMM*MMLeachEF*NtoN2O*kgtoGg,IF('Net zero activities &amp; levers'!$C$14="On",Constants!$H73*'Net zero Activity data'!AR15*Constants!$H91*FracLEACHMM*MMLeachEF*NtoN2O*kgtoGg,"ERROR"))</f>
        <v>0</v>
      </c>
      <c r="Z1211" s="101">
        <f>IF('Net zero activities &amp; levers'!$C$14="Off",Constants!$H73*'Activity data'!AS15*Constants!$H91*FracLEACHMM*MMLeachEF*NtoN2O*kgtoGg,IF('Net zero activities &amp; levers'!$C$14="On",Constants!$H73*'Net zero Activity data'!AS15*Constants!$H91*FracLEACHMM*MMLeachEF*NtoN2O*kgtoGg,"ERROR"))</f>
        <v>0</v>
      </c>
      <c r="AA1211" s="101">
        <f>IF('Net zero activities &amp; levers'!$C$14="Off",Constants!$H73*'Activity data'!AT15*Constants!$H91*FracLEACHMM*MMLeachEF*NtoN2O*kgtoGg,IF('Net zero activities &amp; levers'!$C$14="On",Constants!$H73*'Net zero Activity data'!AT15*Constants!$H91*FracLEACHMM*MMLeachEF*NtoN2O*kgtoGg,"ERROR"))</f>
        <v>0</v>
      </c>
      <c r="AB1211" s="101">
        <f>IF('Net zero activities &amp; levers'!$C$14="Off",Constants!$H73*'Activity data'!AU15*Constants!$H91*FracLEACHMM*MMLeachEF*NtoN2O*kgtoGg,IF('Net zero activities &amp; levers'!$C$14="On",Constants!$H73*'Net zero Activity data'!AU15*Constants!$H91*FracLEACHMM*MMLeachEF*NtoN2O*kgtoGg,"ERROR"))</f>
        <v>0</v>
      </c>
      <c r="AC1211" s="101">
        <f>IF('Net zero activities &amp; levers'!$C$14="Off",Constants!$H73*'Activity data'!AV15*Constants!$H91*FracLEACHMM*MMLeachEF*NtoN2O*kgtoGg,IF('Net zero activities &amp; levers'!$C$14="On",Constants!$H73*'Net zero Activity data'!AV15*Constants!$H91*FracLEACHMM*MMLeachEF*NtoN2O*kgtoGg,"ERROR"))</f>
        <v>0</v>
      </c>
      <c r="AD1211" s="101">
        <f>IF('Net zero activities &amp; levers'!$C$14="Off",Constants!$H73*'Activity data'!AW15*Constants!$H91*FracLEACHMM*MMLeachEF*NtoN2O*kgtoGg,IF('Net zero activities &amp; levers'!$C$14="On",Constants!$H73*'Net zero Activity data'!AW15*Constants!$H91*FracLEACHMM*MMLeachEF*NtoN2O*kgtoGg,"ERROR"))</f>
        <v>0</v>
      </c>
      <c r="AE1211" s="101">
        <f>IF('Net zero activities &amp; levers'!$C$14="Off",Constants!$H73*'Activity data'!AX15*Constants!$H91*FracLEACHMM*MMLeachEF*NtoN2O*kgtoGg,IF('Net zero activities &amp; levers'!$C$14="On",Constants!$H73*'Net zero Activity data'!AX15*Constants!$H91*FracLEACHMM*MMLeachEF*NtoN2O*kgtoGg,"ERROR"))</f>
        <v>0</v>
      </c>
      <c r="AF1211" s="101">
        <f>IF('Net zero activities &amp; levers'!$C$14="Off",Constants!$H73*'Activity data'!AY15*Constants!$H91*FracLEACHMM*MMLeachEF*NtoN2O*kgtoGg,IF('Net zero activities &amp; levers'!$C$14="On",Constants!$H73*'Net zero Activity data'!AY15*Constants!$H91*FracLEACHMM*MMLeachEF*NtoN2O*kgtoGg,"ERROR"))</f>
        <v>0</v>
      </c>
      <c r="AG1211" s="101">
        <f>IF('Net zero activities &amp; levers'!$C$14="Off",Constants!$H73*'Activity data'!AZ15*Constants!$H91*FracLEACHMM*MMLeachEF*NtoN2O*kgtoGg,IF('Net zero activities &amp; levers'!$C$14="On",Constants!$H73*'Net zero Activity data'!AZ15*Constants!$H91*FracLEACHMM*MMLeachEF*NtoN2O*kgtoGg,"ERROR"))</f>
        <v>0</v>
      </c>
      <c r="AH1211" s="101">
        <f>IF('Net zero activities &amp; levers'!$C$14="Off",Constants!$H73*'Activity data'!BA15*Constants!$H91*FracLEACHMM*MMLeachEF*NtoN2O*kgtoGg,IF('Net zero activities &amp; levers'!$C$14="On",Constants!$H73*'Net zero Activity data'!BA15*Constants!$H91*FracLEACHMM*MMLeachEF*NtoN2O*kgtoGg,"ERROR"))</f>
        <v>0</v>
      </c>
      <c r="AI1211" s="101">
        <f>IF('Net zero activities &amp; levers'!$C$14="Off",Constants!$H73*'Activity data'!BB15*Constants!$H91*FracLEACHMM*MMLeachEF*NtoN2O*kgtoGg,IF('Net zero activities &amp; levers'!$C$14="On",Constants!$H73*'Net zero Activity data'!BB15*Constants!$H91*FracLEACHMM*MMLeachEF*NtoN2O*kgtoGg,"ERROR"))</f>
        <v>0</v>
      </c>
      <c r="AJ1211" s="101">
        <f>IF('Net zero activities &amp; levers'!$C$14="Off",Constants!$H73*'Activity data'!BC15*Constants!$H91*FracLEACHMM*MMLeachEF*NtoN2O*kgtoGg,IF('Net zero activities &amp; levers'!$C$14="On",Constants!$H73*'Net zero Activity data'!BC15*Constants!$H91*FracLEACHMM*MMLeachEF*NtoN2O*kgtoGg,"ERROR"))</f>
        <v>0</v>
      </c>
      <c r="AK1211" s="101">
        <f>IF('Net zero activities &amp; levers'!$C$14="Off",Constants!$H73*'Activity data'!BD15*Constants!$H91*FracLEACHMM*MMLeachEF*NtoN2O*kgtoGg,IF('Net zero activities &amp; levers'!$C$14="On",Constants!$H73*'Net zero Activity data'!BD15*Constants!$H91*FracLEACHMM*MMLeachEF*NtoN2O*kgtoGg,"ERROR"))</f>
        <v>0</v>
      </c>
      <c r="AL1211" s="101">
        <f>IF('Net zero activities &amp; levers'!$C$14="Off",Constants!$H73*'Activity data'!BE15*Constants!$H91*FracLEACHMM*MMLeachEF*NtoN2O*kgtoGg,IF('Net zero activities &amp; levers'!$C$14="On",Constants!$H73*'Net zero Activity data'!BE15*Constants!$H91*FracLEACHMM*MMLeachEF*NtoN2O*kgtoGg,"ERROR"))</f>
        <v>0</v>
      </c>
      <c r="AM1211" s="101">
        <f>IF('Net zero activities &amp; levers'!$C$14="Off",Constants!$H73*'Activity data'!BF15*Constants!$H91*FracLEACHMM*MMLeachEF*NtoN2O*kgtoGg,IF('Net zero activities &amp; levers'!$C$14="On",Constants!$H73*'Net zero Activity data'!BF15*Constants!$H91*FracLEACHMM*MMLeachEF*NtoN2O*kgtoGg,"ERROR"))</f>
        <v>0</v>
      </c>
      <c r="AN1211" s="101">
        <f>IF('Net zero activities &amp; levers'!$C$14="Off",Constants!$H73*'Activity data'!BG15*Constants!$H91*FracLEACHMM*MMLeachEF*NtoN2O*kgtoGg,IF('Net zero activities &amp; levers'!$C$14="On",Constants!$H73*'Net zero Activity data'!BG15*Constants!$H91*FracLEACHMM*MMLeachEF*NtoN2O*kgtoGg,"ERROR"))</f>
        <v>0</v>
      </c>
      <c r="AO1211" s="101">
        <f>IF('Net zero activities &amp; levers'!$C$14="Off",Constants!$H73*'Activity data'!BH15*Constants!$H91*FracLEACHMM*MMLeachEF*NtoN2O*kgtoGg,IF('Net zero activities &amp; levers'!$C$14="On",Constants!$H73*'Net zero Activity data'!BH15*Constants!$H91*FracLEACHMM*MMLeachEF*NtoN2O*kgtoGg,"ERROR"))</f>
        <v>0</v>
      </c>
      <c r="AP1211" s="101">
        <f>IF('Net zero activities &amp; levers'!$C$14="Off",Constants!$H73*'Activity data'!BI15*Constants!$H91*FracLEACHMM*MMLeachEF*NtoN2O*kgtoGg,IF('Net zero activities &amp; levers'!$C$14="On",Constants!$H73*'Net zero Activity data'!BI15*Constants!$H91*FracLEACHMM*MMLeachEF*NtoN2O*kgtoGg,"ERROR"))</f>
        <v>0</v>
      </c>
      <c r="AQ1211" s="101">
        <f>IF('Net zero activities &amp; levers'!$C$14="Off",Constants!$H73*'Activity data'!BJ15*Constants!$H91*FracLEACHMM*MMLeachEF*NtoN2O*kgtoGg,IF('Net zero activities &amp; levers'!$C$14="On",Constants!$H73*'Net zero Activity data'!BJ15*Constants!$H91*FracLEACHMM*MMLeachEF*NtoN2O*kgtoGg,"ERROR"))</f>
        <v>0</v>
      </c>
      <c r="AR1211" s="101">
        <f>IF('Net zero activities &amp; levers'!$C$14="Off",Constants!$H73*'Activity data'!BK15*Constants!$H91*FracLEACHMM*MMLeachEF*NtoN2O*kgtoGg,IF('Net zero activities &amp; levers'!$C$14="On",Constants!$H73*'Net zero Activity data'!BK15*Constants!$H91*FracLEACHMM*MMLeachEF*NtoN2O*kgtoGg,"ERROR"))</f>
        <v>0</v>
      </c>
      <c r="AS1211" s="101">
        <f>IF('Net zero activities &amp; levers'!$C$14="Off",Constants!$H73*'Activity data'!BL15*Constants!$H91*FracLEACHMM*MMLeachEF*NtoN2O*kgtoGg,IF('Net zero activities &amp; levers'!$C$14="On",Constants!$H73*'Net zero Activity data'!BL15*Constants!$H91*FracLEACHMM*MMLeachEF*NtoN2O*kgtoGg,"ERROR"))</f>
        <v>0</v>
      </c>
      <c r="AT1211" s="101">
        <f>IF('Net zero activities &amp; levers'!$C$14="Off",Constants!$H73*'Activity data'!BM15*Constants!$H91*FracLEACHMM*MMLeachEF*NtoN2O*kgtoGg,IF('Net zero activities &amp; levers'!$C$14="On",Constants!$H73*'Net zero Activity data'!BM15*Constants!$H91*FracLEACHMM*MMLeachEF*NtoN2O*kgtoGg,"ERROR"))</f>
        <v>0</v>
      </c>
      <c r="AU1211" s="101">
        <f>IF('Net zero activities &amp; levers'!$C$14="Off",Constants!$H73*'Activity data'!BN15*Constants!$H91*FracLEACHMM*MMLeachEF*NtoN2O*kgtoGg,IF('Net zero activities &amp; levers'!$C$14="On",Constants!$H73*'Net zero Activity data'!BN15*Constants!$H91*FracLEACHMM*MMLeachEF*NtoN2O*kgtoGg,"ERROR"))</f>
        <v>0</v>
      </c>
      <c r="AV1211" s="101">
        <f>IF('Net zero activities &amp; levers'!$C$14="Off",Constants!$H73*'Activity data'!BO15*Constants!$H91*FracLEACHMM*MMLeachEF*NtoN2O*kgtoGg,IF('Net zero activities &amp; levers'!$C$14="On",Constants!$H73*'Net zero Activity data'!BO15*Constants!$H91*FracLEACHMM*MMLeachEF*NtoN2O*kgtoGg,"ERROR"))</f>
        <v>0</v>
      </c>
      <c r="AW1211" s="101">
        <f>IF('Net zero activities &amp; levers'!$C$14="Off",Constants!$H73*'Activity data'!BP15*Constants!$H91*FracLEACHMM*MMLeachEF*NtoN2O*kgtoGg,IF('Net zero activities &amp; levers'!$C$14="On",Constants!$H73*'Net zero Activity data'!BP15*Constants!$H91*FracLEACHMM*MMLeachEF*NtoN2O*kgtoGg,"ERROR"))</f>
        <v>0</v>
      </c>
      <c r="AY1211" s="85"/>
    </row>
    <row r="1212" spans="1:51" x14ac:dyDescent="0.25">
      <c r="A1212" s="102" t="str">
        <f t="shared" si="380"/>
        <v>CM MM Leaching</v>
      </c>
      <c r="B1212" s="102" t="s">
        <v>1323</v>
      </c>
      <c r="C1212" s="102" t="s">
        <v>1334</v>
      </c>
      <c r="D1212" t="s">
        <v>369</v>
      </c>
      <c r="E1212" t="s">
        <v>64</v>
      </c>
      <c r="F1212" t="s">
        <v>63</v>
      </c>
      <c r="G1212" t="s">
        <v>1175</v>
      </c>
      <c r="H1212" t="s">
        <v>1318</v>
      </c>
      <c r="I1212" t="s">
        <v>139</v>
      </c>
      <c r="J1212" t="s">
        <v>287</v>
      </c>
      <c r="K1212" s="101">
        <f>IF('Net zero activities &amp; levers'!$C$14="Off",Constants!$H74*'Activity data'!AD16*Constants!$H92*FracLEACHMM*MMLeachEF*NtoN2O*kgtoGg,IF('Net zero activities &amp; levers'!$C$14="On",Constants!$H74*'Net zero Activity data'!AD16*Constants!$H92*FracLEACHMM*MMLeachEF*NtoN2O*kgtoGg,"ERROR"))</f>
        <v>0</v>
      </c>
      <c r="L1212" s="101">
        <f>IF('Net zero activities &amp; levers'!$C$14="Off",Constants!$H74*'Activity data'!AE16*Constants!$H92*FracLEACHMM*MMLeachEF*NtoN2O*kgtoGg,IF('Net zero activities &amp; levers'!$C$14="On",Constants!$H74*'Net zero Activity data'!AE16*Constants!$H92*FracLEACHMM*MMLeachEF*NtoN2O*kgtoGg,"ERROR"))</f>
        <v>0</v>
      </c>
      <c r="M1212" s="101">
        <f>IF('Net zero activities &amp; levers'!$C$14="Off",Constants!$H74*'Activity data'!AF16*Constants!$H92*FracLEACHMM*MMLeachEF*NtoN2O*kgtoGg,IF('Net zero activities &amp; levers'!$C$14="On",Constants!$H74*'Net zero Activity data'!AF16*Constants!$H92*FracLEACHMM*MMLeachEF*NtoN2O*kgtoGg,"ERROR"))</f>
        <v>0</v>
      </c>
      <c r="N1212" s="101">
        <f>IF('Net zero activities &amp; levers'!$C$14="Off",Constants!$H74*'Activity data'!AG16*Constants!$H92*FracLEACHMM*MMLeachEF*NtoN2O*kgtoGg,IF('Net zero activities &amp; levers'!$C$14="On",Constants!$H74*'Net zero Activity data'!AG16*Constants!$H92*FracLEACHMM*MMLeachEF*NtoN2O*kgtoGg,"ERROR"))</f>
        <v>0</v>
      </c>
      <c r="O1212" s="101">
        <f>IF('Net zero activities &amp; levers'!$C$14="Off",Constants!$H74*'Activity data'!AH16*Constants!$H92*FracLEACHMM*MMLeachEF*NtoN2O*kgtoGg,IF('Net zero activities &amp; levers'!$C$14="On",Constants!$H74*'Net zero Activity data'!AH16*Constants!$H92*FracLEACHMM*MMLeachEF*NtoN2O*kgtoGg,"ERROR"))</f>
        <v>0</v>
      </c>
      <c r="P1212" s="101">
        <f>IF('Net zero activities &amp; levers'!$C$14="Off",Constants!$H74*'Activity data'!AI16*Constants!$H92*FracLEACHMM*MMLeachEF*NtoN2O*kgtoGg,IF('Net zero activities &amp; levers'!$C$14="On",Constants!$H74*'Net zero Activity data'!AI16*Constants!$H92*FracLEACHMM*MMLeachEF*NtoN2O*kgtoGg,"ERROR"))</f>
        <v>0</v>
      </c>
      <c r="Q1212" s="101">
        <f>IF('Net zero activities &amp; levers'!$C$14="Off",Constants!$H74*'Activity data'!AJ16*Constants!$H92*FracLEACHMM*MMLeachEF*NtoN2O*kgtoGg,IF('Net zero activities &amp; levers'!$C$14="On",Constants!$H74*'Net zero Activity data'!AJ16*Constants!$H92*FracLEACHMM*MMLeachEF*NtoN2O*kgtoGg,"ERROR"))</f>
        <v>0</v>
      </c>
      <c r="R1212" s="101">
        <f>IF('Net zero activities &amp; levers'!$C$14="Off",Constants!$H74*'Activity data'!AK16*Constants!$H92*FracLEACHMM*MMLeachEF*NtoN2O*kgtoGg,IF('Net zero activities &amp; levers'!$C$14="On",Constants!$H74*'Net zero Activity data'!AK16*Constants!$H92*FracLEACHMM*MMLeachEF*NtoN2O*kgtoGg,"ERROR"))</f>
        <v>0</v>
      </c>
      <c r="S1212" s="101">
        <f>IF('Net zero activities &amp; levers'!$C$14="Off",Constants!$H74*'Activity data'!AL16*Constants!$H92*FracLEACHMM*MMLeachEF*NtoN2O*kgtoGg,IF('Net zero activities &amp; levers'!$C$14="On",Constants!$H74*'Net zero Activity data'!AL16*Constants!$H92*FracLEACHMM*MMLeachEF*NtoN2O*kgtoGg,"ERROR"))</f>
        <v>0</v>
      </c>
      <c r="T1212" s="101">
        <f>IF('Net zero activities &amp; levers'!$C$14="Off",Constants!$H74*'Activity data'!AM16*Constants!$H92*FracLEACHMM*MMLeachEF*NtoN2O*kgtoGg,IF('Net zero activities &amp; levers'!$C$14="On",Constants!$H74*'Net zero Activity data'!AM16*Constants!$H92*FracLEACHMM*MMLeachEF*NtoN2O*kgtoGg,"ERROR"))</f>
        <v>0</v>
      </c>
      <c r="U1212" s="101">
        <f>IF('Net zero activities &amp; levers'!$C$14="Off",Constants!$H74*'Activity data'!AN16*Constants!$H92*FracLEACHMM*MMLeachEF*NtoN2O*kgtoGg,IF('Net zero activities &amp; levers'!$C$14="On",Constants!$H74*'Net zero Activity data'!AN16*Constants!$H92*FracLEACHMM*MMLeachEF*NtoN2O*kgtoGg,"ERROR"))</f>
        <v>0</v>
      </c>
      <c r="V1212" s="101">
        <f>IF('Net zero activities &amp; levers'!$C$14="Off",Constants!$H74*'Activity data'!AO16*Constants!$H92*FracLEACHMM*MMLeachEF*NtoN2O*kgtoGg,IF('Net zero activities &amp; levers'!$C$14="On",Constants!$H74*'Net zero Activity data'!AO16*Constants!$H92*FracLEACHMM*MMLeachEF*NtoN2O*kgtoGg,"ERROR"))</f>
        <v>0</v>
      </c>
      <c r="W1212" s="101">
        <f>IF('Net zero activities &amp; levers'!$C$14="Off",Constants!$H74*'Activity data'!AP16*Constants!$H92*FracLEACHMM*MMLeachEF*NtoN2O*kgtoGg,IF('Net zero activities &amp; levers'!$C$14="On",Constants!$H74*'Net zero Activity data'!AP16*Constants!$H92*FracLEACHMM*MMLeachEF*NtoN2O*kgtoGg,"ERROR"))</f>
        <v>0</v>
      </c>
      <c r="X1212" s="101">
        <f>IF('Net zero activities &amp; levers'!$C$14="Off",Constants!$H74*'Activity data'!AQ16*Constants!$H92*FracLEACHMM*MMLeachEF*NtoN2O*kgtoGg,IF('Net zero activities &amp; levers'!$C$14="On",Constants!$H74*'Net zero Activity data'!AQ16*Constants!$H92*FracLEACHMM*MMLeachEF*NtoN2O*kgtoGg,"ERROR"))</f>
        <v>0</v>
      </c>
      <c r="Y1212" s="101">
        <f>IF('Net zero activities &amp; levers'!$C$14="Off",Constants!$H74*'Activity data'!AR16*Constants!$H92*FracLEACHMM*MMLeachEF*NtoN2O*kgtoGg,IF('Net zero activities &amp; levers'!$C$14="On",Constants!$H74*'Net zero Activity data'!AR16*Constants!$H92*FracLEACHMM*MMLeachEF*NtoN2O*kgtoGg,"ERROR"))</f>
        <v>0</v>
      </c>
      <c r="Z1212" s="101">
        <f>IF('Net zero activities &amp; levers'!$C$14="Off",Constants!$H74*'Activity data'!AS16*Constants!$H92*FracLEACHMM*MMLeachEF*NtoN2O*kgtoGg,IF('Net zero activities &amp; levers'!$C$14="On",Constants!$H74*'Net zero Activity data'!AS16*Constants!$H92*FracLEACHMM*MMLeachEF*NtoN2O*kgtoGg,"ERROR"))</f>
        <v>0</v>
      </c>
      <c r="AA1212" s="101">
        <f>IF('Net zero activities &amp; levers'!$C$14="Off",Constants!$H74*'Activity data'!AT16*Constants!$H92*FracLEACHMM*MMLeachEF*NtoN2O*kgtoGg,IF('Net zero activities &amp; levers'!$C$14="On",Constants!$H74*'Net zero Activity data'!AT16*Constants!$H92*FracLEACHMM*MMLeachEF*NtoN2O*kgtoGg,"ERROR"))</f>
        <v>0</v>
      </c>
      <c r="AB1212" s="101">
        <f>IF('Net zero activities &amp; levers'!$C$14="Off",Constants!$H74*'Activity data'!AU16*Constants!$H92*FracLEACHMM*MMLeachEF*NtoN2O*kgtoGg,IF('Net zero activities &amp; levers'!$C$14="On",Constants!$H74*'Net zero Activity data'!AU16*Constants!$H92*FracLEACHMM*MMLeachEF*NtoN2O*kgtoGg,"ERROR"))</f>
        <v>0</v>
      </c>
      <c r="AC1212" s="101">
        <f>IF('Net zero activities &amp; levers'!$C$14="Off",Constants!$H74*'Activity data'!AV16*Constants!$H92*FracLEACHMM*MMLeachEF*NtoN2O*kgtoGg,IF('Net zero activities &amp; levers'!$C$14="On",Constants!$H74*'Net zero Activity data'!AV16*Constants!$H92*FracLEACHMM*MMLeachEF*NtoN2O*kgtoGg,"ERROR"))</f>
        <v>0</v>
      </c>
      <c r="AD1212" s="101">
        <f>IF('Net zero activities &amp; levers'!$C$14="Off",Constants!$H74*'Activity data'!AW16*Constants!$H92*FracLEACHMM*MMLeachEF*NtoN2O*kgtoGg,IF('Net zero activities &amp; levers'!$C$14="On",Constants!$H74*'Net zero Activity data'!AW16*Constants!$H92*FracLEACHMM*MMLeachEF*NtoN2O*kgtoGg,"ERROR"))</f>
        <v>0</v>
      </c>
      <c r="AE1212" s="101">
        <f>IF('Net zero activities &amp; levers'!$C$14="Off",Constants!$H74*'Activity data'!AX16*Constants!$H92*FracLEACHMM*MMLeachEF*NtoN2O*kgtoGg,IF('Net zero activities &amp; levers'!$C$14="On",Constants!$H74*'Net zero Activity data'!AX16*Constants!$H92*FracLEACHMM*MMLeachEF*NtoN2O*kgtoGg,"ERROR"))</f>
        <v>0</v>
      </c>
      <c r="AF1212" s="101">
        <f>IF('Net zero activities &amp; levers'!$C$14="Off",Constants!$H74*'Activity data'!AY16*Constants!$H92*FracLEACHMM*MMLeachEF*NtoN2O*kgtoGg,IF('Net zero activities &amp; levers'!$C$14="On",Constants!$H74*'Net zero Activity data'!AY16*Constants!$H92*FracLEACHMM*MMLeachEF*NtoN2O*kgtoGg,"ERROR"))</f>
        <v>0</v>
      </c>
      <c r="AG1212" s="101">
        <f>IF('Net zero activities &amp; levers'!$C$14="Off",Constants!$H74*'Activity data'!AZ16*Constants!$H92*FracLEACHMM*MMLeachEF*NtoN2O*kgtoGg,IF('Net zero activities &amp; levers'!$C$14="On",Constants!$H74*'Net zero Activity data'!AZ16*Constants!$H92*FracLEACHMM*MMLeachEF*NtoN2O*kgtoGg,"ERROR"))</f>
        <v>0</v>
      </c>
      <c r="AH1212" s="101">
        <f>IF('Net zero activities &amp; levers'!$C$14="Off",Constants!$H74*'Activity data'!BA16*Constants!$H92*FracLEACHMM*MMLeachEF*NtoN2O*kgtoGg,IF('Net zero activities &amp; levers'!$C$14="On",Constants!$H74*'Net zero Activity data'!BA16*Constants!$H92*FracLEACHMM*MMLeachEF*NtoN2O*kgtoGg,"ERROR"))</f>
        <v>0</v>
      </c>
      <c r="AI1212" s="101">
        <f>IF('Net zero activities &amp; levers'!$C$14="Off",Constants!$H74*'Activity data'!BB16*Constants!$H92*FracLEACHMM*MMLeachEF*NtoN2O*kgtoGg,IF('Net zero activities &amp; levers'!$C$14="On",Constants!$H74*'Net zero Activity data'!BB16*Constants!$H92*FracLEACHMM*MMLeachEF*NtoN2O*kgtoGg,"ERROR"))</f>
        <v>0</v>
      </c>
      <c r="AJ1212" s="101">
        <f>IF('Net zero activities &amp; levers'!$C$14="Off",Constants!$H74*'Activity data'!BC16*Constants!$H92*FracLEACHMM*MMLeachEF*NtoN2O*kgtoGg,IF('Net zero activities &amp; levers'!$C$14="On",Constants!$H74*'Net zero Activity data'!BC16*Constants!$H92*FracLEACHMM*MMLeachEF*NtoN2O*kgtoGg,"ERROR"))</f>
        <v>0</v>
      </c>
      <c r="AK1212" s="101">
        <f>IF('Net zero activities &amp; levers'!$C$14="Off",Constants!$H74*'Activity data'!BD16*Constants!$H92*FracLEACHMM*MMLeachEF*NtoN2O*kgtoGg,IF('Net zero activities &amp; levers'!$C$14="On",Constants!$H74*'Net zero Activity data'!BD16*Constants!$H92*FracLEACHMM*MMLeachEF*NtoN2O*kgtoGg,"ERROR"))</f>
        <v>0</v>
      </c>
      <c r="AL1212" s="101">
        <f>IF('Net zero activities &amp; levers'!$C$14="Off",Constants!$H74*'Activity data'!BE16*Constants!$H92*FracLEACHMM*MMLeachEF*NtoN2O*kgtoGg,IF('Net zero activities &amp; levers'!$C$14="On",Constants!$H74*'Net zero Activity data'!BE16*Constants!$H92*FracLEACHMM*MMLeachEF*NtoN2O*kgtoGg,"ERROR"))</f>
        <v>0</v>
      </c>
      <c r="AM1212" s="101">
        <f>IF('Net zero activities &amp; levers'!$C$14="Off",Constants!$H74*'Activity data'!BF16*Constants!$H92*FracLEACHMM*MMLeachEF*NtoN2O*kgtoGg,IF('Net zero activities &amp; levers'!$C$14="On",Constants!$H74*'Net zero Activity data'!BF16*Constants!$H92*FracLEACHMM*MMLeachEF*NtoN2O*kgtoGg,"ERROR"))</f>
        <v>0</v>
      </c>
      <c r="AN1212" s="101">
        <f>IF('Net zero activities &amp; levers'!$C$14="Off",Constants!$H74*'Activity data'!BG16*Constants!$H92*FracLEACHMM*MMLeachEF*NtoN2O*kgtoGg,IF('Net zero activities &amp; levers'!$C$14="On",Constants!$H74*'Net zero Activity data'!BG16*Constants!$H92*FracLEACHMM*MMLeachEF*NtoN2O*kgtoGg,"ERROR"))</f>
        <v>0</v>
      </c>
      <c r="AO1212" s="101">
        <f>IF('Net zero activities &amp; levers'!$C$14="Off",Constants!$H74*'Activity data'!BH16*Constants!$H92*FracLEACHMM*MMLeachEF*NtoN2O*kgtoGg,IF('Net zero activities &amp; levers'!$C$14="On",Constants!$H74*'Net zero Activity data'!BH16*Constants!$H92*FracLEACHMM*MMLeachEF*NtoN2O*kgtoGg,"ERROR"))</f>
        <v>0</v>
      </c>
      <c r="AP1212" s="101">
        <f>IF('Net zero activities &amp; levers'!$C$14="Off",Constants!$H74*'Activity data'!BI16*Constants!$H92*FracLEACHMM*MMLeachEF*NtoN2O*kgtoGg,IF('Net zero activities &amp; levers'!$C$14="On",Constants!$H74*'Net zero Activity data'!BI16*Constants!$H92*FracLEACHMM*MMLeachEF*NtoN2O*kgtoGg,"ERROR"))</f>
        <v>0</v>
      </c>
      <c r="AQ1212" s="101">
        <f>IF('Net zero activities &amp; levers'!$C$14="Off",Constants!$H74*'Activity data'!BJ16*Constants!$H92*FracLEACHMM*MMLeachEF*NtoN2O*kgtoGg,IF('Net zero activities &amp; levers'!$C$14="On",Constants!$H74*'Net zero Activity data'!BJ16*Constants!$H92*FracLEACHMM*MMLeachEF*NtoN2O*kgtoGg,"ERROR"))</f>
        <v>0</v>
      </c>
      <c r="AR1212" s="101">
        <f>IF('Net zero activities &amp; levers'!$C$14="Off",Constants!$H74*'Activity data'!BK16*Constants!$H92*FracLEACHMM*MMLeachEF*NtoN2O*kgtoGg,IF('Net zero activities &amp; levers'!$C$14="On",Constants!$H74*'Net zero Activity data'!BK16*Constants!$H92*FracLEACHMM*MMLeachEF*NtoN2O*kgtoGg,"ERROR"))</f>
        <v>0</v>
      </c>
      <c r="AS1212" s="101">
        <f>IF('Net zero activities &amp; levers'!$C$14="Off",Constants!$H74*'Activity data'!BL16*Constants!$H92*FracLEACHMM*MMLeachEF*NtoN2O*kgtoGg,IF('Net zero activities &amp; levers'!$C$14="On",Constants!$H74*'Net zero Activity data'!BL16*Constants!$H92*FracLEACHMM*MMLeachEF*NtoN2O*kgtoGg,"ERROR"))</f>
        <v>0</v>
      </c>
      <c r="AT1212" s="101">
        <f>IF('Net zero activities &amp; levers'!$C$14="Off",Constants!$H74*'Activity data'!BM16*Constants!$H92*FracLEACHMM*MMLeachEF*NtoN2O*kgtoGg,IF('Net zero activities &amp; levers'!$C$14="On",Constants!$H74*'Net zero Activity data'!BM16*Constants!$H92*FracLEACHMM*MMLeachEF*NtoN2O*kgtoGg,"ERROR"))</f>
        <v>0</v>
      </c>
      <c r="AU1212" s="101">
        <f>IF('Net zero activities &amp; levers'!$C$14="Off",Constants!$H74*'Activity data'!BN16*Constants!$H92*FracLEACHMM*MMLeachEF*NtoN2O*kgtoGg,IF('Net zero activities &amp; levers'!$C$14="On",Constants!$H74*'Net zero Activity data'!BN16*Constants!$H92*FracLEACHMM*MMLeachEF*NtoN2O*kgtoGg,"ERROR"))</f>
        <v>0</v>
      </c>
      <c r="AV1212" s="101">
        <f>IF('Net zero activities &amp; levers'!$C$14="Off",Constants!$H74*'Activity data'!BO16*Constants!$H92*FracLEACHMM*MMLeachEF*NtoN2O*kgtoGg,IF('Net zero activities &amp; levers'!$C$14="On",Constants!$H74*'Net zero Activity data'!BO16*Constants!$H92*FracLEACHMM*MMLeachEF*NtoN2O*kgtoGg,"ERROR"))</f>
        <v>0</v>
      </c>
      <c r="AW1212" s="101">
        <f>IF('Net zero activities &amp; levers'!$C$14="Off",Constants!$H74*'Activity data'!BP16*Constants!$H92*FracLEACHMM*MMLeachEF*NtoN2O*kgtoGg,IF('Net zero activities &amp; levers'!$C$14="On",Constants!$H74*'Net zero Activity data'!BP16*Constants!$H92*FracLEACHMM*MMLeachEF*NtoN2O*kgtoGg,"ERROR"))</f>
        <v>0</v>
      </c>
      <c r="AY1212" s="85"/>
    </row>
    <row r="1213" spans="1:51" x14ac:dyDescent="0.25">
      <c r="A1213" s="102" t="str">
        <f t="shared" si="380"/>
        <v>CM MM Leaching</v>
      </c>
      <c r="B1213" s="102" t="s">
        <v>1323</v>
      </c>
      <c r="C1213" s="102" t="s">
        <v>1334</v>
      </c>
      <c r="D1213" t="s">
        <v>369</v>
      </c>
      <c r="E1213" t="s">
        <v>64</v>
      </c>
      <c r="F1213" t="s">
        <v>63</v>
      </c>
      <c r="G1213" t="s">
        <v>1177</v>
      </c>
      <c r="H1213" t="s">
        <v>1319</v>
      </c>
      <c r="I1213" t="s">
        <v>139</v>
      </c>
      <c r="J1213" t="s">
        <v>287</v>
      </c>
      <c r="K1213" s="101">
        <f>IF('Net zero activities &amp; levers'!$C$14="Off",Constants!$H75*'Activity data'!AD17*Constants!$H93*FracLEACHMM*MMLeachEF*NtoN2O*kgtoGg,IF('Net zero activities &amp; levers'!$C$14="On",Constants!$H75*'Net zero Activity data'!AD17*Constants!$H93*FracLEACHMM*MMLeachEF*NtoN2O*kgtoGg,"ERROR"))</f>
        <v>2.6982078121909357E-2</v>
      </c>
      <c r="L1213" s="101">
        <f>IF('Net zero activities &amp; levers'!$C$14="Off",Constants!$H75*'Activity data'!AE17*Constants!$H93*FracLEACHMM*MMLeachEF*NtoN2O*kgtoGg,IF('Net zero activities &amp; levers'!$C$14="On",Constants!$H75*'Net zero Activity data'!AE17*Constants!$H93*FracLEACHMM*MMLeachEF*NtoN2O*kgtoGg,"ERROR"))</f>
        <v>2.6934390428910333E-2</v>
      </c>
      <c r="M1213" s="101">
        <f>IF('Net zero activities &amp; levers'!$C$14="Off",Constants!$H75*'Activity data'!AF17*Constants!$H93*FracLEACHMM*MMLeachEF*NtoN2O*kgtoGg,IF('Net zero activities &amp; levers'!$C$14="On",Constants!$H75*'Net zero Activity data'!AF17*Constants!$H93*FracLEACHMM*MMLeachEF*NtoN2O*kgtoGg,"ERROR"))</f>
        <v>2.6783274405865188E-2</v>
      </c>
      <c r="N1213" s="101">
        <f>IF('Net zero activities &amp; levers'!$C$14="Off",Constants!$H75*'Activity data'!AG17*Constants!$H93*FracLEACHMM*MMLeachEF*NtoN2O*kgtoGg,IF('Net zero activities &amp; levers'!$C$14="On",Constants!$H75*'Net zero Activity data'!AG17*Constants!$H93*FracLEACHMM*MMLeachEF*NtoN2O*kgtoGg,"ERROR"))</f>
        <v>2.6192267209513419E-2</v>
      </c>
      <c r="O1213" s="101">
        <f>IF('Net zero activities &amp; levers'!$C$14="Off",Constants!$H75*'Activity data'!AH17*Constants!$H93*FracLEACHMM*MMLeachEF*NtoN2O*kgtoGg,IF('Net zero activities &amp; levers'!$C$14="On",Constants!$H75*'Net zero Activity data'!AH17*Constants!$H93*FracLEACHMM*MMLeachEF*NtoN2O*kgtoGg,"ERROR"))</f>
        <v>2.5633374369749509E-2</v>
      </c>
      <c r="P1213" s="101">
        <f>IF('Net zero activities &amp; levers'!$C$14="Off",Constants!$H75*'Activity data'!AI17*Constants!$H93*FracLEACHMM*MMLeachEF*NtoN2O*kgtoGg,IF('Net zero activities &amp; levers'!$C$14="On",Constants!$H75*'Net zero Activity data'!AI17*Constants!$H93*FracLEACHMM*MMLeachEF*NtoN2O*kgtoGg,"ERROR"))</f>
        <v>2.5543167875320214E-2</v>
      </c>
      <c r="Q1213" s="101">
        <f>IF('Net zero activities &amp; levers'!$C$14="Off",Constants!$H75*'Activity data'!AJ17*Constants!$H93*FracLEACHMM*MMLeachEF*NtoN2O*kgtoGg,IF('Net zero activities &amp; levers'!$C$14="On",Constants!$H75*'Net zero Activity data'!AJ17*Constants!$H93*FracLEACHMM*MMLeachEF*NtoN2O*kgtoGg,"ERROR"))</f>
        <v>2.5324190264718272E-2</v>
      </c>
      <c r="R1213" s="101">
        <f>IF('Net zero activities &amp; levers'!$C$14="Off",Constants!$H75*'Activity data'!AK17*Constants!$H93*FracLEACHMM*MMLeachEF*NtoN2O*kgtoGg,IF('Net zero activities &amp; levers'!$C$14="On",Constants!$H75*'Net zero Activity data'!AK17*Constants!$H93*FracLEACHMM*MMLeachEF*NtoN2O*kgtoGg,"ERROR"))</f>
        <v>2.4649754195953832E-2</v>
      </c>
      <c r="S1213" s="101">
        <f>IF('Net zero activities &amp; levers'!$C$14="Off",Constants!$H75*'Activity data'!AL17*Constants!$H93*FracLEACHMM*MMLeachEF*NtoN2O*kgtoGg,IF('Net zero activities &amp; levers'!$C$14="On",Constants!$H75*'Net zero Activity data'!AL17*Constants!$H93*FracLEACHMM*MMLeachEF*NtoN2O*kgtoGg,"ERROR"))</f>
        <v>2.1986440242697105E-2</v>
      </c>
      <c r="T1213" s="101">
        <f>IF('Net zero activities &amp; levers'!$C$14="Off",Constants!$H75*'Activity data'!AM17*Constants!$H93*FracLEACHMM*MMLeachEF*NtoN2O*kgtoGg,IF('Net zero activities &amp; levers'!$C$14="On",Constants!$H75*'Net zero Activity data'!AM17*Constants!$H93*FracLEACHMM*MMLeachEF*NtoN2O*kgtoGg,"ERROR"))</f>
        <v>2.245489016108022E-2</v>
      </c>
      <c r="U1213" s="101">
        <f>IF('Net zero activities &amp; levers'!$C$14="Off",Constants!$H75*'Activity data'!AN17*Constants!$H93*FracLEACHMM*MMLeachEF*NtoN2O*kgtoGg,IF('Net zero activities &amp; levers'!$C$14="On",Constants!$H75*'Net zero Activity data'!AN17*Constants!$H93*FracLEACHMM*MMLeachEF*NtoN2O*kgtoGg,"ERROR"))</f>
        <v>2.2668092316052747E-2</v>
      </c>
      <c r="V1213" s="101">
        <f>IF('Net zero activities &amp; levers'!$C$14="Off",Constants!$H75*'Activity data'!AO17*Constants!$H93*FracLEACHMM*MMLeachEF*NtoN2O*kgtoGg,IF('Net zero activities &amp; levers'!$C$14="On",Constants!$H75*'Net zero Activity data'!AO17*Constants!$H93*FracLEACHMM*MMLeachEF*NtoN2O*kgtoGg,"ERROR"))</f>
        <v>2.2822073561516613E-2</v>
      </c>
      <c r="W1213" s="101">
        <f>IF('Net zero activities &amp; levers'!$C$14="Off",Constants!$H75*'Activity data'!AP17*Constants!$H93*FracLEACHMM*MMLeachEF*NtoN2O*kgtoGg,IF('Net zero activities &amp; levers'!$C$14="On",Constants!$H75*'Net zero Activity data'!AP17*Constants!$H93*FracLEACHMM*MMLeachEF*NtoN2O*kgtoGg,"ERROR"))</f>
        <v>2.3060823518133412E-2</v>
      </c>
      <c r="X1213" s="101">
        <f>IF('Net zero activities &amp; levers'!$C$14="Off",Constants!$H75*'Activity data'!AQ17*Constants!$H93*FracLEACHMM*MMLeachEF*NtoN2O*kgtoGg,IF('Net zero activities &amp; levers'!$C$14="On",Constants!$H75*'Net zero Activity data'!AQ17*Constants!$H93*FracLEACHMM*MMLeachEF*NtoN2O*kgtoGg,"ERROR"))</f>
        <v>2.3596433352388039E-2</v>
      </c>
      <c r="Y1213" s="101">
        <f>IF('Net zero activities &amp; levers'!$C$14="Off",Constants!$H75*'Activity data'!AR17*Constants!$H93*FracLEACHMM*MMLeachEF*NtoN2O*kgtoGg,IF('Net zero activities &amp; levers'!$C$14="On",Constants!$H75*'Net zero Activity data'!AR17*Constants!$H93*FracLEACHMM*MMLeachEF*NtoN2O*kgtoGg,"ERROR"))</f>
        <v>2.4199581539759433E-2</v>
      </c>
      <c r="Z1213" s="101">
        <f>IF('Net zero activities &amp; levers'!$C$14="Off",Constants!$H75*'Activity data'!AS17*Constants!$H93*FracLEACHMM*MMLeachEF*NtoN2O*kgtoGg,IF('Net zero activities &amp; levers'!$C$14="On",Constants!$H75*'Net zero Activity data'!AS17*Constants!$H93*FracLEACHMM*MMLeachEF*NtoN2O*kgtoGg,"ERROR"))</f>
        <v>2.4863511964580202E-2</v>
      </c>
      <c r="AA1213" s="101">
        <f>IF('Net zero activities &amp; levers'!$C$14="Off",Constants!$H75*'Activity data'!AT17*Constants!$H93*FracLEACHMM*MMLeachEF*NtoN2O*kgtoGg,IF('Net zero activities &amp; levers'!$C$14="On",Constants!$H75*'Net zero Activity data'!AT17*Constants!$H93*FracLEACHMM*MMLeachEF*NtoN2O*kgtoGg,"ERROR"))</f>
        <v>2.5393205497772544E-2</v>
      </c>
      <c r="AB1213" s="101">
        <f>IF('Net zero activities &amp; levers'!$C$14="Off",Constants!$H75*'Activity data'!AU17*Constants!$H93*FracLEACHMM*MMLeachEF*NtoN2O*kgtoGg,IF('Net zero activities &amp; levers'!$C$14="On",Constants!$H75*'Net zero Activity data'!AU17*Constants!$H93*FracLEACHMM*MMLeachEF*NtoN2O*kgtoGg,"ERROR"))</f>
        <v>2.6042866054343673E-2</v>
      </c>
      <c r="AC1213" s="101">
        <f>IF('Net zero activities &amp; levers'!$C$14="Off",Constants!$H75*'Activity data'!AV17*Constants!$H93*FracLEACHMM*MMLeachEF*NtoN2O*kgtoGg,IF('Net zero activities &amp; levers'!$C$14="On",Constants!$H75*'Net zero Activity data'!AV17*Constants!$H93*FracLEACHMM*MMLeachEF*NtoN2O*kgtoGg,"ERROR"))</f>
        <v>2.6838747714541047E-2</v>
      </c>
      <c r="AD1213" s="101">
        <f>IF('Net zero activities &amp; levers'!$C$14="Off",Constants!$H75*'Activity data'!AW17*Constants!$H93*FracLEACHMM*MMLeachEF*NtoN2O*kgtoGg,IF('Net zero activities &amp; levers'!$C$14="On",Constants!$H75*'Net zero Activity data'!AW17*Constants!$H93*FracLEACHMM*MMLeachEF*NtoN2O*kgtoGg,"ERROR"))</f>
        <v>2.7594261378026022E-2</v>
      </c>
      <c r="AE1213" s="101">
        <f>IF('Net zero activities &amp; levers'!$C$14="Off",Constants!$H75*'Activity data'!AX17*Constants!$H93*FracLEACHMM*MMLeachEF*NtoN2O*kgtoGg,IF('Net zero activities &amp; levers'!$C$14="On",Constants!$H75*'Net zero Activity data'!AX17*Constants!$H93*FracLEACHMM*MMLeachEF*NtoN2O*kgtoGg,"ERROR"))</f>
        <v>2.8380538985104679E-2</v>
      </c>
      <c r="AF1213" s="101">
        <f>IF('Net zero activities &amp; levers'!$C$14="Off",Constants!$H75*'Activity data'!AY17*Constants!$H93*FracLEACHMM*MMLeachEF*NtoN2O*kgtoGg,IF('Net zero activities &amp; levers'!$C$14="On",Constants!$H75*'Net zero Activity data'!AY17*Constants!$H93*FracLEACHMM*MMLeachEF*NtoN2O*kgtoGg,"ERROR"))</f>
        <v>2.9171284543941644E-2</v>
      </c>
      <c r="AG1213" s="101">
        <f>IF('Net zero activities &amp; levers'!$C$14="Off",Constants!$H75*'Activity data'!AZ17*Constants!$H93*FracLEACHMM*MMLeachEF*NtoN2O*kgtoGg,IF('Net zero activities &amp; levers'!$C$14="On",Constants!$H75*'Net zero Activity data'!AZ17*Constants!$H93*FracLEACHMM*MMLeachEF*NtoN2O*kgtoGg,"ERROR"))</f>
        <v>3.0073341205128223E-2</v>
      </c>
      <c r="AH1213" s="101">
        <f>IF('Net zero activities &amp; levers'!$C$14="Off",Constants!$H75*'Activity data'!BA17*Constants!$H93*FracLEACHMM*MMLeachEF*NtoN2O*kgtoGg,IF('Net zero activities &amp; levers'!$C$14="On",Constants!$H75*'Net zero Activity data'!BA17*Constants!$H93*FracLEACHMM*MMLeachEF*NtoN2O*kgtoGg,"ERROR"))</f>
        <v>3.0803948455590213E-2</v>
      </c>
      <c r="AI1213" s="101">
        <f>IF('Net zero activities &amp; levers'!$C$14="Off",Constants!$H75*'Activity data'!BB17*Constants!$H93*FracLEACHMM*MMLeachEF*NtoN2O*kgtoGg,IF('Net zero activities &amp; levers'!$C$14="On",Constants!$H75*'Net zero Activity data'!BB17*Constants!$H93*FracLEACHMM*MMLeachEF*NtoN2O*kgtoGg,"ERROR"))</f>
        <v>3.1586882105351877E-2</v>
      </c>
      <c r="AJ1213" s="101">
        <f>IF('Net zero activities &amp; levers'!$C$14="Off",Constants!$H75*'Activity data'!BC17*Constants!$H93*FracLEACHMM*MMLeachEF*NtoN2O*kgtoGg,IF('Net zero activities &amp; levers'!$C$14="On",Constants!$H75*'Net zero Activity data'!BC17*Constants!$H93*FracLEACHMM*MMLeachEF*NtoN2O*kgtoGg,"ERROR"))</f>
        <v>3.2369806631398594E-2</v>
      </c>
      <c r="AK1213" s="101">
        <f>IF('Net zero activities &amp; levers'!$C$14="Off",Constants!$H75*'Activity data'!BD17*Constants!$H93*FracLEACHMM*MMLeachEF*NtoN2O*kgtoGg,IF('Net zero activities &amp; levers'!$C$14="On",Constants!$H75*'Net zero Activity data'!BD17*Constants!$H93*FracLEACHMM*MMLeachEF*NtoN2O*kgtoGg,"ERROR"))</f>
        <v>3.3079941774163915E-2</v>
      </c>
      <c r="AL1213" s="101">
        <f>IF('Net zero activities &amp; levers'!$C$14="Off",Constants!$H75*'Activity data'!BE17*Constants!$H93*FracLEACHMM*MMLeachEF*NtoN2O*kgtoGg,IF('Net zero activities &amp; levers'!$C$14="On",Constants!$H75*'Net zero Activity data'!BE17*Constants!$H93*FracLEACHMM*MMLeachEF*NtoN2O*kgtoGg,"ERROR"))</f>
        <v>3.376781007739231E-2</v>
      </c>
      <c r="AM1213" s="101">
        <f>IF('Net zero activities &amp; levers'!$C$14="Off",Constants!$H75*'Activity data'!BF17*Constants!$H93*FracLEACHMM*MMLeachEF*NtoN2O*kgtoGg,IF('Net zero activities &amp; levers'!$C$14="On",Constants!$H75*'Net zero Activity data'!BF17*Constants!$H93*FracLEACHMM*MMLeachEF*NtoN2O*kgtoGg,"ERROR"))</f>
        <v>3.4476953448728496E-2</v>
      </c>
      <c r="AN1213" s="101">
        <f>IF('Net zero activities &amp; levers'!$C$14="Off",Constants!$H75*'Activity data'!BG17*Constants!$H93*FracLEACHMM*MMLeachEF*NtoN2O*kgtoGg,IF('Net zero activities &amp; levers'!$C$14="On",Constants!$H75*'Net zero Activity data'!BG17*Constants!$H93*FracLEACHMM*MMLeachEF*NtoN2O*kgtoGg,"ERROR"))</f>
        <v>3.5226709815018499E-2</v>
      </c>
      <c r="AO1213" s="101">
        <f>IF('Net zero activities &amp; levers'!$C$14="Off",Constants!$H75*'Activity data'!BH17*Constants!$H93*FracLEACHMM*MMLeachEF*NtoN2O*kgtoGg,IF('Net zero activities &amp; levers'!$C$14="On",Constants!$H75*'Net zero Activity data'!BH17*Constants!$H93*FracLEACHMM*MMLeachEF*NtoN2O*kgtoGg,"ERROR"))</f>
        <v>3.5885335888343903E-2</v>
      </c>
      <c r="AP1213" s="101">
        <f>IF('Net zero activities &amp; levers'!$C$14="Off",Constants!$H75*'Activity data'!BI17*Constants!$H93*FracLEACHMM*MMLeachEF*NtoN2O*kgtoGg,IF('Net zero activities &amp; levers'!$C$14="On",Constants!$H75*'Net zero Activity data'!BI17*Constants!$H93*FracLEACHMM*MMLeachEF*NtoN2O*kgtoGg,"ERROR"))</f>
        <v>3.6539004973048822E-2</v>
      </c>
      <c r="AQ1213" s="101">
        <f>IF('Net zero activities &amp; levers'!$C$14="Off",Constants!$H75*'Activity data'!BJ17*Constants!$H93*FracLEACHMM*MMLeachEF*NtoN2O*kgtoGg,IF('Net zero activities &amp; levers'!$C$14="On",Constants!$H75*'Net zero Activity data'!BJ17*Constants!$H93*FracLEACHMM*MMLeachEF*NtoN2O*kgtoGg,"ERROR"))</f>
        <v>3.7189465932121774E-2</v>
      </c>
      <c r="AR1213" s="101">
        <f>IF('Net zero activities &amp; levers'!$C$14="Off",Constants!$H75*'Activity data'!BK17*Constants!$H93*FracLEACHMM*MMLeachEF*NtoN2O*kgtoGg,IF('Net zero activities &amp; levers'!$C$14="On",Constants!$H75*'Net zero Activity data'!BK17*Constants!$H93*FracLEACHMM*MMLeachEF*NtoN2O*kgtoGg,"ERROR"))</f>
        <v>3.7894467111176056E-2</v>
      </c>
      <c r="AS1213" s="101">
        <f>IF('Net zero activities &amp; levers'!$C$14="Off",Constants!$H75*'Activity data'!BL17*Constants!$H93*FracLEACHMM*MMLeachEF*NtoN2O*kgtoGg,IF('Net zero activities &amp; levers'!$C$14="On",Constants!$H75*'Net zero Activity data'!BL17*Constants!$H93*FracLEACHMM*MMLeachEF*NtoN2O*kgtoGg,"ERROR"))</f>
        <v>3.860960670639671E-2</v>
      </c>
      <c r="AT1213" s="101">
        <f>IF('Net zero activities &amp; levers'!$C$14="Off",Constants!$H75*'Activity data'!BM17*Constants!$H93*FracLEACHMM*MMLeachEF*NtoN2O*kgtoGg,IF('Net zero activities &amp; levers'!$C$14="On",Constants!$H75*'Net zero Activity data'!BM17*Constants!$H93*FracLEACHMM*MMLeachEF*NtoN2O*kgtoGg,"ERROR"))</f>
        <v>3.8773814100522025E-2</v>
      </c>
      <c r="AU1213" s="101">
        <f>IF('Net zero activities &amp; levers'!$C$14="Off",Constants!$H75*'Activity data'!BN17*Constants!$H93*FracLEACHMM*MMLeachEF*NtoN2O*kgtoGg,IF('Net zero activities &amp; levers'!$C$14="On",Constants!$H75*'Net zero Activity data'!BN17*Constants!$H93*FracLEACHMM*MMLeachEF*NtoN2O*kgtoGg,"ERROR"))</f>
        <v>3.8891751629106179E-2</v>
      </c>
      <c r="AV1213" s="101">
        <f>IF('Net zero activities &amp; levers'!$C$14="Off",Constants!$H75*'Activity data'!BO17*Constants!$H93*FracLEACHMM*MMLeachEF*NtoN2O*kgtoGg,IF('Net zero activities &amp; levers'!$C$14="On",Constants!$H75*'Net zero Activity data'!BO17*Constants!$H93*FracLEACHMM*MMLeachEF*NtoN2O*kgtoGg,"ERROR"))</f>
        <v>3.9070722335751047E-2</v>
      </c>
      <c r="AW1213" s="101">
        <f>IF('Net zero activities &amp; levers'!$C$14="Off",Constants!$H75*'Activity data'!BP17*Constants!$H93*FracLEACHMM*MMLeachEF*NtoN2O*kgtoGg,IF('Net zero activities &amp; levers'!$C$14="On",Constants!$H75*'Net zero Activity data'!BP17*Constants!$H93*FracLEACHMM*MMLeachEF*NtoN2O*kgtoGg,"ERROR"))</f>
        <v>3.9209574482519889E-2</v>
      </c>
      <c r="AY1213" s="85"/>
    </row>
    <row r="1214" spans="1:51" x14ac:dyDescent="0.25">
      <c r="A1214" s="102" t="str">
        <f t="shared" si="380"/>
        <v>CM MM Leaching</v>
      </c>
      <c r="B1214" s="102" t="s">
        <v>1323</v>
      </c>
      <c r="C1214" s="102" t="s">
        <v>1334</v>
      </c>
      <c r="D1214" t="s">
        <v>369</v>
      </c>
      <c r="E1214" t="s">
        <v>64</v>
      </c>
      <c r="F1214" t="s">
        <v>63</v>
      </c>
      <c r="G1214" t="s">
        <v>1179</v>
      </c>
      <c r="H1214" t="s">
        <v>1320</v>
      </c>
      <c r="I1214" t="s">
        <v>139</v>
      </c>
      <c r="J1214" t="s">
        <v>287</v>
      </c>
      <c r="K1214" s="101">
        <f>IF('Net zero activities &amp; levers'!$C$14="Off",Constants!$H76*'Activity data'!AD18*Constants!$H94*FracLEACHMM*MMLeachEF*NtoN2O*kgtoGg,IF('Net zero activities &amp; levers'!$C$14="On",Constants!$H76*'Net zero Activity data'!AD18*Constants!$H94*FracLEACHMM*MMLeachEF*NtoN2O*kgtoGg,"ERROR"))</f>
        <v>4.0326044819915296E-3</v>
      </c>
      <c r="L1214" s="101">
        <f>IF('Net zero activities &amp; levers'!$C$14="Off",Constants!$H76*'Activity data'!AE18*Constants!$H94*FracLEACHMM*MMLeachEF*NtoN2O*kgtoGg,IF('Net zero activities &amp; levers'!$C$14="On",Constants!$H76*'Net zero Activity data'!AE18*Constants!$H94*FracLEACHMM*MMLeachEF*NtoN2O*kgtoGg,"ERROR"))</f>
        <v>4.0254773213757008E-3</v>
      </c>
      <c r="M1214" s="101">
        <f>IF('Net zero activities &amp; levers'!$C$14="Off",Constants!$H76*'Activity data'!AF18*Constants!$H94*FracLEACHMM*MMLeachEF*NtoN2O*kgtoGg,IF('Net zero activities &amp; levers'!$C$14="On",Constants!$H76*'Net zero Activity data'!AF18*Constants!$H94*FracLEACHMM*MMLeachEF*NtoN2O*kgtoGg,"ERROR"))</f>
        <v>4.0028922873735296E-3</v>
      </c>
      <c r="N1214" s="101">
        <f>IF('Net zero activities &amp; levers'!$C$14="Off",Constants!$H76*'Activity data'!AG18*Constants!$H94*FracLEACHMM*MMLeachEF*NtoN2O*kgtoGg,IF('Net zero activities &amp; levers'!$C$14="On",Constants!$H76*'Net zero Activity data'!AG18*Constants!$H94*FracLEACHMM*MMLeachEF*NtoN2O*kgtoGg,"ERROR"))</f>
        <v>3.9145633507316107E-3</v>
      </c>
      <c r="O1214" s="101">
        <f>IF('Net zero activities &amp; levers'!$C$14="Off",Constants!$H76*'Activity data'!AH18*Constants!$H94*FracLEACHMM*MMLeachEF*NtoN2O*kgtoGg,IF('Net zero activities &amp; levers'!$C$14="On",Constants!$H76*'Net zero Activity data'!AH18*Constants!$H94*FracLEACHMM*MMLeachEF*NtoN2O*kgtoGg,"ERROR"))</f>
        <v>3.8310340628686856E-3</v>
      </c>
      <c r="P1214" s="101">
        <f>IF('Net zero activities &amp; levers'!$C$14="Off",Constants!$H76*'Activity data'!AI18*Constants!$H94*FracLEACHMM*MMLeachEF*NtoN2O*kgtoGg,IF('Net zero activities &amp; levers'!$C$14="On",Constants!$H76*'Net zero Activity data'!AI18*Constants!$H94*FracLEACHMM*MMLeachEF*NtoN2O*kgtoGg,"ERROR"))</f>
        <v>3.8175522579425875E-3</v>
      </c>
      <c r="Q1214" s="101">
        <f>IF('Net zero activities &amp; levers'!$C$14="Off",Constants!$H76*'Activity data'!AJ18*Constants!$H94*FracLEACHMM*MMLeachEF*NtoN2O*kgtoGg,IF('Net zero activities &amp; levers'!$C$14="On",Constants!$H76*'Net zero Activity data'!AJ18*Constants!$H94*FracLEACHMM*MMLeachEF*NtoN2O*kgtoGg,"ERROR"))</f>
        <v>3.7848249754115887E-3</v>
      </c>
      <c r="R1214" s="101">
        <f>IF('Net zero activities &amp; levers'!$C$14="Off",Constants!$H76*'Activity data'!AK18*Constants!$H94*FracLEACHMM*MMLeachEF*NtoN2O*kgtoGg,IF('Net zero activities &amp; levers'!$C$14="On",Constants!$H76*'Net zero Activity data'!AK18*Constants!$H94*FracLEACHMM*MMLeachEF*NtoN2O*kgtoGg,"ERROR"))</f>
        <v>3.6840271828387553E-3</v>
      </c>
      <c r="S1214" s="101">
        <f>IF('Net zero activities &amp; levers'!$C$14="Off",Constants!$H76*'Activity data'!AL18*Constants!$H94*FracLEACHMM*MMLeachEF*NtoN2O*kgtoGg,IF('Net zero activities &amp; levers'!$C$14="On",Constants!$H76*'Net zero Activity data'!AL18*Constants!$H94*FracLEACHMM*MMLeachEF*NtoN2O*kgtoGg,"ERROR"))</f>
        <v>3.2859817937353586E-3</v>
      </c>
      <c r="T1214" s="101">
        <f>IF('Net zero activities &amp; levers'!$C$14="Off",Constants!$H76*'Activity data'!AM18*Constants!$H94*FracLEACHMM*MMLeachEF*NtoN2O*kgtoGg,IF('Net zero activities &amp; levers'!$C$14="On",Constants!$H76*'Net zero Activity data'!AM18*Constants!$H94*FracLEACHMM*MMLeachEF*NtoN2O*kgtoGg,"ERROR"))</f>
        <v>3.355993941499707E-3</v>
      </c>
      <c r="U1214" s="101">
        <f>IF('Net zero activities &amp; levers'!$C$14="Off",Constants!$H76*'Activity data'!AN18*Constants!$H94*FracLEACHMM*MMLeachEF*NtoN2O*kgtoGg,IF('Net zero activities &amp; levers'!$C$14="On",Constants!$H76*'Net zero Activity data'!AN18*Constants!$H94*FracLEACHMM*MMLeachEF*NtoN2O*kgtoGg,"ERROR"))</f>
        <v>3.3878580537385016E-3</v>
      </c>
      <c r="V1214" s="101">
        <f>IF('Net zero activities &amp; levers'!$C$14="Off",Constants!$H76*'Activity data'!AO18*Constants!$H94*FracLEACHMM*MMLeachEF*NtoN2O*kgtoGg,IF('Net zero activities &amp; levers'!$C$14="On",Constants!$H76*'Net zero Activity data'!AO18*Constants!$H94*FracLEACHMM*MMLeachEF*NtoN2O*kgtoGg,"ERROR"))</f>
        <v>3.4108713093444903E-3</v>
      </c>
      <c r="W1214" s="101">
        <f>IF('Net zero activities &amp; levers'!$C$14="Off",Constants!$H76*'Activity data'!AP18*Constants!$H94*FracLEACHMM*MMLeachEF*NtoN2O*kgtoGg,IF('Net zero activities &amp; levers'!$C$14="On",Constants!$H76*'Net zero Activity data'!AP18*Constants!$H94*FracLEACHMM*MMLeachEF*NtoN2O*kgtoGg,"ERROR"))</f>
        <v>3.4465536663808218E-3</v>
      </c>
      <c r="X1214" s="101">
        <f>IF('Net zero activities &amp; levers'!$C$14="Off",Constants!$H76*'Activity data'!AQ18*Constants!$H94*FracLEACHMM*MMLeachEF*NtoN2O*kgtoGg,IF('Net zero activities &amp; levers'!$C$14="On",Constants!$H76*'Net zero Activity data'!AQ18*Constants!$H94*FracLEACHMM*MMLeachEF*NtoN2O*kgtoGg,"ERROR"))</f>
        <v>3.5266031943843798E-3</v>
      </c>
      <c r="Y1214" s="101">
        <f>IF('Net zero activities &amp; levers'!$C$14="Off",Constants!$H76*'Activity data'!AR18*Constants!$H94*FracLEACHMM*MMLeachEF*NtoN2O*kgtoGg,IF('Net zero activities &amp; levers'!$C$14="On",Constants!$H76*'Net zero Activity data'!AR18*Constants!$H94*FracLEACHMM*MMLeachEF*NtoN2O*kgtoGg,"ERROR"))</f>
        <v>3.6167466619375327E-3</v>
      </c>
      <c r="Z1214" s="101">
        <f>IF('Net zero activities &amp; levers'!$C$14="Off",Constants!$H76*'Activity data'!AS18*Constants!$H94*FracLEACHMM*MMLeachEF*NtoN2O*kgtoGg,IF('Net zero activities &amp; levers'!$C$14="On",Constants!$H76*'Net zero Activity data'!AS18*Constants!$H94*FracLEACHMM*MMLeachEF*NtoN2O*kgtoGg,"ERROR"))</f>
        <v>3.7159743342749249E-3</v>
      </c>
      <c r="AA1214" s="101">
        <f>IF('Net zero activities &amp; levers'!$C$14="Off",Constants!$H76*'Activity data'!AT18*Constants!$H94*FracLEACHMM*MMLeachEF*NtoN2O*kgtoGg,IF('Net zero activities &amp; levers'!$C$14="On",Constants!$H76*'Net zero Activity data'!AT18*Constants!$H94*FracLEACHMM*MMLeachEF*NtoN2O*kgtoGg,"ERROR"))</f>
        <v>3.7951396419425697E-3</v>
      </c>
      <c r="AB1214" s="101">
        <f>IF('Net zero activities &amp; levers'!$C$14="Off",Constants!$H76*'Activity data'!AU18*Constants!$H94*FracLEACHMM*MMLeachEF*NtoN2O*kgtoGg,IF('Net zero activities &amp; levers'!$C$14="On",Constants!$H76*'Net zero Activity data'!AU18*Constants!$H94*FracLEACHMM*MMLeachEF*NtoN2O*kgtoGg,"ERROR"))</f>
        <v>3.8922346121804084E-3</v>
      </c>
      <c r="AC1214" s="101">
        <f>IF('Net zero activities &amp; levers'!$C$14="Off",Constants!$H76*'Activity data'!AV18*Constants!$H94*FracLEACHMM*MMLeachEF*NtoN2O*kgtoGg,IF('Net zero activities &amp; levers'!$C$14="On",Constants!$H76*'Net zero Activity data'!AV18*Constants!$H94*FracLEACHMM*MMLeachEF*NtoN2O*kgtoGg,"ERROR"))</f>
        <v>4.0111830466021715E-3</v>
      </c>
      <c r="AD1214" s="101">
        <f>IF('Net zero activities &amp; levers'!$C$14="Off",Constants!$H76*'Activity data'!AW18*Constants!$H94*FracLEACHMM*MMLeachEF*NtoN2O*kgtoGg,IF('Net zero activities &amp; levers'!$C$14="On",Constants!$H76*'Net zero Activity data'!AW18*Constants!$H94*FracLEACHMM*MMLeachEF*NtoN2O*kgtoGg,"ERROR"))</f>
        <v>4.1240982850730516E-3</v>
      </c>
      <c r="AE1214" s="101">
        <f>IF('Net zero activities &amp; levers'!$C$14="Off",Constants!$H76*'Activity data'!AX18*Constants!$H94*FracLEACHMM*MMLeachEF*NtoN2O*kgtoGg,IF('Net zero activities &amp; levers'!$C$14="On",Constants!$H76*'Net zero Activity data'!AX18*Constants!$H94*FracLEACHMM*MMLeachEF*NtoN2O*kgtoGg,"ERROR"))</f>
        <v>4.2416113464491638E-3</v>
      </c>
      <c r="AF1214" s="101">
        <f>IF('Net zero activities &amp; levers'!$C$14="Off",Constants!$H76*'Activity data'!AY18*Constants!$H94*FracLEACHMM*MMLeachEF*NtoN2O*kgtoGg,IF('Net zero activities &amp; levers'!$C$14="On",Constants!$H76*'Net zero Activity data'!AY18*Constants!$H94*FracLEACHMM*MMLeachEF*NtoN2O*kgtoGg,"ERROR"))</f>
        <v>4.3597921652235184E-3</v>
      </c>
      <c r="AG1214" s="101">
        <f>IF('Net zero activities &amp; levers'!$C$14="Off",Constants!$H76*'Activity data'!AZ18*Constants!$H94*FracLEACHMM*MMLeachEF*NtoN2O*kgtoGg,IF('Net zero activities &amp; levers'!$C$14="On",Constants!$H76*'Net zero Activity data'!AZ18*Constants!$H94*FracLEACHMM*MMLeachEF*NtoN2O*kgtoGg,"ERROR"))</f>
        <v>4.4946089765334511E-3</v>
      </c>
      <c r="AH1214" s="101">
        <f>IF('Net zero activities &amp; levers'!$C$14="Off",Constants!$H76*'Activity data'!BA18*Constants!$H94*FracLEACHMM*MMLeachEF*NtoN2O*kgtoGg,IF('Net zero activities &amp; levers'!$C$14="On",Constants!$H76*'Net zero Activity data'!BA18*Constants!$H94*FracLEACHMM*MMLeachEF*NtoN2O*kgtoGg,"ERROR"))</f>
        <v>4.6038018288955592E-3</v>
      </c>
      <c r="AI1214" s="101">
        <f>IF('Net zero activities &amp; levers'!$C$14="Off",Constants!$H76*'Activity data'!BB18*Constants!$H94*FracLEACHMM*MMLeachEF*NtoN2O*kgtoGg,IF('Net zero activities &amp; levers'!$C$14="On",Constants!$H76*'Net zero Activity data'!BB18*Constants!$H94*FracLEACHMM*MMLeachEF*NtoN2O*kgtoGg,"ERROR"))</f>
        <v>4.720815119379186E-3</v>
      </c>
      <c r="AJ1214" s="101">
        <f>IF('Net zero activities &amp; levers'!$C$14="Off",Constants!$H76*'Activity data'!BC18*Constants!$H94*FracLEACHMM*MMLeachEF*NtoN2O*kgtoGg,IF('Net zero activities &amp; levers'!$C$14="On",Constants!$H76*'Net zero Activity data'!BC18*Constants!$H94*FracLEACHMM*MMLeachEF*NtoN2O*kgtoGg,"ERROR"))</f>
        <v>4.8378270462786721E-3</v>
      </c>
      <c r="AK1214" s="101">
        <f>IF('Net zero activities &amp; levers'!$C$14="Off",Constants!$H76*'Activity data'!BD18*Constants!$H94*FracLEACHMM*MMLeachEF*NtoN2O*kgtoGg,IF('Net zero activities &amp; levers'!$C$14="On",Constants!$H76*'Net zero Activity data'!BD18*Constants!$H94*FracLEACHMM*MMLeachEF*NtoN2O*kgtoGg,"ERROR"))</f>
        <v>4.943960241305256E-3</v>
      </c>
      <c r="AL1214" s="101">
        <f>IF('Net zero activities &amp; levers'!$C$14="Off",Constants!$H76*'Activity data'!BE18*Constants!$H94*FracLEACHMM*MMLeachEF*NtoN2O*kgtoGg,IF('Net zero activities &amp; levers'!$C$14="On",Constants!$H76*'Net zero Activity data'!BE18*Constants!$H94*FracLEACHMM*MMLeachEF*NtoN2O*kgtoGg,"ERROR"))</f>
        <v>5.0467655474824083E-3</v>
      </c>
      <c r="AM1214" s="101">
        <f>IF('Net zero activities &amp; levers'!$C$14="Off",Constants!$H76*'Activity data'!BF18*Constants!$H94*FracLEACHMM*MMLeachEF*NtoN2O*kgtoGg,IF('Net zero activities &amp; levers'!$C$14="On",Constants!$H76*'Net zero Activity data'!BF18*Constants!$H94*FracLEACHMM*MMLeachEF*NtoN2O*kgtoGg,"ERROR"))</f>
        <v>5.1527505173836986E-3</v>
      </c>
      <c r="AN1214" s="101">
        <f>IF('Net zero activities &amp; levers'!$C$14="Off",Constants!$H76*'Activity data'!BG18*Constants!$H94*FracLEACHMM*MMLeachEF*NtoN2O*kgtoGg,IF('Net zero activities &amp; levers'!$C$14="On",Constants!$H76*'Net zero Activity data'!BG18*Constants!$H94*FracLEACHMM*MMLeachEF*NtoN2O*kgtoGg,"ERROR"))</f>
        <v>5.2648052994298516E-3</v>
      </c>
      <c r="AO1214" s="101">
        <f>IF('Net zero activities &amp; levers'!$C$14="Off",Constants!$H76*'Activity data'!BH18*Constants!$H94*FracLEACHMM*MMLeachEF*NtoN2O*kgtoGg,IF('Net zero activities &amp; levers'!$C$14="On",Constants!$H76*'Net zero Activity data'!BH18*Constants!$H94*FracLEACHMM*MMLeachEF*NtoN2O*kgtoGg,"ERROR"))</f>
        <v>5.3632402103084113E-3</v>
      </c>
      <c r="AP1214" s="101">
        <f>IF('Net zero activities &amp; levers'!$C$14="Off",Constants!$H76*'Activity data'!BI18*Constants!$H94*FracLEACHMM*MMLeachEF*NtoN2O*kgtoGg,IF('Net zero activities &amp; levers'!$C$14="On",Constants!$H76*'Net zero Activity data'!BI18*Constants!$H94*FracLEACHMM*MMLeachEF*NtoN2O*kgtoGg,"ERROR"))</f>
        <v>5.4609342748208091E-3</v>
      </c>
      <c r="AQ1214" s="101">
        <f>IF('Net zero activities &amp; levers'!$C$14="Off",Constants!$H76*'Activity data'!BJ18*Constants!$H94*FracLEACHMM*MMLeachEF*NtoN2O*kgtoGg,IF('Net zero activities &amp; levers'!$C$14="On",Constants!$H76*'Net zero Activity data'!BJ18*Constants!$H94*FracLEACHMM*MMLeachEF*NtoN2O*kgtoGg,"ERROR"))</f>
        <v>5.55814886915512E-3</v>
      </c>
      <c r="AR1214" s="101">
        <f>IF('Net zero activities &amp; levers'!$C$14="Off",Constants!$H76*'Activity data'!BK18*Constants!$H94*FracLEACHMM*MMLeachEF*NtoN2O*kgtoGg,IF('Net zero activities &amp; levers'!$C$14="On",Constants!$H76*'Net zero Activity data'!BK18*Constants!$H94*FracLEACHMM*MMLeachEF*NtoN2O*kgtoGg,"ERROR"))</f>
        <v>5.6635147680165233E-3</v>
      </c>
      <c r="AS1214" s="101">
        <f>IF('Net zero activities &amp; levers'!$C$14="Off",Constants!$H76*'Activity data'!BL18*Constants!$H94*FracLEACHMM*MMLeachEF*NtoN2O*kgtoGg,IF('Net zero activities &amp; levers'!$C$14="On",Constants!$H76*'Net zero Activity data'!BL18*Constants!$H94*FracLEACHMM*MMLeachEF*NtoN2O*kgtoGg,"ERROR"))</f>
        <v>5.7703959031131843E-3</v>
      </c>
      <c r="AT1214" s="101">
        <f>IF('Net zero activities &amp; levers'!$C$14="Off",Constants!$H76*'Activity data'!BM18*Constants!$H94*FracLEACHMM*MMLeachEF*NtoN2O*kgtoGg,IF('Net zero activities &amp; levers'!$C$14="On",Constants!$H76*'Net zero Activity data'!BM18*Constants!$H94*FracLEACHMM*MMLeachEF*NtoN2O*kgtoGg,"ERROR"))</f>
        <v>5.7949375070079617E-3</v>
      </c>
      <c r="AU1214" s="101">
        <f>IF('Net zero activities &amp; levers'!$C$14="Off",Constants!$H76*'Activity data'!BN18*Constants!$H94*FracLEACHMM*MMLeachEF*NtoN2O*kgtoGg,IF('Net zero activities &amp; levers'!$C$14="On",Constants!$H76*'Net zero Activity data'!BN18*Constants!$H94*FracLEACHMM*MMLeachEF*NtoN2O*kgtoGg,"ERROR"))</f>
        <v>5.8125638515843393E-3</v>
      </c>
      <c r="AV1214" s="101">
        <f>IF('Net zero activities &amp; levers'!$C$14="Off",Constants!$H76*'Activity data'!BO18*Constants!$H94*FracLEACHMM*MMLeachEF*NtoN2O*kgtoGg,IF('Net zero activities &amp; levers'!$C$14="On",Constants!$H76*'Net zero Activity data'!BO18*Constants!$H94*FracLEACHMM*MMLeachEF*NtoN2O*kgtoGg,"ERROR"))</f>
        <v>5.8393119052553878E-3</v>
      </c>
      <c r="AW1214" s="101">
        <f>IF('Net zero activities &amp; levers'!$C$14="Off",Constants!$H76*'Activity data'!BP18*Constants!$H94*FracLEACHMM*MMLeachEF*NtoN2O*kgtoGg,IF('Net zero activities &amp; levers'!$C$14="On",Constants!$H76*'Net zero Activity data'!BP18*Constants!$H94*FracLEACHMM*MMLeachEF*NtoN2O*kgtoGg,"ERROR"))</f>
        <v>5.8600640425394137E-3</v>
      </c>
      <c r="AY1214" s="85"/>
    </row>
    <row r="1215" spans="1:51" x14ac:dyDescent="0.25">
      <c r="A1215" s="102" t="str">
        <f t="shared" si="380"/>
        <v>CM MM Leaching</v>
      </c>
      <c r="B1215" s="102" t="s">
        <v>1323</v>
      </c>
      <c r="C1215" s="102" t="s">
        <v>1334</v>
      </c>
      <c r="D1215" t="s">
        <v>369</v>
      </c>
      <c r="E1215" t="s">
        <v>64</v>
      </c>
      <c r="F1215" t="s">
        <v>63</v>
      </c>
      <c r="G1215" t="s">
        <v>1181</v>
      </c>
      <c r="H1215" t="s">
        <v>1321</v>
      </c>
      <c r="I1215" t="s">
        <v>139</v>
      </c>
      <c r="J1215" t="s">
        <v>287</v>
      </c>
      <c r="K1215" s="101">
        <f>IF('Net zero activities &amp; levers'!$C$14="Off",Constants!$H77*'Activity data'!AD19*Constants!$H95*FracLEACHMM*MMLeachEF*NtoN2O*kgtoGg,IF('Net zero activities &amp; levers'!$C$14="On",Constants!$H77*'Net zero Activity data'!AD19*Constants!$H95*FracLEACHMM*MMLeachEF*NtoN2O*kgtoGg,"ERROR"))</f>
        <v>1.677506639935911E-2</v>
      </c>
      <c r="L1215" s="101">
        <f>IF('Net zero activities &amp; levers'!$C$14="Off",Constants!$H77*'Activity data'!AE19*Constants!$H95*FracLEACHMM*MMLeachEF*NtoN2O*kgtoGg,IF('Net zero activities &amp; levers'!$C$14="On",Constants!$H77*'Net zero Activity data'!AE19*Constants!$H95*FracLEACHMM*MMLeachEF*NtoN2O*kgtoGg,"ERROR"))</f>
        <v>1.7152115979727815E-2</v>
      </c>
      <c r="M1215" s="101">
        <f>IF('Net zero activities &amp; levers'!$C$14="Off",Constants!$H77*'Activity data'!AF19*Constants!$H95*FracLEACHMM*MMLeachEF*NtoN2O*kgtoGg,IF('Net zero activities &amp; levers'!$C$14="On",Constants!$H77*'Net zero Activity data'!AF19*Constants!$H95*FracLEACHMM*MMLeachEF*NtoN2O*kgtoGg,"ERROR"))</f>
        <v>1.7493153195060028E-2</v>
      </c>
      <c r="N1215" s="101">
        <f>IF('Net zero activities &amp; levers'!$C$14="Off",Constants!$H77*'Activity data'!AG19*Constants!$H95*FracLEACHMM*MMLeachEF*NtoN2O*kgtoGg,IF('Net zero activities &amp; levers'!$C$14="On",Constants!$H77*'Net zero Activity data'!AG19*Constants!$H95*FracLEACHMM*MMLeachEF*NtoN2O*kgtoGg,"ERROR"))</f>
        <v>1.7669215882921287E-2</v>
      </c>
      <c r="O1215" s="101">
        <f>IF('Net zero activities &amp; levers'!$C$14="Off",Constants!$H77*'Activity data'!AH19*Constants!$H95*FracLEACHMM*MMLeachEF*NtoN2O*kgtoGg,IF('Net zero activities &amp; levers'!$C$14="On",Constants!$H77*'Net zero Activity data'!AH19*Constants!$H95*FracLEACHMM*MMLeachEF*NtoN2O*kgtoGg,"ERROR"))</f>
        <v>1.7850132335738296E-2</v>
      </c>
      <c r="P1215" s="101">
        <f>IF('Net zero activities &amp; levers'!$C$14="Off",Constants!$H77*'Activity data'!AI19*Constants!$H95*FracLEACHMM*MMLeachEF*NtoN2O*kgtoGg,IF('Net zero activities &amp; levers'!$C$14="On",Constants!$H77*'Net zero Activity data'!AI19*Constants!$H95*FracLEACHMM*MMLeachEF*NtoN2O*kgtoGg,"ERROR"))</f>
        <v>1.8210336489694584E-2</v>
      </c>
      <c r="Q1215" s="101">
        <f>IF('Net zero activities &amp; levers'!$C$14="Off",Constants!$H77*'Activity data'!AJ19*Constants!$H95*FracLEACHMM*MMLeachEF*NtoN2O*kgtoGg,IF('Net zero activities &amp; levers'!$C$14="On",Constants!$H77*'Net zero Activity data'!AJ19*Constants!$H95*FracLEACHMM*MMLeachEF*NtoN2O*kgtoGg,"ERROR"))</f>
        <v>1.8518344131387941E-2</v>
      </c>
      <c r="R1215" s="101">
        <f>IF('Net zero activities &amp; levers'!$C$14="Off",Constants!$H77*'Activity data'!AK19*Constants!$H95*FracLEACHMM*MMLeachEF*NtoN2O*kgtoGg,IF('Net zero activities &amp; levers'!$C$14="On",Constants!$H77*'Net zero Activity data'!AK19*Constants!$H95*FracLEACHMM*MMLeachEF*NtoN2O*kgtoGg,"ERROR"))</f>
        <v>1.8635256187528534E-2</v>
      </c>
      <c r="S1215" s="101">
        <f>IF('Net zero activities &amp; levers'!$C$14="Off",Constants!$H77*'Activity data'!AL19*Constants!$H95*FracLEACHMM*MMLeachEF*NtoN2O*kgtoGg,IF('Net zero activities &amp; levers'!$C$14="On",Constants!$H77*'Net zero Activity data'!AL19*Constants!$H95*FracLEACHMM*MMLeachEF*NtoN2O*kgtoGg,"ERROR"))</f>
        <v>1.7895165383905148E-2</v>
      </c>
      <c r="T1215" s="101">
        <f>IF('Net zero activities &amp; levers'!$C$14="Off",Constants!$H77*'Activity data'!AM19*Constants!$H95*FracLEACHMM*MMLeachEF*NtoN2O*kgtoGg,IF('Net zero activities &amp; levers'!$C$14="On",Constants!$H77*'Net zero Activity data'!AM19*Constants!$H95*FracLEACHMM*MMLeachEF*NtoN2O*kgtoGg,"ERROR"))</f>
        <v>1.8427726629999096E-2</v>
      </c>
      <c r="U1215" s="101">
        <f>IF('Net zero activities &amp; levers'!$C$14="Off",Constants!$H77*'Activity data'!AN19*Constants!$H95*FracLEACHMM*MMLeachEF*NtoN2O*kgtoGg,IF('Net zero activities &amp; levers'!$C$14="On",Constants!$H77*'Net zero Activity data'!AN19*Constants!$H95*FracLEACHMM*MMLeachEF*NtoN2O*kgtoGg,"ERROR"))</f>
        <v>1.8858145961209626E-2</v>
      </c>
      <c r="V1215" s="101">
        <f>IF('Net zero activities &amp; levers'!$C$14="Off",Constants!$H77*'Activity data'!AO19*Constants!$H95*FracLEACHMM*MMLeachEF*NtoN2O*kgtoGg,IF('Net zero activities &amp; levers'!$C$14="On",Constants!$H77*'Net zero Activity data'!AO19*Constants!$H95*FracLEACHMM*MMLeachEF*NtoN2O*kgtoGg,"ERROR"))</f>
        <v>1.926831042987312E-2</v>
      </c>
      <c r="W1215" s="101">
        <f>IF('Net zero activities &amp; levers'!$C$14="Off",Constants!$H77*'Activity data'!AP19*Constants!$H95*FracLEACHMM*MMLeachEF*NtoN2O*kgtoGg,IF('Net zero activities &amp; levers'!$C$14="On",Constants!$H77*'Net zero Activity data'!AP19*Constants!$H95*FracLEACHMM*MMLeachEF*NtoN2O*kgtoGg,"ERROR"))</f>
        <v>1.9723750272057364E-2</v>
      </c>
      <c r="X1215" s="101">
        <f>IF('Net zero activities &amp; levers'!$C$14="Off",Constants!$H77*'Activity data'!AQ19*Constants!$H95*FracLEACHMM*MMLeachEF*NtoN2O*kgtoGg,IF('Net zero activities &amp; levers'!$C$14="On",Constants!$H77*'Net zero Activity data'!AQ19*Constants!$H95*FracLEACHMM*MMLeachEF*NtoN2O*kgtoGg,"ERROR"))</f>
        <v>2.0328305344007466E-2</v>
      </c>
      <c r="Y1215" s="101">
        <f>IF('Net zero activities &amp; levers'!$C$14="Off",Constants!$H77*'Activity data'!AR19*Constants!$H95*FracLEACHMM*MMLeachEF*NtoN2O*kgtoGg,IF('Net zero activities &amp; levers'!$C$14="On",Constants!$H77*'Net zero Activity data'!AR19*Constants!$H95*FracLEACHMM*MMLeachEF*NtoN2O*kgtoGg,"ERROR"))</f>
        <v>2.0963275174069075E-2</v>
      </c>
      <c r="Z1215" s="101">
        <f>IF('Net zero activities &amp; levers'!$C$14="Off",Constants!$H77*'Activity data'!AS19*Constants!$H95*FracLEACHMM*MMLeachEF*NtoN2O*kgtoGg,IF('Net zero activities &amp; levers'!$C$14="On",Constants!$H77*'Net zero Activity data'!AS19*Constants!$H95*FracLEACHMM*MMLeachEF*NtoN2O*kgtoGg,"ERROR"))</f>
        <v>2.1643917656498337E-2</v>
      </c>
      <c r="AA1215" s="101">
        <f>IF('Net zero activities &amp; levers'!$C$14="Off",Constants!$H77*'Activity data'!AT19*Constants!$H95*FracLEACHMM*MMLeachEF*NtoN2O*kgtoGg,IF('Net zero activities &amp; levers'!$C$14="On",Constants!$H77*'Net zero Activity data'!AT19*Constants!$H95*FracLEACHMM*MMLeachEF*NtoN2O*kgtoGg,"ERROR"))</f>
        <v>2.2273513405564039E-2</v>
      </c>
      <c r="AB1215" s="101">
        <f>IF('Net zero activities &amp; levers'!$C$14="Off",Constants!$H77*'Activity data'!AU19*Constants!$H95*FracLEACHMM*MMLeachEF*NtoN2O*kgtoGg,IF('Net zero activities &amp; levers'!$C$14="On",Constants!$H77*'Net zero Activity data'!AU19*Constants!$H95*FracLEACHMM*MMLeachEF*NtoN2O*kgtoGg,"ERROR"))</f>
        <v>2.2979861002091512E-2</v>
      </c>
      <c r="AC1215" s="101">
        <f>IF('Net zero activities &amp; levers'!$C$14="Off",Constants!$H77*'Activity data'!AV19*Constants!$H95*FracLEACHMM*MMLeachEF*NtoN2O*kgtoGg,IF('Net zero activities &amp; levers'!$C$14="On",Constants!$H77*'Net zero Activity data'!AV19*Constants!$H95*FracLEACHMM*MMLeachEF*NtoN2O*kgtoGg,"ERROR"))</f>
        <v>2.3781031334877679E-2</v>
      </c>
      <c r="AD1215" s="101">
        <f>IF('Net zero activities &amp; levers'!$C$14="Off",Constants!$H77*'Activity data'!AW19*Constants!$H95*FracLEACHMM*MMLeachEF*NtoN2O*kgtoGg,IF('Net zero activities &amp; levers'!$C$14="On",Constants!$H77*'Net zero Activity data'!AW19*Constants!$H95*FracLEACHMM*MMLeachEF*NtoN2O*kgtoGg,"ERROR"))</f>
        <v>2.4566308074155798E-2</v>
      </c>
      <c r="AE1215" s="101">
        <f>IF('Net zero activities &amp; levers'!$C$14="Off",Constants!$H77*'Activity data'!AX19*Constants!$H95*FracLEACHMM*MMLeachEF*NtoN2O*kgtoGg,IF('Net zero activities &amp; levers'!$C$14="On",Constants!$H77*'Net zero Activity data'!AX19*Constants!$H95*FracLEACHMM*MMLeachEF*NtoN2O*kgtoGg,"ERROR"))</f>
        <v>2.5388751226160661E-2</v>
      </c>
      <c r="AF1215" s="101">
        <f>IF('Net zero activities &amp; levers'!$C$14="Off",Constants!$H77*'Activity data'!AY19*Constants!$H95*FracLEACHMM*MMLeachEF*NtoN2O*kgtoGg,IF('Net zero activities &amp; levers'!$C$14="On",Constants!$H77*'Net zero Activity data'!AY19*Constants!$H95*FracLEACHMM*MMLeachEF*NtoN2O*kgtoGg,"ERROR"))</f>
        <v>2.6235064752699551E-2</v>
      </c>
      <c r="AG1215" s="101">
        <f>IF('Net zero activities &amp; levers'!$C$14="Off",Constants!$H77*'Activity data'!AZ19*Constants!$H95*FracLEACHMM*MMLeachEF*NtoN2O*kgtoGg,IF('Net zero activities &amp; levers'!$C$14="On",Constants!$H77*'Net zero Activity data'!AZ19*Constants!$H95*FracLEACHMM*MMLeachEF*NtoN2O*kgtoGg,"ERROR"))</f>
        <v>2.7167046167926586E-2</v>
      </c>
      <c r="AH1215" s="101">
        <f>IF('Net zero activities &amp; levers'!$C$14="Off",Constants!$H77*'Activity data'!BA19*Constants!$H95*FracLEACHMM*MMLeachEF*NtoN2O*kgtoGg,IF('Net zero activities &amp; levers'!$C$14="On",Constants!$H77*'Net zero Activity data'!BA19*Constants!$H95*FracLEACHMM*MMLeachEF*NtoN2O*kgtoGg,"ERROR"))</f>
        <v>2.8023900018498905E-2</v>
      </c>
      <c r="AI1215" s="101">
        <f>IF('Net zero activities &amp; levers'!$C$14="Off",Constants!$H77*'Activity data'!BB19*Constants!$H95*FracLEACHMM*MMLeachEF*NtoN2O*kgtoGg,IF('Net zero activities &amp; levers'!$C$14="On",Constants!$H77*'Net zero Activity data'!BB19*Constants!$H95*FracLEACHMM*MMLeachEF*NtoN2O*kgtoGg,"ERROR"))</f>
        <v>2.8920322479741228E-2</v>
      </c>
      <c r="AJ1215" s="101">
        <f>IF('Net zero activities &amp; levers'!$C$14="Off",Constants!$H77*'Activity data'!BC19*Constants!$H95*FracLEACHMM*MMLeachEF*NtoN2O*kgtoGg,IF('Net zero activities &amp; levers'!$C$14="On",Constants!$H77*'Net zero Activity data'!BC19*Constants!$H95*FracLEACHMM*MMLeachEF*NtoN2O*kgtoGg,"ERROR"))</f>
        <v>2.9839880128135453E-2</v>
      </c>
      <c r="AK1215" s="101">
        <f>IF('Net zero activities &amp; levers'!$C$14="Off",Constants!$H77*'Activity data'!BD19*Constants!$H95*FracLEACHMM*MMLeachEF*NtoN2O*kgtoGg,IF('Net zero activities &amp; levers'!$C$14="On",Constants!$H77*'Net zero Activity data'!BD19*Constants!$H95*FracLEACHMM*MMLeachEF*NtoN2O*kgtoGg,"ERROR"))</f>
        <v>3.0738135733783801E-2</v>
      </c>
      <c r="AL1215" s="101">
        <f>IF('Net zero activities &amp; levers'!$C$14="Off",Constants!$H77*'Activity data'!BE19*Constants!$H95*FracLEACHMM*MMLeachEF*NtoN2O*kgtoGg,IF('Net zero activities &amp; levers'!$C$14="On",Constants!$H77*'Net zero Activity data'!BE19*Constants!$H95*FracLEACHMM*MMLeachEF*NtoN2O*kgtoGg,"ERROR"))</f>
        <v>3.1644929602760906E-2</v>
      </c>
      <c r="AM1215" s="101">
        <f>IF('Net zero activities &amp; levers'!$C$14="Off",Constants!$H77*'Activity data'!BF19*Constants!$H95*FracLEACHMM*MMLeachEF*NtoN2O*kgtoGg,IF('Net zero activities &amp; levers'!$C$14="On",Constants!$H77*'Net zero Activity data'!BF19*Constants!$H95*FracLEACHMM*MMLeachEF*NtoN2O*kgtoGg,"ERROR"))</f>
        <v>3.2587998047109448E-2</v>
      </c>
      <c r="AN1215" s="101">
        <f>IF('Net zero activities &amp; levers'!$C$14="Off",Constants!$H77*'Activity data'!BG19*Constants!$H95*FracLEACHMM*MMLeachEF*NtoN2O*kgtoGg,IF('Net zero activities &amp; levers'!$C$14="On",Constants!$H77*'Net zero Activity data'!BG19*Constants!$H95*FracLEACHMM*MMLeachEF*NtoN2O*kgtoGg,"ERROR"))</f>
        <v>3.3568837979348017E-2</v>
      </c>
      <c r="AO1215" s="101">
        <f>IF('Net zero activities &amp; levers'!$C$14="Off",Constants!$H77*'Activity data'!BH19*Constants!$H95*FracLEACHMM*MMLeachEF*NtoN2O*kgtoGg,IF('Net zero activities &amp; levers'!$C$14="On",Constants!$H77*'Net zero Activity data'!BH19*Constants!$H95*FracLEACHMM*MMLeachEF*NtoN2O*kgtoGg,"ERROR"))</f>
        <v>3.451409673179362E-2</v>
      </c>
      <c r="AP1215" s="101">
        <f>IF('Net zero activities &amp; levers'!$C$14="Off",Constants!$H77*'Activity data'!BI19*Constants!$H95*FracLEACHMM*MMLeachEF*NtoN2O*kgtoGg,IF('Net zero activities &amp; levers'!$C$14="On",Constants!$H77*'Net zero Activity data'!BI19*Constants!$H95*FracLEACHMM*MMLeachEF*NtoN2O*kgtoGg,"ERROR"))</f>
        <v>3.5479549458814943E-2</v>
      </c>
      <c r="AQ1215" s="101">
        <f>IF('Net zero activities &amp; levers'!$C$14="Off",Constants!$H77*'Activity data'!BJ19*Constants!$H95*FracLEACHMM*MMLeachEF*NtoN2O*kgtoGg,IF('Net zero activities &amp; levers'!$C$14="On",Constants!$H77*'Net zero Activity data'!BJ19*Constants!$H95*FracLEACHMM*MMLeachEF*NtoN2O*kgtoGg,"ERROR"))</f>
        <v>3.6466862450927735E-2</v>
      </c>
      <c r="AR1215" s="101">
        <f>IF('Net zero activities &amp; levers'!$C$14="Off",Constants!$H77*'Activity data'!BK19*Constants!$H95*FracLEACHMM*MMLeachEF*NtoN2O*kgtoGg,IF('Net zero activities &amp; levers'!$C$14="On",Constants!$H77*'Net zero Activity data'!BK19*Constants!$H95*FracLEACHMM*MMLeachEF*NtoN2O*kgtoGg,"ERROR"))</f>
        <v>3.7517290662975496E-2</v>
      </c>
      <c r="AS1215" s="101">
        <f>IF('Net zero activities &amp; levers'!$C$14="Off",Constants!$H77*'Activity data'!BL19*Constants!$H95*FracLEACHMM*MMLeachEF*NtoN2O*kgtoGg,IF('Net zero activities &amp; levers'!$C$14="On",Constants!$H77*'Net zero Activity data'!BL19*Constants!$H95*FracLEACHMM*MMLeachEF*NtoN2O*kgtoGg,"ERROR"))</f>
        <v>3.8588925617873325E-2</v>
      </c>
      <c r="AT1215" s="101">
        <f>IF('Net zero activities &amp; levers'!$C$14="Off",Constants!$H77*'Activity data'!BM19*Constants!$H95*FracLEACHMM*MMLeachEF*NtoN2O*kgtoGg,IF('Net zero activities &amp; levers'!$C$14="On",Constants!$H77*'Net zero Activity data'!BM19*Constants!$H95*FracLEACHMM*MMLeachEF*NtoN2O*kgtoGg,"ERROR"))</f>
        <v>3.9285237958327314E-2</v>
      </c>
      <c r="AU1215" s="101">
        <f>IF('Net zero activities &amp; levers'!$C$14="Off",Constants!$H77*'Activity data'!BN19*Constants!$H95*FracLEACHMM*MMLeachEF*NtoN2O*kgtoGg,IF('Net zero activities &amp; levers'!$C$14="On",Constants!$H77*'Net zero Activity data'!BN19*Constants!$H95*FracLEACHMM*MMLeachEF*NtoN2O*kgtoGg,"ERROR"))</f>
        <v>3.9960567637255945E-2</v>
      </c>
      <c r="AV1215" s="101">
        <f>IF('Net zero activities &amp; levers'!$C$14="Off",Constants!$H77*'Activity data'!BO19*Constants!$H95*FracLEACHMM*MMLeachEF*NtoN2O*kgtoGg,IF('Net zero activities &amp; levers'!$C$14="On",Constants!$H77*'Net zero Activity data'!BO19*Constants!$H95*FracLEACHMM*MMLeachEF*NtoN2O*kgtoGg,"ERROR"))</f>
        <v>4.0694873101077993E-2</v>
      </c>
      <c r="AW1215" s="101">
        <f>IF('Net zero activities &amp; levers'!$C$14="Off",Constants!$H77*'Activity data'!BP19*Constants!$H95*FracLEACHMM*MMLeachEF*NtoN2O*kgtoGg,IF('Net zero activities &amp; levers'!$C$14="On",Constants!$H77*'Net zero Activity data'!BP19*Constants!$H95*FracLEACHMM*MMLeachEF*NtoN2O*kgtoGg,"ERROR"))</f>
        <v>4.1412967601087917E-2</v>
      </c>
      <c r="AY1215" s="85"/>
    </row>
    <row r="1216" spans="1:51" x14ac:dyDescent="0.25">
      <c r="A1216" s="102" t="str">
        <f t="shared" si="380"/>
        <v>CM MM Leaching</v>
      </c>
      <c r="B1216" s="102" t="s">
        <v>1323</v>
      </c>
      <c r="C1216" s="102" t="s">
        <v>1334</v>
      </c>
      <c r="D1216" t="s">
        <v>369</v>
      </c>
      <c r="E1216" t="s">
        <v>64</v>
      </c>
      <c r="F1216" t="s">
        <v>63</v>
      </c>
      <c r="G1216" t="s">
        <v>1183</v>
      </c>
      <c r="H1216" t="s">
        <v>1322</v>
      </c>
      <c r="I1216" t="s">
        <v>139</v>
      </c>
      <c r="J1216" t="s">
        <v>287</v>
      </c>
      <c r="K1216" s="101">
        <f>IF('Net zero activities &amp; levers'!$C$14="Off",Constants!$H78*'Activity data'!AD20*Constants!$H96*FracLEACHMM*MMLeachEF*NtoN2O*kgtoGg,IF('Net zero activities &amp; levers'!$C$14="On",Constants!$H78*'Net zero Activity data'!AD20*Constants!$H96*FracLEACHMM*MMLeachEF*NtoN2O*kgtoGg,"ERROR"))</f>
        <v>7.810393177711944E-2</v>
      </c>
      <c r="L1216" s="101">
        <f>IF('Net zero activities &amp; levers'!$C$14="Off",Constants!$H78*'Activity data'!AE20*Constants!$H96*FracLEACHMM*MMLeachEF*NtoN2O*kgtoGg,IF('Net zero activities &amp; levers'!$C$14="On",Constants!$H78*'Net zero Activity data'!AE20*Constants!$H96*FracLEACHMM*MMLeachEF*NtoN2O*kgtoGg,"ERROR"))</f>
        <v>7.9553535638078737E-2</v>
      </c>
      <c r="M1216" s="101">
        <f>IF('Net zero activities &amp; levers'!$C$14="Off",Constants!$H78*'Activity data'!AF20*Constants!$H96*FracLEACHMM*MMLeachEF*NtoN2O*kgtoGg,IF('Net zero activities &amp; levers'!$C$14="On",Constants!$H78*'Net zero Activity data'!AF20*Constants!$H96*FracLEACHMM*MMLeachEF*NtoN2O*kgtoGg,"ERROR"))</f>
        <v>8.0502978601734096E-2</v>
      </c>
      <c r="N1216" s="101">
        <f>IF('Net zero activities &amp; levers'!$C$14="Off",Constants!$H78*'Activity data'!AG20*Constants!$H96*FracLEACHMM*MMLeachEF*NtoN2O*kgtoGg,IF('Net zero activities &amp; levers'!$C$14="On",Constants!$H78*'Net zero Activity data'!AG20*Constants!$H96*FracLEACHMM*MMLeachEF*NtoN2O*kgtoGg,"ERROR"))</f>
        <v>7.9458702064627351E-2</v>
      </c>
      <c r="O1216" s="101">
        <f>IF('Net zero activities &amp; levers'!$C$14="Off",Constants!$H78*'Activity data'!AH20*Constants!$H96*FracLEACHMM*MMLeachEF*NtoN2O*kgtoGg,IF('Net zero activities &amp; levers'!$C$14="On",Constants!$H78*'Net zero Activity data'!AH20*Constants!$H96*FracLEACHMM*MMLeachEF*NtoN2O*kgtoGg,"ERROR"))</f>
        <v>7.8445966497934463E-2</v>
      </c>
      <c r="P1216" s="101">
        <f>IF('Net zero activities &amp; levers'!$C$14="Off",Constants!$H78*'Activity data'!AI20*Constants!$H96*FracLEACHMM*MMLeachEF*NtoN2O*kgtoGg,IF('Net zero activities &amp; levers'!$C$14="On",Constants!$H78*'Net zero Activity data'!AI20*Constants!$H96*FracLEACHMM*MMLeachEF*NtoN2O*kgtoGg,"ERROR"))</f>
        <v>7.944949741705111E-2</v>
      </c>
      <c r="Q1216" s="101">
        <f>IF('Net zero activities &amp; levers'!$C$14="Off",Constants!$H78*'Activity data'!AJ20*Constants!$H96*FracLEACHMM*MMLeachEF*NtoN2O*kgtoGg,IF('Net zero activities &amp; levers'!$C$14="On",Constants!$H78*'Net zero Activity data'!AJ20*Constants!$H96*FracLEACHMM*MMLeachEF*NtoN2O*kgtoGg,"ERROR"))</f>
        <v>7.9836186366330816E-2</v>
      </c>
      <c r="R1216" s="101">
        <f>IF('Net zero activities &amp; levers'!$C$14="Off",Constants!$H78*'Activity data'!AK20*Constants!$H96*FracLEACHMM*MMLeachEF*NtoN2O*kgtoGg,IF('Net zero activities &amp; levers'!$C$14="On",Constants!$H78*'Net zero Activity data'!AK20*Constants!$H96*FracLEACHMM*MMLeachEF*NtoN2O*kgtoGg,"ERROR"))</f>
        <v>7.8063361522169639E-2</v>
      </c>
      <c r="S1216" s="101">
        <f>IF('Net zero activities &amp; levers'!$C$14="Off",Constants!$H78*'Activity data'!AL20*Constants!$H96*FracLEACHMM*MMLeachEF*NtoN2O*kgtoGg,IF('Net zero activities &amp; levers'!$C$14="On",Constants!$H78*'Net zero Activity data'!AL20*Constants!$H96*FracLEACHMM*MMLeachEF*NtoN2O*kgtoGg,"ERROR"))</f>
        <v>6.6817107477113183E-2</v>
      </c>
      <c r="T1216" s="101">
        <f>IF('Net zero activities &amp; levers'!$C$14="Off",Constants!$H78*'Activity data'!AM20*Constants!$H96*FracLEACHMM*MMLeachEF*NtoN2O*kgtoGg,IF('Net zero activities &amp; levers'!$C$14="On",Constants!$H78*'Net zero Activity data'!AM20*Constants!$H96*FracLEACHMM*MMLeachEF*NtoN2O*kgtoGg,"ERROR"))</f>
        <v>7.0374380949072946E-2</v>
      </c>
      <c r="U1216" s="101">
        <f>IF('Net zero activities &amp; levers'!$C$14="Off",Constants!$H78*'Activity data'!AN20*Constants!$H96*FracLEACHMM*MMLeachEF*NtoN2O*kgtoGg,IF('Net zero activities &amp; levers'!$C$14="On",Constants!$H78*'Net zero Activity data'!AN20*Constants!$H96*FracLEACHMM*MMLeachEF*NtoN2O*kgtoGg,"ERROR"))</f>
        <v>7.2750274050278937E-2</v>
      </c>
      <c r="V1216" s="101">
        <f>IF('Net zero activities &amp; levers'!$C$14="Off",Constants!$H78*'Activity data'!AO20*Constants!$H96*FracLEACHMM*MMLeachEF*NtoN2O*kgtoGg,IF('Net zero activities &amp; levers'!$C$14="On",Constants!$H78*'Net zero Activity data'!AO20*Constants!$H96*FracLEACHMM*MMLeachEF*NtoN2O*kgtoGg,"ERROR"))</f>
        <v>7.4859672271413921E-2</v>
      </c>
      <c r="W1216" s="101">
        <f>IF('Net zero activities &amp; levers'!$C$14="Off",Constants!$H78*'Activity data'!AP20*Constants!$H96*FracLEACHMM*MMLeachEF*NtoN2O*kgtoGg,IF('Net zero activities &amp; levers'!$C$14="On",Constants!$H78*'Net zero Activity data'!AP20*Constants!$H96*FracLEACHMM*MMLeachEF*NtoN2O*kgtoGg,"ERROR"))</f>
        <v>7.7409047999495176E-2</v>
      </c>
      <c r="X1216" s="101">
        <f>IF('Net zero activities &amp; levers'!$C$14="Off",Constants!$H78*'Activity data'!AQ20*Constants!$H96*FracLEACHMM*MMLeachEF*NtoN2O*kgtoGg,IF('Net zero activities &amp; levers'!$C$14="On",Constants!$H78*'Net zero Activity data'!AQ20*Constants!$H96*FracLEACHMM*MMLeachEF*NtoN2O*kgtoGg,"ERROR"))</f>
        <v>8.1485381195009296E-2</v>
      </c>
      <c r="Y1216" s="101">
        <f>IF('Net zero activities &amp; levers'!$C$14="Off",Constants!$H78*'Activity data'!AR20*Constants!$H96*FracLEACHMM*MMLeachEF*NtoN2O*kgtoGg,IF('Net zero activities &amp; levers'!$C$14="On",Constants!$H78*'Net zero Activity data'!AR20*Constants!$H96*FracLEACHMM*MMLeachEF*NtoN2O*kgtoGg,"ERROR"))</f>
        <v>8.6044408002904374E-2</v>
      </c>
      <c r="Z1216" s="101">
        <f>IF('Net zero activities &amp; levers'!$C$14="Off",Constants!$H78*'Activity data'!AS20*Constants!$H96*FracLEACHMM*MMLeachEF*NtoN2O*kgtoGg,IF('Net zero activities &amp; levers'!$C$14="On",Constants!$H78*'Net zero Activity data'!AS20*Constants!$H96*FracLEACHMM*MMLeachEF*NtoN2O*kgtoGg,"ERROR"))</f>
        <v>9.1001721963623813E-2</v>
      </c>
      <c r="AA1216" s="101">
        <f>IF('Net zero activities &amp; levers'!$C$14="Off",Constants!$H78*'Activity data'!AT20*Constants!$H96*FracLEACHMM*MMLeachEF*NtoN2O*kgtoGg,IF('Net zero activities &amp; levers'!$C$14="On",Constants!$H78*'Net zero Activity data'!AT20*Constants!$H96*FracLEACHMM*MMLeachEF*NtoN2O*kgtoGg,"ERROR"))</f>
        <v>9.5350705397096225E-2</v>
      </c>
      <c r="AB1216" s="101">
        <f>IF('Net zero activities &amp; levers'!$C$14="Off",Constants!$H78*'Activity data'!AU20*Constants!$H96*FracLEACHMM*MMLeachEF*NtoN2O*kgtoGg,IF('Net zero activities &amp; levers'!$C$14="On",Constants!$H78*'Net zero Activity data'!AU20*Constants!$H96*FracLEACHMM*MMLeachEF*NtoN2O*kgtoGg,"ERROR"))</f>
        <v>0.10041519906645169</v>
      </c>
      <c r="AC1216" s="101">
        <f>IF('Net zero activities &amp; levers'!$C$14="Off",Constants!$H78*'Activity data'!AV20*Constants!$H96*FracLEACHMM*MMLeachEF*NtoN2O*kgtoGg,IF('Net zero activities &amp; levers'!$C$14="On",Constants!$H78*'Net zero Activity data'!AV20*Constants!$H96*FracLEACHMM*MMLeachEF*NtoN2O*kgtoGg,"ERROR"))</f>
        <v>0.10636319644274764</v>
      </c>
      <c r="AD1216" s="101">
        <f>IF('Net zero activities &amp; levers'!$C$14="Off",Constants!$H78*'Activity data'!AW20*Constants!$H96*FracLEACHMM*MMLeachEF*NtoN2O*kgtoGg,IF('Net zero activities &amp; levers'!$C$14="On",Constants!$H78*'Net zero Activity data'!AW20*Constants!$H96*FracLEACHMM*MMLeachEF*NtoN2O*kgtoGg,"ERROR"))</f>
        <v>0.1122605716621948</v>
      </c>
      <c r="AE1216" s="101">
        <f>IF('Net zero activities &amp; levers'!$C$14="Off",Constants!$H78*'Activity data'!AX20*Constants!$H96*FracLEACHMM*MMLeachEF*NtoN2O*kgtoGg,IF('Net zero activities &amp; levers'!$C$14="On",Constants!$H78*'Net zero Activity data'!AX20*Constants!$H96*FracLEACHMM*MMLeachEF*NtoN2O*kgtoGg,"ERROR"))</f>
        <v>0.11844587620748041</v>
      </c>
      <c r="AF1216" s="101">
        <f>IF('Net zero activities &amp; levers'!$C$14="Off",Constants!$H78*'Activity data'!AY20*Constants!$H96*FracLEACHMM*MMLeachEF*NtoN2O*kgtoGg,IF('Net zero activities &amp; levers'!$C$14="On",Constants!$H78*'Net zero Activity data'!AY20*Constants!$H96*FracLEACHMM*MMLeachEF*NtoN2O*kgtoGg,"ERROR"))</f>
        <v>0.12478194320825496</v>
      </c>
      <c r="AG1216" s="101">
        <f>IF('Net zero activities &amp; levers'!$C$14="Off",Constants!$H78*'Activity data'!AZ20*Constants!$H96*FracLEACHMM*MMLeachEF*NtoN2O*kgtoGg,IF('Net zero activities &amp; levers'!$C$14="On",Constants!$H78*'Net zero Activity data'!AZ20*Constants!$H96*FracLEACHMM*MMLeachEF*NtoN2O*kgtoGg,"ERROR"))</f>
        <v>0.13187691567293003</v>
      </c>
      <c r="AH1216" s="101">
        <f>IF('Net zero activities &amp; levers'!$C$14="Off",Constants!$H78*'Activity data'!BA20*Constants!$H96*FracLEACHMM*MMLeachEF*NtoN2O*kgtoGg,IF('Net zero activities &amp; levers'!$C$14="On",Constants!$H78*'Net zero Activity data'!BA20*Constants!$H96*FracLEACHMM*MMLeachEF*NtoN2O*kgtoGg,"ERROR"))</f>
        <v>0.13813961913514439</v>
      </c>
      <c r="AI1216" s="101">
        <f>IF('Net zero activities &amp; levers'!$C$14="Off",Constants!$H78*'Activity data'!BB20*Constants!$H96*FracLEACHMM*MMLeachEF*NtoN2O*kgtoGg,IF('Net zero activities &amp; levers'!$C$14="On",Constants!$H78*'Net zero Activity data'!BB20*Constants!$H96*FracLEACHMM*MMLeachEF*NtoN2O*kgtoGg,"ERROR"))</f>
        <v>0.14488218717346876</v>
      </c>
      <c r="AJ1216" s="101">
        <f>IF('Net zero activities &amp; levers'!$C$14="Off",Constants!$H78*'Activity data'!BC20*Constants!$H96*FracLEACHMM*MMLeachEF*NtoN2O*kgtoGg,IF('Net zero activities &amp; levers'!$C$14="On",Constants!$H78*'Net zero Activity data'!BC20*Constants!$H96*FracLEACHMM*MMLeachEF*NtoN2O*kgtoGg,"ERROR"))</f>
        <v>0.1517640117355267</v>
      </c>
      <c r="AK1216" s="101">
        <f>IF('Net zero activities &amp; levers'!$C$14="Off",Constants!$H78*'Activity data'!BD20*Constants!$H96*FracLEACHMM*MMLeachEF*NtoN2O*kgtoGg,IF('Net zero activities &amp; levers'!$C$14="On",Constants!$H78*'Net zero Activity data'!BD20*Constants!$H96*FracLEACHMM*MMLeachEF*NtoN2O*kgtoGg,"ERROR"))</f>
        <v>0.15835613082644004</v>
      </c>
      <c r="AL1216" s="101">
        <f>IF('Net zero activities &amp; levers'!$C$14="Off",Constants!$H78*'Activity data'!BE20*Constants!$H96*FracLEACHMM*MMLeachEF*NtoN2O*kgtoGg,IF('Net zero activities &amp; levers'!$C$14="On",Constants!$H78*'Net zero Activity data'!BE20*Constants!$H96*FracLEACHMM*MMLeachEF*NtoN2O*kgtoGg,"ERROR"))</f>
        <v>0.16495011284585995</v>
      </c>
      <c r="AM1216" s="101">
        <f>IF('Net zero activities &amp; levers'!$C$14="Off",Constants!$H78*'Activity data'!BF20*Constants!$H96*FracLEACHMM*MMLeachEF*NtoN2O*kgtoGg,IF('Net zero activities &amp; levers'!$C$14="On",Constants!$H78*'Net zero Activity data'!BF20*Constants!$H96*FracLEACHMM*MMLeachEF*NtoN2O*kgtoGg,"ERROR"))</f>
        <v>0.17181015678453629</v>
      </c>
      <c r="AN1216" s="101">
        <f>IF('Net zero activities &amp; levers'!$C$14="Off",Constants!$H78*'Activity data'!BG20*Constants!$H96*FracLEACHMM*MMLeachEF*NtoN2O*kgtoGg,IF('Net zero activities &amp; levers'!$C$14="On",Constants!$H78*'Net zero Activity data'!BG20*Constants!$H96*FracLEACHMM*MMLeachEF*NtoN2O*kgtoGg,"ERROR"))</f>
        <v>0.17910917339882992</v>
      </c>
      <c r="AO1216" s="101">
        <f>IF('Net zero activities &amp; levers'!$C$14="Off",Constants!$H78*'Activity data'!BH20*Constants!$H96*FracLEACHMM*MMLeachEF*NtoN2O*kgtoGg,IF('Net zero activities &amp; levers'!$C$14="On",Constants!$H78*'Net zero Activity data'!BH20*Constants!$H96*FracLEACHMM*MMLeachEF*NtoN2O*kgtoGg,"ERROR"))</f>
        <v>0.18599224814480281</v>
      </c>
      <c r="AP1216" s="101">
        <f>IF('Net zero activities &amp; levers'!$C$14="Off",Constants!$H78*'Activity data'!BI20*Constants!$H96*FracLEACHMM*MMLeachEF*NtoN2O*kgtoGg,IF('Net zero activities &amp; levers'!$C$14="On",Constants!$H78*'Net zero Activity data'!BI20*Constants!$H96*FracLEACHMM*MMLeachEF*NtoN2O*kgtoGg,"ERROR"))</f>
        <v>0.19298776995517442</v>
      </c>
      <c r="AQ1216" s="101">
        <f>IF('Net zero activities &amp; levers'!$C$14="Off",Constants!$H78*'Activity data'!BJ20*Constants!$H96*FracLEACHMM*MMLeachEF*NtoN2O*kgtoGg,IF('Net zero activities &amp; levers'!$C$14="On",Constants!$H78*'Net zero Activity data'!BJ20*Constants!$H96*FracLEACHMM*MMLeachEF*NtoN2O*kgtoGg,"ERROR"))</f>
        <v>0.20010997250576512</v>
      </c>
      <c r="AR1216" s="101">
        <f>IF('Net zero activities &amp; levers'!$C$14="Off",Constants!$H78*'Activity data'!BK20*Constants!$H96*FracLEACHMM*MMLeachEF*NtoN2O*kgtoGg,IF('Net zero activities &amp; levers'!$C$14="On",Constants!$H78*'Net zero Activity data'!BK20*Constants!$H96*FracLEACHMM*MMLeachEF*NtoN2O*kgtoGg,"ERROR"))</f>
        <v>0.20773775004773445</v>
      </c>
      <c r="AS1216" s="101">
        <f>IF('Net zero activities &amp; levers'!$C$14="Off",Constants!$H78*'Activity data'!BL20*Constants!$H96*FracLEACHMM*MMLeachEF*NtoN2O*kgtoGg,IF('Net zero activities &amp; levers'!$C$14="On",Constants!$H78*'Net zero Activity data'!BL20*Constants!$H96*FracLEACHMM*MMLeachEF*NtoN2O*kgtoGg,"ERROR"))</f>
        <v>0.21564161838336957</v>
      </c>
      <c r="AT1216" s="101">
        <f>IF('Net zero activities &amp; levers'!$C$14="Off",Constants!$H78*'Activity data'!BM20*Constants!$H96*FracLEACHMM*MMLeachEF*NtoN2O*kgtoGg,IF('Net zero activities &amp; levers'!$C$14="On",Constants!$H78*'Net zero Activity data'!BM20*Constants!$H96*FracLEACHMM*MMLeachEF*NtoN2O*kgtoGg,"ERROR"))</f>
        <v>0.220042849196075</v>
      </c>
      <c r="AU1216" s="101">
        <f>IF('Net zero activities &amp; levers'!$C$14="Off",Constants!$H78*'Activity data'!BN20*Constants!$H96*FracLEACHMM*MMLeachEF*NtoN2O*kgtoGg,IF('Net zero activities &amp; levers'!$C$14="On",Constants!$H78*'Net zero Activity data'!BN20*Constants!$H96*FracLEACHMM*MMLeachEF*NtoN2O*kgtoGg,"ERROR"))</f>
        <v>0.2242123921354082</v>
      </c>
      <c r="AV1216" s="101">
        <f>IF('Net zero activities &amp; levers'!$C$14="Off",Constants!$H78*'Activity data'!BO20*Constants!$H96*FracLEACHMM*MMLeachEF*NtoN2O*kgtoGg,IF('Net zero activities &amp; levers'!$C$14="On",Constants!$H78*'Net zero Activity data'!BO20*Constants!$H96*FracLEACHMM*MMLeachEF*NtoN2O*kgtoGg,"ERROR"))</f>
        <v>0.22887529413412566</v>
      </c>
      <c r="AW1216" s="101">
        <f>IF('Net zero activities &amp; levers'!$C$14="Off",Constants!$H78*'Activity data'!BP20*Constants!$H96*FracLEACHMM*MMLeachEF*NtoN2O*kgtoGg,IF('Net zero activities &amp; levers'!$C$14="On",Constants!$H78*'Net zero Activity data'!BP20*Constants!$H96*FracLEACHMM*MMLeachEF*NtoN2O*kgtoGg,"ERROR"))</f>
        <v>0.23334943817135545</v>
      </c>
      <c r="AY1216" s="85"/>
    </row>
    <row r="1220" spans="1:52" x14ac:dyDescent="0.25">
      <c r="A1220" s="102" t="str">
        <f t="shared" ref="A1220:A1338" si="384">B1220&amp;" "&amp;C1220</f>
        <v>FSFAGSPQNIBDDSCM Cattle</v>
      </c>
      <c r="B1220" s="102" t="s">
        <v>1376</v>
      </c>
      <c r="C1220" s="102" t="s">
        <v>1109</v>
      </c>
      <c r="D1220" t="s">
        <v>15</v>
      </c>
      <c r="E1220" t="s">
        <v>16</v>
      </c>
      <c r="F1220" t="s">
        <v>6</v>
      </c>
      <c r="G1220" t="s">
        <v>136</v>
      </c>
      <c r="H1220" t="s">
        <v>1021</v>
      </c>
      <c r="I1220" t="s">
        <v>121</v>
      </c>
      <c r="J1220" t="s">
        <v>286</v>
      </c>
      <c r="K1220" s="28">
        <f t="shared" ref="K1220:AW1220" si="385">IFERROR(K1379-((K1379-K4)+(K1379-K157)+(K1379-K310)+(K1379-K462)+(K1379-K614)+(K1379-K765)+(K1379-K916)+(K1379-K1067)),0)</f>
        <v>72.319515891788683</v>
      </c>
      <c r="L1220" s="28">
        <f t="shared" si="385"/>
        <v>72.807821323468076</v>
      </c>
      <c r="M1220" s="28">
        <f t="shared" si="385"/>
        <v>73.234964885165326</v>
      </c>
      <c r="N1220" s="28">
        <f t="shared" si="385"/>
        <v>73.290216800217806</v>
      </c>
      <c r="O1220" s="28">
        <f t="shared" si="385"/>
        <v>73.385382806563399</v>
      </c>
      <c r="P1220" s="28">
        <f t="shared" si="385"/>
        <v>73.931427797367633</v>
      </c>
      <c r="Q1220" s="28">
        <f t="shared" si="385"/>
        <v>74.368063847632101</v>
      </c>
      <c r="R1220" s="28">
        <f t="shared" si="385"/>
        <v>74.371892298776103</v>
      </c>
      <c r="S1220" s="28">
        <f t="shared" si="385"/>
        <v>72.401501789227453</v>
      </c>
      <c r="T1220" s="28">
        <f t="shared" si="385"/>
        <v>71.345932053922738</v>
      </c>
      <c r="U1220" s="28">
        <f t="shared" si="385"/>
        <v>69.531492616263378</v>
      </c>
      <c r="V1220" s="28">
        <f t="shared" si="385"/>
        <v>67.154920419063416</v>
      </c>
      <c r="W1220" s="28">
        <f t="shared" si="385"/>
        <v>64.351385812816062</v>
      </c>
      <c r="X1220" s="28">
        <f t="shared" si="385"/>
        <v>61.29343600080098</v>
      </c>
      <c r="Y1220" s="28">
        <f t="shared" si="385"/>
        <v>57.705058543287095</v>
      </c>
      <c r="Z1220" s="28">
        <f t="shared" si="385"/>
        <v>53.611428967914378</v>
      </c>
      <c r="AA1220" s="28">
        <f t="shared" si="385"/>
        <v>48.856215152162619</v>
      </c>
      <c r="AB1220" s="28">
        <f t="shared" si="385"/>
        <v>43.613456780432116</v>
      </c>
      <c r="AC1220" s="28">
        <f t="shared" si="385"/>
        <v>37.858576482036327</v>
      </c>
      <c r="AD1220" s="28">
        <f t="shared" si="385"/>
        <v>36.92040155789833</v>
      </c>
      <c r="AE1220" s="28">
        <f t="shared" si="385"/>
        <v>35.949700070503127</v>
      </c>
      <c r="AF1220" s="28">
        <f t="shared" si="385"/>
        <v>34.929714991814208</v>
      </c>
      <c r="AG1220" s="28">
        <f t="shared" si="385"/>
        <v>33.907884332167768</v>
      </c>
      <c r="AH1220" s="28">
        <f t="shared" si="385"/>
        <v>32.747607517029039</v>
      </c>
      <c r="AI1220" s="28">
        <f t="shared" si="385"/>
        <v>31.537164543055383</v>
      </c>
      <c r="AJ1220" s="28">
        <f t="shared" si="385"/>
        <v>30.26623388312909</v>
      </c>
      <c r="AK1220" s="28">
        <f t="shared" si="385"/>
        <v>28.903132111069041</v>
      </c>
      <c r="AL1220" s="28">
        <f t="shared" si="385"/>
        <v>27.468485023765354</v>
      </c>
      <c r="AM1220" s="28">
        <f t="shared" si="385"/>
        <v>25.976431646106008</v>
      </c>
      <c r="AN1220" s="28">
        <f t="shared" si="385"/>
        <v>25.509173947574823</v>
      </c>
      <c r="AO1220" s="28">
        <f t="shared" si="385"/>
        <v>24.97185849326705</v>
      </c>
      <c r="AP1220" s="28">
        <f t="shared" si="385"/>
        <v>24.393464755215717</v>
      </c>
      <c r="AQ1220" s="28">
        <f t="shared" si="385"/>
        <v>23.772890254142638</v>
      </c>
      <c r="AR1220" s="28">
        <f t="shared" si="385"/>
        <v>23.126438580123647</v>
      </c>
      <c r="AS1220" s="28">
        <f t="shared" si="385"/>
        <v>22.428429435085462</v>
      </c>
      <c r="AT1220" s="28">
        <f t="shared" si="385"/>
        <v>21.522219632148349</v>
      </c>
      <c r="AU1220" s="28">
        <f t="shared" si="385"/>
        <v>20.56608265973594</v>
      </c>
      <c r="AV1220" s="28">
        <f t="shared" si="385"/>
        <v>19.589331518838065</v>
      </c>
      <c r="AW1220" s="28">
        <f t="shared" si="385"/>
        <v>18.562692230430628</v>
      </c>
      <c r="AY1220" s="85"/>
      <c r="AZ1220" s="85"/>
    </row>
    <row r="1221" spans="1:52" x14ac:dyDescent="0.25">
      <c r="A1221" s="102" t="str">
        <f t="shared" si="384"/>
        <v>FSFAGSPQNIBDDSCM Cattle</v>
      </c>
      <c r="B1221" s="102" t="s">
        <v>1376</v>
      </c>
      <c r="C1221" s="102" t="s">
        <v>1109</v>
      </c>
      <c r="D1221" t="s">
        <v>15</v>
      </c>
      <c r="E1221" t="s">
        <v>16</v>
      </c>
      <c r="F1221" t="s">
        <v>6</v>
      </c>
      <c r="G1221" t="s">
        <v>137</v>
      </c>
      <c r="H1221" t="s">
        <v>1021</v>
      </c>
      <c r="I1221" t="s">
        <v>121</v>
      </c>
      <c r="J1221" t="s">
        <v>286</v>
      </c>
      <c r="K1221" s="28">
        <f t="shared" ref="K1221:AW1221" si="386">IFERROR(K1380-((K1380-K5)+(K1380-K158)+(K1380-K311)+(K1380-K463)+(K1380-K615)+(K1380-K766)+(K1380-K917)+(K1380-K1068)),0)</f>
        <v>57.842346035228502</v>
      </c>
      <c r="L1221" s="28">
        <f t="shared" si="386"/>
        <v>58.232900803215919</v>
      </c>
      <c r="M1221" s="28">
        <f t="shared" si="386"/>
        <v>58.574537295077718</v>
      </c>
      <c r="N1221" s="28">
        <f t="shared" si="386"/>
        <v>58.618728691413338</v>
      </c>
      <c r="O1221" s="28">
        <f t="shared" si="386"/>
        <v>58.6948440387294</v>
      </c>
      <c r="P1221" s="28">
        <f t="shared" si="386"/>
        <v>59.13157986196363</v>
      </c>
      <c r="Q1221" s="28">
        <f t="shared" si="386"/>
        <v>59.480808603326388</v>
      </c>
      <c r="R1221" s="28">
        <f t="shared" si="386"/>
        <v>59.483870661930055</v>
      </c>
      <c r="S1221" s="28">
        <f t="shared" si="386"/>
        <v>57.907919713248667</v>
      </c>
      <c r="T1221" s="28">
        <f t="shared" si="386"/>
        <v>55.717075831628776</v>
      </c>
      <c r="U1221" s="28">
        <f t="shared" si="386"/>
        <v>53.124026886868897</v>
      </c>
      <c r="V1221" s="28">
        <f t="shared" si="386"/>
        <v>50.28977230553074</v>
      </c>
      <c r="W1221" s="28">
        <f t="shared" si="386"/>
        <v>47.316936881539405</v>
      </c>
      <c r="X1221" s="28">
        <f t="shared" si="386"/>
        <v>44.328274892400238</v>
      </c>
      <c r="Y1221" s="28">
        <f t="shared" si="386"/>
        <v>41.120379558164657</v>
      </c>
      <c r="Z1221" s="28">
        <f t="shared" si="386"/>
        <v>37.714148506093366</v>
      </c>
      <c r="AA1221" s="28">
        <f t="shared" si="386"/>
        <v>34.003416702854103</v>
      </c>
      <c r="AB1221" s="28">
        <f t="shared" si="386"/>
        <v>30.11409100148547</v>
      </c>
      <c r="AC1221" s="28">
        <f t="shared" si="386"/>
        <v>26.032100026045413</v>
      </c>
      <c r="AD1221" s="28">
        <f t="shared" si="386"/>
        <v>25.223466140901834</v>
      </c>
      <c r="AE1221" s="28">
        <f t="shared" si="386"/>
        <v>24.393656352494119</v>
      </c>
      <c r="AF1221" s="28">
        <f t="shared" si="386"/>
        <v>23.531262176286276</v>
      </c>
      <c r="AG1221" s="28">
        <f t="shared" si="386"/>
        <v>22.668072894624153</v>
      </c>
      <c r="AH1221" s="28">
        <f t="shared" si="386"/>
        <v>21.71276562475466</v>
      </c>
      <c r="AI1221" s="28">
        <f t="shared" si="386"/>
        <v>20.724838426992847</v>
      </c>
      <c r="AJ1221" s="28">
        <f t="shared" si="386"/>
        <v>19.697534951852056</v>
      </c>
      <c r="AK1221" s="28">
        <f t="shared" si="386"/>
        <v>18.610543540842542</v>
      </c>
      <c r="AL1221" s="28">
        <f t="shared" si="386"/>
        <v>17.477727443986517</v>
      </c>
      <c r="AM1221" s="28">
        <f t="shared" si="386"/>
        <v>16.308242172539124</v>
      </c>
      <c r="AN1221" s="28">
        <f t="shared" si="386"/>
        <v>15.155724841397173</v>
      </c>
      <c r="AO1221" s="28">
        <f t="shared" si="386"/>
        <v>13.942113790895021</v>
      </c>
      <c r="AP1221" s="28">
        <f t="shared" si="386"/>
        <v>12.685255609535275</v>
      </c>
      <c r="AQ1221" s="28">
        <f t="shared" si="386"/>
        <v>11.384028293149555</v>
      </c>
      <c r="AR1221" s="28">
        <f t="shared" si="386"/>
        <v>10.04476071918215</v>
      </c>
      <c r="AS1221" s="28">
        <f t="shared" si="386"/>
        <v>8.6540617180724269</v>
      </c>
      <c r="AT1221" s="28">
        <f t="shared" si="386"/>
        <v>7.1595204000237374</v>
      </c>
      <c r="AU1221" s="28">
        <f t="shared" si="386"/>
        <v>5.6314813940233392</v>
      </c>
      <c r="AV1221" s="28">
        <f t="shared" si="386"/>
        <v>4.0778459283073261</v>
      </c>
      <c r="AW1221" s="28">
        <f t="shared" si="386"/>
        <v>2.4902599209865457</v>
      </c>
      <c r="AY1221" s="85"/>
      <c r="AZ1221" s="85"/>
    </row>
    <row r="1222" spans="1:52" x14ac:dyDescent="0.25">
      <c r="A1222" s="102" t="str">
        <f t="shared" si="384"/>
        <v>FSFAGSPQNIBDDSCM Cattle</v>
      </c>
      <c r="B1222" s="102" t="s">
        <v>1376</v>
      </c>
      <c r="C1222" s="102" t="s">
        <v>1109</v>
      </c>
      <c r="D1222" t="s">
        <v>15</v>
      </c>
      <c r="E1222" t="s">
        <v>16</v>
      </c>
      <c r="F1222" t="s">
        <v>67</v>
      </c>
      <c r="G1222" t="s">
        <v>307</v>
      </c>
      <c r="H1222" t="s">
        <v>1021</v>
      </c>
      <c r="I1222" t="s">
        <v>121</v>
      </c>
      <c r="J1222" t="s">
        <v>286</v>
      </c>
      <c r="K1222" s="28">
        <f t="shared" ref="K1222:AW1222" si="387">IFERROR(K1381-((K1381-K6)+(K1381-K159)+(K1381-K312)+(K1381-K464)+(K1381-K616)+(K1381-K767)+(K1381-K918)+(K1381-K1069)),0)</f>
        <v>26.152753652516633</v>
      </c>
      <c r="L1222" s="28">
        <f t="shared" si="387"/>
        <v>26.329338513524345</v>
      </c>
      <c r="M1222" s="28">
        <f t="shared" si="387"/>
        <v>26.483805536783215</v>
      </c>
      <c r="N1222" s="28">
        <f t="shared" si="387"/>
        <v>26.503786170024174</v>
      </c>
      <c r="O1222" s="28">
        <f t="shared" si="387"/>
        <v>26.538200851723289</v>
      </c>
      <c r="P1222" s="28">
        <f t="shared" si="387"/>
        <v>26.735665947439109</v>
      </c>
      <c r="Q1222" s="28">
        <f t="shared" si="387"/>
        <v>26.893565719271944</v>
      </c>
      <c r="R1222" s="28">
        <f t="shared" si="387"/>
        <v>26.894950193966014</v>
      </c>
      <c r="S1222" s="28">
        <f t="shared" si="387"/>
        <v>26.182402039293791</v>
      </c>
      <c r="T1222" s="28">
        <f t="shared" si="387"/>
        <v>26.05116693834395</v>
      </c>
      <c r="U1222" s="28">
        <f t="shared" si="387"/>
        <v>25.726208628267063</v>
      </c>
      <c r="V1222" s="28">
        <f t="shared" si="387"/>
        <v>25.278022752186544</v>
      </c>
      <c r="W1222" s="28">
        <f t="shared" si="387"/>
        <v>24.75746970852969</v>
      </c>
      <c r="X1222" s="28">
        <f t="shared" si="387"/>
        <v>24.235258921670468</v>
      </c>
      <c r="Y1222" s="28">
        <f t="shared" si="387"/>
        <v>23.609491120519834</v>
      </c>
      <c r="Z1222" s="28">
        <f t="shared" si="387"/>
        <v>22.89367046389582</v>
      </c>
      <c r="AA1222" s="28">
        <f t="shared" si="387"/>
        <v>22.023209145334288</v>
      </c>
      <c r="AB1222" s="28">
        <f t="shared" si="387"/>
        <v>21.076673055405927</v>
      </c>
      <c r="AC1222" s="28">
        <f t="shared" si="387"/>
        <v>20.054337687937892</v>
      </c>
      <c r="AD1222" s="28">
        <f t="shared" si="387"/>
        <v>20.167963219986792</v>
      </c>
      <c r="AE1222" s="28">
        <f t="shared" si="387"/>
        <v>20.286059371643685</v>
      </c>
      <c r="AF1222" s="28">
        <f t="shared" si="387"/>
        <v>20.400737362689814</v>
      </c>
      <c r="AG1222" s="28">
        <f t="shared" si="387"/>
        <v>20.541961322706847</v>
      </c>
      <c r="AH1222" s="28">
        <f t="shared" si="387"/>
        <v>20.628643727045858</v>
      </c>
      <c r="AI1222" s="28">
        <f t="shared" si="387"/>
        <v>20.71389580480572</v>
      </c>
      <c r="AJ1222" s="28">
        <f t="shared" si="387"/>
        <v>20.792603033365022</v>
      </c>
      <c r="AK1222" s="28">
        <f t="shared" si="387"/>
        <v>20.843404607055621</v>
      </c>
      <c r="AL1222" s="28">
        <f t="shared" si="387"/>
        <v>20.880235110001156</v>
      </c>
      <c r="AM1222" s="28">
        <f t="shared" si="387"/>
        <v>20.915041240260194</v>
      </c>
      <c r="AN1222" s="28">
        <f t="shared" si="387"/>
        <v>20.997153751797359</v>
      </c>
      <c r="AO1222" s="28">
        <f t="shared" si="387"/>
        <v>21.045931624758378</v>
      </c>
      <c r="AP1222" s="28">
        <f t="shared" si="387"/>
        <v>21.08554345754747</v>
      </c>
      <c r="AQ1222" s="28">
        <f t="shared" si="387"/>
        <v>21.116009105181174</v>
      </c>
      <c r="AR1222" s="28">
        <f t="shared" si="387"/>
        <v>21.153360444198309</v>
      </c>
      <c r="AS1222" s="28">
        <f t="shared" si="387"/>
        <v>21.176158924882206</v>
      </c>
      <c r="AT1222" s="28">
        <f t="shared" si="387"/>
        <v>21.032259447418721</v>
      </c>
      <c r="AU1222" s="28">
        <f t="shared" si="387"/>
        <v>20.865855090631836</v>
      </c>
      <c r="AV1222" s="28">
        <f t="shared" si="387"/>
        <v>20.707187761842217</v>
      </c>
      <c r="AW1222" s="28">
        <f t="shared" si="387"/>
        <v>20.527202410643671</v>
      </c>
      <c r="AY1222" s="85"/>
      <c r="AZ1222" s="85"/>
    </row>
    <row r="1223" spans="1:52" x14ac:dyDescent="0.25">
      <c r="A1223" s="102" t="str">
        <f t="shared" si="384"/>
        <v>FSFAGSPQNIBDDSCM Cattle</v>
      </c>
      <c r="B1223" s="102" t="s">
        <v>1376</v>
      </c>
      <c r="C1223" s="102" t="s">
        <v>1109</v>
      </c>
      <c r="D1223" t="s">
        <v>15</v>
      </c>
      <c r="E1223" t="s">
        <v>16</v>
      </c>
      <c r="F1223" t="s">
        <v>67</v>
      </c>
      <c r="G1223" t="s">
        <v>122</v>
      </c>
      <c r="H1223" t="s">
        <v>1021</v>
      </c>
      <c r="I1223" t="s">
        <v>121</v>
      </c>
      <c r="J1223" t="s">
        <v>286</v>
      </c>
      <c r="K1223" s="28">
        <f t="shared" ref="K1223:AW1223" si="388">IFERROR(K1382-((K1382-K7)+(K1382-K160)+(K1382-K313)+(K1382-K465)+(K1382-K617)+(K1382-K768)+(K1382-K919)+(K1382-K1070)),0)</f>
        <v>465.52056336079949</v>
      </c>
      <c r="L1223" s="28">
        <f t="shared" si="388"/>
        <v>463.15049709319385</v>
      </c>
      <c r="M1223" s="28">
        <f t="shared" si="388"/>
        <v>458.82469207652616</v>
      </c>
      <c r="N1223" s="28">
        <f t="shared" si="388"/>
        <v>446.98374150991339</v>
      </c>
      <c r="O1223" s="28">
        <f t="shared" si="388"/>
        <v>435.61531631652565</v>
      </c>
      <c r="P1223" s="28">
        <f t="shared" si="388"/>
        <v>431.8940518676672</v>
      </c>
      <c r="Q1223" s="28">
        <f t="shared" si="388"/>
        <v>425.88381386723944</v>
      </c>
      <c r="R1223" s="28">
        <f t="shared" si="388"/>
        <v>412.37997971855566</v>
      </c>
      <c r="S1223" s="28">
        <f t="shared" si="388"/>
        <v>367.07322936568551</v>
      </c>
      <c r="T1223" s="28">
        <f t="shared" si="388"/>
        <v>346.83414297690081</v>
      </c>
      <c r="U1223" s="28">
        <f t="shared" si="388"/>
        <v>321.01539673944876</v>
      </c>
      <c r="V1223" s="28">
        <f t="shared" si="388"/>
        <v>293.03636933865084</v>
      </c>
      <c r="W1223" s="28">
        <f t="shared" si="388"/>
        <v>264.8212798365351</v>
      </c>
      <c r="X1223" s="28">
        <f t="shared" si="388"/>
        <v>238.25973060273503</v>
      </c>
      <c r="Y1223" s="28">
        <f t="shared" si="388"/>
        <v>210.20375518340887</v>
      </c>
      <c r="Z1223" s="28">
        <f t="shared" si="388"/>
        <v>180.49291092853247</v>
      </c>
      <c r="AA1223" s="28">
        <f t="shared" si="388"/>
        <v>147.7580954830525</v>
      </c>
      <c r="AB1223" s="28">
        <f t="shared" si="388"/>
        <v>113.80709099158906</v>
      </c>
      <c r="AC1223" s="28">
        <f t="shared" si="388"/>
        <v>78.310965755041593</v>
      </c>
      <c r="AD1223" s="28">
        <f t="shared" si="388"/>
        <v>63.246457142595148</v>
      </c>
      <c r="AE1223" s="28">
        <f t="shared" si="388"/>
        <v>47.656531612363267</v>
      </c>
      <c r="AF1223" s="28">
        <f t="shared" si="388"/>
        <v>31.479278367051847</v>
      </c>
      <c r="AG1223" s="28">
        <f t="shared" si="388"/>
        <v>14.854900175961404</v>
      </c>
      <c r="AH1223" s="28">
        <f t="shared" si="388"/>
        <v>-2.504811435997965</v>
      </c>
      <c r="AI1223" s="28">
        <f t="shared" si="388"/>
        <v>-20.289016942004992</v>
      </c>
      <c r="AJ1223" s="28">
        <f t="shared" si="388"/>
        <v>-38.507876736797584</v>
      </c>
      <c r="AK1223" s="28">
        <f t="shared" si="388"/>
        <v>-57.04143965457672</v>
      </c>
      <c r="AL1223" s="28">
        <f t="shared" si="388"/>
        <v>-75.818600717259642</v>
      </c>
      <c r="AM1223" s="28">
        <f t="shared" si="388"/>
        <v>-94.857842224148158</v>
      </c>
      <c r="AN1223" s="28">
        <f t="shared" si="388"/>
        <v>-107.28657698273946</v>
      </c>
      <c r="AO1223" s="28">
        <f t="shared" si="388"/>
        <v>-119.7720126581072</v>
      </c>
      <c r="AP1223" s="28">
        <f t="shared" si="388"/>
        <v>-132.47605925689891</v>
      </c>
      <c r="AQ1223" s="28">
        <f t="shared" si="388"/>
        <v>-145.38499467225267</v>
      </c>
      <c r="AR1223" s="28">
        <f t="shared" si="388"/>
        <v>-158.68638106725143</v>
      </c>
      <c r="AS1223" s="28">
        <f t="shared" si="388"/>
        <v>-172.22197933643542</v>
      </c>
      <c r="AT1223" s="28">
        <f t="shared" si="388"/>
        <v>-183.68475640953193</v>
      </c>
      <c r="AU1223" s="28">
        <f t="shared" si="388"/>
        <v>-194.82608042840491</v>
      </c>
      <c r="AV1223" s="28">
        <f t="shared" si="388"/>
        <v>-206.09868459622498</v>
      </c>
      <c r="AW1223" s="28">
        <f t="shared" si="388"/>
        <v>-217.04278363114963</v>
      </c>
      <c r="AY1223" s="85"/>
      <c r="AZ1223" s="85"/>
    </row>
    <row r="1224" spans="1:52" x14ac:dyDescent="0.25">
      <c r="A1224" s="102" t="str">
        <f t="shared" si="384"/>
        <v>FSFAGSPQNIBDDSCM Cattle</v>
      </c>
      <c r="B1224" s="102" t="s">
        <v>1376</v>
      </c>
      <c r="C1224" s="102" t="s">
        <v>1109</v>
      </c>
      <c r="D1224" t="s">
        <v>15</v>
      </c>
      <c r="E1224" t="s">
        <v>16</v>
      </c>
      <c r="F1224" t="s">
        <v>67</v>
      </c>
      <c r="G1224" t="s">
        <v>123</v>
      </c>
      <c r="H1224" t="s">
        <v>1021</v>
      </c>
      <c r="I1224" t="s">
        <v>121</v>
      </c>
      <c r="J1224" t="s">
        <v>286</v>
      </c>
      <c r="K1224" s="28">
        <f t="shared" ref="K1224:AW1224" si="389">IFERROR(K1383-((K1383-K8)+(K1383-K161)+(K1383-K314)+(K1383-K466)+(K1383-K618)+(K1383-K769)+(K1383-K920)+(K1383-K1071)),0)</f>
        <v>327.80986528142375</v>
      </c>
      <c r="L1224" s="28">
        <f t="shared" si="389"/>
        <v>326.14091407917653</v>
      </c>
      <c r="M1224" s="28">
        <f t="shared" si="389"/>
        <v>323.0947724662044</v>
      </c>
      <c r="N1224" s="28">
        <f t="shared" si="389"/>
        <v>314.75662219842133</v>
      </c>
      <c r="O1224" s="28">
        <f t="shared" si="389"/>
        <v>306.75121443683565</v>
      </c>
      <c r="P1224" s="28">
        <f t="shared" si="389"/>
        <v>304.13077767492297</v>
      </c>
      <c r="Q1224" s="28">
        <f t="shared" si="389"/>
        <v>299.89849350898703</v>
      </c>
      <c r="R1224" s="28">
        <f t="shared" si="389"/>
        <v>290.38937532717256</v>
      </c>
      <c r="S1224" s="28">
        <f t="shared" si="389"/>
        <v>258.48530728280883</v>
      </c>
      <c r="T1224" s="28">
        <f t="shared" si="389"/>
        <v>251.26571601011108</v>
      </c>
      <c r="U1224" s="28">
        <f t="shared" si="389"/>
        <v>240.79922762618713</v>
      </c>
      <c r="V1224" s="28">
        <f t="shared" si="389"/>
        <v>229.40382284221914</v>
      </c>
      <c r="W1224" s="28">
        <f t="shared" si="389"/>
        <v>218.51605889406227</v>
      </c>
      <c r="X1224" s="28">
        <f t="shared" si="389"/>
        <v>209.85936032210031</v>
      </c>
      <c r="Y1224" s="28">
        <f t="shared" si="389"/>
        <v>201.04469025350056</v>
      </c>
      <c r="Z1224" s="28">
        <f t="shared" si="389"/>
        <v>192.00875449996198</v>
      </c>
      <c r="AA1224" s="28">
        <f t="shared" si="389"/>
        <v>181.29385175849183</v>
      </c>
      <c r="AB1224" s="28">
        <f t="shared" si="389"/>
        <v>170.79351954123115</v>
      </c>
      <c r="AC1224" s="28">
        <f t="shared" si="389"/>
        <v>160.4915323217806</v>
      </c>
      <c r="AD1224" s="28">
        <f t="shared" si="389"/>
        <v>155.71101826716045</v>
      </c>
      <c r="AE1224" s="28">
        <f t="shared" si="389"/>
        <v>150.77118704231992</v>
      </c>
      <c r="AF1224" s="28">
        <f t="shared" si="389"/>
        <v>145.5250910742684</v>
      </c>
      <c r="AG1224" s="28">
        <f t="shared" si="389"/>
        <v>140.49159405141955</v>
      </c>
      <c r="AH1224" s="28">
        <f t="shared" si="389"/>
        <v>134.32669727329346</v>
      </c>
      <c r="AI1224" s="28">
        <f t="shared" si="389"/>
        <v>128.1068093041448</v>
      </c>
      <c r="AJ1224" s="28">
        <f t="shared" si="389"/>
        <v>121.6255859017777</v>
      </c>
      <c r="AK1224" s="28">
        <f t="shared" si="389"/>
        <v>114.63688058717128</v>
      </c>
      <c r="AL1224" s="28">
        <f t="shared" si="389"/>
        <v>107.38486252894722</v>
      </c>
      <c r="AM1224" s="28">
        <f t="shared" si="389"/>
        <v>100.03581239173127</v>
      </c>
      <c r="AN1224" s="28">
        <f t="shared" si="389"/>
        <v>97.593790551014763</v>
      </c>
      <c r="AO1224" s="28">
        <f t="shared" si="389"/>
        <v>94.745195314489536</v>
      </c>
      <c r="AP1224" s="28">
        <f t="shared" si="389"/>
        <v>91.759210213208917</v>
      </c>
      <c r="AQ1224" s="28">
        <f t="shared" si="389"/>
        <v>88.64617107893622</v>
      </c>
      <c r="AR1224" s="28">
        <f t="shared" si="389"/>
        <v>85.550724450759446</v>
      </c>
      <c r="AS1224" s="28">
        <f t="shared" si="389"/>
        <v>82.344805338335448</v>
      </c>
      <c r="AT1224" s="28">
        <f t="shared" si="389"/>
        <v>77.826446134775381</v>
      </c>
      <c r="AU1224" s="28">
        <f t="shared" si="389"/>
        <v>73.232897693345251</v>
      </c>
      <c r="AV1224" s="28">
        <f t="shared" si="389"/>
        <v>68.789502909179078</v>
      </c>
      <c r="AW1224" s="28">
        <f t="shared" si="389"/>
        <v>64.294421655457313</v>
      </c>
      <c r="AY1224" s="85"/>
      <c r="AZ1224" s="85"/>
    </row>
    <row r="1225" spans="1:52" x14ac:dyDescent="0.25">
      <c r="A1225" s="102" t="str">
        <f t="shared" si="384"/>
        <v>FSFAGSPQNIBDDSCM Cattle</v>
      </c>
      <c r="B1225" s="102" t="s">
        <v>1376</v>
      </c>
      <c r="C1225" s="102" t="s">
        <v>1109</v>
      </c>
      <c r="D1225" t="s">
        <v>15</v>
      </c>
      <c r="E1225" t="s">
        <v>16</v>
      </c>
      <c r="F1225" t="s">
        <v>67</v>
      </c>
      <c r="G1225" t="s">
        <v>135</v>
      </c>
      <c r="H1225" t="s">
        <v>1021</v>
      </c>
      <c r="I1225" t="s">
        <v>121</v>
      </c>
      <c r="J1225" t="s">
        <v>286</v>
      </c>
      <c r="K1225" s="28">
        <f t="shared" ref="K1225:AW1225" si="390">IFERROR(K1384-((K1384-K9)+(K1384-K162)+(K1384-K315)+(K1384-K467)+(K1384-K619)+(K1384-K770)+(K1384-K921)+(K1384-K1072)),0)</f>
        <v>31.983141266454435</v>
      </c>
      <c r="L1225" s="28">
        <f t="shared" si="390"/>
        <v>33.176305480896438</v>
      </c>
      <c r="M1225" s="28">
        <f t="shared" si="390"/>
        <v>34.248209769984797</v>
      </c>
      <c r="N1225" s="28">
        <f t="shared" si="390"/>
        <v>34.751225456913808</v>
      </c>
      <c r="O1225" s="28">
        <f t="shared" si="390"/>
        <v>35.261937727399058</v>
      </c>
      <c r="P1225" s="28">
        <f t="shared" si="390"/>
        <v>36.389263474395328</v>
      </c>
      <c r="Q1225" s="28">
        <f t="shared" si="390"/>
        <v>37.34016796495505</v>
      </c>
      <c r="R1225" s="28">
        <f t="shared" si="390"/>
        <v>37.617758099633058</v>
      </c>
      <c r="S1225" s="28">
        <f t="shared" si="390"/>
        <v>34.833912391780601</v>
      </c>
      <c r="T1225" s="28">
        <f t="shared" si="390"/>
        <v>34.256585464495465</v>
      </c>
      <c r="U1225" s="28">
        <f t="shared" si="390"/>
        <v>32.915979250341003</v>
      </c>
      <c r="V1225" s="28">
        <f t="shared" si="390"/>
        <v>31.102864230002886</v>
      </c>
      <c r="W1225" s="28">
        <f t="shared" si="390"/>
        <v>28.995888790102342</v>
      </c>
      <c r="X1225" s="28">
        <f t="shared" si="390"/>
        <v>26.796309820083131</v>
      </c>
      <c r="Y1225" s="28">
        <f t="shared" si="390"/>
        <v>24.13563964091383</v>
      </c>
      <c r="Z1225" s="28">
        <f t="shared" si="390"/>
        <v>20.95958605012455</v>
      </c>
      <c r="AA1225" s="28">
        <f t="shared" si="390"/>
        <v>17.063946980579054</v>
      </c>
      <c r="AB1225" s="28">
        <f t="shared" si="390"/>
        <v>12.62174354078067</v>
      </c>
      <c r="AC1225" s="28">
        <f t="shared" si="390"/>
        <v>7.5448745302003957</v>
      </c>
      <c r="AD1225" s="28">
        <f t="shared" si="390"/>
        <v>4.9792709941473703</v>
      </c>
      <c r="AE1225" s="28">
        <f t="shared" si="390"/>
        <v>2.1397235617270809</v>
      </c>
      <c r="AF1225" s="28">
        <f t="shared" si="390"/>
        <v>-0.99828765474287451</v>
      </c>
      <c r="AG1225" s="28">
        <f t="shared" si="390"/>
        <v>-4.4532207322490507</v>
      </c>
      <c r="AH1225" s="28">
        <f t="shared" si="390"/>
        <v>-8.2370302772082624</v>
      </c>
      <c r="AI1225" s="28">
        <f t="shared" si="390"/>
        <v>-12.362411314406998</v>
      </c>
      <c r="AJ1225" s="28">
        <f t="shared" si="390"/>
        <v>-16.843167175264142</v>
      </c>
      <c r="AK1225" s="28">
        <f t="shared" si="390"/>
        <v>-21.658242443261557</v>
      </c>
      <c r="AL1225" s="28">
        <f t="shared" si="390"/>
        <v>-26.827078619257549</v>
      </c>
      <c r="AM1225" s="28">
        <f t="shared" si="390"/>
        <v>-32.389583029692488</v>
      </c>
      <c r="AN1225" s="28">
        <f t="shared" si="390"/>
        <v>-36.102746198985812</v>
      </c>
      <c r="AO1225" s="28">
        <f t="shared" si="390"/>
        <v>-39.979495069653964</v>
      </c>
      <c r="AP1225" s="28">
        <f t="shared" si="390"/>
        <v>-44.095157174820372</v>
      </c>
      <c r="AQ1225" s="28">
        <f t="shared" si="390"/>
        <v>-48.460699128962176</v>
      </c>
      <c r="AR1225" s="28">
        <f t="shared" si="390"/>
        <v>-53.156476780164184</v>
      </c>
      <c r="AS1225" s="28">
        <f t="shared" si="390"/>
        <v>-58.145422262121045</v>
      </c>
      <c r="AT1225" s="28">
        <f t="shared" si="390"/>
        <v>-62.647304107783754</v>
      </c>
      <c r="AU1225" s="28">
        <f t="shared" si="390"/>
        <v>-67.270518683257066</v>
      </c>
      <c r="AV1225" s="28">
        <f t="shared" si="390"/>
        <v>-72.182775917934919</v>
      </c>
      <c r="AW1225" s="28">
        <f t="shared" si="390"/>
        <v>-77.233099553338292</v>
      </c>
      <c r="AY1225" s="85"/>
      <c r="AZ1225" s="85"/>
    </row>
    <row r="1226" spans="1:52" x14ac:dyDescent="0.25">
      <c r="A1226" s="102" t="str">
        <f t="shared" si="384"/>
        <v>FSFAGSPQNIBDDSCM Sheep</v>
      </c>
      <c r="B1226" s="102" t="s">
        <v>1376</v>
      </c>
      <c r="C1226" s="102" t="s">
        <v>152</v>
      </c>
      <c r="D1226" t="s">
        <v>15</v>
      </c>
      <c r="E1226" t="s">
        <v>16</v>
      </c>
      <c r="F1226" t="s">
        <v>18</v>
      </c>
      <c r="G1226" t="s">
        <v>122</v>
      </c>
      <c r="H1226" t="s">
        <v>1021</v>
      </c>
      <c r="I1226" t="s">
        <v>121</v>
      </c>
      <c r="J1226" t="s">
        <v>286</v>
      </c>
      <c r="K1226" s="28">
        <f t="shared" ref="K1226:AW1226" si="391">IFERROR(K1385-((K1385-K10)+(K1385-K163)+(K1385-K316)+(K1385-K468)+(K1385-K620)+(K1385-K771)+(K1385-K922)+(K1385-K1073)),0)</f>
        <v>132.57119038642557</v>
      </c>
      <c r="L1226" s="28">
        <f t="shared" si="391"/>
        <v>132.64273653065254</v>
      </c>
      <c r="M1226" s="28">
        <f t="shared" si="391"/>
        <v>132.80721501621684</v>
      </c>
      <c r="N1226" s="28">
        <f t="shared" si="391"/>
        <v>133.051398651531</v>
      </c>
      <c r="O1226" s="28">
        <f t="shared" si="391"/>
        <v>133.38098001143086</v>
      </c>
      <c r="P1226" s="28">
        <f t="shared" si="391"/>
        <v>133.80258277876908</v>
      </c>
      <c r="Q1226" s="28">
        <f t="shared" si="391"/>
        <v>134.26714516921325</v>
      </c>
      <c r="R1226" s="28">
        <f t="shared" si="391"/>
        <v>134.76745179695249</v>
      </c>
      <c r="S1226" s="28">
        <f t="shared" si="391"/>
        <v>135.2631261954914</v>
      </c>
      <c r="T1226" s="28">
        <f t="shared" si="391"/>
        <v>135.28993658469903</v>
      </c>
      <c r="U1226" s="28">
        <f t="shared" si="391"/>
        <v>135.10319534694054</v>
      </c>
      <c r="V1226" s="28">
        <f t="shared" si="391"/>
        <v>134.70963129617732</v>
      </c>
      <c r="W1226" s="28">
        <f t="shared" si="391"/>
        <v>134.11478117143383</v>
      </c>
      <c r="X1226" s="28">
        <f t="shared" si="391"/>
        <v>133.32594016205252</v>
      </c>
      <c r="Y1226" s="28">
        <f t="shared" si="391"/>
        <v>132.19295214732657</v>
      </c>
      <c r="Z1226" s="28">
        <f t="shared" si="391"/>
        <v>130.86499635145427</v>
      </c>
      <c r="AA1226" s="28">
        <f t="shared" si="391"/>
        <v>129.33905459948878</v>
      </c>
      <c r="AB1226" s="28">
        <f t="shared" si="391"/>
        <v>127.62367267060722</v>
      </c>
      <c r="AC1226" s="28">
        <f t="shared" si="391"/>
        <v>125.72135690911864</v>
      </c>
      <c r="AD1226" s="28">
        <f t="shared" si="391"/>
        <v>125.87797969009202</v>
      </c>
      <c r="AE1226" s="28">
        <f t="shared" si="391"/>
        <v>126.05232985696027</v>
      </c>
      <c r="AF1226" s="28">
        <f t="shared" si="391"/>
        <v>126.24304756315527</v>
      </c>
      <c r="AG1226" s="28">
        <f t="shared" si="391"/>
        <v>126.45247323667266</v>
      </c>
      <c r="AH1226" s="28">
        <f t="shared" si="391"/>
        <v>126.67224669227336</v>
      </c>
      <c r="AI1226" s="28">
        <f t="shared" si="391"/>
        <v>126.80318986643374</v>
      </c>
      <c r="AJ1226" s="28">
        <f t="shared" si="391"/>
        <v>126.94743146106457</v>
      </c>
      <c r="AK1226" s="28">
        <f t="shared" si="391"/>
        <v>127.10237512280027</v>
      </c>
      <c r="AL1226" s="28">
        <f t="shared" si="391"/>
        <v>127.26900820382551</v>
      </c>
      <c r="AM1226" s="28">
        <f t="shared" si="391"/>
        <v>127.44822901223782</v>
      </c>
      <c r="AN1226" s="28">
        <f t="shared" si="391"/>
        <v>127.5427916969243</v>
      </c>
      <c r="AO1226" s="28">
        <f t="shared" si="391"/>
        <v>127.64525552717845</v>
      </c>
      <c r="AP1226" s="28">
        <f t="shared" si="391"/>
        <v>127.75789391140728</v>
      </c>
      <c r="AQ1226" s="28">
        <f t="shared" si="391"/>
        <v>127.88045431372964</v>
      </c>
      <c r="AR1226" s="28">
        <f t="shared" si="391"/>
        <v>128.0145348837483</v>
      </c>
      <c r="AS1226" s="28">
        <f t="shared" si="391"/>
        <v>128.06011596246387</v>
      </c>
      <c r="AT1226" s="28">
        <f t="shared" si="391"/>
        <v>128.09608991979113</v>
      </c>
      <c r="AU1226" s="28">
        <f t="shared" si="391"/>
        <v>128.13858247621124</v>
      </c>
      <c r="AV1226" s="28">
        <f t="shared" si="391"/>
        <v>128.19100069232232</v>
      </c>
      <c r="AW1226" s="28">
        <f t="shared" si="391"/>
        <v>128.24966890544016</v>
      </c>
      <c r="AY1226" s="85"/>
      <c r="AZ1226" s="85"/>
    </row>
    <row r="1227" spans="1:52" x14ac:dyDescent="0.25">
      <c r="A1227" s="102" t="str">
        <f t="shared" si="384"/>
        <v>FSFAGSPQNIBDDSCM Sheep</v>
      </c>
      <c r="B1227" s="102" t="s">
        <v>1376</v>
      </c>
      <c r="C1227" s="102" t="s">
        <v>152</v>
      </c>
      <c r="D1227" t="s">
        <v>15</v>
      </c>
      <c r="E1227" t="s">
        <v>16</v>
      </c>
      <c r="F1227" t="s">
        <v>18</v>
      </c>
      <c r="G1227" t="s">
        <v>123</v>
      </c>
      <c r="H1227" t="s">
        <v>1021</v>
      </c>
      <c r="I1227" t="s">
        <v>121</v>
      </c>
      <c r="J1227" t="s">
        <v>286</v>
      </c>
      <c r="K1227" s="28">
        <f t="shared" ref="K1227:AW1227" si="392">IFERROR(K1386-((K1386-K11)+(K1386-K164)+(K1386-K317)+(K1386-K469)+(K1386-K621)+(K1386-K772)+(K1386-K923)+(K1386-K1074)),0)</f>
        <v>14.367245816070934</v>
      </c>
      <c r="L1227" s="28">
        <f t="shared" si="392"/>
        <v>14.374999544752898</v>
      </c>
      <c r="M1227" s="28">
        <f t="shared" si="392"/>
        <v>14.392824705910984</v>
      </c>
      <c r="N1227" s="28">
        <f t="shared" si="392"/>
        <v>14.419287818315681</v>
      </c>
      <c r="O1227" s="28">
        <f t="shared" si="392"/>
        <v>14.455005808025765</v>
      </c>
      <c r="P1227" s="28">
        <f t="shared" si="392"/>
        <v>14.500696508829069</v>
      </c>
      <c r="Q1227" s="28">
        <f t="shared" si="392"/>
        <v>14.551042907929491</v>
      </c>
      <c r="R1227" s="28">
        <f t="shared" si="392"/>
        <v>14.605263046431578</v>
      </c>
      <c r="S1227" s="28">
        <f t="shared" si="392"/>
        <v>14.658981172577873</v>
      </c>
      <c r="T1227" s="28">
        <f t="shared" si="392"/>
        <v>14.666288691317309</v>
      </c>
      <c r="U1227" s="28">
        <f t="shared" si="392"/>
        <v>14.65915378156917</v>
      </c>
      <c r="V1227" s="28">
        <f t="shared" si="392"/>
        <v>14.638157599968757</v>
      </c>
      <c r="W1227" s="28">
        <f t="shared" si="392"/>
        <v>14.603767018325154</v>
      </c>
      <c r="X1227" s="28">
        <f t="shared" si="392"/>
        <v>14.556656832280906</v>
      </c>
      <c r="Y1227" s="28">
        <f t="shared" si="392"/>
        <v>14.480274679022806</v>
      </c>
      <c r="Z1227" s="28">
        <f t="shared" si="392"/>
        <v>14.390738844225108</v>
      </c>
      <c r="AA1227" s="28">
        <f t="shared" si="392"/>
        <v>14.287596880737665</v>
      </c>
      <c r="AB1227" s="28">
        <f t="shared" si="392"/>
        <v>14.171678300547137</v>
      </c>
      <c r="AC1227" s="28">
        <f t="shared" si="392"/>
        <v>14.04316193539416</v>
      </c>
      <c r="AD1227" s="28">
        <f t="shared" si="392"/>
        <v>14.060702827689388</v>
      </c>
      <c r="AE1227" s="28">
        <f t="shared" si="392"/>
        <v>14.080224028019424</v>
      </c>
      <c r="AF1227" s="28">
        <f t="shared" si="392"/>
        <v>14.101573658640106</v>
      </c>
      <c r="AG1227" s="28">
        <f t="shared" si="392"/>
        <v>14.125013168457999</v>
      </c>
      <c r="AH1227" s="28">
        <f t="shared" si="392"/>
        <v>14.14960872439697</v>
      </c>
      <c r="AI1227" s="28">
        <f t="shared" si="392"/>
        <v>14.16428186232833</v>
      </c>
      <c r="AJ1227" s="28">
        <f t="shared" si="392"/>
        <v>14.180440592549559</v>
      </c>
      <c r="AK1227" s="28">
        <f t="shared" si="392"/>
        <v>14.19779490770253</v>
      </c>
      <c r="AL1227" s="28">
        <f t="shared" si="392"/>
        <v>14.216455110815259</v>
      </c>
      <c r="AM1227" s="28">
        <f t="shared" si="392"/>
        <v>14.236521559763199</v>
      </c>
      <c r="AN1227" s="28">
        <f t="shared" si="392"/>
        <v>14.247131448224945</v>
      </c>
      <c r="AO1227" s="28">
        <f t="shared" si="392"/>
        <v>14.2586240239897</v>
      </c>
      <c r="AP1227" s="28">
        <f t="shared" si="392"/>
        <v>14.271253247936457</v>
      </c>
      <c r="AQ1227" s="28">
        <f t="shared" si="392"/>
        <v>14.284990921618233</v>
      </c>
      <c r="AR1227" s="28">
        <f t="shared" si="392"/>
        <v>14.300015579244901</v>
      </c>
      <c r="AS1227" s="28">
        <f t="shared" si="392"/>
        <v>14.305154382065831</v>
      </c>
      <c r="AT1227" s="28">
        <f t="shared" si="392"/>
        <v>14.309220056329082</v>
      </c>
      <c r="AU1227" s="28">
        <f t="shared" si="392"/>
        <v>14.314013952010152</v>
      </c>
      <c r="AV1227" s="28">
        <f t="shared" si="392"/>
        <v>14.319916671107812</v>
      </c>
      <c r="AW1227" s="28">
        <f t="shared" si="392"/>
        <v>14.32651762359758</v>
      </c>
      <c r="AY1227" s="85"/>
      <c r="AZ1227" s="85"/>
    </row>
    <row r="1228" spans="1:52" x14ac:dyDescent="0.25">
      <c r="A1228" s="102" t="str">
        <f t="shared" si="384"/>
        <v>FSFAGSPQNIBDDSCM Goats</v>
      </c>
      <c r="B1228" s="102" t="s">
        <v>1376</v>
      </c>
      <c r="C1228" s="102" t="s">
        <v>153</v>
      </c>
      <c r="D1228" t="s">
        <v>15</v>
      </c>
      <c r="E1228" t="s">
        <v>16</v>
      </c>
      <c r="F1228" t="s">
        <v>19</v>
      </c>
      <c r="G1228" t="s">
        <v>122</v>
      </c>
      <c r="H1228" t="s">
        <v>1021</v>
      </c>
      <c r="I1228" t="s">
        <v>121</v>
      </c>
      <c r="J1228" t="s">
        <v>286</v>
      </c>
      <c r="K1228" s="28">
        <f t="shared" ref="K1228:AW1228" si="393">IFERROR(K1387-((K1387-K12)+(K1387-K165)+(K1387-K318)+(K1387-K470)+(K1387-K622)+(K1387-K773)+(K1387-K924)+(K1387-K1075)),0)</f>
        <v>15.11994504352057</v>
      </c>
      <c r="L1228" s="28">
        <f t="shared" si="393"/>
        <v>15.159244294711982</v>
      </c>
      <c r="M1228" s="28">
        <f t="shared" si="393"/>
        <v>15.212240101283504</v>
      </c>
      <c r="N1228" s="28">
        <f t="shared" si="393"/>
        <v>15.276787648225215</v>
      </c>
      <c r="O1228" s="28">
        <f t="shared" si="393"/>
        <v>15.354100038796439</v>
      </c>
      <c r="P1228" s="28">
        <f t="shared" si="393"/>
        <v>15.445501132757192</v>
      </c>
      <c r="Q1228" s="28">
        <f t="shared" si="393"/>
        <v>15.542368253787608</v>
      </c>
      <c r="R1228" s="28">
        <f t="shared" si="393"/>
        <v>15.643567978967758</v>
      </c>
      <c r="S1228" s="28">
        <f t="shared" si="393"/>
        <v>15.742091989223546</v>
      </c>
      <c r="T1228" s="28">
        <f t="shared" si="393"/>
        <v>15.787280907558081</v>
      </c>
      <c r="U1228" s="28">
        <f t="shared" si="393"/>
        <v>15.836012504856258</v>
      </c>
      <c r="V1228" s="28">
        <f t="shared" si="393"/>
        <v>15.888829637337995</v>
      </c>
      <c r="W1228" s="28">
        <f t="shared" si="393"/>
        <v>15.946123298566558</v>
      </c>
      <c r="X1228" s="28">
        <f t="shared" si="393"/>
        <v>16.008664249775823</v>
      </c>
      <c r="Y1228" s="28">
        <f t="shared" si="393"/>
        <v>16.048917749469023</v>
      </c>
      <c r="Z1228" s="28">
        <f t="shared" si="393"/>
        <v>16.092845807842092</v>
      </c>
      <c r="AA1228" s="28">
        <f t="shared" si="393"/>
        <v>16.139355719065712</v>
      </c>
      <c r="AB1228" s="28">
        <f t="shared" si="393"/>
        <v>16.189504893539258</v>
      </c>
      <c r="AC1228" s="28">
        <f t="shared" si="393"/>
        <v>16.243310237377745</v>
      </c>
      <c r="AD1228" s="28">
        <f t="shared" si="393"/>
        <v>16.187391987384249</v>
      </c>
      <c r="AE1228" s="28">
        <f t="shared" si="393"/>
        <v>16.133805635993223</v>
      </c>
      <c r="AF1228" s="28">
        <f t="shared" si="393"/>
        <v>16.082271063891277</v>
      </c>
      <c r="AG1228" s="28">
        <f t="shared" si="393"/>
        <v>16.03319298339208</v>
      </c>
      <c r="AH1228" s="28">
        <f t="shared" si="393"/>
        <v>15.985008468441301</v>
      </c>
      <c r="AI1228" s="28">
        <f t="shared" si="393"/>
        <v>15.91975233944347</v>
      </c>
      <c r="AJ1228" s="28">
        <f t="shared" si="393"/>
        <v>15.856174388883117</v>
      </c>
      <c r="AK1228" s="28">
        <f t="shared" si="393"/>
        <v>15.793786870716051</v>
      </c>
      <c r="AL1228" s="28">
        <f t="shared" si="393"/>
        <v>15.732748873279785</v>
      </c>
      <c r="AM1228" s="28">
        <f t="shared" si="393"/>
        <v>15.673197119791519</v>
      </c>
      <c r="AN1228" s="28">
        <f t="shared" si="393"/>
        <v>15.691415762832731</v>
      </c>
      <c r="AO1228" s="28">
        <f t="shared" si="393"/>
        <v>15.710740559310755</v>
      </c>
      <c r="AP1228" s="28">
        <f t="shared" si="393"/>
        <v>15.731577113910035</v>
      </c>
      <c r="AQ1228" s="28">
        <f t="shared" si="393"/>
        <v>15.753886662067469</v>
      </c>
      <c r="AR1228" s="28">
        <f t="shared" si="393"/>
        <v>15.77795281061317</v>
      </c>
      <c r="AS1228" s="28">
        <f t="shared" si="393"/>
        <v>15.786359124720033</v>
      </c>
      <c r="AT1228" s="28">
        <f t="shared" si="393"/>
        <v>15.792902927045434</v>
      </c>
      <c r="AU1228" s="28">
        <f t="shared" si="393"/>
        <v>15.80040118877349</v>
      </c>
      <c r="AV1228" s="28">
        <f t="shared" si="393"/>
        <v>15.80944876612929</v>
      </c>
      <c r="AW1228" s="28">
        <f t="shared" si="393"/>
        <v>15.819410196211482</v>
      </c>
      <c r="AY1228" s="85"/>
      <c r="AZ1228" s="85"/>
    </row>
    <row r="1229" spans="1:52" x14ac:dyDescent="0.25">
      <c r="A1229" s="102" t="str">
        <f t="shared" si="384"/>
        <v>FSFAGSPQNIBDDSCM Goats</v>
      </c>
      <c r="B1229" s="102" t="s">
        <v>1376</v>
      </c>
      <c r="C1229" s="102" t="s">
        <v>153</v>
      </c>
      <c r="D1229" t="s">
        <v>15</v>
      </c>
      <c r="E1229" t="s">
        <v>16</v>
      </c>
      <c r="F1229" t="s">
        <v>19</v>
      </c>
      <c r="G1229" t="s">
        <v>123</v>
      </c>
      <c r="H1229" t="s">
        <v>1021</v>
      </c>
      <c r="I1229" t="s">
        <v>121</v>
      </c>
      <c r="J1229" t="s">
        <v>286</v>
      </c>
      <c r="K1229" s="28">
        <f t="shared" ref="K1229:AW1229" si="394">IFERROR(K1388-((K1388-K13)+(K1388-K166)+(K1388-K319)+(K1388-K471)+(K1388-K623)+(K1388-K774)+(K1388-K925)+(K1388-K1076)),0)</f>
        <v>22.375967695369447</v>
      </c>
      <c r="L1229" s="28">
        <f t="shared" si="394"/>
        <v>22.434126555906317</v>
      </c>
      <c r="M1229" s="28">
        <f t="shared" si="394"/>
        <v>22.512554913444735</v>
      </c>
      <c r="N1229" s="28">
        <f t="shared" si="394"/>
        <v>22.60807866178018</v>
      </c>
      <c r="O1229" s="28">
        <f t="shared" si="394"/>
        <v>22.722493069299134</v>
      </c>
      <c r="P1229" s="28">
        <f t="shared" si="394"/>
        <v>22.85775731264793</v>
      </c>
      <c r="Q1229" s="28">
        <f t="shared" si="394"/>
        <v>23.001110715367403</v>
      </c>
      <c r="R1229" s="28">
        <f t="shared" si="394"/>
        <v>23.150875927799948</v>
      </c>
      <c r="S1229" s="28">
        <f t="shared" si="394"/>
        <v>23.296681356613096</v>
      </c>
      <c r="T1229" s="28">
        <f t="shared" si="394"/>
        <v>23.363556320373338</v>
      </c>
      <c r="U1229" s="28">
        <f t="shared" si="394"/>
        <v>23.435674085599938</v>
      </c>
      <c r="V1229" s="28">
        <f t="shared" si="394"/>
        <v>23.513838023813449</v>
      </c>
      <c r="W1229" s="28">
        <f t="shared" si="394"/>
        <v>23.598626765380281</v>
      </c>
      <c r="X1229" s="28">
        <f t="shared" si="394"/>
        <v>23.691180957863665</v>
      </c>
      <c r="Y1229" s="28">
        <f t="shared" si="394"/>
        <v>23.750752008298576</v>
      </c>
      <c r="Z1229" s="28">
        <f t="shared" si="394"/>
        <v>23.815761028651949</v>
      </c>
      <c r="AA1229" s="28">
        <f t="shared" si="394"/>
        <v>23.884590926383627</v>
      </c>
      <c r="AB1229" s="28">
        <f t="shared" si="394"/>
        <v>23.958806560417987</v>
      </c>
      <c r="AC1229" s="28">
        <f t="shared" si="394"/>
        <v>24.038432950071041</v>
      </c>
      <c r="AD1229" s="28">
        <f t="shared" si="394"/>
        <v>24.023261862426772</v>
      </c>
      <c r="AE1229" s="28">
        <f t="shared" si="394"/>
        <v>24.011858722769528</v>
      </c>
      <c r="AF1229" s="28">
        <f t="shared" si="394"/>
        <v>24.003840401673017</v>
      </c>
      <c r="AG1229" s="28">
        <f t="shared" si="394"/>
        <v>23.999844846615254</v>
      </c>
      <c r="AH1229" s="28">
        <f t="shared" si="394"/>
        <v>23.997563894962202</v>
      </c>
      <c r="AI1229" s="28">
        <f t="shared" si="394"/>
        <v>23.969966181252499</v>
      </c>
      <c r="AJ1229" s="28">
        <f t="shared" si="394"/>
        <v>23.94514440288776</v>
      </c>
      <c r="AK1229" s="28">
        <f t="shared" si="394"/>
        <v>23.922386821619746</v>
      </c>
      <c r="AL1229" s="28">
        <f t="shared" si="394"/>
        <v>23.901956109173931</v>
      </c>
      <c r="AM1229" s="28">
        <f t="shared" si="394"/>
        <v>23.884084302002172</v>
      </c>
      <c r="AN1229" s="28">
        <f t="shared" si="394"/>
        <v>23.911847342493445</v>
      </c>
      <c r="AO1229" s="28">
        <f t="shared" si="394"/>
        <v>23.941296028978556</v>
      </c>
      <c r="AP1229" s="28">
        <f t="shared" si="394"/>
        <v>23.973048454652076</v>
      </c>
      <c r="AQ1229" s="28">
        <f t="shared" si="394"/>
        <v>24.007045546940205</v>
      </c>
      <c r="AR1229" s="28">
        <f t="shared" si="394"/>
        <v>24.043719488848602</v>
      </c>
      <c r="AS1229" s="28">
        <f t="shared" si="394"/>
        <v>24.056529709588048</v>
      </c>
      <c r="AT1229" s="28">
        <f t="shared" si="394"/>
        <v>24.066501684367722</v>
      </c>
      <c r="AU1229" s="28">
        <f t="shared" si="394"/>
        <v>24.077928141513812</v>
      </c>
      <c r="AV1229" s="28">
        <f t="shared" si="394"/>
        <v>24.09171557101164</v>
      </c>
      <c r="AW1229" s="28">
        <f t="shared" si="394"/>
        <v>24.106895603141222</v>
      </c>
      <c r="AY1229" s="85"/>
      <c r="AZ1229" s="85"/>
    </row>
    <row r="1230" spans="1:52" x14ac:dyDescent="0.25">
      <c r="A1230" s="102" t="str">
        <f t="shared" si="384"/>
        <v>FSFAGSPQNIBDDSCM Horses</v>
      </c>
      <c r="B1230" s="102" t="s">
        <v>1376</v>
      </c>
      <c r="C1230" s="102" t="s">
        <v>3</v>
      </c>
      <c r="D1230" t="s">
        <v>15</v>
      </c>
      <c r="E1230" t="s">
        <v>16</v>
      </c>
      <c r="F1230" t="s">
        <v>20</v>
      </c>
      <c r="G1230" t="s">
        <v>3</v>
      </c>
      <c r="H1230" t="s">
        <v>1021</v>
      </c>
      <c r="I1230" t="s">
        <v>121</v>
      </c>
      <c r="J1230" t="s">
        <v>286</v>
      </c>
      <c r="K1230" s="28">
        <f t="shared" ref="K1230:AW1230" si="395">IFERROR(K1389-((K1389-K14)+(K1389-K167)+(K1389-K320)+(K1389-K472)+(K1389-K624)+(K1389-K775)+(K1389-K926)+(K1389-K1077)),0)</f>
        <v>5.5625078668475236</v>
      </c>
      <c r="L1230" s="28">
        <f t="shared" si="395"/>
        <v>5.5999708339814545</v>
      </c>
      <c r="M1230" s="28">
        <f t="shared" si="395"/>
        <v>5.6226370840776179</v>
      </c>
      <c r="N1230" s="28">
        <f t="shared" si="395"/>
        <v>5.5928142970106265</v>
      </c>
      <c r="O1230" s="28">
        <f t="shared" si="395"/>
        <v>5.5623376589201499</v>
      </c>
      <c r="P1230" s="28">
        <f t="shared" si="395"/>
        <v>5.5812216853376206</v>
      </c>
      <c r="Q1230" s="28">
        <f t="shared" si="395"/>
        <v>5.5836612172513842</v>
      </c>
      <c r="R1230" s="28">
        <f t="shared" si="395"/>
        <v>5.5315877353552168</v>
      </c>
      <c r="S1230" s="28">
        <f t="shared" si="395"/>
        <v>5.2455147526194601</v>
      </c>
      <c r="T1230" s="28">
        <f t="shared" si="395"/>
        <v>5.332808287437901</v>
      </c>
      <c r="U1230" s="28">
        <f t="shared" si="395"/>
        <v>5.3901753132609427</v>
      </c>
      <c r="V1230" s="28">
        <f t="shared" si="395"/>
        <v>5.440230309739654</v>
      </c>
      <c r="W1230" s="28">
        <f t="shared" si="395"/>
        <v>5.5003068027462358</v>
      </c>
      <c r="X1230" s="28">
        <f t="shared" si="395"/>
        <v>5.5968430891840955</v>
      </c>
      <c r="Y1230" s="28">
        <f t="shared" si="395"/>
        <v>5.7072120457799942</v>
      </c>
      <c r="Z1230" s="28">
        <f t="shared" si="395"/>
        <v>5.8264820494807026</v>
      </c>
      <c r="AA1230" s="28">
        <f t="shared" si="395"/>
        <v>5.9301104930204529</v>
      </c>
      <c r="AB1230" s="28">
        <f t="shared" si="395"/>
        <v>6.0502396904604057</v>
      </c>
      <c r="AC1230" s="28">
        <f t="shared" si="395"/>
        <v>6.1907930019013007</v>
      </c>
      <c r="AD1230" s="28">
        <f t="shared" si="395"/>
        <v>6.3320471664105931</v>
      </c>
      <c r="AE1230" s="28">
        <f t="shared" si="395"/>
        <v>6.4794646415598249</v>
      </c>
      <c r="AF1230" s="28">
        <f t="shared" si="395"/>
        <v>6.6296689370175557</v>
      </c>
      <c r="AG1230" s="28">
        <f t="shared" si="395"/>
        <v>6.7972348352901832</v>
      </c>
      <c r="AH1230" s="28">
        <f t="shared" si="395"/>
        <v>6.9438088425470355</v>
      </c>
      <c r="AI1230" s="28">
        <f t="shared" si="395"/>
        <v>7.1048815884414847</v>
      </c>
      <c r="AJ1230" s="28">
        <f t="shared" si="395"/>
        <v>7.268627225560472</v>
      </c>
      <c r="AK1230" s="28">
        <f t="shared" si="395"/>
        <v>7.42471904610154</v>
      </c>
      <c r="AL1230" s="28">
        <f t="shared" si="395"/>
        <v>7.5801220888649867</v>
      </c>
      <c r="AM1230" s="28">
        <f t="shared" si="395"/>
        <v>7.7411228012577773</v>
      </c>
      <c r="AN1230" s="28">
        <f t="shared" si="395"/>
        <v>7.9163247577118536</v>
      </c>
      <c r="AO1230" s="28">
        <f t="shared" si="395"/>
        <v>8.0810947340099517</v>
      </c>
      <c r="AP1230" s="28">
        <f t="shared" si="395"/>
        <v>8.2480372843312519</v>
      </c>
      <c r="AQ1230" s="28">
        <f t="shared" si="395"/>
        <v>8.4174605770969908</v>
      </c>
      <c r="AR1230" s="28">
        <f t="shared" si="395"/>
        <v>8.5983802423376101</v>
      </c>
      <c r="AS1230" s="28">
        <f t="shared" si="395"/>
        <v>8.7907471853609671</v>
      </c>
      <c r="AT1230" s="28">
        <f t="shared" si="395"/>
        <v>8.8991507547228217</v>
      </c>
      <c r="AU1230" s="28">
        <f t="shared" si="395"/>
        <v>9.0016825973480952</v>
      </c>
      <c r="AV1230" s="28">
        <f t="shared" si="395"/>
        <v>9.1156705075973274</v>
      </c>
      <c r="AW1230" s="28">
        <f t="shared" si="395"/>
        <v>9.2247946500114306</v>
      </c>
      <c r="AY1230" s="85"/>
      <c r="AZ1230" s="85"/>
    </row>
    <row r="1231" spans="1:52" x14ac:dyDescent="0.25">
      <c r="A1231" s="102" t="str">
        <f t="shared" si="384"/>
        <v>FSFAGSPQNIBDDSCM Mules&amp;Asses</v>
      </c>
      <c r="B1231" s="102" t="s">
        <v>1376</v>
      </c>
      <c r="C1231" s="102" t="s">
        <v>1324</v>
      </c>
      <c r="D1231" t="s">
        <v>15</v>
      </c>
      <c r="E1231" t="s">
        <v>16</v>
      </c>
      <c r="F1231" t="s">
        <v>140</v>
      </c>
      <c r="G1231" t="s">
        <v>124</v>
      </c>
      <c r="H1231" t="s">
        <v>1021</v>
      </c>
      <c r="I1231" t="s">
        <v>121</v>
      </c>
      <c r="J1231" t="s">
        <v>286</v>
      </c>
      <c r="K1231" s="28">
        <f t="shared" ref="K1231:AW1231" si="396">IFERROR(K1390-((K1390-K15)+(K1390-K168)+(K1390-K321)+(K1390-K473)+(K1390-K625)+(K1390-K776)+(K1390-K927)+(K1390-K1078)),0)</f>
        <v>1.67</v>
      </c>
      <c r="L1231" s="28">
        <f t="shared" si="396"/>
        <v>1.67</v>
      </c>
      <c r="M1231" s="28">
        <f t="shared" si="396"/>
        <v>1.67</v>
      </c>
      <c r="N1231" s="28">
        <f t="shared" si="396"/>
        <v>1.67</v>
      </c>
      <c r="O1231" s="28">
        <f t="shared" si="396"/>
        <v>1.67</v>
      </c>
      <c r="P1231" s="28">
        <f t="shared" si="396"/>
        <v>1.67</v>
      </c>
      <c r="Q1231" s="28">
        <f t="shared" si="396"/>
        <v>1.67</v>
      </c>
      <c r="R1231" s="28">
        <f t="shared" si="396"/>
        <v>1.67</v>
      </c>
      <c r="S1231" s="28">
        <f t="shared" si="396"/>
        <v>1.67</v>
      </c>
      <c r="T1231" s="28">
        <f t="shared" si="396"/>
        <v>1.67</v>
      </c>
      <c r="U1231" s="28">
        <f t="shared" si="396"/>
        <v>1.67</v>
      </c>
      <c r="V1231" s="28">
        <f t="shared" si="396"/>
        <v>1.67</v>
      </c>
      <c r="W1231" s="28">
        <f t="shared" si="396"/>
        <v>1.67</v>
      </c>
      <c r="X1231" s="28">
        <f t="shared" si="396"/>
        <v>1.67</v>
      </c>
      <c r="Y1231" s="28">
        <f t="shared" si="396"/>
        <v>1.67</v>
      </c>
      <c r="Z1231" s="28">
        <f t="shared" si="396"/>
        <v>1.67</v>
      </c>
      <c r="AA1231" s="28">
        <f t="shared" si="396"/>
        <v>1.67</v>
      </c>
      <c r="AB1231" s="28">
        <f t="shared" si="396"/>
        <v>1.67</v>
      </c>
      <c r="AC1231" s="28">
        <f t="shared" si="396"/>
        <v>1.67</v>
      </c>
      <c r="AD1231" s="28">
        <f t="shared" si="396"/>
        <v>1.67</v>
      </c>
      <c r="AE1231" s="28">
        <f t="shared" si="396"/>
        <v>1.67</v>
      </c>
      <c r="AF1231" s="28">
        <f t="shared" si="396"/>
        <v>1.67</v>
      </c>
      <c r="AG1231" s="28">
        <f t="shared" si="396"/>
        <v>1.67</v>
      </c>
      <c r="AH1231" s="28">
        <f t="shared" si="396"/>
        <v>1.67</v>
      </c>
      <c r="AI1231" s="28">
        <f t="shared" si="396"/>
        <v>1.67</v>
      </c>
      <c r="AJ1231" s="28">
        <f t="shared" si="396"/>
        <v>1.67</v>
      </c>
      <c r="AK1231" s="28">
        <f t="shared" si="396"/>
        <v>1.67</v>
      </c>
      <c r="AL1231" s="28">
        <f t="shared" si="396"/>
        <v>1.67</v>
      </c>
      <c r="AM1231" s="28">
        <f t="shared" si="396"/>
        <v>1.67</v>
      </c>
      <c r="AN1231" s="28">
        <f t="shared" si="396"/>
        <v>1.67</v>
      </c>
      <c r="AO1231" s="28">
        <f t="shared" si="396"/>
        <v>1.67</v>
      </c>
      <c r="AP1231" s="28">
        <f t="shared" si="396"/>
        <v>1.67</v>
      </c>
      <c r="AQ1231" s="28">
        <f t="shared" si="396"/>
        <v>1.67</v>
      </c>
      <c r="AR1231" s="28">
        <f t="shared" si="396"/>
        <v>1.67</v>
      </c>
      <c r="AS1231" s="28">
        <f t="shared" si="396"/>
        <v>1.67</v>
      </c>
      <c r="AT1231" s="28">
        <f t="shared" si="396"/>
        <v>1.67</v>
      </c>
      <c r="AU1231" s="28">
        <f t="shared" si="396"/>
        <v>1.67</v>
      </c>
      <c r="AV1231" s="28">
        <f t="shared" si="396"/>
        <v>1.67</v>
      </c>
      <c r="AW1231" s="28">
        <f t="shared" si="396"/>
        <v>1.67</v>
      </c>
      <c r="AY1231" s="85"/>
      <c r="AZ1231" s="85"/>
    </row>
    <row r="1232" spans="1:52" x14ac:dyDescent="0.25">
      <c r="A1232" s="102" t="str">
        <f t="shared" si="384"/>
        <v>FSFAGSPQNIBDDSCM Swine</v>
      </c>
      <c r="B1232" s="102" t="s">
        <v>1376</v>
      </c>
      <c r="C1232" s="102" t="s">
        <v>155</v>
      </c>
      <c r="D1232" t="s">
        <v>15</v>
      </c>
      <c r="E1232" t="s">
        <v>16</v>
      </c>
      <c r="F1232" t="s">
        <v>21</v>
      </c>
      <c r="G1232" t="s">
        <v>122</v>
      </c>
      <c r="H1232" t="s">
        <v>1021</v>
      </c>
      <c r="I1232" t="s">
        <v>121</v>
      </c>
      <c r="J1232" t="s">
        <v>286</v>
      </c>
      <c r="K1232" s="28">
        <f t="shared" ref="K1232:AW1232" si="397">IFERROR(K1391-((K1391-K16)+(K1391-K169)+(K1391-K322)+(K1391-K474)+(K1391-K626)+(K1391-K777)+(K1391-K928)+(K1391-K1079)),0)</f>
        <v>1.8474255451679995</v>
      </c>
      <c r="L1232" s="28">
        <f t="shared" si="397"/>
        <v>1.8441604348292597</v>
      </c>
      <c r="M1232" s="28">
        <f t="shared" si="397"/>
        <v>1.8338137298795358</v>
      </c>
      <c r="N1232" s="28">
        <f t="shared" si="397"/>
        <v>1.7933482851133742</v>
      </c>
      <c r="O1232" s="28">
        <f t="shared" si="397"/>
        <v>1.7550816658957487</v>
      </c>
      <c r="P1232" s="28">
        <f t="shared" si="397"/>
        <v>1.7489053520701128</v>
      </c>
      <c r="Q1232" s="28">
        <f t="shared" si="397"/>
        <v>1.7339122581424293</v>
      </c>
      <c r="R1232" s="28">
        <f t="shared" si="397"/>
        <v>1.6877345539497199</v>
      </c>
      <c r="S1232" s="28">
        <f t="shared" si="397"/>
        <v>1.5053811336602128</v>
      </c>
      <c r="T1232" s="28">
        <f t="shared" si="397"/>
        <v>1.5371476986652972</v>
      </c>
      <c r="U1232" s="28">
        <f t="shared" si="397"/>
        <v>1.5514318381092433</v>
      </c>
      <c r="V1232" s="28">
        <f t="shared" si="397"/>
        <v>1.5616576701168716</v>
      </c>
      <c r="W1232" s="28">
        <f t="shared" si="397"/>
        <v>1.5776785040892591</v>
      </c>
      <c r="X1232" s="28">
        <f t="shared" si="397"/>
        <v>1.6139979012459413</v>
      </c>
      <c r="Y1232" s="28">
        <f t="shared" si="397"/>
        <v>1.6549211721838433</v>
      </c>
      <c r="Z1232" s="28">
        <f t="shared" si="397"/>
        <v>1.6999835928446425</v>
      </c>
      <c r="AA1232" s="28">
        <f t="shared" si="397"/>
        <v>1.7358513573686989</v>
      </c>
      <c r="AB1232" s="28">
        <f t="shared" si="397"/>
        <v>1.7799035928795868</v>
      </c>
      <c r="AC1232" s="28">
        <f t="shared" si="397"/>
        <v>1.8339293215490959</v>
      </c>
      <c r="AD1232" s="28">
        <f t="shared" si="397"/>
        <v>1.8853649200513594</v>
      </c>
      <c r="AE1232" s="28">
        <f t="shared" si="397"/>
        <v>1.9388918115634022</v>
      </c>
      <c r="AF1232" s="28">
        <f t="shared" si="397"/>
        <v>1.9927130586022104</v>
      </c>
      <c r="AG1232" s="28">
        <f t="shared" si="397"/>
        <v>2.0541263691397029</v>
      </c>
      <c r="AH1232" s="28">
        <f t="shared" si="397"/>
        <v>2.103817743126545</v>
      </c>
      <c r="AI1232" s="28">
        <f t="shared" si="397"/>
        <v>2.1570723964627305</v>
      </c>
      <c r="AJ1232" s="28">
        <f t="shared" si="397"/>
        <v>2.2103156059630469</v>
      </c>
      <c r="AK1232" s="28">
        <f t="shared" si="397"/>
        <v>2.2585781969535708</v>
      </c>
      <c r="AL1232" s="28">
        <f t="shared" si="397"/>
        <v>2.3053108176371655</v>
      </c>
      <c r="AM1232" s="28">
        <f t="shared" si="397"/>
        <v>2.3534862086208488</v>
      </c>
      <c r="AN1232" s="28">
        <f t="shared" si="397"/>
        <v>2.4044238511551645</v>
      </c>
      <c r="AO1232" s="28">
        <f t="shared" si="397"/>
        <v>2.4491315797645599</v>
      </c>
      <c r="AP1232" s="28">
        <f t="shared" si="397"/>
        <v>2.4934919072873556</v>
      </c>
      <c r="AQ1232" s="28">
        <f t="shared" si="397"/>
        <v>2.5376242671971267</v>
      </c>
      <c r="AR1232" s="28">
        <f t="shared" si="397"/>
        <v>2.585468784990343</v>
      </c>
      <c r="AS1232" s="28">
        <f t="shared" si="397"/>
        <v>2.6339951836233211</v>
      </c>
      <c r="AT1232" s="28">
        <f t="shared" si="397"/>
        <v>2.6449301878067959</v>
      </c>
      <c r="AU1232" s="28">
        <f t="shared" si="397"/>
        <v>2.6527069237513698</v>
      </c>
      <c r="AV1232" s="28">
        <f t="shared" si="397"/>
        <v>2.6646444743566109</v>
      </c>
      <c r="AW1232" s="28">
        <f t="shared" si="397"/>
        <v>2.6738436701305055</v>
      </c>
      <c r="AY1232" s="85"/>
      <c r="AZ1232" s="85"/>
    </row>
    <row r="1233" spans="1:52" x14ac:dyDescent="0.25">
      <c r="A1233" s="102" t="str">
        <f t="shared" si="384"/>
        <v>FSFAGSPQNIBDDSCM Swine</v>
      </c>
      <c r="B1233" s="102" t="s">
        <v>1376</v>
      </c>
      <c r="C1233" s="102" t="s">
        <v>155</v>
      </c>
      <c r="D1233" t="s">
        <v>15</v>
      </c>
      <c r="E1233" t="s">
        <v>16</v>
      </c>
      <c r="F1233" t="s">
        <v>21</v>
      </c>
      <c r="G1233" t="s">
        <v>123</v>
      </c>
      <c r="H1233" t="s">
        <v>1021</v>
      </c>
      <c r="I1233" t="s">
        <v>121</v>
      </c>
      <c r="J1233" t="s">
        <v>286</v>
      </c>
      <c r="K1233" s="28">
        <f t="shared" ref="K1233:AW1233" si="398">IFERROR(K1392-((K1392-K17)+(K1392-K170)+(K1392-K323)+(K1392-K475)+(K1392-K627)+(K1392-K778)+(K1392-K929)+(K1392-K1080)),0)</f>
        <v>0.25598228499623599</v>
      </c>
      <c r="L1233" s="28">
        <f t="shared" si="398"/>
        <v>0.25552986600297178</v>
      </c>
      <c r="M1233" s="28">
        <f t="shared" si="398"/>
        <v>0.2540962097551519</v>
      </c>
      <c r="N1233" s="28">
        <f t="shared" si="398"/>
        <v>0.24848925198533875</v>
      </c>
      <c r="O1233" s="28">
        <f t="shared" si="398"/>
        <v>0.24318696705589768</v>
      </c>
      <c r="P1233" s="28">
        <f t="shared" si="398"/>
        <v>0.24233116697774282</v>
      </c>
      <c r="Q1233" s="28">
        <f t="shared" si="398"/>
        <v>0.24025369952428582</v>
      </c>
      <c r="R1233" s="28">
        <f t="shared" si="398"/>
        <v>0.23385524180779091</v>
      </c>
      <c r="S1233" s="28">
        <f t="shared" si="398"/>
        <v>0.20858805562825686</v>
      </c>
      <c r="T1233" s="28">
        <f t="shared" si="398"/>
        <v>0.21298968248556188</v>
      </c>
      <c r="U1233" s="28">
        <f t="shared" si="398"/>
        <v>0.21496891605393495</v>
      </c>
      <c r="V1233" s="28">
        <f t="shared" si="398"/>
        <v>0.21638582395051933</v>
      </c>
      <c r="W1233" s="28">
        <f t="shared" si="398"/>
        <v>0.21860569673430943</v>
      </c>
      <c r="X1233" s="28">
        <f t="shared" si="398"/>
        <v>0.22363817141139192</v>
      </c>
      <c r="Y1233" s="28">
        <f t="shared" si="398"/>
        <v>0.22930856631937815</v>
      </c>
      <c r="Z1233" s="28">
        <f t="shared" si="398"/>
        <v>0.23555248853772337</v>
      </c>
      <c r="AA1233" s="28">
        <f t="shared" si="398"/>
        <v>0.24052238426347505</v>
      </c>
      <c r="AB1233" s="28">
        <f t="shared" si="398"/>
        <v>0.24662633358623051</v>
      </c>
      <c r="AC1233" s="28">
        <f t="shared" si="398"/>
        <v>0.2541122263246845</v>
      </c>
      <c r="AD1233" s="28">
        <f t="shared" si="398"/>
        <v>0.26123922641905689</v>
      </c>
      <c r="AE1233" s="28">
        <f t="shared" si="398"/>
        <v>0.26865599947052637</v>
      </c>
      <c r="AF1233" s="28">
        <f t="shared" si="398"/>
        <v>0.27611355890201528</v>
      </c>
      <c r="AG1233" s="28">
        <f t="shared" si="398"/>
        <v>0.28462308698648325</v>
      </c>
      <c r="AH1233" s="28">
        <f t="shared" si="398"/>
        <v>0.29150840449820886</v>
      </c>
      <c r="AI1233" s="28">
        <f t="shared" si="398"/>
        <v>0.29888745578573434</v>
      </c>
      <c r="AJ1233" s="28">
        <f t="shared" si="398"/>
        <v>0.3062649213967692</v>
      </c>
      <c r="AK1233" s="28">
        <f t="shared" si="398"/>
        <v>0.31295226441522306</v>
      </c>
      <c r="AL1233" s="28">
        <f t="shared" si="398"/>
        <v>0.31942761226225164</v>
      </c>
      <c r="AM1233" s="28">
        <f t="shared" si="398"/>
        <v>0.32610287270608673</v>
      </c>
      <c r="AN1233" s="28">
        <f t="shared" si="398"/>
        <v>0.33316087521252602</v>
      </c>
      <c r="AO1233" s="28">
        <f t="shared" si="398"/>
        <v>0.33935565072397106</v>
      </c>
      <c r="AP1233" s="28">
        <f t="shared" si="398"/>
        <v>0.34550228977644448</v>
      </c>
      <c r="AQ1233" s="28">
        <f t="shared" si="398"/>
        <v>0.35161734126608507</v>
      </c>
      <c r="AR1233" s="28">
        <f t="shared" si="398"/>
        <v>0.35824675538308892</v>
      </c>
      <c r="AS1233" s="28">
        <f t="shared" si="398"/>
        <v>0.36497065201708195</v>
      </c>
      <c r="AT1233" s="28">
        <f t="shared" si="398"/>
        <v>0.36648582396252283</v>
      </c>
      <c r="AU1233" s="28">
        <f t="shared" si="398"/>
        <v>0.36756338112963627</v>
      </c>
      <c r="AV1233" s="28">
        <f t="shared" si="398"/>
        <v>0.36921746753608486</v>
      </c>
      <c r="AW1233" s="28">
        <f t="shared" si="398"/>
        <v>0.37049212304817741</v>
      </c>
      <c r="AY1233" s="85"/>
      <c r="AZ1233" s="85"/>
    </row>
    <row r="1234" spans="1:52" x14ac:dyDescent="0.25">
      <c r="A1234" s="102" t="str">
        <f t="shared" si="384"/>
        <v>FSFAGSPQNIBDDSCM Cattle MMCH4</v>
      </c>
      <c r="B1234" s="102" t="s">
        <v>1376</v>
      </c>
      <c r="C1234" s="102" t="s">
        <v>1230</v>
      </c>
      <c r="D1234" t="s">
        <v>15</v>
      </c>
      <c r="E1234" t="s">
        <v>22</v>
      </c>
      <c r="F1234" t="s">
        <v>6</v>
      </c>
      <c r="G1234" t="s">
        <v>136</v>
      </c>
      <c r="H1234" t="s">
        <v>1228</v>
      </c>
      <c r="I1234" t="s">
        <v>121</v>
      </c>
      <c r="J1234" t="s">
        <v>286</v>
      </c>
      <c r="K1234" s="28">
        <f t="shared" ref="K1234:AW1234" si="399">IFERROR(K1393-((K1393-K18)+(K1393-K171)+(K1393-K324)+(K1393-K476)+(K1393-K628)+(K1393-K779)+(K1393-K930)+(K1393-K1081)),0)</f>
        <v>7.35903078860939</v>
      </c>
      <c r="L1234" s="28">
        <f t="shared" si="399"/>
        <v>7.4087193776667419</v>
      </c>
      <c r="M1234" s="28">
        <f t="shared" si="399"/>
        <v>7.4521843066409605</v>
      </c>
      <c r="N1234" s="28">
        <f t="shared" si="399"/>
        <v>7.457806586311766</v>
      </c>
      <c r="O1234" s="28">
        <f t="shared" si="399"/>
        <v>7.467490411792209</v>
      </c>
      <c r="P1234" s="28">
        <f t="shared" si="399"/>
        <v>7.5230544161932738</v>
      </c>
      <c r="Q1234" s="28">
        <f t="shared" si="399"/>
        <v>7.5674852741392948</v>
      </c>
      <c r="R1234" s="28">
        <f t="shared" si="399"/>
        <v>7.5678748465734289</v>
      </c>
      <c r="S1234" s="28">
        <f t="shared" si="399"/>
        <v>7.3673734432309503</v>
      </c>
      <c r="T1234" s="28">
        <f t="shared" si="399"/>
        <v>6.8189622756087225</v>
      </c>
      <c r="U1234" s="28">
        <f t="shared" si="399"/>
        <v>6.2428997023362873</v>
      </c>
      <c r="V1234" s="28">
        <f t="shared" si="399"/>
        <v>5.6598908562298123</v>
      </c>
      <c r="W1234" s="28">
        <f t="shared" si="399"/>
        <v>5.0812526931832265</v>
      </c>
      <c r="X1234" s="28">
        <f t="shared" si="399"/>
        <v>4.5182255444479287</v>
      </c>
      <c r="Y1234" s="28">
        <f t="shared" si="399"/>
        <v>3.9477221036037831</v>
      </c>
      <c r="Z1234" s="28">
        <f t="shared" si="399"/>
        <v>3.371346755490495</v>
      </c>
      <c r="AA1234" s="28">
        <f t="shared" si="399"/>
        <v>2.7795607600888728</v>
      </c>
      <c r="AB1234" s="28">
        <f t="shared" si="399"/>
        <v>2.1831646092904693</v>
      </c>
      <c r="AC1234" s="28">
        <f t="shared" si="399"/>
        <v>1.5793345395307785</v>
      </c>
      <c r="AD1234" s="28">
        <f t="shared" si="399"/>
        <v>1.450347890288981</v>
      </c>
      <c r="AE1234" s="28">
        <f t="shared" si="399"/>
        <v>1.3175114860939061</v>
      </c>
      <c r="AF1234" s="28">
        <f t="shared" si="399"/>
        <v>1.1800197190473147</v>
      </c>
      <c r="AG1234" s="28">
        <f t="shared" si="399"/>
        <v>1.0391875445057597</v>
      </c>
      <c r="AH1234" s="28">
        <f t="shared" si="399"/>
        <v>0.89062859978318798</v>
      </c>
      <c r="AI1234" s="28">
        <f t="shared" si="399"/>
        <v>0.7371422303875157</v>
      </c>
      <c r="AJ1234" s="28">
        <f t="shared" si="399"/>
        <v>0.57829063860344831</v>
      </c>
      <c r="AK1234" s="28">
        <f t="shared" si="399"/>
        <v>0.41345170810516052</v>
      </c>
      <c r="AL1234" s="28">
        <f t="shared" si="399"/>
        <v>0.24309308257038076</v>
      </c>
      <c r="AM1234" s="28">
        <f t="shared" si="399"/>
        <v>6.7212859912780587E-2</v>
      </c>
      <c r="AN1234" s="28">
        <f t="shared" si="399"/>
        <v>5.1198641979160797E-2</v>
      </c>
      <c r="AO1234" s="28">
        <f t="shared" si="399"/>
        <v>3.4540987242037247E-2</v>
      </c>
      <c r="AP1234" s="28">
        <f t="shared" si="399"/>
        <v>1.7300844627829548E-2</v>
      </c>
      <c r="AQ1234" s="28">
        <f t="shared" si="399"/>
        <v>-5.4044980175405044E-4</v>
      </c>
      <c r="AR1234" s="28">
        <f t="shared" si="399"/>
        <v>-1.9018167627583793E-2</v>
      </c>
      <c r="AS1234" s="28">
        <f t="shared" si="399"/>
        <v>-3.8160336023842945E-2</v>
      </c>
      <c r="AT1234" s="28">
        <f t="shared" si="399"/>
        <v>-5.7562785313823639E-2</v>
      </c>
      <c r="AU1234" s="28">
        <f t="shared" si="399"/>
        <v>-7.7331725066809298E-2</v>
      </c>
      <c r="AV1234" s="28">
        <f t="shared" si="399"/>
        <v>-9.758507742627387E-2</v>
      </c>
      <c r="AW1234" s="28">
        <f t="shared" si="399"/>
        <v>-0.118224514670354</v>
      </c>
      <c r="AY1234" s="85"/>
      <c r="AZ1234" s="85"/>
    </row>
    <row r="1235" spans="1:52" x14ac:dyDescent="0.25">
      <c r="A1235" s="102" t="str">
        <f t="shared" si="384"/>
        <v>FSFAGSPQNIBDDSCM Cattle MMCH4</v>
      </c>
      <c r="B1235" s="102" t="s">
        <v>1376</v>
      </c>
      <c r="C1235" s="102" t="s">
        <v>1230</v>
      </c>
      <c r="D1235" t="s">
        <v>15</v>
      </c>
      <c r="E1235" t="s">
        <v>22</v>
      </c>
      <c r="F1235" t="s">
        <v>6</v>
      </c>
      <c r="G1235" t="s">
        <v>137</v>
      </c>
      <c r="H1235" t="s">
        <v>1228</v>
      </c>
      <c r="I1235" t="s">
        <v>121</v>
      </c>
      <c r="J1235" t="s">
        <v>286</v>
      </c>
      <c r="K1235" s="28">
        <f t="shared" ref="K1235:AW1235" si="400">IFERROR(K1394-((K1394-K19)+(K1394-K172)+(K1394-K325)+(K1394-K477)+(K1394-K629)+(K1394-K780)+(K1394-K931)+(K1394-K1082)),0)</f>
        <v>2.0965571826777873</v>
      </c>
      <c r="L1235" s="28">
        <f t="shared" si="400"/>
        <v>2.110713254486396</v>
      </c>
      <c r="M1235" s="28">
        <f t="shared" si="400"/>
        <v>2.1230962314915374</v>
      </c>
      <c r="N1235" s="28">
        <f t="shared" si="400"/>
        <v>2.1246979955234386</v>
      </c>
      <c r="O1235" s="28">
        <f t="shared" si="400"/>
        <v>2.1274568770188451</v>
      </c>
      <c r="P1235" s="28">
        <f t="shared" si="400"/>
        <v>2.1432868301569279</v>
      </c>
      <c r="Q1235" s="28">
        <f t="shared" si="400"/>
        <v>2.1559449962979707</v>
      </c>
      <c r="R1235" s="28">
        <f t="shared" si="400"/>
        <v>2.1560559838598405</v>
      </c>
      <c r="S1235" s="28">
        <f t="shared" si="400"/>
        <v>2.0989339701885155</v>
      </c>
      <c r="T1235" s="28">
        <f t="shared" si="400"/>
        <v>1.924089962243178</v>
      </c>
      <c r="U1235" s="28">
        <f t="shared" si="400"/>
        <v>1.74130568576078</v>
      </c>
      <c r="V1235" s="28">
        <f t="shared" si="400"/>
        <v>1.5565192782654089</v>
      </c>
      <c r="W1235" s="28">
        <f t="shared" si="400"/>
        <v>1.3728455439890741</v>
      </c>
      <c r="X1235" s="28">
        <f t="shared" si="400"/>
        <v>1.1931323179804918</v>
      </c>
      <c r="Y1235" s="28">
        <f t="shared" si="400"/>
        <v>1.0110035884117998</v>
      </c>
      <c r="Z1235" s="28">
        <f t="shared" si="400"/>
        <v>0.82680553920744093</v>
      </c>
      <c r="AA1235" s="28">
        <f t="shared" si="400"/>
        <v>0.63818228580511427</v>
      </c>
      <c r="AB1235" s="28">
        <f t="shared" si="400"/>
        <v>0.44769455796609181</v>
      </c>
      <c r="AC1235" s="28">
        <f t="shared" si="400"/>
        <v>0.25435372075877583</v>
      </c>
      <c r="AD1235" s="28">
        <f t="shared" si="400"/>
        <v>0.20947954316396977</v>
      </c>
      <c r="AE1235" s="28">
        <f t="shared" si="400"/>
        <v>0.16317262345898875</v>
      </c>
      <c r="AF1235" s="28">
        <f t="shared" si="400"/>
        <v>0.11526701223234426</v>
      </c>
      <c r="AG1235" s="28">
        <f t="shared" si="400"/>
        <v>6.5786978178449473E-2</v>
      </c>
      <c r="AH1235" s="28">
        <f t="shared" si="400"/>
        <v>1.4372727546787534E-2</v>
      </c>
      <c r="AI1235" s="28">
        <f t="shared" si="400"/>
        <v>-3.8771861899246751E-2</v>
      </c>
      <c r="AJ1235" s="28">
        <f t="shared" si="400"/>
        <v>-9.3727985564855398E-2</v>
      </c>
      <c r="AK1235" s="28">
        <f t="shared" si="400"/>
        <v>-0.1504130752064472</v>
      </c>
      <c r="AL1235" s="28">
        <f t="shared" si="400"/>
        <v>-0.20886695953472056</v>
      </c>
      <c r="AM1235" s="28">
        <f t="shared" si="400"/>
        <v>-0.26926132144871717</v>
      </c>
      <c r="AN1235" s="28">
        <f t="shared" si="400"/>
        <v>-0.2785858709625284</v>
      </c>
      <c r="AO1235" s="28">
        <f t="shared" si="400"/>
        <v>-0.28784146830484625</v>
      </c>
      <c r="AP1235" s="28">
        <f t="shared" si="400"/>
        <v>-0.29735177214419561</v>
      </c>
      <c r="AQ1235" s="28">
        <f t="shared" si="400"/>
        <v>-0.30713073779178091</v>
      </c>
      <c r="AR1235" s="28">
        <f t="shared" si="400"/>
        <v>-0.3174339215313382</v>
      </c>
      <c r="AS1235" s="28">
        <f t="shared" si="400"/>
        <v>-0.32796884800205817</v>
      </c>
      <c r="AT1235" s="28">
        <f t="shared" si="400"/>
        <v>-0.3363135391253369</v>
      </c>
      <c r="AU1235" s="28">
        <f t="shared" si="400"/>
        <v>-0.34462157366886847</v>
      </c>
      <c r="AV1235" s="28">
        <f t="shared" si="400"/>
        <v>-0.3533979687152855</v>
      </c>
      <c r="AW1235" s="28">
        <f t="shared" si="400"/>
        <v>-0.36217034294927997</v>
      </c>
      <c r="AY1235" s="85"/>
      <c r="AZ1235" s="85"/>
    </row>
    <row r="1236" spans="1:52" x14ac:dyDescent="0.25">
      <c r="A1236" s="102" t="str">
        <f t="shared" si="384"/>
        <v>FSFAGSPQNIBDDSCM Cattle MMCH4</v>
      </c>
      <c r="B1236" s="102" t="s">
        <v>1376</v>
      </c>
      <c r="C1236" s="102" t="s">
        <v>1230</v>
      </c>
      <c r="D1236" t="s">
        <v>15</v>
      </c>
      <c r="E1236" t="s">
        <v>22</v>
      </c>
      <c r="F1236" t="s">
        <v>67</v>
      </c>
      <c r="G1236" t="s">
        <v>307</v>
      </c>
      <c r="H1236" t="s">
        <v>1228</v>
      </c>
      <c r="I1236" t="s">
        <v>121</v>
      </c>
      <c r="J1236" t="s">
        <v>286</v>
      </c>
      <c r="K1236" s="28">
        <f t="shared" ref="K1236:AW1236" si="401">IFERROR(K1395-((K1395-K20)+(K1395-K173)+(K1395-K326)+(K1395-K478)+(K1395-K630)+(K1395-K781)+(K1395-K932)+(K1395-K1083)),0)</f>
        <v>0.43302356896670435</v>
      </c>
      <c r="L1236" s="28">
        <f t="shared" si="401"/>
        <v>0.43594736841646864</v>
      </c>
      <c r="M1236" s="28">
        <f t="shared" si="401"/>
        <v>0.43850495231711395</v>
      </c>
      <c r="N1236" s="28">
        <f t="shared" si="401"/>
        <v>0.43883578115568184</v>
      </c>
      <c r="O1236" s="28">
        <f t="shared" si="401"/>
        <v>0.43940560139305368</v>
      </c>
      <c r="P1236" s="28">
        <f t="shared" si="401"/>
        <v>0.44267512481033205</v>
      </c>
      <c r="Q1236" s="28">
        <f t="shared" si="401"/>
        <v>0.44528954636022133</v>
      </c>
      <c r="R1236" s="28">
        <f t="shared" si="401"/>
        <v>0.44531246976557798</v>
      </c>
      <c r="S1236" s="28">
        <f t="shared" si="401"/>
        <v>0.43351447139430072</v>
      </c>
      <c r="T1236" s="28">
        <f t="shared" si="401"/>
        <v>0.43570030693792217</v>
      </c>
      <c r="U1236" s="28">
        <f t="shared" si="401"/>
        <v>0.4364320231101354</v>
      </c>
      <c r="V1236" s="28">
        <f t="shared" si="401"/>
        <v>0.43685669171592034</v>
      </c>
      <c r="W1236" s="28">
        <f t="shared" si="401"/>
        <v>0.43784482992877255</v>
      </c>
      <c r="X1236" s="28">
        <f t="shared" si="401"/>
        <v>0.44071875951393796</v>
      </c>
      <c r="Y1236" s="28">
        <f t="shared" si="401"/>
        <v>0.44374920371302357</v>
      </c>
      <c r="Z1236" s="28">
        <f t="shared" si="401"/>
        <v>0.44724011355397897</v>
      </c>
      <c r="AA1236" s="28">
        <f t="shared" si="401"/>
        <v>0.44996005748351314</v>
      </c>
      <c r="AB1236" s="28">
        <f t="shared" si="401"/>
        <v>0.45350949561852921</v>
      </c>
      <c r="AC1236" s="28">
        <f t="shared" si="401"/>
        <v>0.45807086641805594</v>
      </c>
      <c r="AD1236" s="28">
        <f t="shared" si="401"/>
        <v>0.46546613021887312</v>
      </c>
      <c r="AE1236" s="28">
        <f t="shared" si="401"/>
        <v>0.47325858800298959</v>
      </c>
      <c r="AF1236" s="28">
        <f t="shared" si="401"/>
        <v>0.48128204755216331</v>
      </c>
      <c r="AG1236" s="28">
        <f t="shared" si="401"/>
        <v>0.49026669082325847</v>
      </c>
      <c r="AH1236" s="28">
        <f t="shared" si="401"/>
        <v>0.49829596500422624</v>
      </c>
      <c r="AI1236" s="28">
        <f t="shared" si="401"/>
        <v>0.50664113115793452</v>
      </c>
      <c r="AJ1236" s="28">
        <f t="shared" si="401"/>
        <v>0.51519526074144062</v>
      </c>
      <c r="AK1236" s="28">
        <f t="shared" si="401"/>
        <v>0.52343824355692326</v>
      </c>
      <c r="AL1236" s="28">
        <f t="shared" si="401"/>
        <v>0.5317199849388029</v>
      </c>
      <c r="AM1236" s="28">
        <f t="shared" si="401"/>
        <v>0.5403588054612718</v>
      </c>
      <c r="AN1236" s="28">
        <f t="shared" si="401"/>
        <v>0.54928072375541581</v>
      </c>
      <c r="AO1236" s="28">
        <f t="shared" si="401"/>
        <v>0.55772999164357318</v>
      </c>
      <c r="AP1236" s="28">
        <f t="shared" si="401"/>
        <v>0.56634554170822915</v>
      </c>
      <c r="AQ1236" s="28">
        <f t="shared" si="401"/>
        <v>0.57514355753276669</v>
      </c>
      <c r="AR1236" s="28">
        <f t="shared" si="401"/>
        <v>0.58458401482946365</v>
      </c>
      <c r="AS1236" s="28">
        <f t="shared" si="401"/>
        <v>0.59410397870967679</v>
      </c>
      <c r="AT1236" s="28">
        <f t="shared" si="401"/>
        <v>0.59938143875461858</v>
      </c>
      <c r="AU1236" s="28">
        <f t="shared" si="401"/>
        <v>0.60439458917196498</v>
      </c>
      <c r="AV1236" s="28">
        <f t="shared" si="401"/>
        <v>0.61002667037665903</v>
      </c>
      <c r="AW1236" s="28">
        <f t="shared" si="401"/>
        <v>0.61544512805938845</v>
      </c>
      <c r="AY1236" s="85"/>
      <c r="AZ1236" s="85"/>
    </row>
    <row r="1237" spans="1:52" x14ac:dyDescent="0.25">
      <c r="A1237" s="102" t="str">
        <f t="shared" si="384"/>
        <v>FSFAGSPQNIBDDSCM Cattle MMCH4</v>
      </c>
      <c r="B1237" s="102" t="s">
        <v>1376</v>
      </c>
      <c r="C1237" s="102" t="s">
        <v>1230</v>
      </c>
      <c r="D1237" t="s">
        <v>15</v>
      </c>
      <c r="E1237" t="s">
        <v>22</v>
      </c>
      <c r="F1237" t="s">
        <v>67</v>
      </c>
      <c r="G1237" t="s">
        <v>122</v>
      </c>
      <c r="H1237" t="s">
        <v>1228</v>
      </c>
      <c r="I1237" t="s">
        <v>121</v>
      </c>
      <c r="J1237" t="s">
        <v>286</v>
      </c>
      <c r="K1237" s="28">
        <f t="shared" ref="K1237:AW1237" si="402">IFERROR(K1396-((K1396-K21)+(K1396-K174)+(K1396-K327)+(K1396-K479)+(K1396-K631)+(K1396-K782)+(K1396-K933)+(K1396-K1084)),0)</f>
        <v>9.5339728940472587E-2</v>
      </c>
      <c r="L1237" s="28">
        <f t="shared" si="402"/>
        <v>9.4854333679105063E-2</v>
      </c>
      <c r="M1237" s="28">
        <f t="shared" si="402"/>
        <v>9.3968398426833952E-2</v>
      </c>
      <c r="N1237" s="28">
        <f t="shared" si="402"/>
        <v>9.1543343324502313E-2</v>
      </c>
      <c r="O1237" s="28">
        <f t="shared" si="402"/>
        <v>8.9215062552987667E-2</v>
      </c>
      <c r="P1237" s="28">
        <f t="shared" si="402"/>
        <v>8.8452938660310093E-2</v>
      </c>
      <c r="Q1237" s="28">
        <f t="shared" si="402"/>
        <v>8.7222027489186615E-2</v>
      </c>
      <c r="R1237" s="28">
        <f t="shared" si="402"/>
        <v>8.4456409837201651E-2</v>
      </c>
      <c r="S1237" s="28">
        <f t="shared" si="402"/>
        <v>7.5177478598092318E-2</v>
      </c>
      <c r="T1237" s="28">
        <f t="shared" si="402"/>
        <v>7.3111499678526384E-2</v>
      </c>
      <c r="U1237" s="28">
        <f t="shared" si="402"/>
        <v>7.0166498032131264E-2</v>
      </c>
      <c r="V1237" s="28">
        <f t="shared" si="402"/>
        <v>6.7012451339039672E-2</v>
      </c>
      <c r="W1237" s="28">
        <f t="shared" si="402"/>
        <v>6.4065112307265637E-2</v>
      </c>
      <c r="X1237" s="28">
        <f t="shared" si="402"/>
        <v>6.1831474754391158E-2</v>
      </c>
      <c r="Y1237" s="28">
        <f t="shared" si="402"/>
        <v>5.9614021085901386E-2</v>
      </c>
      <c r="Z1237" s="28">
        <f t="shared" si="402"/>
        <v>5.7395054242656923E-2</v>
      </c>
      <c r="AA1237" s="28">
        <f t="shared" si="402"/>
        <v>5.4736647835411739E-2</v>
      </c>
      <c r="AB1237" s="28">
        <f t="shared" si="402"/>
        <v>5.2204285064905195E-2</v>
      </c>
      <c r="AC1237" s="28">
        <f t="shared" si="402"/>
        <v>4.9800106440613987E-2</v>
      </c>
      <c r="AD1237" s="28">
        <f t="shared" si="402"/>
        <v>4.8728715844954681E-2</v>
      </c>
      <c r="AE1237" s="28">
        <f t="shared" si="402"/>
        <v>4.7611984107865407E-2</v>
      </c>
      <c r="AF1237" s="28">
        <f t="shared" si="402"/>
        <v>4.6403309512252994E-2</v>
      </c>
      <c r="AG1237" s="28">
        <f t="shared" si="402"/>
        <v>4.526798336065653E-2</v>
      </c>
      <c r="AH1237" s="28">
        <f t="shared" si="402"/>
        <v>4.3774098314933313E-2</v>
      </c>
      <c r="AI1237" s="28">
        <f t="shared" si="402"/>
        <v>4.2264479719750656E-2</v>
      </c>
      <c r="AJ1237" s="28">
        <f t="shared" si="402"/>
        <v>4.0671585675165073E-2</v>
      </c>
      <c r="AK1237" s="28">
        <f t="shared" si="402"/>
        <v>3.8911002399442424E-2</v>
      </c>
      <c r="AL1237" s="28">
        <f t="shared" si="402"/>
        <v>3.706055065420967E-2</v>
      </c>
      <c r="AM1237" s="28">
        <f t="shared" si="402"/>
        <v>3.5175198784849482E-2</v>
      </c>
      <c r="AN1237" s="28">
        <f t="shared" si="402"/>
        <v>3.4509043124326677E-2</v>
      </c>
      <c r="AO1237" s="28">
        <f t="shared" si="402"/>
        <v>3.3705513461164197E-2</v>
      </c>
      <c r="AP1237" s="28">
        <f t="shared" si="402"/>
        <v>3.2857842664406514E-2</v>
      </c>
      <c r="AQ1237" s="28">
        <f t="shared" si="402"/>
        <v>3.1969361256512563E-2</v>
      </c>
      <c r="AR1237" s="28">
        <f t="shared" si="402"/>
        <v>3.1091466791533975E-2</v>
      </c>
      <c r="AS1237" s="28">
        <f t="shared" si="402"/>
        <v>3.0178769207509212E-2</v>
      </c>
      <c r="AT1237" s="28">
        <f t="shared" si="402"/>
        <v>2.8794672815597472E-2</v>
      </c>
      <c r="AU1237" s="28">
        <f t="shared" si="402"/>
        <v>2.7380655497217021E-2</v>
      </c>
      <c r="AV1237" s="28">
        <f t="shared" si="402"/>
        <v>2.6018852467759201E-2</v>
      </c>
      <c r="AW1237" s="28">
        <f t="shared" si="402"/>
        <v>2.4635047575320784E-2</v>
      </c>
      <c r="AY1237" s="85"/>
      <c r="AZ1237" s="85"/>
    </row>
    <row r="1238" spans="1:52" x14ac:dyDescent="0.25">
      <c r="A1238" s="102" t="str">
        <f t="shared" si="384"/>
        <v>FSFAGSPQNIBDDSCM Cattle MMCH4</v>
      </c>
      <c r="B1238" s="102" t="s">
        <v>1376</v>
      </c>
      <c r="C1238" s="102" t="s">
        <v>1230</v>
      </c>
      <c r="D1238" t="s">
        <v>15</v>
      </c>
      <c r="E1238" t="s">
        <v>22</v>
      </c>
      <c r="F1238" t="s">
        <v>67</v>
      </c>
      <c r="G1238" t="s">
        <v>123</v>
      </c>
      <c r="H1238" t="s">
        <v>1228</v>
      </c>
      <c r="I1238" t="s">
        <v>121</v>
      </c>
      <c r="J1238" t="s">
        <v>286</v>
      </c>
      <c r="K1238" s="28">
        <f t="shared" ref="K1238:AW1238" si="403">IFERROR(K1397-((K1397-K22)+(K1397-K175)+(K1397-K328)+(K1397-K480)+(K1397-K632)+(K1397-K783)+(K1397-K934)+(K1397-K1085)),0)</f>
        <v>7.0033293869835936E-2</v>
      </c>
      <c r="L1238" s="28">
        <f t="shared" si="403"/>
        <v>6.9676739164256679E-2</v>
      </c>
      <c r="M1238" s="28">
        <f t="shared" si="403"/>
        <v>6.9025961523482296E-2</v>
      </c>
      <c r="N1238" s="28">
        <f t="shared" si="403"/>
        <v>6.724459924650146E-2</v>
      </c>
      <c r="O1238" s="28">
        <f t="shared" si="403"/>
        <v>6.5534324072709205E-2</v>
      </c>
      <c r="P1238" s="28">
        <f t="shared" si="403"/>
        <v>6.4974494008849484E-2</v>
      </c>
      <c r="Q1238" s="28">
        <f t="shared" si="403"/>
        <v>6.4070308893861602E-2</v>
      </c>
      <c r="R1238" s="28">
        <f t="shared" si="403"/>
        <v>6.2038781052262654E-2</v>
      </c>
      <c r="S1238" s="28">
        <f t="shared" si="403"/>
        <v>5.5222796514774769E-2</v>
      </c>
      <c r="T1238" s="28">
        <f t="shared" si="403"/>
        <v>5.3705199282112322E-2</v>
      </c>
      <c r="U1238" s="28">
        <f t="shared" si="403"/>
        <v>5.1541902112703424E-2</v>
      </c>
      <c r="V1238" s="28">
        <f t="shared" si="403"/>
        <v>4.9225047624115705E-2</v>
      </c>
      <c r="W1238" s="28">
        <f t="shared" si="403"/>
        <v>4.706003349160074E-2</v>
      </c>
      <c r="X1238" s="28">
        <f t="shared" si="403"/>
        <v>4.5419279979108301E-2</v>
      </c>
      <c r="Y1238" s="28">
        <f t="shared" si="403"/>
        <v>4.379041459283211E-2</v>
      </c>
      <c r="Z1238" s="28">
        <f t="shared" si="403"/>
        <v>4.2160437680296634E-2</v>
      </c>
      <c r="AA1238" s="28">
        <f t="shared" si="403"/>
        <v>4.020766354077393E-2</v>
      </c>
      <c r="AB1238" s="28">
        <f t="shared" si="403"/>
        <v>3.8347476732369545E-2</v>
      </c>
      <c r="AC1238" s="28">
        <f t="shared" si="403"/>
        <v>3.6581449599906335E-2</v>
      </c>
      <c r="AD1238" s="28">
        <f t="shared" si="403"/>
        <v>3.5794442826664552E-2</v>
      </c>
      <c r="AE1238" s="28">
        <f t="shared" si="403"/>
        <v>3.4974130006537096E-2</v>
      </c>
      <c r="AF1238" s="28">
        <f t="shared" si="403"/>
        <v>3.4086279117005194E-2</v>
      </c>
      <c r="AG1238" s="28">
        <f t="shared" si="403"/>
        <v>3.3252307477936352E-2</v>
      </c>
      <c r="AH1238" s="28">
        <f t="shared" si="403"/>
        <v>3.2154950777035618E-2</v>
      </c>
      <c r="AI1238" s="28">
        <f t="shared" si="403"/>
        <v>3.1046036750504186E-2</v>
      </c>
      <c r="AJ1238" s="28">
        <f t="shared" si="403"/>
        <v>2.9875951435937922E-2</v>
      </c>
      <c r="AK1238" s="28">
        <f t="shared" si="403"/>
        <v>2.8582687365426601E-2</v>
      </c>
      <c r="AL1238" s="28">
        <f t="shared" si="403"/>
        <v>2.7223409000509596E-2</v>
      </c>
      <c r="AM1238" s="28">
        <f t="shared" si="403"/>
        <v>2.5838494201796611E-2</v>
      </c>
      <c r="AN1238" s="28">
        <f t="shared" si="403"/>
        <v>2.5349159108704652E-2</v>
      </c>
      <c r="AO1238" s="28">
        <f t="shared" si="403"/>
        <v>2.4758913786436895E-2</v>
      </c>
      <c r="AP1238" s="28">
        <f t="shared" si="403"/>
        <v>2.4136243901867846E-2</v>
      </c>
      <c r="AQ1238" s="28">
        <f t="shared" si="403"/>
        <v>2.3483595942528926E-2</v>
      </c>
      <c r="AR1238" s="28">
        <f t="shared" si="403"/>
        <v>2.2838724788228348E-2</v>
      </c>
      <c r="AS1238" s="28">
        <f t="shared" si="403"/>
        <v>2.2168288456736324E-2</v>
      </c>
      <c r="AT1238" s="28">
        <f t="shared" si="403"/>
        <v>2.1151578734187632E-2</v>
      </c>
      <c r="AU1238" s="28">
        <f t="shared" si="403"/>
        <v>2.0112890125611835E-2</v>
      </c>
      <c r="AV1238" s="28">
        <f t="shared" si="403"/>
        <v>1.9112556342259016E-2</v>
      </c>
      <c r="AW1238" s="28">
        <f t="shared" si="403"/>
        <v>1.8096060745222395E-2</v>
      </c>
      <c r="AY1238" s="85"/>
      <c r="AZ1238" s="85"/>
    </row>
    <row r="1239" spans="1:52" x14ac:dyDescent="0.25">
      <c r="A1239" s="102" t="str">
        <f t="shared" si="384"/>
        <v>FSFAGSPQNIBDDSCM Cattle MMCH4</v>
      </c>
      <c r="B1239" s="102" t="s">
        <v>1376</v>
      </c>
      <c r="C1239" s="102" t="s">
        <v>1230</v>
      </c>
      <c r="D1239" t="s">
        <v>15</v>
      </c>
      <c r="E1239" t="s">
        <v>22</v>
      </c>
      <c r="F1239" t="s">
        <v>67</v>
      </c>
      <c r="G1239" t="s">
        <v>135</v>
      </c>
      <c r="H1239" t="s">
        <v>1228</v>
      </c>
      <c r="I1239" t="s">
        <v>121</v>
      </c>
      <c r="J1239" t="s">
        <v>286</v>
      </c>
      <c r="K1239" s="28">
        <f t="shared" ref="K1239:AW1239" si="404">IFERROR(K1398-((K1398-K23)+(K1398-K176)+(K1398-K329)+(K1398-K481)+(K1398-K633)+(K1398-K784)+(K1398-K935)+(K1398-K1086)),0)</f>
        <v>0.47241651785764616</v>
      </c>
      <c r="L1239" s="28">
        <f t="shared" si="404"/>
        <v>0.49004050540543137</v>
      </c>
      <c r="M1239" s="28">
        <f t="shared" si="404"/>
        <v>0.50587338709485186</v>
      </c>
      <c r="N1239" s="28">
        <f t="shared" si="404"/>
        <v>0.51330333017852303</v>
      </c>
      <c r="O1239" s="28">
        <f t="shared" si="404"/>
        <v>0.52084695794290625</v>
      </c>
      <c r="P1239" s="28">
        <f t="shared" si="404"/>
        <v>0.53749845878988001</v>
      </c>
      <c r="Q1239" s="28">
        <f t="shared" si="404"/>
        <v>0.55154407690171303</v>
      </c>
      <c r="R1239" s="28">
        <f t="shared" si="404"/>
        <v>0.55564430469746628</v>
      </c>
      <c r="S1239" s="28">
        <f t="shared" si="404"/>
        <v>0.51452468218759118</v>
      </c>
      <c r="T1239" s="28">
        <f t="shared" si="404"/>
        <v>0.49490557148703418</v>
      </c>
      <c r="U1239" s="28">
        <f t="shared" si="404"/>
        <v>0.46741545813489516</v>
      </c>
      <c r="V1239" s="28">
        <f t="shared" si="404"/>
        <v>0.43664645570488431</v>
      </c>
      <c r="W1239" s="28">
        <f t="shared" si="404"/>
        <v>0.40530561788978886</v>
      </c>
      <c r="X1239" s="28">
        <f t="shared" si="404"/>
        <v>0.37636518084041454</v>
      </c>
      <c r="Y1239" s="28">
        <f t="shared" si="404"/>
        <v>0.34504032325442563</v>
      </c>
      <c r="Z1239" s="28">
        <f t="shared" si="404"/>
        <v>0.31098381375857853</v>
      </c>
      <c r="AA1239" s="28">
        <f t="shared" si="404"/>
        <v>0.2716267424500507</v>
      </c>
      <c r="AB1239" s="28">
        <f t="shared" si="404"/>
        <v>0.22992647408118005</v>
      </c>
      <c r="AC1239" s="28">
        <f t="shared" si="404"/>
        <v>0.18535582662437877</v>
      </c>
      <c r="AD1239" s="28">
        <f t="shared" si="404"/>
        <v>0.16265696987566791</v>
      </c>
      <c r="AE1239" s="28">
        <f t="shared" si="404"/>
        <v>0.13738904345276404</v>
      </c>
      <c r="AF1239" s="28">
        <f t="shared" si="404"/>
        <v>0.10921195157254981</v>
      </c>
      <c r="AG1239" s="28">
        <f t="shared" si="404"/>
        <v>7.8374476513494162E-2</v>
      </c>
      <c r="AH1239" s="28">
        <f t="shared" si="404"/>
        <v>4.3645926700342286E-2</v>
      </c>
      <c r="AI1239" s="28">
        <f t="shared" si="404"/>
        <v>5.7747686460312142E-3</v>
      </c>
      <c r="AJ1239" s="28">
        <f t="shared" si="404"/>
        <v>-3.5551689306845491E-2</v>
      </c>
      <c r="AK1239" s="28">
        <f t="shared" si="404"/>
        <v>-8.0403850841069824E-2</v>
      </c>
      <c r="AL1239" s="28">
        <f t="shared" si="404"/>
        <v>-0.12876543997937917</v>
      </c>
      <c r="AM1239" s="28">
        <f t="shared" si="404"/>
        <v>-0.1808500090884817</v>
      </c>
      <c r="AN1239" s="28">
        <f t="shared" si="404"/>
        <v>-0.2083165106141367</v>
      </c>
      <c r="AO1239" s="28">
        <f t="shared" si="404"/>
        <v>-0.2372559618798078</v>
      </c>
      <c r="AP1239" s="28">
        <f t="shared" si="404"/>
        <v>-0.26805185040331758</v>
      </c>
      <c r="AQ1239" s="28">
        <f t="shared" si="404"/>
        <v>-0.30078374669289309</v>
      </c>
      <c r="AR1239" s="28">
        <f t="shared" si="404"/>
        <v>-0.3359402121614683</v>
      </c>
      <c r="AS1239" s="28">
        <f t="shared" si="404"/>
        <v>-0.37334520745766464</v>
      </c>
      <c r="AT1239" s="28">
        <f t="shared" si="404"/>
        <v>-0.40823172568213795</v>
      </c>
      <c r="AU1239" s="28">
        <f t="shared" si="404"/>
        <v>-0.44415328328725168</v>
      </c>
      <c r="AV1239" s="28">
        <f t="shared" si="404"/>
        <v>-0.48216241538245019</v>
      </c>
      <c r="AW1239" s="28">
        <f t="shared" si="404"/>
        <v>-0.5213220458148875</v>
      </c>
      <c r="AY1239" s="85"/>
      <c r="AZ1239" s="85"/>
    </row>
    <row r="1240" spans="1:52" x14ac:dyDescent="0.25">
      <c r="A1240" s="102" t="str">
        <f t="shared" si="384"/>
        <v>FSFAGSPQNIBDDSCM Sheep MMCH4</v>
      </c>
      <c r="B1240" s="102" t="s">
        <v>1376</v>
      </c>
      <c r="C1240" s="102" t="s">
        <v>1325</v>
      </c>
      <c r="D1240" t="s">
        <v>15</v>
      </c>
      <c r="E1240" t="s">
        <v>22</v>
      </c>
      <c r="F1240" t="s">
        <v>18</v>
      </c>
      <c r="G1240" t="s">
        <v>122</v>
      </c>
      <c r="H1240" t="s">
        <v>1228</v>
      </c>
      <c r="I1240" t="s">
        <v>121</v>
      </c>
      <c r="J1240" t="s">
        <v>286</v>
      </c>
      <c r="K1240" s="28">
        <f t="shared" ref="K1240:AW1240" si="405">IFERROR(K1399-((K1399-K24)+(K1399-K177)+(K1399-K330)+(K1399-K482)+(K1399-K634)+(K1399-K785)+(K1399-K936)+(K1399-K1087)),0)</f>
        <v>3.6049467288640238E-2</v>
      </c>
      <c r="L1240" s="28">
        <f t="shared" si="405"/>
        <v>3.6068922498919492E-2</v>
      </c>
      <c r="M1240" s="28">
        <f t="shared" si="405"/>
        <v>3.6113648368603188E-2</v>
      </c>
      <c r="N1240" s="28">
        <f t="shared" si="405"/>
        <v>3.6180048088995075E-2</v>
      </c>
      <c r="O1240" s="28">
        <f t="shared" si="405"/>
        <v>3.6269669615497352E-2</v>
      </c>
      <c r="P1240" s="28">
        <f t="shared" si="405"/>
        <v>3.6384314095385159E-2</v>
      </c>
      <c r="Q1240" s="28">
        <f t="shared" si="405"/>
        <v>3.6510640385803414E-2</v>
      </c>
      <c r="R1240" s="28">
        <f t="shared" si="405"/>
        <v>3.6646686440443228E-2</v>
      </c>
      <c r="S1240" s="28">
        <f t="shared" si="405"/>
        <v>3.6781472874538444E-2</v>
      </c>
      <c r="T1240" s="28">
        <f t="shared" si="405"/>
        <v>3.682926617014972E-2</v>
      </c>
      <c r="U1240" s="28">
        <f t="shared" si="405"/>
        <v>3.6884510388050309E-2</v>
      </c>
      <c r="V1240" s="28">
        <f t="shared" si="405"/>
        <v>3.6947925593103295E-2</v>
      </c>
      <c r="W1240" s="28">
        <f t="shared" si="405"/>
        <v>3.7020020301289432E-2</v>
      </c>
      <c r="X1240" s="28">
        <f t="shared" si="405"/>
        <v>3.7101912847664391E-2</v>
      </c>
      <c r="Y1240" s="28">
        <f t="shared" si="405"/>
        <v>3.7150623304634242E-2</v>
      </c>
      <c r="Z1240" s="28">
        <f t="shared" si="405"/>
        <v>3.7206386141963026E-2</v>
      </c>
      <c r="AA1240" s="28">
        <f t="shared" si="405"/>
        <v>3.7267438465596464E-2</v>
      </c>
      <c r="AB1240" s="28">
        <f t="shared" si="405"/>
        <v>3.7335382828478099E-2</v>
      </c>
      <c r="AC1240" s="28">
        <f t="shared" si="405"/>
        <v>3.7410206438349539E-2</v>
      </c>
      <c r="AD1240" s="28">
        <f t="shared" si="405"/>
        <v>3.7460927970702197E-2</v>
      </c>
      <c r="AE1240" s="28">
        <f t="shared" si="405"/>
        <v>3.7516937677727083E-2</v>
      </c>
      <c r="AF1240" s="28">
        <f t="shared" si="405"/>
        <v>3.7577832532022119E-2</v>
      </c>
      <c r="AG1240" s="28">
        <f t="shared" si="405"/>
        <v>3.7644310884026352E-2</v>
      </c>
      <c r="AH1240" s="28">
        <f t="shared" si="405"/>
        <v>3.7713885519083466E-2</v>
      </c>
      <c r="AI1240" s="28">
        <f t="shared" si="405"/>
        <v>3.7757026119284068E-2</v>
      </c>
      <c r="AJ1240" s="28">
        <f t="shared" si="405"/>
        <v>3.7804137236175879E-2</v>
      </c>
      <c r="AK1240" s="28">
        <f t="shared" si="405"/>
        <v>3.7854446922025949E-2</v>
      </c>
      <c r="AL1240" s="28">
        <f t="shared" si="405"/>
        <v>3.7908250329284181E-2</v>
      </c>
      <c r="AM1240" s="28">
        <f t="shared" si="405"/>
        <v>3.7965816215400267E-2</v>
      </c>
      <c r="AN1240" s="28">
        <f t="shared" si="405"/>
        <v>3.7998173867661737E-2</v>
      </c>
      <c r="AO1240" s="28">
        <f t="shared" si="405"/>
        <v>3.8032893703267914E-2</v>
      </c>
      <c r="AP1240" s="28">
        <f t="shared" si="405"/>
        <v>3.8070653960654684E-2</v>
      </c>
      <c r="AQ1240" s="28">
        <f t="shared" si="405"/>
        <v>3.8111380387154142E-2</v>
      </c>
      <c r="AR1240" s="28">
        <f t="shared" si="405"/>
        <v>3.8155550306359247E-2</v>
      </c>
      <c r="AS1240" s="28">
        <f t="shared" si="405"/>
        <v>3.8173350071819712E-2</v>
      </c>
      <c r="AT1240" s="28">
        <f t="shared" si="405"/>
        <v>3.8188290518228231E-2</v>
      </c>
      <c r="AU1240" s="28">
        <f t="shared" si="405"/>
        <v>3.8205178666049E-2</v>
      </c>
      <c r="AV1240" s="28">
        <f t="shared" si="405"/>
        <v>3.8225031107168156E-2</v>
      </c>
      <c r="AW1240" s="28">
        <f t="shared" si="405"/>
        <v>3.8246752665964737E-2</v>
      </c>
      <c r="AY1240" s="85"/>
      <c r="AZ1240" s="85"/>
    </row>
    <row r="1241" spans="1:52" x14ac:dyDescent="0.25">
      <c r="A1241" s="102" t="str">
        <f t="shared" si="384"/>
        <v>FSFAGSPQNIBDDSCM Sheep MMCH4</v>
      </c>
      <c r="B1241" s="102" t="s">
        <v>1376</v>
      </c>
      <c r="C1241" s="102" t="s">
        <v>1325</v>
      </c>
      <c r="D1241" t="s">
        <v>15</v>
      </c>
      <c r="E1241" t="s">
        <v>22</v>
      </c>
      <c r="F1241" t="s">
        <v>18</v>
      </c>
      <c r="G1241" t="s">
        <v>123</v>
      </c>
      <c r="H1241" t="s">
        <v>1228</v>
      </c>
      <c r="I1241" t="s">
        <v>121</v>
      </c>
      <c r="J1241" t="s">
        <v>286</v>
      </c>
      <c r="K1241" s="28">
        <f t="shared" ref="K1241:AW1241" si="406">IFERROR(K1400-((K1400-K25)+(K1400-K178)+(K1400-K331)+(K1400-K483)+(K1400-K635)+(K1400-K786)+(K1400-K937)+(K1400-K1088)),0)</f>
        <v>4.1170209951421942E-3</v>
      </c>
      <c r="L1241" s="28">
        <f t="shared" si="406"/>
        <v>4.1192428728898823E-3</v>
      </c>
      <c r="M1241" s="28">
        <f t="shared" si="406"/>
        <v>4.12435078039485E-3</v>
      </c>
      <c r="N1241" s="28">
        <f t="shared" si="406"/>
        <v>4.1319339449597016E-3</v>
      </c>
      <c r="O1241" s="28">
        <f t="shared" si="406"/>
        <v>4.1421691504697385E-3</v>
      </c>
      <c r="P1241" s="28">
        <f t="shared" si="406"/>
        <v>4.1552620965289999E-3</v>
      </c>
      <c r="Q1241" s="28">
        <f t="shared" si="406"/>
        <v>4.1696891610325101E-3</v>
      </c>
      <c r="R1241" s="28">
        <f t="shared" si="406"/>
        <v>4.1852262689396433E-3</v>
      </c>
      <c r="S1241" s="28">
        <f t="shared" si="406"/>
        <v>4.2006195221765729E-3</v>
      </c>
      <c r="T1241" s="28">
        <f t="shared" si="406"/>
        <v>4.2060777443434401E-3</v>
      </c>
      <c r="U1241" s="28">
        <f t="shared" si="406"/>
        <v>4.2123868973507738E-3</v>
      </c>
      <c r="V1241" s="28">
        <f t="shared" si="406"/>
        <v>4.2196292160381482E-3</v>
      </c>
      <c r="W1241" s="28">
        <f t="shared" si="406"/>
        <v>4.2278627753544202E-3</v>
      </c>
      <c r="X1241" s="28">
        <f t="shared" si="406"/>
        <v>4.2372152944935189E-3</v>
      </c>
      <c r="Y1241" s="28">
        <f t="shared" si="406"/>
        <v>4.2427782608592118E-3</v>
      </c>
      <c r="Z1241" s="28">
        <f t="shared" si="406"/>
        <v>4.2491466426772609E-3</v>
      </c>
      <c r="AA1241" s="28">
        <f t="shared" si="406"/>
        <v>4.2561191090437827E-3</v>
      </c>
      <c r="AB1241" s="28">
        <f t="shared" si="406"/>
        <v>4.2638786791435431E-3</v>
      </c>
      <c r="AC1241" s="28">
        <f t="shared" si="406"/>
        <v>4.27242389203966E-3</v>
      </c>
      <c r="AD1241" s="28">
        <f t="shared" si="406"/>
        <v>4.2782165327999166E-3</v>
      </c>
      <c r="AE1241" s="28">
        <f t="shared" si="406"/>
        <v>4.2846131083139703E-3</v>
      </c>
      <c r="AF1241" s="28">
        <f t="shared" si="406"/>
        <v>4.2915675909314648E-3</v>
      </c>
      <c r="AG1241" s="28">
        <f t="shared" si="406"/>
        <v>4.299159735601246E-3</v>
      </c>
      <c r="AH1241" s="28">
        <f t="shared" si="406"/>
        <v>4.3071054905541827E-3</v>
      </c>
      <c r="AI1241" s="28">
        <f t="shared" si="406"/>
        <v>4.3120323527279522E-3</v>
      </c>
      <c r="AJ1241" s="28">
        <f t="shared" si="406"/>
        <v>4.3174126668334345E-3</v>
      </c>
      <c r="AK1241" s="28">
        <f t="shared" si="406"/>
        <v>4.3231582727600165E-3</v>
      </c>
      <c r="AL1241" s="28">
        <f t="shared" si="406"/>
        <v>4.3293028783243318E-3</v>
      </c>
      <c r="AM1241" s="28">
        <f t="shared" si="406"/>
        <v>4.3358771769081714E-3</v>
      </c>
      <c r="AN1241" s="28">
        <f t="shared" si="406"/>
        <v>4.3395725750300712E-3</v>
      </c>
      <c r="AO1241" s="28">
        <f t="shared" si="406"/>
        <v>4.3435377457493509E-3</v>
      </c>
      <c r="AP1241" s="28">
        <f t="shared" si="406"/>
        <v>4.3478501471282283E-3</v>
      </c>
      <c r="AQ1241" s="28">
        <f t="shared" si="406"/>
        <v>4.3525012991580993E-3</v>
      </c>
      <c r="AR1241" s="28">
        <f t="shared" si="406"/>
        <v>4.3575457144684601E-3</v>
      </c>
      <c r="AS1241" s="28">
        <f t="shared" si="406"/>
        <v>4.3595785325271173E-3</v>
      </c>
      <c r="AT1241" s="28">
        <f t="shared" si="406"/>
        <v>4.3612848027210207E-3</v>
      </c>
      <c r="AU1241" s="28">
        <f t="shared" si="406"/>
        <v>4.3632135096999744E-3</v>
      </c>
      <c r="AV1241" s="28">
        <f t="shared" si="406"/>
        <v>4.3654807531029903E-3</v>
      </c>
      <c r="AW1241" s="28">
        <f t="shared" si="406"/>
        <v>4.367961458653969E-3</v>
      </c>
      <c r="AY1241" s="85"/>
      <c r="AZ1241" s="85"/>
    </row>
    <row r="1242" spans="1:52" x14ac:dyDescent="0.25">
      <c r="A1242" s="102" t="str">
        <f t="shared" si="384"/>
        <v>FSFAGSPQNIBDDSCM Goats MMCH4</v>
      </c>
      <c r="B1242" s="102" t="s">
        <v>1376</v>
      </c>
      <c r="C1242" s="102" t="s">
        <v>1326</v>
      </c>
      <c r="D1242" t="s">
        <v>15</v>
      </c>
      <c r="E1242" t="s">
        <v>22</v>
      </c>
      <c r="F1242" t="s">
        <v>19</v>
      </c>
      <c r="G1242" t="s">
        <v>122</v>
      </c>
      <c r="H1242" t="s">
        <v>1228</v>
      </c>
      <c r="I1242" t="s">
        <v>121</v>
      </c>
      <c r="J1242" t="s">
        <v>286</v>
      </c>
      <c r="K1242" s="28">
        <f t="shared" ref="K1242:AW1242" si="407">IFERROR(K1401-((K1401-K26)+(K1401-K179)+(K1401-K332)+(K1401-K484)+(K1401-K636)+(K1401-K787)+(K1401-K938)+(K1401-K1089)),0)</f>
        <v>1.5786050776084536E-2</v>
      </c>
      <c r="L1242" s="28">
        <f t="shared" si="407"/>
        <v>1.5827081346829606E-2</v>
      </c>
      <c r="M1242" s="28">
        <f t="shared" si="407"/>
        <v>1.5882411871580165E-2</v>
      </c>
      <c r="N1242" s="28">
        <f t="shared" si="407"/>
        <v>1.5949803045989901E-2</v>
      </c>
      <c r="O1242" s="28">
        <f t="shared" si="407"/>
        <v>1.6030521416305728E-2</v>
      </c>
      <c r="P1242" s="28">
        <f t="shared" si="407"/>
        <v>1.6125949164627635E-2</v>
      </c>
      <c r="Q1242" s="28">
        <f t="shared" si="407"/>
        <v>1.6227083744595871E-2</v>
      </c>
      <c r="R1242" s="28">
        <f t="shared" si="407"/>
        <v>1.6332741800602117E-2</v>
      </c>
      <c r="S1242" s="28">
        <f t="shared" si="407"/>
        <v>1.6435606263672888E-2</v>
      </c>
      <c r="T1242" s="28">
        <f t="shared" si="407"/>
        <v>1.6482785969504622E-2</v>
      </c>
      <c r="U1242" s="28">
        <f t="shared" si="407"/>
        <v>1.6533664426214255E-2</v>
      </c>
      <c r="V1242" s="28">
        <f t="shared" si="407"/>
        <v>1.6588808405428729E-2</v>
      </c>
      <c r="W1242" s="28">
        <f t="shared" si="407"/>
        <v>1.6648626125843623E-2</v>
      </c>
      <c r="X1242" s="28">
        <f t="shared" si="407"/>
        <v>1.671392230440329E-2</v>
      </c>
      <c r="Y1242" s="28">
        <f t="shared" si="407"/>
        <v>1.6755949162850392E-2</v>
      </c>
      <c r="Z1242" s="28">
        <f t="shared" si="407"/>
        <v>1.6801812461822448E-2</v>
      </c>
      <c r="AA1242" s="28">
        <f t="shared" si="407"/>
        <v>1.6850371356583897E-2</v>
      </c>
      <c r="AB1242" s="28">
        <f t="shared" si="407"/>
        <v>1.6902729841508243E-2</v>
      </c>
      <c r="AC1242" s="28">
        <f t="shared" si="407"/>
        <v>1.6958905567505546E-2</v>
      </c>
      <c r="AD1242" s="28">
        <f t="shared" si="407"/>
        <v>1.6995881142245144E-2</v>
      </c>
      <c r="AE1242" s="28">
        <f t="shared" si="407"/>
        <v>1.7035738596248386E-2</v>
      </c>
      <c r="AF1242" s="28">
        <f t="shared" si="407"/>
        <v>1.7078229800458981E-2</v>
      </c>
      <c r="AG1242" s="28">
        <f t="shared" si="407"/>
        <v>1.7123832345859253E-2</v>
      </c>
      <c r="AH1242" s="28">
        <f t="shared" si="407"/>
        <v>1.7170921235490962E-2</v>
      </c>
      <c r="AI1242" s="28">
        <f t="shared" si="407"/>
        <v>1.720011231394674E-2</v>
      </c>
      <c r="AJ1242" s="28">
        <f t="shared" si="407"/>
        <v>1.7231468078725984E-2</v>
      </c>
      <c r="AK1242" s="28">
        <f t="shared" si="407"/>
        <v>1.7264493513114532E-2</v>
      </c>
      <c r="AL1242" s="28">
        <f t="shared" si="407"/>
        <v>1.7299393145414187E-2</v>
      </c>
      <c r="AM1242" s="28">
        <f t="shared" si="407"/>
        <v>1.7336351628498631E-2</v>
      </c>
      <c r="AN1242" s="28">
        <f t="shared" si="407"/>
        <v>1.7356503534937538E-2</v>
      </c>
      <c r="AO1242" s="28">
        <f t="shared" si="407"/>
        <v>1.7377878973805026E-2</v>
      </c>
      <c r="AP1242" s="28">
        <f t="shared" si="407"/>
        <v>1.7400926590350561E-2</v>
      </c>
      <c r="AQ1242" s="28">
        <f t="shared" si="407"/>
        <v>1.7425603506526253E-2</v>
      </c>
      <c r="AR1242" s="28">
        <f t="shared" si="407"/>
        <v>1.7452223423977883E-2</v>
      </c>
      <c r="AS1242" s="28">
        <f t="shared" si="407"/>
        <v>1.7461521770457056E-2</v>
      </c>
      <c r="AT1242" s="28">
        <f t="shared" si="407"/>
        <v>1.7468759965525583E-2</v>
      </c>
      <c r="AU1242" s="28">
        <f t="shared" si="407"/>
        <v>1.7477053902041951E-2</v>
      </c>
      <c r="AV1242" s="28">
        <f t="shared" si="407"/>
        <v>1.7487061559141349E-2</v>
      </c>
      <c r="AW1242" s="28">
        <f t="shared" si="407"/>
        <v>1.7498080042052506E-2</v>
      </c>
      <c r="AY1242" s="85"/>
      <c r="AZ1242" s="85"/>
    </row>
    <row r="1243" spans="1:52" x14ac:dyDescent="0.25">
      <c r="A1243" s="102" t="str">
        <f t="shared" si="384"/>
        <v>FSFAGSPQNIBDDSCM Goats MMCH4</v>
      </c>
      <c r="B1243" s="102" t="s">
        <v>1376</v>
      </c>
      <c r="C1243" s="102" t="s">
        <v>1326</v>
      </c>
      <c r="D1243" t="s">
        <v>15</v>
      </c>
      <c r="E1243" t="s">
        <v>22</v>
      </c>
      <c r="F1243" t="s">
        <v>19</v>
      </c>
      <c r="G1243" t="s">
        <v>123</v>
      </c>
      <c r="H1243" t="s">
        <v>1228</v>
      </c>
      <c r="I1243" t="s">
        <v>121</v>
      </c>
      <c r="J1243" t="s">
        <v>286</v>
      </c>
      <c r="K1243" s="28">
        <f t="shared" ref="K1243:AW1243" si="408">IFERROR(K1402-((K1402-K27)+(K1402-K180)+(K1402-K333)+(K1402-K485)+(K1402-K637)+(K1402-K788)+(K1402-K939)+(K1402-K1090)),0)</f>
        <v>2.6586118821625565E-2</v>
      </c>
      <c r="L1243" s="28">
        <f t="shared" si="408"/>
        <v>2.6655220564969766E-2</v>
      </c>
      <c r="M1243" s="28">
        <f t="shared" si="408"/>
        <v>2.674840561336134E-2</v>
      </c>
      <c r="N1243" s="28">
        <f t="shared" si="408"/>
        <v>2.6861902636511708E-2</v>
      </c>
      <c r="O1243" s="28">
        <f t="shared" si="408"/>
        <v>2.6997844691604787E-2</v>
      </c>
      <c r="P1243" s="28">
        <f t="shared" si="408"/>
        <v>2.7158559584249745E-2</v>
      </c>
      <c r="Q1243" s="28">
        <f t="shared" si="408"/>
        <v>2.7328885652380994E-2</v>
      </c>
      <c r="R1243" s="28">
        <f t="shared" si="408"/>
        <v>2.7506829944546809E-2</v>
      </c>
      <c r="S1243" s="28">
        <f t="shared" si="408"/>
        <v>2.7680069399842709E-2</v>
      </c>
      <c r="T1243" s="28">
        <f t="shared" si="408"/>
        <v>2.7759527225172408E-2</v>
      </c>
      <c r="U1243" s="28">
        <f t="shared" si="408"/>
        <v>2.7845214311494997E-2</v>
      </c>
      <c r="V1243" s="28">
        <f t="shared" si="408"/>
        <v>2.7938085188732656E-2</v>
      </c>
      <c r="W1243" s="28">
        <f t="shared" si="408"/>
        <v>2.8038827359472312E-2</v>
      </c>
      <c r="X1243" s="28">
        <f t="shared" si="408"/>
        <v>2.814879608986658E-2</v>
      </c>
      <c r="Y1243" s="28">
        <f t="shared" si="408"/>
        <v>2.821957573375743E-2</v>
      </c>
      <c r="Z1243" s="28">
        <f t="shared" si="408"/>
        <v>2.8296816529021451E-2</v>
      </c>
      <c r="AA1243" s="28">
        <f t="shared" si="408"/>
        <v>2.8378597119004759E-2</v>
      </c>
      <c r="AB1243" s="28">
        <f t="shared" si="408"/>
        <v>2.8466776798727306E-2</v>
      </c>
      <c r="AC1243" s="28">
        <f t="shared" si="408"/>
        <v>2.8561385295015548E-2</v>
      </c>
      <c r="AD1243" s="28">
        <f t="shared" si="408"/>
        <v>2.8623657806200815E-2</v>
      </c>
      <c r="AE1243" s="28">
        <f t="shared" si="408"/>
        <v>2.8690783841907163E-2</v>
      </c>
      <c r="AF1243" s="28">
        <f t="shared" si="408"/>
        <v>2.876234551493359E-2</v>
      </c>
      <c r="AG1243" s="28">
        <f t="shared" si="408"/>
        <v>2.8839147161385727E-2</v>
      </c>
      <c r="AH1243" s="28">
        <f t="shared" si="408"/>
        <v>2.891845203837394E-2</v>
      </c>
      <c r="AI1243" s="28">
        <f t="shared" si="408"/>
        <v>2.8967614269723933E-2</v>
      </c>
      <c r="AJ1243" s="28">
        <f t="shared" si="408"/>
        <v>2.9020422163223609E-2</v>
      </c>
      <c r="AK1243" s="28">
        <f t="shared" si="408"/>
        <v>2.9076042035175369E-2</v>
      </c>
      <c r="AL1243" s="28">
        <f t="shared" si="408"/>
        <v>2.9134818342455165E-2</v>
      </c>
      <c r="AM1243" s="28">
        <f t="shared" si="408"/>
        <v>2.9197062068684575E-2</v>
      </c>
      <c r="AN1243" s="28">
        <f t="shared" si="408"/>
        <v>2.9231000954772463E-2</v>
      </c>
      <c r="AO1243" s="28">
        <f t="shared" si="408"/>
        <v>2.926700045620928E-2</v>
      </c>
      <c r="AP1243" s="28">
        <f t="shared" si="408"/>
        <v>2.9305816160068741E-2</v>
      </c>
      <c r="AQ1243" s="28">
        <f t="shared" si="408"/>
        <v>2.9347375853174006E-2</v>
      </c>
      <c r="AR1243" s="28">
        <f t="shared" si="408"/>
        <v>2.9392207856974665E-2</v>
      </c>
      <c r="AS1243" s="28">
        <f t="shared" si="408"/>
        <v>2.9407867691587285E-2</v>
      </c>
      <c r="AT1243" s="28">
        <f t="shared" si="408"/>
        <v>2.9420057916797852E-2</v>
      </c>
      <c r="AU1243" s="28">
        <f t="shared" si="408"/>
        <v>2.9434026171737036E-2</v>
      </c>
      <c r="AV1243" s="28">
        <f t="shared" si="408"/>
        <v>2.9450880593691244E-2</v>
      </c>
      <c r="AW1243" s="28">
        <f t="shared" si="408"/>
        <v>2.9469437400587745E-2</v>
      </c>
      <c r="AY1243" s="85"/>
      <c r="AZ1243" s="85"/>
    </row>
    <row r="1244" spans="1:52" x14ac:dyDescent="0.25">
      <c r="A1244" s="102" t="str">
        <f t="shared" si="384"/>
        <v>FSFAGSPQNIBDDSCM Horses MMCH4</v>
      </c>
      <c r="B1244" s="102" t="s">
        <v>1376</v>
      </c>
      <c r="C1244" s="102" t="s">
        <v>1327</v>
      </c>
      <c r="D1244" t="s">
        <v>15</v>
      </c>
      <c r="E1244" t="s">
        <v>22</v>
      </c>
      <c r="F1244" t="s">
        <v>20</v>
      </c>
      <c r="G1244" t="s">
        <v>3</v>
      </c>
      <c r="H1244" t="s">
        <v>1228</v>
      </c>
      <c r="I1244" t="s">
        <v>121</v>
      </c>
      <c r="J1244" t="s">
        <v>286</v>
      </c>
      <c r="K1244" s="28">
        <f t="shared" ref="K1244:AW1244" si="409">IFERROR(K1403-((K1403-K28)+(K1403-K181)+(K1403-K334)+(K1403-K486)+(K1403-K638)+(K1403-K789)+(K1403-K940)+(K1403-K1091)),0)</f>
        <v>4.1409780786531561E-3</v>
      </c>
      <c r="L1244" s="28">
        <f t="shared" si="409"/>
        <v>4.1688671764084162E-3</v>
      </c>
      <c r="M1244" s="28">
        <f t="shared" si="409"/>
        <v>4.1857409403688933E-3</v>
      </c>
      <c r="N1244" s="28">
        <f t="shared" si="409"/>
        <v>4.1635395322190223E-3</v>
      </c>
      <c r="O1244" s="28">
        <f t="shared" si="409"/>
        <v>4.1408513683072233E-3</v>
      </c>
      <c r="P1244" s="28">
        <f t="shared" si="409"/>
        <v>4.1549094768624506E-3</v>
      </c>
      <c r="Q1244" s="28">
        <f t="shared" si="409"/>
        <v>4.1567255728426969E-3</v>
      </c>
      <c r="R1244" s="28">
        <f t="shared" si="409"/>
        <v>4.1179597585422178E-3</v>
      </c>
      <c r="S1244" s="28">
        <f t="shared" si="409"/>
        <v>3.9049943158389311E-3</v>
      </c>
      <c r="T1244" s="28">
        <f t="shared" si="409"/>
        <v>3.9699795028704365E-3</v>
      </c>
      <c r="U1244" s="28">
        <f t="shared" si="409"/>
        <v>4.0126860665387013E-3</v>
      </c>
      <c r="V1244" s="28">
        <f t="shared" si="409"/>
        <v>4.0499492305839649E-3</v>
      </c>
      <c r="W1244" s="28">
        <f t="shared" si="409"/>
        <v>4.09467284204442E-3</v>
      </c>
      <c r="X1244" s="28">
        <f t="shared" si="409"/>
        <v>4.1665387441703824E-3</v>
      </c>
      <c r="Y1244" s="28">
        <f t="shared" si="409"/>
        <v>4.248702300747329E-3</v>
      </c>
      <c r="Z1244" s="28">
        <f t="shared" si="409"/>
        <v>4.3374921923911899E-3</v>
      </c>
      <c r="AA1244" s="28">
        <f t="shared" si="409"/>
        <v>4.414637811470782E-3</v>
      </c>
      <c r="AB1244" s="28">
        <f t="shared" si="409"/>
        <v>4.5040673251205239E-3</v>
      </c>
      <c r="AC1244" s="28">
        <f t="shared" si="409"/>
        <v>4.6087014569709678E-3</v>
      </c>
      <c r="AD1244" s="28">
        <f t="shared" si="409"/>
        <v>4.7138573349945522E-3</v>
      </c>
      <c r="AE1244" s="28">
        <f t="shared" si="409"/>
        <v>4.8236014553834257E-3</v>
      </c>
      <c r="AF1244" s="28">
        <f t="shared" si="409"/>
        <v>4.9354202086686252E-3</v>
      </c>
      <c r="AG1244" s="28">
        <f t="shared" si="409"/>
        <v>5.0601637107160246E-3</v>
      </c>
      <c r="AH1244" s="28">
        <f t="shared" si="409"/>
        <v>5.1692799161183493E-3</v>
      </c>
      <c r="AI1244" s="28">
        <f t="shared" si="409"/>
        <v>5.2891896269508833E-3</v>
      </c>
      <c r="AJ1244" s="28">
        <f t="shared" si="409"/>
        <v>5.4110891568061297E-3</v>
      </c>
      <c r="AK1244" s="28">
        <f t="shared" si="409"/>
        <v>5.5272908454311459E-3</v>
      </c>
      <c r="AL1244" s="28">
        <f t="shared" si="409"/>
        <v>5.6429797772661562E-3</v>
      </c>
      <c r="AM1244" s="28">
        <f t="shared" si="409"/>
        <v>5.7628358631585681E-3</v>
      </c>
      <c r="AN1244" s="28">
        <f t="shared" si="409"/>
        <v>5.8932639862966018E-3</v>
      </c>
      <c r="AO1244" s="28">
        <f t="shared" si="409"/>
        <v>6.015926079762964E-3</v>
      </c>
      <c r="AP1244" s="28">
        <f t="shared" si="409"/>
        <v>6.1402055338910435E-3</v>
      </c>
      <c r="AQ1244" s="28">
        <f t="shared" si="409"/>
        <v>6.266331762949981E-3</v>
      </c>
      <c r="AR1244" s="28">
        <f t="shared" si="409"/>
        <v>6.4010164026291104E-3</v>
      </c>
      <c r="AS1244" s="28">
        <f t="shared" si="409"/>
        <v>6.544222904657609E-3</v>
      </c>
      <c r="AT1244" s="28">
        <f t="shared" si="409"/>
        <v>6.6249233396269902E-3</v>
      </c>
      <c r="AU1244" s="28">
        <f t="shared" si="409"/>
        <v>6.7012526002480271E-3</v>
      </c>
      <c r="AV1244" s="28">
        <f t="shared" si="409"/>
        <v>6.7861102667668991E-3</v>
      </c>
      <c r="AW1244" s="28">
        <f t="shared" si="409"/>
        <v>6.8673471283418426E-3</v>
      </c>
      <c r="AY1244" s="85"/>
      <c r="AZ1244" s="85"/>
    </row>
    <row r="1245" spans="1:52" x14ac:dyDescent="0.25">
      <c r="A1245" s="102" t="str">
        <f t="shared" si="384"/>
        <v>FSFAGSPQNIBDDSCM Mules MMCH4</v>
      </c>
      <c r="B1245" s="102" t="s">
        <v>1376</v>
      </c>
      <c r="C1245" s="102" t="s">
        <v>1328</v>
      </c>
      <c r="D1245" t="s">
        <v>15</v>
      </c>
      <c r="E1245" t="s">
        <v>22</v>
      </c>
      <c r="F1245" t="s">
        <v>140</v>
      </c>
      <c r="G1245" t="s">
        <v>124</v>
      </c>
      <c r="H1245" t="s">
        <v>1228</v>
      </c>
      <c r="I1245" t="s">
        <v>121</v>
      </c>
      <c r="J1245" t="s">
        <v>286</v>
      </c>
      <c r="K1245" s="28">
        <f t="shared" ref="K1245:AW1245" si="410">IFERROR(K1404-((K1404-K29)+(K1404-K182)+(K1404-K335)+(K1404-K487)+(K1404-K639)+(K1404-K790)+(K1404-K941)+(K1404-K1092)),0)</f>
        <v>7.515E-4</v>
      </c>
      <c r="L1245" s="28">
        <f t="shared" si="410"/>
        <v>7.515E-4</v>
      </c>
      <c r="M1245" s="28">
        <f t="shared" si="410"/>
        <v>7.515E-4</v>
      </c>
      <c r="N1245" s="28">
        <f t="shared" si="410"/>
        <v>7.515E-4</v>
      </c>
      <c r="O1245" s="28">
        <f t="shared" si="410"/>
        <v>7.515E-4</v>
      </c>
      <c r="P1245" s="28">
        <f t="shared" si="410"/>
        <v>7.515E-4</v>
      </c>
      <c r="Q1245" s="28">
        <f t="shared" si="410"/>
        <v>7.515E-4</v>
      </c>
      <c r="R1245" s="28">
        <f t="shared" si="410"/>
        <v>7.515E-4</v>
      </c>
      <c r="S1245" s="28">
        <f t="shared" si="410"/>
        <v>7.515E-4</v>
      </c>
      <c r="T1245" s="28">
        <f t="shared" si="410"/>
        <v>7.515E-4</v>
      </c>
      <c r="U1245" s="28">
        <f t="shared" si="410"/>
        <v>7.515E-4</v>
      </c>
      <c r="V1245" s="28">
        <f t="shared" si="410"/>
        <v>7.515E-4</v>
      </c>
      <c r="W1245" s="28">
        <f t="shared" si="410"/>
        <v>7.515E-4</v>
      </c>
      <c r="X1245" s="28">
        <f t="shared" si="410"/>
        <v>7.515E-4</v>
      </c>
      <c r="Y1245" s="28">
        <f t="shared" si="410"/>
        <v>7.515E-4</v>
      </c>
      <c r="Z1245" s="28">
        <f t="shared" si="410"/>
        <v>7.515E-4</v>
      </c>
      <c r="AA1245" s="28">
        <f t="shared" si="410"/>
        <v>7.515E-4</v>
      </c>
      <c r="AB1245" s="28">
        <f t="shared" si="410"/>
        <v>7.515E-4</v>
      </c>
      <c r="AC1245" s="28">
        <f t="shared" si="410"/>
        <v>7.515E-4</v>
      </c>
      <c r="AD1245" s="28">
        <f t="shared" si="410"/>
        <v>7.515E-4</v>
      </c>
      <c r="AE1245" s="28">
        <f t="shared" si="410"/>
        <v>7.515E-4</v>
      </c>
      <c r="AF1245" s="28">
        <f t="shared" si="410"/>
        <v>7.515E-4</v>
      </c>
      <c r="AG1245" s="28">
        <f t="shared" si="410"/>
        <v>7.515E-4</v>
      </c>
      <c r="AH1245" s="28">
        <f t="shared" si="410"/>
        <v>7.515E-4</v>
      </c>
      <c r="AI1245" s="28">
        <f t="shared" si="410"/>
        <v>7.515E-4</v>
      </c>
      <c r="AJ1245" s="28">
        <f t="shared" si="410"/>
        <v>7.515E-4</v>
      </c>
      <c r="AK1245" s="28">
        <f t="shared" si="410"/>
        <v>7.515E-4</v>
      </c>
      <c r="AL1245" s="28">
        <f t="shared" si="410"/>
        <v>7.515E-4</v>
      </c>
      <c r="AM1245" s="28">
        <f t="shared" si="410"/>
        <v>7.515E-4</v>
      </c>
      <c r="AN1245" s="28">
        <f t="shared" si="410"/>
        <v>7.515E-4</v>
      </c>
      <c r="AO1245" s="28">
        <f t="shared" si="410"/>
        <v>7.515E-4</v>
      </c>
      <c r="AP1245" s="28">
        <f t="shared" si="410"/>
        <v>7.515E-4</v>
      </c>
      <c r="AQ1245" s="28">
        <f t="shared" si="410"/>
        <v>7.515E-4</v>
      </c>
      <c r="AR1245" s="28">
        <f t="shared" si="410"/>
        <v>7.515E-4</v>
      </c>
      <c r="AS1245" s="28">
        <f t="shared" si="410"/>
        <v>7.515E-4</v>
      </c>
      <c r="AT1245" s="28">
        <f t="shared" si="410"/>
        <v>7.515E-4</v>
      </c>
      <c r="AU1245" s="28">
        <f t="shared" si="410"/>
        <v>7.515E-4</v>
      </c>
      <c r="AV1245" s="28">
        <f t="shared" si="410"/>
        <v>7.515E-4</v>
      </c>
      <c r="AW1245" s="28">
        <f t="shared" si="410"/>
        <v>7.515E-4</v>
      </c>
      <c r="AY1245" s="85"/>
      <c r="AZ1245" s="85"/>
    </row>
    <row r="1246" spans="1:52" x14ac:dyDescent="0.25">
      <c r="A1246" s="102" t="str">
        <f t="shared" si="384"/>
        <v>FSFAGSPQNIBDDSCM Swine MMCH4</v>
      </c>
      <c r="B1246" s="102" t="s">
        <v>1376</v>
      </c>
      <c r="C1246" s="102" t="s">
        <v>1231</v>
      </c>
      <c r="D1246" t="s">
        <v>15</v>
      </c>
      <c r="E1246" t="s">
        <v>22</v>
      </c>
      <c r="F1246" t="s">
        <v>21</v>
      </c>
      <c r="G1246" t="s">
        <v>122</v>
      </c>
      <c r="H1246" t="s">
        <v>1228</v>
      </c>
      <c r="I1246" t="s">
        <v>121</v>
      </c>
      <c r="J1246" t="s">
        <v>286</v>
      </c>
      <c r="K1246" s="28">
        <f t="shared" ref="K1246:AW1246" si="411">IFERROR(K1405-((K1405-K30)+(K1405-K183)+(K1405-K336)+(K1405-K488)+(K1405-K640)+(K1405-K791)+(K1405-K942)+(K1405-K1093)),0)</f>
        <v>23.371727134678405</v>
      </c>
      <c r="L1246" s="28">
        <f t="shared" si="411"/>
        <v>23.330420318227134</v>
      </c>
      <c r="M1246" s="28">
        <f t="shared" si="411"/>
        <v>23.199524453189184</v>
      </c>
      <c r="N1246" s="28">
        <f t="shared" si="411"/>
        <v>22.687597281925498</v>
      </c>
      <c r="O1246" s="28">
        <f t="shared" si="411"/>
        <v>22.203487389074763</v>
      </c>
      <c r="P1246" s="28">
        <f t="shared" si="411"/>
        <v>22.125351021518053</v>
      </c>
      <c r="Q1246" s="28">
        <f t="shared" si="411"/>
        <v>21.935673823917892</v>
      </c>
      <c r="R1246" s="28">
        <f t="shared" si="411"/>
        <v>21.351481023877469</v>
      </c>
      <c r="S1246" s="28">
        <f t="shared" si="411"/>
        <v>19.044533178412809</v>
      </c>
      <c r="T1246" s="28">
        <f t="shared" si="411"/>
        <v>17.897139245612401</v>
      </c>
      <c r="U1246" s="28">
        <f t="shared" si="411"/>
        <v>16.499155950378448</v>
      </c>
      <c r="V1246" s="28">
        <f t="shared" si="411"/>
        <v>15.032669236508109</v>
      </c>
      <c r="W1246" s="28">
        <f t="shared" si="411"/>
        <v>13.594852679537663</v>
      </c>
      <c r="X1246" s="28">
        <f t="shared" si="411"/>
        <v>12.278478605422272</v>
      </c>
      <c r="Y1246" s="28">
        <f t="shared" si="411"/>
        <v>10.918480570494635</v>
      </c>
      <c r="Z1246" s="28">
        <f t="shared" si="411"/>
        <v>9.4982629284751638</v>
      </c>
      <c r="AA1246" s="28">
        <f t="shared" si="411"/>
        <v>7.9442016305444092</v>
      </c>
      <c r="AB1246" s="28">
        <f t="shared" si="411"/>
        <v>6.3460956208391686</v>
      </c>
      <c r="AC1246" s="28">
        <f t="shared" si="411"/>
        <v>4.6836324821028619</v>
      </c>
      <c r="AD1246" s="28">
        <f t="shared" si="411"/>
        <v>4.3371117183048504</v>
      </c>
      <c r="AE1246" s="28">
        <f t="shared" si="411"/>
        <v>3.9686977507757071</v>
      </c>
      <c r="AF1246" s="28">
        <f t="shared" si="411"/>
        <v>3.5735692568421769</v>
      </c>
      <c r="AG1246" s="28">
        <f t="shared" si="411"/>
        <v>3.1627302284820438</v>
      </c>
      <c r="AH1246" s="28">
        <f t="shared" si="411"/>
        <v>2.7055563628104444</v>
      </c>
      <c r="AI1246" s="28">
        <f t="shared" si="411"/>
        <v>2.2267394712951472</v>
      </c>
      <c r="AJ1246" s="28">
        <f t="shared" si="411"/>
        <v>1.720776004870455</v>
      </c>
      <c r="AK1246" s="28">
        <f t="shared" si="411"/>
        <v>1.1850591096285115</v>
      </c>
      <c r="AL1246" s="28">
        <f t="shared" si="411"/>
        <v>0.62430841160093919</v>
      </c>
      <c r="AM1246" s="28">
        <f t="shared" si="411"/>
        <v>3.9732095654876787E-2</v>
      </c>
      <c r="AN1246" s="28">
        <f t="shared" si="411"/>
        <v>3.7526114579215175E-2</v>
      </c>
      <c r="AO1246" s="28">
        <f t="shared" si="411"/>
        <v>3.5099686262736185E-2</v>
      </c>
      <c r="AP1246" s="28">
        <f t="shared" si="411"/>
        <v>3.2553380483985705E-2</v>
      </c>
      <c r="AQ1246" s="28">
        <f t="shared" si="411"/>
        <v>2.9889864869858229E-2</v>
      </c>
      <c r="AR1246" s="28">
        <f t="shared" si="411"/>
        <v>2.7151320942024881E-2</v>
      </c>
      <c r="AS1246" s="28">
        <f t="shared" si="411"/>
        <v>2.4295500137824888E-2</v>
      </c>
      <c r="AT1246" s="28">
        <f t="shared" si="411"/>
        <v>2.1015608148758247E-2</v>
      </c>
      <c r="AU1246" s="28">
        <f t="shared" si="411"/>
        <v>1.7685337718518213E-2</v>
      </c>
      <c r="AV1246" s="28">
        <f t="shared" si="411"/>
        <v>1.4356224394767025E-2</v>
      </c>
      <c r="AW1246" s="28">
        <f t="shared" si="411"/>
        <v>1.0983939685864641E-2</v>
      </c>
      <c r="AY1246" s="85"/>
      <c r="AZ1246" s="85"/>
    </row>
    <row r="1247" spans="1:52" x14ac:dyDescent="0.25">
      <c r="A1247" s="102" t="str">
        <f t="shared" si="384"/>
        <v>FSFAGSPQNIBDDSCM Swine MMCH4</v>
      </c>
      <c r="B1247" s="102" t="s">
        <v>1376</v>
      </c>
      <c r="C1247" s="102" t="s">
        <v>1231</v>
      </c>
      <c r="D1247" t="s">
        <v>15</v>
      </c>
      <c r="E1247" t="s">
        <v>22</v>
      </c>
      <c r="F1247" t="s">
        <v>21</v>
      </c>
      <c r="G1247" t="s">
        <v>123</v>
      </c>
      <c r="H1247" t="s">
        <v>1228</v>
      </c>
      <c r="I1247" t="s">
        <v>121</v>
      </c>
      <c r="J1247" t="s">
        <v>286</v>
      </c>
      <c r="K1247" s="28">
        <f t="shared" ref="K1247:AW1247" si="412">IFERROR(K1406-((K1406-K31)+(K1406-K184)+(K1406-K337)+(K1406-K489)+(K1406-K641)+(K1406-K792)+(K1406-K943)+(K1406-K1094)),0)</f>
        <v>7.8242315709845467E-2</v>
      </c>
      <c r="L1247" s="28">
        <f t="shared" si="412"/>
        <v>7.8104031493402018E-2</v>
      </c>
      <c r="M1247" s="28">
        <f t="shared" si="412"/>
        <v>7.7665827010763855E-2</v>
      </c>
      <c r="N1247" s="28">
        <f t="shared" si="412"/>
        <v>7.5952031229919309E-2</v>
      </c>
      <c r="O1247" s="28">
        <f t="shared" si="412"/>
        <v>7.4331360286072623E-2</v>
      </c>
      <c r="P1247" s="28">
        <f t="shared" si="412"/>
        <v>7.4069780544722588E-2</v>
      </c>
      <c r="Q1247" s="28">
        <f t="shared" si="412"/>
        <v>7.3434791821293158E-2</v>
      </c>
      <c r="R1247" s="28">
        <f t="shared" si="412"/>
        <v>7.1479069968441278E-2</v>
      </c>
      <c r="S1247" s="28">
        <f t="shared" si="412"/>
        <v>6.3756023202968359E-2</v>
      </c>
      <c r="T1247" s="28">
        <f t="shared" si="412"/>
        <v>6.0052252022073725E-2</v>
      </c>
      <c r="U1247" s="28">
        <f t="shared" si="412"/>
        <v>5.551218352053508E-2</v>
      </c>
      <c r="V1247" s="28">
        <f t="shared" si="412"/>
        <v>5.0744305835644703E-2</v>
      </c>
      <c r="W1247" s="28">
        <f t="shared" si="412"/>
        <v>4.6076367319533261E-2</v>
      </c>
      <c r="X1247" s="28">
        <f t="shared" si="412"/>
        <v>4.1826989828959396E-2</v>
      </c>
      <c r="Y1247" s="28">
        <f t="shared" si="412"/>
        <v>3.7440605108874876E-2</v>
      </c>
      <c r="Z1247" s="28">
        <f t="shared" si="412"/>
        <v>3.2862605749907625E-2</v>
      </c>
      <c r="AA1247" s="28">
        <f t="shared" si="412"/>
        <v>2.7838087466934308E-2</v>
      </c>
      <c r="AB1247" s="28">
        <f t="shared" si="412"/>
        <v>2.2679207987452717E-2</v>
      </c>
      <c r="AC1247" s="28">
        <f t="shared" si="412"/>
        <v>1.7321775376136717E-2</v>
      </c>
      <c r="AD1247" s="28">
        <f t="shared" si="412"/>
        <v>1.6250156159387893E-2</v>
      </c>
      <c r="AE1247" s="28">
        <f t="shared" si="412"/>
        <v>1.5109532283683044E-2</v>
      </c>
      <c r="AF1247" s="28">
        <f t="shared" si="412"/>
        <v>1.3882174737999325E-2</v>
      </c>
      <c r="AG1247" s="28">
        <f t="shared" si="412"/>
        <v>1.2612133784513299E-2</v>
      </c>
      <c r="AH1247" s="28">
        <f t="shared" si="412"/>
        <v>1.1177933847190791E-2</v>
      </c>
      <c r="AI1247" s="28">
        <f t="shared" si="412"/>
        <v>9.6771960999122303E-3</v>
      </c>
      <c r="AJ1247" s="28">
        <f t="shared" si="412"/>
        <v>8.08797352170261E-3</v>
      </c>
      <c r="AK1247" s="28">
        <f t="shared" si="412"/>
        <v>6.396195043847322E-3</v>
      </c>
      <c r="AL1247" s="28">
        <f t="shared" si="412"/>
        <v>4.6211136375504114E-3</v>
      </c>
      <c r="AM1247" s="28">
        <f t="shared" si="412"/>
        <v>2.770002126233212E-3</v>
      </c>
      <c r="AN1247" s="28">
        <f t="shared" si="412"/>
        <v>2.8199626444258968E-3</v>
      </c>
      <c r="AO1247" s="28">
        <f t="shared" si="412"/>
        <v>2.8622150112823652E-3</v>
      </c>
      <c r="AP1247" s="28">
        <f t="shared" si="412"/>
        <v>2.9036869224734196E-3</v>
      </c>
      <c r="AQ1247" s="28">
        <f t="shared" si="412"/>
        <v>2.9445210712952252E-3</v>
      </c>
      <c r="AR1247" s="28">
        <f t="shared" si="412"/>
        <v>2.9892755858000747E-3</v>
      </c>
      <c r="AS1247" s="28">
        <f t="shared" si="412"/>
        <v>3.0344129314788526E-3</v>
      </c>
      <c r="AT1247" s="28">
        <f t="shared" si="412"/>
        <v>3.035992232377327E-3</v>
      </c>
      <c r="AU1247" s="28">
        <f t="shared" si="412"/>
        <v>3.0338639023359121E-3</v>
      </c>
      <c r="AV1247" s="28">
        <f t="shared" si="412"/>
        <v>3.0364076039442467E-3</v>
      </c>
      <c r="AW1247" s="28">
        <f t="shared" si="412"/>
        <v>3.0357382880748934E-3</v>
      </c>
      <c r="AY1247" s="85"/>
      <c r="AZ1247" s="85"/>
    </row>
    <row r="1248" spans="1:52" x14ac:dyDescent="0.25">
      <c r="A1248" s="102" t="str">
        <f t="shared" si="384"/>
        <v>FSFAGSPQNIBDDSCM Poultry MMCH4</v>
      </c>
      <c r="B1248" s="102" t="s">
        <v>1376</v>
      </c>
      <c r="C1248" s="102" t="s">
        <v>1232</v>
      </c>
      <c r="D1248" t="s">
        <v>15</v>
      </c>
      <c r="E1248" t="s">
        <v>22</v>
      </c>
      <c r="F1248" t="s">
        <v>28</v>
      </c>
      <c r="G1248" t="s">
        <v>131</v>
      </c>
      <c r="H1248" t="s">
        <v>1228</v>
      </c>
      <c r="I1248" t="s">
        <v>121</v>
      </c>
      <c r="J1248" t="s">
        <v>286</v>
      </c>
      <c r="K1248" s="28">
        <f t="shared" ref="K1248:AW1248" si="413">IFERROR(K1407-((K1407-K32)+(K1407-K185)+(K1407-K338)+(K1407-K490)+(K1407-K642)+(K1407-K793)+(K1407-K944)+(K1407-K1095)),0)</f>
        <v>0.55747442882718667</v>
      </c>
      <c r="L1248" s="28">
        <f t="shared" si="413"/>
        <v>0.57000466235661118</v>
      </c>
      <c r="M1248" s="28">
        <f t="shared" si="413"/>
        <v>0.58133812133078289</v>
      </c>
      <c r="N1248" s="28">
        <f t="shared" si="413"/>
        <v>0.58718909348293968</v>
      </c>
      <c r="O1248" s="28">
        <f t="shared" si="413"/>
        <v>0.59320136752099994</v>
      </c>
      <c r="P1248" s="28">
        <f t="shared" si="413"/>
        <v>0.60517178839490071</v>
      </c>
      <c r="Q1248" s="28">
        <f t="shared" si="413"/>
        <v>0.61540759790167998</v>
      </c>
      <c r="R1248" s="28">
        <f t="shared" si="413"/>
        <v>0.61929285714109983</v>
      </c>
      <c r="S1248" s="28">
        <f t="shared" si="413"/>
        <v>0.59469792033381752</v>
      </c>
      <c r="T1248" s="28">
        <f t="shared" si="413"/>
        <v>0.58654523170022987</v>
      </c>
      <c r="U1248" s="28">
        <f t="shared" si="413"/>
        <v>0.57379052111307172</v>
      </c>
      <c r="V1248" s="28">
        <f t="shared" si="413"/>
        <v>0.55924032784626487</v>
      </c>
      <c r="W1248" s="28">
        <f t="shared" si="413"/>
        <v>0.54478990549429729</v>
      </c>
      <c r="X1248" s="28">
        <f t="shared" si="413"/>
        <v>0.53297120556470479</v>
      </c>
      <c r="Y1248" s="28">
        <f t="shared" si="413"/>
        <v>0.52021108470342414</v>
      </c>
      <c r="Z1248" s="28">
        <f t="shared" si="413"/>
        <v>0.5067387686963446</v>
      </c>
      <c r="AA1248" s="28">
        <f t="shared" si="413"/>
        <v>0.49023328050694764</v>
      </c>
      <c r="AB1248" s="28">
        <f t="shared" si="413"/>
        <v>0.47354297811259438</v>
      </c>
      <c r="AC1248" s="28">
        <f t="shared" si="413"/>
        <v>0.45669188660474191</v>
      </c>
      <c r="AD1248" s="28">
        <f t="shared" si="413"/>
        <v>0.46315679489141742</v>
      </c>
      <c r="AE1248" s="28">
        <f t="shared" si="413"/>
        <v>0.46975857521244502</v>
      </c>
      <c r="AF1248" s="28">
        <f t="shared" si="413"/>
        <v>0.47621677538576956</v>
      </c>
      <c r="AG1248" s="28">
        <f t="shared" si="413"/>
        <v>0.48360635154202397</v>
      </c>
      <c r="AH1248" s="28">
        <f t="shared" si="413"/>
        <v>0.48903120880766382</v>
      </c>
      <c r="AI1248" s="28">
        <f t="shared" si="413"/>
        <v>0.49453167191418512</v>
      </c>
      <c r="AJ1248" s="28">
        <f t="shared" si="413"/>
        <v>0.49979086498251596</v>
      </c>
      <c r="AK1248" s="28">
        <f t="shared" si="413"/>
        <v>0.50405574823892896</v>
      </c>
      <c r="AL1248" s="28">
        <f t="shared" si="413"/>
        <v>0.50782760160099283</v>
      </c>
      <c r="AM1248" s="28">
        <f t="shared" si="413"/>
        <v>0.51153281783038473</v>
      </c>
      <c r="AN1248" s="28">
        <f t="shared" si="413"/>
        <v>0.52692903252431134</v>
      </c>
      <c r="AO1248" s="28">
        <f t="shared" si="413"/>
        <v>0.54176673051724522</v>
      </c>
      <c r="AP1248" s="28">
        <f t="shared" si="413"/>
        <v>0.55692141271715589</v>
      </c>
      <c r="AQ1248" s="28">
        <f t="shared" si="413"/>
        <v>0.57241923483577473</v>
      </c>
      <c r="AR1248" s="28">
        <f t="shared" si="413"/>
        <v>0.58890777464913047</v>
      </c>
      <c r="AS1248" s="28">
        <f t="shared" si="413"/>
        <v>0.6057291960623753</v>
      </c>
      <c r="AT1248" s="28">
        <f t="shared" si="413"/>
        <v>0.61665918977010759</v>
      </c>
      <c r="AU1248" s="28">
        <f t="shared" si="413"/>
        <v>0.6272598192757145</v>
      </c>
      <c r="AV1248" s="28">
        <f t="shared" si="413"/>
        <v>0.63878618988964853</v>
      </c>
      <c r="AW1248" s="28">
        <f t="shared" si="413"/>
        <v>0.65005809749586496</v>
      </c>
      <c r="AY1248" s="85"/>
      <c r="AZ1248" s="85"/>
    </row>
    <row r="1249" spans="1:52" x14ac:dyDescent="0.25">
      <c r="A1249" s="102" t="str">
        <f t="shared" si="384"/>
        <v>FSFAGSPQNIBDDSCM Poultry MMCH4</v>
      </c>
      <c r="B1249" s="102" t="s">
        <v>1376</v>
      </c>
      <c r="C1249" s="102" t="s">
        <v>1232</v>
      </c>
      <c r="D1249" t="s">
        <v>15</v>
      </c>
      <c r="E1249" t="s">
        <v>22</v>
      </c>
      <c r="F1249" t="s">
        <v>28</v>
      </c>
      <c r="G1249" t="s">
        <v>132</v>
      </c>
      <c r="H1249" t="s">
        <v>1228</v>
      </c>
      <c r="I1249" t="s">
        <v>121</v>
      </c>
      <c r="J1249" t="s">
        <v>286</v>
      </c>
      <c r="K1249" s="28">
        <f t="shared" ref="K1249:AW1249" si="414">IFERROR(K1408-((K1408-K33)+(K1408-K186)+(K1408-K339)+(K1408-K491)+(K1408-K643)+(K1408-K794)+(K1408-K945)+(K1408-K1096)),0)</f>
        <v>2.2247786627421906</v>
      </c>
      <c r="L1249" s="28">
        <f t="shared" si="414"/>
        <v>2.2660704090846675</v>
      </c>
      <c r="M1249" s="28">
        <f t="shared" si="414"/>
        <v>2.2931151480493956</v>
      </c>
      <c r="N1249" s="28">
        <f t="shared" si="414"/>
        <v>2.263369089113628</v>
      </c>
      <c r="O1249" s="28">
        <f t="shared" si="414"/>
        <v>2.2345214699411633</v>
      </c>
      <c r="P1249" s="28">
        <f t="shared" si="414"/>
        <v>2.2631068961220624</v>
      </c>
      <c r="Q1249" s="28">
        <f t="shared" si="414"/>
        <v>2.2741216722530595</v>
      </c>
      <c r="R1249" s="28">
        <f t="shared" si="414"/>
        <v>2.2236230251769533</v>
      </c>
      <c r="S1249" s="28">
        <f t="shared" si="414"/>
        <v>1.9032751826814061</v>
      </c>
      <c r="T1249" s="28">
        <f t="shared" si="414"/>
        <v>2.0046035785493506</v>
      </c>
      <c r="U1249" s="28">
        <f t="shared" si="414"/>
        <v>2.0722805335533998</v>
      </c>
      <c r="V1249" s="28">
        <f t="shared" si="414"/>
        <v>2.1323664222766392</v>
      </c>
      <c r="W1249" s="28">
        <f t="shared" si="414"/>
        <v>2.2049850036219838</v>
      </c>
      <c r="X1249" s="28">
        <f t="shared" si="414"/>
        <v>2.3210987370699616</v>
      </c>
      <c r="Y1249" s="28">
        <f t="shared" si="414"/>
        <v>2.450961924931216</v>
      </c>
      <c r="Z1249" s="28">
        <f t="shared" si="414"/>
        <v>2.5921702619941325</v>
      </c>
      <c r="AA1249" s="28">
        <f t="shared" si="414"/>
        <v>2.7160503961597109</v>
      </c>
      <c r="AB1249" s="28">
        <f t="shared" si="414"/>
        <v>2.8603117309837756</v>
      </c>
      <c r="AC1249" s="28">
        <f t="shared" si="414"/>
        <v>3.029739535035842</v>
      </c>
      <c r="AD1249" s="28">
        <f t="shared" si="414"/>
        <v>3.1977253746200947</v>
      </c>
      <c r="AE1249" s="28">
        <f t="shared" si="414"/>
        <v>3.3739128374251997</v>
      </c>
      <c r="AF1249" s="28">
        <f t="shared" si="414"/>
        <v>3.554394745932111</v>
      </c>
      <c r="AG1249" s="28">
        <f t="shared" si="414"/>
        <v>3.7564939615925526</v>
      </c>
      <c r="AH1249" s="28">
        <f t="shared" si="414"/>
        <v>3.9348861208192654</v>
      </c>
      <c r="AI1249" s="28">
        <f t="shared" si="414"/>
        <v>4.1269471497897161</v>
      </c>
      <c r="AJ1249" s="28">
        <f t="shared" si="414"/>
        <v>4.3229748797392453</v>
      </c>
      <c r="AK1249" s="28">
        <f t="shared" si="414"/>
        <v>4.5107503932379895</v>
      </c>
      <c r="AL1249" s="28">
        <f t="shared" si="414"/>
        <v>4.6985789719729816</v>
      </c>
      <c r="AM1249" s="28">
        <f t="shared" si="414"/>
        <v>4.893986284165579</v>
      </c>
      <c r="AN1249" s="28">
        <f t="shared" si="414"/>
        <v>5.1018976665121256</v>
      </c>
      <c r="AO1249" s="28">
        <f t="shared" si="414"/>
        <v>5.2979610077610504</v>
      </c>
      <c r="AP1249" s="28">
        <f t="shared" si="414"/>
        <v>5.4972273866019377</v>
      </c>
      <c r="AQ1249" s="28">
        <f t="shared" si="414"/>
        <v>5.7001022471339153</v>
      </c>
      <c r="AR1249" s="28">
        <f t="shared" si="414"/>
        <v>5.9173783346930424</v>
      </c>
      <c r="AS1249" s="28">
        <f t="shared" si="414"/>
        <v>6.1425188266778008</v>
      </c>
      <c r="AT1249" s="28">
        <f t="shared" si="414"/>
        <v>6.2678872195245621</v>
      </c>
      <c r="AU1249" s="28">
        <f t="shared" si="414"/>
        <v>6.3866560184025367</v>
      </c>
      <c r="AV1249" s="28">
        <f t="shared" si="414"/>
        <v>6.5194780753357007</v>
      </c>
      <c r="AW1249" s="28">
        <f t="shared" si="414"/>
        <v>6.6469233903355809</v>
      </c>
      <c r="AY1249" s="85"/>
      <c r="AZ1249" s="85"/>
    </row>
    <row r="1250" spans="1:52" x14ac:dyDescent="0.25">
      <c r="A1250" s="102" t="str">
        <f t="shared" si="384"/>
        <v>FSFAGSPQNIBDDSCM Poultry MMCH4</v>
      </c>
      <c r="B1250" s="102" t="s">
        <v>1376</v>
      </c>
      <c r="C1250" s="102" t="s">
        <v>1232</v>
      </c>
      <c r="D1250" t="s">
        <v>15</v>
      </c>
      <c r="E1250" t="s">
        <v>22</v>
      </c>
      <c r="F1250" t="s">
        <v>28</v>
      </c>
      <c r="G1250" t="s">
        <v>134</v>
      </c>
      <c r="H1250" t="s">
        <v>1228</v>
      </c>
      <c r="I1250" t="s">
        <v>121</v>
      </c>
      <c r="J1250" t="s">
        <v>286</v>
      </c>
      <c r="K1250" s="28">
        <f t="shared" ref="K1250:AW1250" si="415">IFERROR(K1409-((K1409-K34)+(K1409-K187)+(K1409-K340)+(K1409-K492)+(K1409-K644)+(K1409-K795)+(K1409-K946)+(K1409-K1097)),0)</f>
        <v>2.3228101201132799E-2</v>
      </c>
      <c r="L1250" s="28">
        <f t="shared" si="415"/>
        <v>2.3750194264858821E-2</v>
      </c>
      <c r="M1250" s="28">
        <f t="shared" si="415"/>
        <v>2.4222421722115972E-2</v>
      </c>
      <c r="N1250" s="28">
        <f t="shared" si="415"/>
        <v>2.4466212228455842E-2</v>
      </c>
      <c r="O1250" s="28">
        <f t="shared" si="415"/>
        <v>2.4716723646708353E-2</v>
      </c>
      <c r="P1250" s="28">
        <f t="shared" si="415"/>
        <v>2.5215491183120883E-2</v>
      </c>
      <c r="Q1250" s="28">
        <f t="shared" si="415"/>
        <v>2.564198324590336E-2</v>
      </c>
      <c r="R1250" s="28">
        <f t="shared" si="415"/>
        <v>2.5803869047545849E-2</v>
      </c>
      <c r="S1250" s="28">
        <f t="shared" si="415"/>
        <v>2.4779080013909088E-2</v>
      </c>
      <c r="T1250" s="28">
        <f t="shared" si="415"/>
        <v>2.5516506991875881E-2</v>
      </c>
      <c r="U1250" s="28">
        <f t="shared" si="415"/>
        <v>2.6112500089385413E-2</v>
      </c>
      <c r="V1250" s="28">
        <f t="shared" si="415"/>
        <v>2.6680446681095382E-2</v>
      </c>
      <c r="W1250" s="28">
        <f t="shared" si="415"/>
        <v>2.7311085183109759E-2</v>
      </c>
      <c r="X1250" s="28">
        <f t="shared" si="415"/>
        <v>2.8148200581559191E-2</v>
      </c>
      <c r="Y1250" s="28">
        <f t="shared" si="415"/>
        <v>2.9027430691366724E-2</v>
      </c>
      <c r="Z1250" s="28">
        <f t="shared" si="415"/>
        <v>2.9969902815605892E-2</v>
      </c>
      <c r="AA1250" s="28">
        <f t="shared" si="415"/>
        <v>3.0841691542216221E-2</v>
      </c>
      <c r="AB1250" s="28">
        <f t="shared" si="415"/>
        <v>3.1819757027306869E-2</v>
      </c>
      <c r="AC1250" s="28">
        <f t="shared" si="415"/>
        <v>3.292912167161096E-2</v>
      </c>
      <c r="AD1250" s="28">
        <f t="shared" si="415"/>
        <v>3.4016478772715769E-2</v>
      </c>
      <c r="AE1250" s="28">
        <f t="shared" si="415"/>
        <v>3.5155299467200612E-2</v>
      </c>
      <c r="AF1250" s="28">
        <f t="shared" si="415"/>
        <v>3.6327172995110089E-2</v>
      </c>
      <c r="AG1250" s="28">
        <f t="shared" si="415"/>
        <v>3.7617669146666054E-2</v>
      </c>
      <c r="AH1250" s="28">
        <f t="shared" si="415"/>
        <v>3.8804137651877735E-2</v>
      </c>
      <c r="AI1250" s="28">
        <f t="shared" si="415"/>
        <v>4.0045396026241048E-2</v>
      </c>
      <c r="AJ1250" s="28">
        <f t="shared" si="415"/>
        <v>4.1318689234665709E-2</v>
      </c>
      <c r="AK1250" s="28">
        <f t="shared" si="415"/>
        <v>4.2562485927672068E-2</v>
      </c>
      <c r="AL1250" s="28">
        <f t="shared" si="415"/>
        <v>4.3818105384294391E-2</v>
      </c>
      <c r="AM1250" s="28">
        <f t="shared" si="415"/>
        <v>4.5123953524827516E-2</v>
      </c>
      <c r="AN1250" s="28">
        <f t="shared" si="415"/>
        <v>4.6482103094299274E-2</v>
      </c>
      <c r="AO1250" s="28">
        <f t="shared" si="415"/>
        <v>4.7790984110943228E-2</v>
      </c>
      <c r="AP1250" s="28">
        <f t="shared" si="415"/>
        <v>4.912782732302242E-2</v>
      </c>
      <c r="AQ1250" s="28">
        <f t="shared" si="415"/>
        <v>5.0494940009912614E-2</v>
      </c>
      <c r="AR1250" s="28">
        <f t="shared" si="415"/>
        <v>5.1949447088042722E-2</v>
      </c>
      <c r="AS1250" s="28">
        <f t="shared" si="415"/>
        <v>5.3433318721718588E-2</v>
      </c>
      <c r="AT1250" s="28">
        <f t="shared" si="415"/>
        <v>5.4397488587077859E-2</v>
      </c>
      <c r="AU1250" s="28">
        <f t="shared" si="415"/>
        <v>5.5332604177850256E-2</v>
      </c>
      <c r="AV1250" s="28">
        <f t="shared" si="415"/>
        <v>5.6349382366391719E-2</v>
      </c>
      <c r="AW1250" s="28">
        <f t="shared" si="415"/>
        <v>5.7343713555378532E-2</v>
      </c>
      <c r="AY1250" s="85"/>
      <c r="AZ1250" s="85"/>
    </row>
    <row r="1251" spans="1:52" x14ac:dyDescent="0.25">
      <c r="A1251" s="102" t="str">
        <f t="shared" si="384"/>
        <v>FSFAGSPQNIBDDSCM Poultry MMCH4</v>
      </c>
      <c r="B1251" s="102" t="s">
        <v>1376</v>
      </c>
      <c r="C1251" s="102" t="s">
        <v>1232</v>
      </c>
      <c r="D1251" t="s">
        <v>15</v>
      </c>
      <c r="E1251" t="s">
        <v>22</v>
      </c>
      <c r="F1251" t="s">
        <v>28</v>
      </c>
      <c r="G1251" t="s">
        <v>133</v>
      </c>
      <c r="H1251" t="s">
        <v>1228</v>
      </c>
      <c r="I1251" t="s">
        <v>121</v>
      </c>
      <c r="J1251" t="s">
        <v>286</v>
      </c>
      <c r="K1251" s="28">
        <f t="shared" ref="K1251:AW1251" si="416">IFERROR(K1410-((K1410-K35)+(K1410-K188)+(K1410-K341)+(K1410-K493)+(K1410-K645)+(K1410-K796)+(K1410-K947)+(K1410-K1098)),0)</f>
        <v>9.2699110947591354E-2</v>
      </c>
      <c r="L1251" s="28">
        <f t="shared" si="416"/>
        <v>9.4419600378527896E-2</v>
      </c>
      <c r="M1251" s="28">
        <f t="shared" si="416"/>
        <v>9.554646450205824E-2</v>
      </c>
      <c r="N1251" s="28">
        <f t="shared" si="416"/>
        <v>9.4307045379734583E-2</v>
      </c>
      <c r="O1251" s="28">
        <f t="shared" si="416"/>
        <v>9.3105061247548568E-2</v>
      </c>
      <c r="P1251" s="28">
        <f t="shared" si="416"/>
        <v>9.4296120671752692E-2</v>
      </c>
      <c r="Q1251" s="28">
        <f t="shared" si="416"/>
        <v>9.4755069677210882E-2</v>
      </c>
      <c r="R1251" s="28">
        <f t="shared" si="416"/>
        <v>9.2650959382373138E-2</v>
      </c>
      <c r="S1251" s="28">
        <f t="shared" si="416"/>
        <v>7.9303132611725335E-2</v>
      </c>
      <c r="T1251" s="28">
        <f t="shared" si="416"/>
        <v>8.3525149106223009E-2</v>
      </c>
      <c r="U1251" s="28">
        <f t="shared" si="416"/>
        <v>8.6345022231391746E-2</v>
      </c>
      <c r="V1251" s="28">
        <f t="shared" si="416"/>
        <v>8.8848600928193383E-2</v>
      </c>
      <c r="W1251" s="28">
        <f t="shared" si="416"/>
        <v>9.1874375150916066E-2</v>
      </c>
      <c r="X1251" s="28">
        <f t="shared" si="416"/>
        <v>9.6712447377915137E-2</v>
      </c>
      <c r="Y1251" s="28">
        <f t="shared" si="416"/>
        <v>0.10212341353880076</v>
      </c>
      <c r="Z1251" s="28">
        <f t="shared" si="416"/>
        <v>0.10800709424975563</v>
      </c>
      <c r="AA1251" s="28">
        <f t="shared" si="416"/>
        <v>0.11316876650665471</v>
      </c>
      <c r="AB1251" s="28">
        <f t="shared" si="416"/>
        <v>0.11917965545765741</v>
      </c>
      <c r="AC1251" s="28">
        <f t="shared" si="416"/>
        <v>0.12623914729316019</v>
      </c>
      <c r="AD1251" s="28">
        <f t="shared" si="416"/>
        <v>0.13323855727583739</v>
      </c>
      <c r="AE1251" s="28">
        <f t="shared" si="416"/>
        <v>0.14057970155938346</v>
      </c>
      <c r="AF1251" s="28">
        <f t="shared" si="416"/>
        <v>0.14809978108050476</v>
      </c>
      <c r="AG1251" s="28">
        <f t="shared" si="416"/>
        <v>0.15652058173302319</v>
      </c>
      <c r="AH1251" s="28">
        <f t="shared" si="416"/>
        <v>0.16395358836746954</v>
      </c>
      <c r="AI1251" s="28">
        <f t="shared" si="416"/>
        <v>0.17195613124123832</v>
      </c>
      <c r="AJ1251" s="28">
        <f t="shared" si="416"/>
        <v>0.18012395332246872</v>
      </c>
      <c r="AK1251" s="28">
        <f t="shared" si="416"/>
        <v>0.18794793305158305</v>
      </c>
      <c r="AL1251" s="28">
        <f t="shared" si="416"/>
        <v>0.19577412383220771</v>
      </c>
      <c r="AM1251" s="28">
        <f t="shared" si="416"/>
        <v>0.20391609517356599</v>
      </c>
      <c r="AN1251" s="28">
        <f t="shared" si="416"/>
        <v>0.21257906943800542</v>
      </c>
      <c r="AO1251" s="28">
        <f t="shared" si="416"/>
        <v>0.22074837532337729</v>
      </c>
      <c r="AP1251" s="28">
        <f t="shared" si="416"/>
        <v>0.22905114110841426</v>
      </c>
      <c r="AQ1251" s="28">
        <f t="shared" si="416"/>
        <v>0.23750426029724669</v>
      </c>
      <c r="AR1251" s="28">
        <f t="shared" si="416"/>
        <v>0.24655743061221036</v>
      </c>
      <c r="AS1251" s="28">
        <f t="shared" si="416"/>
        <v>0.25593828444490863</v>
      </c>
      <c r="AT1251" s="28">
        <f t="shared" si="416"/>
        <v>0.26116196748019033</v>
      </c>
      <c r="AU1251" s="28">
        <f t="shared" si="416"/>
        <v>0.26611066743343925</v>
      </c>
      <c r="AV1251" s="28">
        <f t="shared" si="416"/>
        <v>0.27164491980565447</v>
      </c>
      <c r="AW1251" s="28">
        <f t="shared" si="416"/>
        <v>0.2769551412639828</v>
      </c>
      <c r="AY1251" s="85"/>
      <c r="AZ1251" s="85"/>
    </row>
    <row r="1252" spans="1:52" x14ac:dyDescent="0.25">
      <c r="A1252" s="102" t="str">
        <f t="shared" si="384"/>
        <v>FSFAGSPQNIBDDSCM Cattle MMN2O</v>
      </c>
      <c r="B1252" s="102" t="s">
        <v>1376</v>
      </c>
      <c r="C1252" s="102" t="s">
        <v>1233</v>
      </c>
      <c r="D1252" t="s">
        <v>15</v>
      </c>
      <c r="E1252" t="s">
        <v>657</v>
      </c>
      <c r="F1252" t="s">
        <v>6</v>
      </c>
      <c r="G1252" t="s">
        <v>136</v>
      </c>
      <c r="H1252" t="s">
        <v>1228</v>
      </c>
      <c r="I1252" t="s">
        <v>139</v>
      </c>
      <c r="J1252" t="s">
        <v>287</v>
      </c>
      <c r="K1252" s="28">
        <f t="shared" ref="K1252:AW1252" si="417">IFERROR(K1411-((K1411-K36)+(K1411-K189)+(K1411-K342)+(K1411-K494)+(K1411-K646)+(K1411-K797)+(K1411-K948)+(K1411-K1099)),0)</f>
        <v>5.9534544879771355E-2</v>
      </c>
      <c r="L1252" s="28">
        <f t="shared" si="417"/>
        <v>5.9936525469365599E-2</v>
      </c>
      <c r="M1252" s="28">
        <f t="shared" si="417"/>
        <v>6.0288156660896548E-2</v>
      </c>
      <c r="N1252" s="28">
        <f t="shared" si="417"/>
        <v>6.0333640892584528E-2</v>
      </c>
      <c r="O1252" s="28">
        <f t="shared" si="417"/>
        <v>6.0411983022035293E-2</v>
      </c>
      <c r="P1252" s="28">
        <f t="shared" si="417"/>
        <v>6.086149571042291E-2</v>
      </c>
      <c r="Q1252" s="28">
        <f t="shared" si="417"/>
        <v>6.1220941265471868E-2</v>
      </c>
      <c r="R1252" s="28">
        <f t="shared" si="417"/>
        <v>6.1224092905712291E-2</v>
      </c>
      <c r="S1252" s="28">
        <f t="shared" si="417"/>
        <v>5.9602036939561669E-2</v>
      </c>
      <c r="T1252" s="28">
        <f t="shared" si="417"/>
        <v>5.9902558051107758E-2</v>
      </c>
      <c r="U1252" s="28">
        <f t="shared" si="417"/>
        <v>6.0003158555135362E-2</v>
      </c>
      <c r="V1252" s="28">
        <f t="shared" si="417"/>
        <v>6.0061544412123385E-2</v>
      </c>
      <c r="W1252" s="28">
        <f t="shared" si="417"/>
        <v>6.0197399277762347E-2</v>
      </c>
      <c r="X1252" s="28">
        <f t="shared" si="417"/>
        <v>6.0592523474529751E-2</v>
      </c>
      <c r="Y1252" s="28">
        <f t="shared" si="417"/>
        <v>6.1009166191245211E-2</v>
      </c>
      <c r="Z1252" s="28">
        <f t="shared" si="417"/>
        <v>6.1489116345213791E-2</v>
      </c>
      <c r="AA1252" s="28">
        <f t="shared" si="417"/>
        <v>6.1863069717612712E-2</v>
      </c>
      <c r="AB1252" s="28">
        <f t="shared" si="417"/>
        <v>6.235106667457127E-2</v>
      </c>
      <c r="AC1252" s="28">
        <f t="shared" si="417"/>
        <v>6.2978189893812431E-2</v>
      </c>
      <c r="AD1252" s="28">
        <f t="shared" si="417"/>
        <v>6.3994932852395728E-2</v>
      </c>
      <c r="AE1252" s="28">
        <f t="shared" si="417"/>
        <v>6.5066284300491772E-2</v>
      </c>
      <c r="AF1252" s="28">
        <f t="shared" si="417"/>
        <v>6.616939518602892E-2</v>
      </c>
      <c r="AG1252" s="28">
        <f t="shared" si="417"/>
        <v>6.7404655080376338E-2</v>
      </c>
      <c r="AH1252" s="28">
        <f t="shared" si="417"/>
        <v>6.8508565394587356E-2</v>
      </c>
      <c r="AI1252" s="28">
        <f t="shared" si="417"/>
        <v>6.9655906335157031E-2</v>
      </c>
      <c r="AJ1252" s="28">
        <f t="shared" si="417"/>
        <v>7.0831976757401841E-2</v>
      </c>
      <c r="AK1252" s="28">
        <f t="shared" si="417"/>
        <v>7.1965268951040523E-2</v>
      </c>
      <c r="AL1252" s="28">
        <f t="shared" si="417"/>
        <v>7.3103889892987661E-2</v>
      </c>
      <c r="AM1252" s="28">
        <f t="shared" si="417"/>
        <v>7.4291604107552173E-2</v>
      </c>
      <c r="AN1252" s="28">
        <f t="shared" si="417"/>
        <v>7.551824021505979E-2</v>
      </c>
      <c r="AO1252" s="28">
        <f t="shared" si="417"/>
        <v>7.6679893654592074E-2</v>
      </c>
      <c r="AP1252" s="28">
        <f t="shared" si="417"/>
        <v>7.7864408514169189E-2</v>
      </c>
      <c r="AQ1252" s="28">
        <f t="shared" si="417"/>
        <v>7.9074009804945888E-2</v>
      </c>
      <c r="AR1252" s="28">
        <f t="shared" si="417"/>
        <v>8.0371937605866556E-2</v>
      </c>
      <c r="AS1252" s="28">
        <f t="shared" si="417"/>
        <v>8.1680796424412616E-2</v>
      </c>
      <c r="AT1252" s="28">
        <f t="shared" si="417"/>
        <v>8.2406371668842196E-2</v>
      </c>
      <c r="AU1252" s="28">
        <f t="shared" si="417"/>
        <v>8.3095608121312309E-2</v>
      </c>
      <c r="AV1252" s="28">
        <f t="shared" si="417"/>
        <v>8.3869938701163826E-2</v>
      </c>
      <c r="AW1252" s="28">
        <f t="shared" si="417"/>
        <v>8.4614899103345548E-2</v>
      </c>
      <c r="AY1252" s="85"/>
      <c r="AZ1252" s="85"/>
    </row>
    <row r="1253" spans="1:52" x14ac:dyDescent="0.25">
      <c r="A1253" s="102" t="str">
        <f t="shared" si="384"/>
        <v>FSFAGSPQNIBDDSCM Cattle MMN2O</v>
      </c>
      <c r="B1253" s="102" t="s">
        <v>1376</v>
      </c>
      <c r="C1253" s="102" t="s">
        <v>1233</v>
      </c>
      <c r="D1253" t="s">
        <v>15</v>
      </c>
      <c r="E1253" t="s">
        <v>657</v>
      </c>
      <c r="F1253" t="s">
        <v>6</v>
      </c>
      <c r="G1253" t="s">
        <v>137</v>
      </c>
      <c r="H1253" t="s">
        <v>1228</v>
      </c>
      <c r="I1253" t="s">
        <v>139</v>
      </c>
      <c r="J1253" t="s">
        <v>287</v>
      </c>
      <c r="K1253" s="28">
        <f t="shared" ref="K1253:AW1253" si="418">IFERROR(K1412-((K1412-K37)+(K1412-K190)+(K1412-K343)+(K1412-K495)+(K1412-K647)+(K1412-K798)+(K1412-K949)+(K1412-K1100)),0)</f>
        <v>0.26067987133037912</v>
      </c>
      <c r="L1253" s="28">
        <f t="shared" si="418"/>
        <v>0.2624399964574689</v>
      </c>
      <c r="M1253" s="28">
        <f t="shared" si="418"/>
        <v>0.26397966009224005</v>
      </c>
      <c r="N1253" s="28">
        <f t="shared" si="418"/>
        <v>0.26417881881072747</v>
      </c>
      <c r="O1253" s="28">
        <f t="shared" si="418"/>
        <v>0.26452185017623492</v>
      </c>
      <c r="P1253" s="28">
        <f t="shared" si="418"/>
        <v>0.26649010087852709</v>
      </c>
      <c r="Q1253" s="28">
        <f t="shared" si="418"/>
        <v>0.26806398073650983</v>
      </c>
      <c r="R1253" s="28">
        <f t="shared" si="418"/>
        <v>0.26807778060974324</v>
      </c>
      <c r="S1253" s="28">
        <f t="shared" si="418"/>
        <v>0.26097539423220861</v>
      </c>
      <c r="T1253" s="28">
        <f t="shared" si="418"/>
        <v>0.2622912656283552</v>
      </c>
      <c r="U1253" s="28">
        <f t="shared" si="418"/>
        <v>0.26273175822804912</v>
      </c>
      <c r="V1253" s="28">
        <f t="shared" si="418"/>
        <v>0.2629874084176641</v>
      </c>
      <c r="W1253" s="28">
        <f t="shared" si="418"/>
        <v>0.26358226689799491</v>
      </c>
      <c r="X1253" s="28">
        <f t="shared" si="418"/>
        <v>0.2653123704031255</v>
      </c>
      <c r="Y1253" s="28">
        <f t="shared" si="418"/>
        <v>0.26713669559119002</v>
      </c>
      <c r="Z1253" s="28">
        <f t="shared" si="418"/>
        <v>0.26923822075837139</v>
      </c>
      <c r="AA1253" s="28">
        <f t="shared" si="418"/>
        <v>0.27087562501160573</v>
      </c>
      <c r="AB1253" s="28">
        <f t="shared" si="418"/>
        <v>0.2730123841689398</v>
      </c>
      <c r="AC1253" s="28">
        <f t="shared" si="418"/>
        <v>0.27575832604907385</v>
      </c>
      <c r="AD1253" s="28">
        <f t="shared" si="418"/>
        <v>0.28021026944017247</v>
      </c>
      <c r="AE1253" s="28">
        <f t="shared" si="418"/>
        <v>0.28490132331827456</v>
      </c>
      <c r="AF1253" s="28">
        <f t="shared" si="418"/>
        <v>0.28973144008973362</v>
      </c>
      <c r="AG1253" s="28">
        <f t="shared" si="418"/>
        <v>0.29514018875772702</v>
      </c>
      <c r="AH1253" s="28">
        <f t="shared" si="418"/>
        <v>0.29997380593326689</v>
      </c>
      <c r="AI1253" s="28">
        <f t="shared" si="418"/>
        <v>0.30499758984500719</v>
      </c>
      <c r="AJ1253" s="28">
        <f t="shared" si="418"/>
        <v>0.3101471695884212</v>
      </c>
      <c r="AK1253" s="28">
        <f t="shared" si="418"/>
        <v>0.31510943920539841</v>
      </c>
      <c r="AL1253" s="28">
        <f t="shared" si="418"/>
        <v>0.3200950414509563</v>
      </c>
      <c r="AM1253" s="28">
        <f t="shared" si="418"/>
        <v>0.3252956050775902</v>
      </c>
      <c r="AN1253" s="28">
        <f t="shared" si="418"/>
        <v>0.33066659335540477</v>
      </c>
      <c r="AO1253" s="28">
        <f t="shared" si="418"/>
        <v>0.33575304643502946</v>
      </c>
      <c r="AP1253" s="28">
        <f t="shared" si="418"/>
        <v>0.34093960126310552</v>
      </c>
      <c r="AQ1253" s="28">
        <f t="shared" si="418"/>
        <v>0.34623600034497493</v>
      </c>
      <c r="AR1253" s="28">
        <f t="shared" si="418"/>
        <v>0.35191914872249919</v>
      </c>
      <c r="AS1253" s="28">
        <f t="shared" si="418"/>
        <v>0.35765016000506206</v>
      </c>
      <c r="AT1253" s="28">
        <f t="shared" si="418"/>
        <v>0.36082718708640416</v>
      </c>
      <c r="AU1253" s="28">
        <f t="shared" si="418"/>
        <v>0.36384509996553949</v>
      </c>
      <c r="AV1253" s="28">
        <f t="shared" si="418"/>
        <v>0.36723560872529415</v>
      </c>
      <c r="AW1253" s="28">
        <f t="shared" si="418"/>
        <v>0.37049751628130428</v>
      </c>
      <c r="AY1253" s="85"/>
      <c r="AZ1253" s="85"/>
    </row>
    <row r="1254" spans="1:52" x14ac:dyDescent="0.25">
      <c r="A1254" s="102" t="str">
        <f t="shared" si="384"/>
        <v>FSFAGSPQNIBDDSCM Cattle MMN2O</v>
      </c>
      <c r="B1254" s="102" t="s">
        <v>1376</v>
      </c>
      <c r="C1254" s="102" t="s">
        <v>1233</v>
      </c>
      <c r="D1254" t="s">
        <v>15</v>
      </c>
      <c r="E1254" t="s">
        <v>657</v>
      </c>
      <c r="F1254" t="s">
        <v>67</v>
      </c>
      <c r="G1254" t="s">
        <v>307</v>
      </c>
      <c r="H1254" t="s">
        <v>1228</v>
      </c>
      <c r="I1254" t="s">
        <v>139</v>
      </c>
      <c r="J1254" t="s">
        <v>287</v>
      </c>
      <c r="K1254" s="28">
        <f t="shared" ref="K1254:AW1254" si="419">IFERROR(K1413-((K1413-K38)+(K1413-K191)+(K1413-K344)+(K1413-K496)+(K1413-K648)+(K1413-K799)+(K1413-K950)+(K1413-K1101)),0)</f>
        <v>1.1598714945443948E-2</v>
      </c>
      <c r="L1254" s="28">
        <f t="shared" si="419"/>
        <v>1.1677030119965246E-2</v>
      </c>
      <c r="M1254" s="28">
        <f t="shared" si="419"/>
        <v>1.1745536059915416E-2</v>
      </c>
      <c r="N1254" s="28">
        <f t="shared" si="419"/>
        <v>1.1754397446845087E-2</v>
      </c>
      <c r="O1254" s="28">
        <f t="shared" si="419"/>
        <v>1.1769660316991377E-2</v>
      </c>
      <c r="P1254" s="28">
        <f t="shared" si="419"/>
        <v>1.1857235850616387E-2</v>
      </c>
      <c r="Q1254" s="28">
        <f t="shared" si="419"/>
        <v>1.1927264210450818E-2</v>
      </c>
      <c r="R1254" s="28">
        <f t="shared" si="419"/>
        <v>1.1927878223320707E-2</v>
      </c>
      <c r="S1254" s="28">
        <f t="shared" si="419"/>
        <v>1.1611863969496622E-2</v>
      </c>
      <c r="T1254" s="28">
        <f t="shared" si="419"/>
        <v>1.1670412476333285E-2</v>
      </c>
      <c r="U1254" s="28">
        <f t="shared" si="419"/>
        <v>1.1690011795887009E-2</v>
      </c>
      <c r="V1254" s="28">
        <f t="shared" si="419"/>
        <v>1.1701386719696659E-2</v>
      </c>
      <c r="W1254" s="28">
        <f t="shared" si="419"/>
        <v>1.1727854409399838E-2</v>
      </c>
      <c r="X1254" s="28">
        <f t="shared" si="419"/>
        <v>1.1804833799023256E-2</v>
      </c>
      <c r="Y1254" s="28">
        <f t="shared" si="419"/>
        <v>1.1886005497153091E-2</v>
      </c>
      <c r="Z1254" s="28">
        <f t="shared" si="419"/>
        <v>1.1979510957472734E-2</v>
      </c>
      <c r="AA1254" s="28">
        <f t="shared" si="419"/>
        <v>1.205236577778087E-2</v>
      </c>
      <c r="AB1254" s="28">
        <f t="shared" si="419"/>
        <v>1.2147438942603695E-2</v>
      </c>
      <c r="AC1254" s="28">
        <f t="shared" si="419"/>
        <v>1.2269617141334144E-2</v>
      </c>
      <c r="AD1254" s="28">
        <f t="shared" si="419"/>
        <v>1.2467702333271203E-2</v>
      </c>
      <c r="AE1254" s="28">
        <f t="shared" si="419"/>
        <v>1.267642652991954E-2</v>
      </c>
      <c r="AF1254" s="28">
        <f t="shared" si="419"/>
        <v>1.2891338204148346E-2</v>
      </c>
      <c r="AG1254" s="28">
        <f t="shared" si="419"/>
        <v>1.3131995580920246E-2</v>
      </c>
      <c r="AH1254" s="28">
        <f t="shared" si="419"/>
        <v>1.3347063002460574E-2</v>
      </c>
      <c r="AI1254" s="28">
        <f t="shared" si="419"/>
        <v>1.3570591720816946E-2</v>
      </c>
      <c r="AJ1254" s="28">
        <f t="shared" si="419"/>
        <v>1.3799717610851593E-2</v>
      </c>
      <c r="AK1254" s="28">
        <f t="shared" si="419"/>
        <v>1.4020509306336248E-2</v>
      </c>
      <c r="AL1254" s="28">
        <f t="shared" si="419"/>
        <v>1.4242339166012306E-2</v>
      </c>
      <c r="AM1254" s="28">
        <f t="shared" si="419"/>
        <v>1.4473733537787649E-2</v>
      </c>
      <c r="AN1254" s="28">
        <f t="shared" si="419"/>
        <v>1.4712710800173745E-2</v>
      </c>
      <c r="AO1254" s="28">
        <f t="shared" si="419"/>
        <v>1.4939027926436137E-2</v>
      </c>
      <c r="AP1254" s="28">
        <f t="shared" si="419"/>
        <v>1.5169798989398372E-2</v>
      </c>
      <c r="AQ1254" s="28">
        <f t="shared" si="419"/>
        <v>1.5405457473018145E-2</v>
      </c>
      <c r="AR1254" s="28">
        <f t="shared" si="419"/>
        <v>1.565832401651902E-2</v>
      </c>
      <c r="AS1254" s="28">
        <f t="shared" si="419"/>
        <v>1.5913320176661066E-2</v>
      </c>
      <c r="AT1254" s="28">
        <f t="shared" si="419"/>
        <v>1.6054679121263817E-2</v>
      </c>
      <c r="AU1254" s="28">
        <f t="shared" si="419"/>
        <v>1.618895842344634E-2</v>
      </c>
      <c r="AV1254" s="28">
        <f t="shared" si="419"/>
        <v>1.633981604211758E-2</v>
      </c>
      <c r="AW1254" s="28">
        <f t="shared" si="419"/>
        <v>1.6484951666619261E-2</v>
      </c>
      <c r="AY1254" s="85"/>
      <c r="AZ1254" s="85"/>
    </row>
    <row r="1255" spans="1:52" x14ac:dyDescent="0.25">
      <c r="A1255" s="102" t="str">
        <f t="shared" si="384"/>
        <v>FSFAGSPQNIBDDSCM Cattle MMN2O</v>
      </c>
      <c r="B1255" s="102" t="s">
        <v>1376</v>
      </c>
      <c r="C1255" s="102" t="s">
        <v>1233</v>
      </c>
      <c r="D1255" t="s">
        <v>15</v>
      </c>
      <c r="E1255" t="s">
        <v>657</v>
      </c>
      <c r="F1255" t="s">
        <v>67</v>
      </c>
      <c r="G1255" t="s">
        <v>122</v>
      </c>
      <c r="H1255" t="s">
        <v>1228</v>
      </c>
      <c r="I1255" t="s">
        <v>139</v>
      </c>
      <c r="J1255" t="s">
        <v>287</v>
      </c>
      <c r="K1255" s="28">
        <f t="shared" ref="K1255:AW1255" si="420">IFERROR(K1414-((K1414-K39)+(K1414-K192)+(K1414-K345)+(K1414-K497)+(K1414-K649)+(K1414-K800)+(K1414-K951)+(K1414-K1102)),0)</f>
        <v>0.52784381686908488</v>
      </c>
      <c r="L1255" s="28">
        <f t="shared" si="420"/>
        <v>0.52515644938547934</v>
      </c>
      <c r="M1255" s="28">
        <f t="shared" si="420"/>
        <v>0.52025151153580673</v>
      </c>
      <c r="N1255" s="28">
        <f t="shared" si="420"/>
        <v>0.50682531077398352</v>
      </c>
      <c r="O1255" s="28">
        <f t="shared" si="420"/>
        <v>0.4939348964332157</v>
      </c>
      <c r="P1255" s="28">
        <f t="shared" si="420"/>
        <v>0.48971543421207564</v>
      </c>
      <c r="Q1255" s="28">
        <f t="shared" si="420"/>
        <v>0.48290055380478719</v>
      </c>
      <c r="R1255" s="28">
        <f t="shared" si="420"/>
        <v>0.46758884489133185</v>
      </c>
      <c r="S1255" s="28">
        <f t="shared" si="420"/>
        <v>0.41621648904191116</v>
      </c>
      <c r="T1255" s="28">
        <f t="shared" si="420"/>
        <v>0.40477829626966566</v>
      </c>
      <c r="U1255" s="28">
        <f t="shared" si="420"/>
        <v>0.38847343651188831</v>
      </c>
      <c r="V1255" s="28">
        <f t="shared" si="420"/>
        <v>0.37101120892254519</v>
      </c>
      <c r="W1255" s="28">
        <f t="shared" si="420"/>
        <v>0.35469340834320656</v>
      </c>
      <c r="X1255" s="28">
        <f t="shared" si="420"/>
        <v>0.34232698162358027</v>
      </c>
      <c r="Y1255" s="28">
        <f t="shared" si="420"/>
        <v>0.33005015620028999</v>
      </c>
      <c r="Z1255" s="28">
        <f t="shared" si="420"/>
        <v>0.31776495315785863</v>
      </c>
      <c r="AA1255" s="28">
        <f t="shared" si="420"/>
        <v>0.30304681413665718</v>
      </c>
      <c r="AB1255" s="28">
        <f t="shared" si="420"/>
        <v>0.28902650963887577</v>
      </c>
      <c r="AC1255" s="28">
        <f t="shared" si="420"/>
        <v>0.27571589049212675</v>
      </c>
      <c r="AD1255" s="28">
        <f t="shared" si="420"/>
        <v>0.26978418806696502</v>
      </c>
      <c r="AE1255" s="28">
        <f t="shared" si="420"/>
        <v>0.26360145659630951</v>
      </c>
      <c r="AF1255" s="28">
        <f t="shared" si="420"/>
        <v>0.25690968791822699</v>
      </c>
      <c r="AG1255" s="28">
        <f t="shared" si="420"/>
        <v>0.25062400936732454</v>
      </c>
      <c r="AH1255" s="28">
        <f t="shared" si="420"/>
        <v>0.24235318677047668</v>
      </c>
      <c r="AI1255" s="28">
        <f t="shared" si="420"/>
        <v>0.23399525613491468</v>
      </c>
      <c r="AJ1255" s="28">
        <f t="shared" si="420"/>
        <v>0.22517627498502013</v>
      </c>
      <c r="AK1255" s="28">
        <f t="shared" si="420"/>
        <v>0.21542889048434077</v>
      </c>
      <c r="AL1255" s="28">
        <f t="shared" si="420"/>
        <v>0.20518395353108421</v>
      </c>
      <c r="AM1255" s="28">
        <f t="shared" si="420"/>
        <v>0.19474579372169665</v>
      </c>
      <c r="AN1255" s="28">
        <f t="shared" si="420"/>
        <v>0.19105765499519745</v>
      </c>
      <c r="AO1255" s="28">
        <f t="shared" si="420"/>
        <v>0.18660895172023795</v>
      </c>
      <c r="AP1255" s="28">
        <f t="shared" si="420"/>
        <v>0.18191586318535879</v>
      </c>
      <c r="AQ1255" s="28">
        <f t="shared" si="420"/>
        <v>0.1769968286677257</v>
      </c>
      <c r="AR1255" s="28">
        <f t="shared" si="420"/>
        <v>0.17213640824958221</v>
      </c>
      <c r="AS1255" s="28">
        <f t="shared" si="420"/>
        <v>0.16708330203926747</v>
      </c>
      <c r="AT1255" s="28">
        <f t="shared" si="420"/>
        <v>0.15942031903584863</v>
      </c>
      <c r="AU1255" s="28">
        <f t="shared" si="420"/>
        <v>0.15159168026429337</v>
      </c>
      <c r="AV1255" s="28">
        <f t="shared" si="420"/>
        <v>0.14405212338825391</v>
      </c>
      <c r="AW1255" s="28">
        <f t="shared" si="420"/>
        <v>0.13639075425762759</v>
      </c>
      <c r="AY1255" s="85"/>
      <c r="AZ1255" s="85"/>
    </row>
    <row r="1256" spans="1:52" x14ac:dyDescent="0.25">
      <c r="A1256" s="102" t="str">
        <f t="shared" si="384"/>
        <v>FSFAGSPQNIBDDSCM Cattle MMN2O</v>
      </c>
      <c r="B1256" s="102" t="s">
        <v>1376</v>
      </c>
      <c r="C1256" s="102" t="s">
        <v>1233</v>
      </c>
      <c r="D1256" t="s">
        <v>15</v>
      </c>
      <c r="E1256" t="s">
        <v>657</v>
      </c>
      <c r="F1256" t="s">
        <v>67</v>
      </c>
      <c r="G1256" t="s">
        <v>123</v>
      </c>
      <c r="H1256" t="s">
        <v>1228</v>
      </c>
      <c r="I1256" t="s">
        <v>139</v>
      </c>
      <c r="J1256" t="s">
        <v>287</v>
      </c>
      <c r="K1256" s="28">
        <f t="shared" ref="K1256:AW1256" si="421">IFERROR(K1415-((K1415-K40)+(K1415-K193)+(K1415-K346)+(K1415-K498)+(K1415-K650)+(K1415-K801)+(K1415-K952)+(K1415-K1103)),0)</f>
        <v>0.80849535264982253</v>
      </c>
      <c r="L1256" s="28">
        <f t="shared" si="421"/>
        <v>0.80437912725905281</v>
      </c>
      <c r="M1256" s="28">
        <f t="shared" si="421"/>
        <v>0.79686626203308752</v>
      </c>
      <c r="N1256" s="28">
        <f t="shared" si="421"/>
        <v>0.77630142718465789</v>
      </c>
      <c r="O1256" s="28">
        <f t="shared" si="421"/>
        <v>0.75655725333024249</v>
      </c>
      <c r="P1256" s="28">
        <f t="shared" si="421"/>
        <v>0.75009432720048652</v>
      </c>
      <c r="Q1256" s="28">
        <f t="shared" si="421"/>
        <v>0.73965601389251134</v>
      </c>
      <c r="R1256" s="28">
        <f t="shared" si="421"/>
        <v>0.71620315700184167</v>
      </c>
      <c r="S1256" s="28">
        <f t="shared" si="421"/>
        <v>0.63751641362897982</v>
      </c>
      <c r="T1256" s="28">
        <f t="shared" si="421"/>
        <v>0.61999659923780925</v>
      </c>
      <c r="U1256" s="28">
        <f t="shared" si="421"/>
        <v>0.59502253888419632</v>
      </c>
      <c r="V1256" s="28">
        <f t="shared" si="421"/>
        <v>0.56827574484834054</v>
      </c>
      <c r="W1256" s="28">
        <f t="shared" si="421"/>
        <v>0.54328186311242166</v>
      </c>
      <c r="X1256" s="28">
        <f t="shared" si="421"/>
        <v>0.52434027809773509</v>
      </c>
      <c r="Y1256" s="28">
        <f t="shared" si="421"/>
        <v>0.50553593487572257</v>
      </c>
      <c r="Z1256" s="28">
        <f t="shared" si="421"/>
        <v>0.48671875970242928</v>
      </c>
      <c r="AA1256" s="28">
        <f t="shared" si="421"/>
        <v>0.46417507041782669</v>
      </c>
      <c r="AB1256" s="28">
        <f t="shared" si="421"/>
        <v>0.4427002502779841</v>
      </c>
      <c r="AC1256" s="28">
        <f t="shared" si="421"/>
        <v>0.42231245112771498</v>
      </c>
      <c r="AD1256" s="28">
        <f t="shared" si="421"/>
        <v>0.41322689647919975</v>
      </c>
      <c r="AE1256" s="28">
        <f t="shared" si="421"/>
        <v>0.40375684207872053</v>
      </c>
      <c r="AF1256" s="28">
        <f t="shared" si="421"/>
        <v>0.39350709830161479</v>
      </c>
      <c r="AG1256" s="28">
        <f t="shared" si="421"/>
        <v>0.38387936044764337</v>
      </c>
      <c r="AH1256" s="28">
        <f t="shared" si="421"/>
        <v>0.37121098882247971</v>
      </c>
      <c r="AI1256" s="28">
        <f t="shared" si="421"/>
        <v>0.35840919431306817</v>
      </c>
      <c r="AJ1256" s="28">
        <f t="shared" si="421"/>
        <v>0.34490121137014274</v>
      </c>
      <c r="AK1256" s="28">
        <f t="shared" si="421"/>
        <v>0.32997119832947741</v>
      </c>
      <c r="AL1256" s="28">
        <f t="shared" si="421"/>
        <v>0.31427908704544427</v>
      </c>
      <c r="AM1256" s="28">
        <f t="shared" si="421"/>
        <v>0.29829101741878272</v>
      </c>
      <c r="AN1256" s="28">
        <f t="shared" si="421"/>
        <v>0.29264191644419979</v>
      </c>
      <c r="AO1256" s="28">
        <f t="shared" si="421"/>
        <v>0.2858278631046024</v>
      </c>
      <c r="AP1256" s="28">
        <f t="shared" si="421"/>
        <v>0.27863948626137169</v>
      </c>
      <c r="AQ1256" s="28">
        <f t="shared" si="421"/>
        <v>0.27110502924978797</v>
      </c>
      <c r="AR1256" s="28">
        <f t="shared" si="421"/>
        <v>0.26366035111885522</v>
      </c>
      <c r="AS1256" s="28">
        <f t="shared" si="421"/>
        <v>0.25592053726308617</v>
      </c>
      <c r="AT1256" s="28">
        <f t="shared" si="421"/>
        <v>0.24418319006359179</v>
      </c>
      <c r="AU1256" s="28">
        <f t="shared" si="421"/>
        <v>0.2321921088723421</v>
      </c>
      <c r="AV1256" s="28">
        <f t="shared" si="421"/>
        <v>0.22064381276560008</v>
      </c>
      <c r="AW1256" s="28">
        <f t="shared" si="421"/>
        <v>0.20890893752582351</v>
      </c>
      <c r="AY1256" s="85"/>
      <c r="AZ1256" s="85"/>
    </row>
    <row r="1257" spans="1:52" x14ac:dyDescent="0.25">
      <c r="A1257" s="102" t="str">
        <f t="shared" si="384"/>
        <v>FSFAGSPQNIBDDSCM Cattle MMN2O</v>
      </c>
      <c r="B1257" s="102" t="s">
        <v>1376</v>
      </c>
      <c r="C1257" s="102" t="s">
        <v>1233</v>
      </c>
      <c r="D1257" t="s">
        <v>15</v>
      </c>
      <c r="E1257" t="s">
        <v>657</v>
      </c>
      <c r="F1257" t="s">
        <v>67</v>
      </c>
      <c r="G1257" t="s">
        <v>135</v>
      </c>
      <c r="H1257" t="s">
        <v>1228</v>
      </c>
      <c r="I1257" t="s">
        <v>139</v>
      </c>
      <c r="J1257" t="s">
        <v>287</v>
      </c>
      <c r="K1257" s="28">
        <f t="shared" ref="K1257:AW1257" si="422">IFERROR(K1416-((K1416-K41)+(K1416-K194)+(K1416-K347)+(K1416-K499)+(K1416-K651)+(K1416-K802)+(K1416-K953)+(K1416-K1104)),0)</f>
        <v>0.98205986457809369</v>
      </c>
      <c r="L1257" s="28">
        <f t="shared" si="422"/>
        <v>1.0186966250855221</v>
      </c>
      <c r="M1257" s="28">
        <f t="shared" si="422"/>
        <v>1.0516100331905254</v>
      </c>
      <c r="N1257" s="28">
        <f t="shared" si="422"/>
        <v>1.0670554052779846</v>
      </c>
      <c r="O1257" s="28">
        <f t="shared" si="422"/>
        <v>1.0827371051777117</v>
      </c>
      <c r="P1257" s="28">
        <f t="shared" si="422"/>
        <v>1.1173522594931429</v>
      </c>
      <c r="Q1257" s="28">
        <f t="shared" si="422"/>
        <v>1.1465503025323129</v>
      </c>
      <c r="R1257" s="28">
        <f t="shared" si="422"/>
        <v>1.1550738596088039</v>
      </c>
      <c r="S1257" s="28">
        <f t="shared" si="422"/>
        <v>1.0695943528873249</v>
      </c>
      <c r="T1257" s="28">
        <f t="shared" si="422"/>
        <v>1.0888070029411889</v>
      </c>
      <c r="U1257" s="28">
        <f t="shared" si="422"/>
        <v>1.0946534149179592</v>
      </c>
      <c r="V1257" s="28">
        <f t="shared" si="422"/>
        <v>1.0962276730554967</v>
      </c>
      <c r="W1257" s="28">
        <f t="shared" si="422"/>
        <v>1.1001660907100193</v>
      </c>
      <c r="X1257" s="28">
        <f t="shared" si="422"/>
        <v>1.116121264794717</v>
      </c>
      <c r="Y1257" s="28">
        <f t="shared" si="422"/>
        <v>1.132892703891379</v>
      </c>
      <c r="Z1257" s="28">
        <f t="shared" si="422"/>
        <v>1.1503787906482137</v>
      </c>
      <c r="AA1257" s="28">
        <f t="shared" si="422"/>
        <v>1.1595962572344689</v>
      </c>
      <c r="AB1257" s="28">
        <f t="shared" si="422"/>
        <v>1.1718839791421878</v>
      </c>
      <c r="AC1257" s="28">
        <f t="shared" si="422"/>
        <v>1.1880600557047813</v>
      </c>
      <c r="AD1257" s="28">
        <f t="shared" si="422"/>
        <v>1.2110855134993972</v>
      </c>
      <c r="AE1257" s="28">
        <f t="shared" si="422"/>
        <v>1.2335714606093473</v>
      </c>
      <c r="AF1257" s="28">
        <f t="shared" si="422"/>
        <v>1.2542183806310321</v>
      </c>
      <c r="AG1257" s="28">
        <f t="shared" si="422"/>
        <v>1.2774256853099537</v>
      </c>
      <c r="AH1257" s="28">
        <f t="shared" si="422"/>
        <v>1.2909774320419309</v>
      </c>
      <c r="AI1257" s="28">
        <f t="shared" si="422"/>
        <v>1.3040457462988342</v>
      </c>
      <c r="AJ1257" s="28">
        <f t="shared" si="422"/>
        <v>1.3144826276699813</v>
      </c>
      <c r="AK1257" s="28">
        <f t="shared" si="422"/>
        <v>1.3191793515872408</v>
      </c>
      <c r="AL1257" s="28">
        <f t="shared" si="422"/>
        <v>1.3201200281979348</v>
      </c>
      <c r="AM1257" s="28">
        <f t="shared" si="422"/>
        <v>1.318887282186942</v>
      </c>
      <c r="AN1257" s="28">
        <f t="shared" si="422"/>
        <v>1.3448964342573761</v>
      </c>
      <c r="AO1257" s="28">
        <f t="shared" si="422"/>
        <v>1.3664100447890348</v>
      </c>
      <c r="AP1257" s="28">
        <f t="shared" si="422"/>
        <v>1.3867284356543355</v>
      </c>
      <c r="AQ1257" s="28">
        <f t="shared" si="422"/>
        <v>1.4058541450279702</v>
      </c>
      <c r="AR1257" s="28">
        <f t="shared" si="422"/>
        <v>1.4259482797950565</v>
      </c>
      <c r="AS1257" s="28">
        <f t="shared" si="422"/>
        <v>1.4450346462474042</v>
      </c>
      <c r="AT1257" s="28">
        <f t="shared" si="422"/>
        <v>1.4417475978311503</v>
      </c>
      <c r="AU1257" s="28">
        <f t="shared" si="422"/>
        <v>1.4355526428734957</v>
      </c>
      <c r="AV1257" s="28">
        <f t="shared" si="422"/>
        <v>1.4304978953378438</v>
      </c>
      <c r="AW1257" s="28">
        <f t="shared" si="422"/>
        <v>1.4227002514745344</v>
      </c>
      <c r="AY1257" s="85"/>
      <c r="AZ1257" s="85"/>
    </row>
    <row r="1258" spans="1:52" x14ac:dyDescent="0.25">
      <c r="A1258" s="102" t="str">
        <f t="shared" si="384"/>
        <v>FSFAGSPQNIBDDSCM Sheep MMN2O</v>
      </c>
      <c r="B1258" s="102" t="s">
        <v>1376</v>
      </c>
      <c r="C1258" s="102" t="s">
        <v>1329</v>
      </c>
      <c r="D1258" t="s">
        <v>15</v>
      </c>
      <c r="E1258" t="s">
        <v>657</v>
      </c>
      <c r="F1258" t="s">
        <v>18</v>
      </c>
      <c r="G1258" t="s">
        <v>122</v>
      </c>
      <c r="H1258" t="s">
        <v>1228</v>
      </c>
      <c r="I1258" t="s">
        <v>139</v>
      </c>
      <c r="J1258" t="s">
        <v>287</v>
      </c>
      <c r="K1258" s="28">
        <f t="shared" ref="K1258:AW1258" si="423">IFERROR(K1417-((K1417-K42)+(K1417-K195)+(K1417-K348)+(K1417-K500)+(K1417-K652)+(K1417-K803)+(K1417-K954)+(K1417-K1105)),0)</f>
        <v>0.11717139101759612</v>
      </c>
      <c r="L1258" s="28">
        <f t="shared" si="423"/>
        <v>0.11723462618367245</v>
      </c>
      <c r="M1258" s="28">
        <f t="shared" si="423"/>
        <v>0.11737999843906115</v>
      </c>
      <c r="N1258" s="28">
        <f t="shared" si="423"/>
        <v>0.1175958170956644</v>
      </c>
      <c r="O1258" s="28">
        <f t="shared" si="423"/>
        <v>0.1178871134646596</v>
      </c>
      <c r="P1258" s="28">
        <f t="shared" si="423"/>
        <v>0.11825974180541671</v>
      </c>
      <c r="Q1258" s="28">
        <f t="shared" si="423"/>
        <v>0.11867033947255794</v>
      </c>
      <c r="R1258" s="28">
        <f t="shared" si="423"/>
        <v>0.11911252923744317</v>
      </c>
      <c r="S1258" s="28">
        <f t="shared" si="423"/>
        <v>0.11955062486439895</v>
      </c>
      <c r="T1258" s="28">
        <f t="shared" si="423"/>
        <v>0.11970596715789944</v>
      </c>
      <c r="U1258" s="28">
        <f t="shared" si="423"/>
        <v>0.11988552714432761</v>
      </c>
      <c r="V1258" s="28">
        <f t="shared" si="423"/>
        <v>0.12009164524666266</v>
      </c>
      <c r="W1258" s="28">
        <f t="shared" si="423"/>
        <v>0.12032597429168131</v>
      </c>
      <c r="X1258" s="28">
        <f t="shared" si="423"/>
        <v>0.12059214919784284</v>
      </c>
      <c r="Y1258" s="28">
        <f t="shared" si="423"/>
        <v>0.12075047253600929</v>
      </c>
      <c r="Z1258" s="28">
        <f t="shared" si="423"/>
        <v>0.12093171818839542</v>
      </c>
      <c r="AA1258" s="28">
        <f t="shared" si="423"/>
        <v>0.12113015622987074</v>
      </c>
      <c r="AB1258" s="28">
        <f t="shared" si="423"/>
        <v>0.1213509954297097</v>
      </c>
      <c r="AC1258" s="28">
        <f t="shared" si="423"/>
        <v>0.12159419420930323</v>
      </c>
      <c r="AD1258" s="28">
        <f t="shared" si="423"/>
        <v>0.12175905413504695</v>
      </c>
      <c r="AE1258" s="28">
        <f t="shared" si="423"/>
        <v>0.12194110218668799</v>
      </c>
      <c r="AF1258" s="28">
        <f t="shared" si="423"/>
        <v>0.12213902840641362</v>
      </c>
      <c r="AG1258" s="28">
        <f t="shared" si="423"/>
        <v>0.12235510263892656</v>
      </c>
      <c r="AH1258" s="28">
        <f t="shared" si="423"/>
        <v>0.12258124070371156</v>
      </c>
      <c r="AI1258" s="28">
        <f t="shared" si="423"/>
        <v>0.12272146036616496</v>
      </c>
      <c r="AJ1258" s="28">
        <f t="shared" si="423"/>
        <v>0.12287458537781655</v>
      </c>
      <c r="AK1258" s="28">
        <f t="shared" si="423"/>
        <v>0.12303810668107222</v>
      </c>
      <c r="AL1258" s="28">
        <f t="shared" si="423"/>
        <v>0.12321298360836372</v>
      </c>
      <c r="AM1258" s="28">
        <f t="shared" si="423"/>
        <v>0.12340008970059463</v>
      </c>
      <c r="AN1258" s="28">
        <f t="shared" si="423"/>
        <v>0.12350526160494434</v>
      </c>
      <c r="AO1258" s="28">
        <f t="shared" si="423"/>
        <v>0.12361811130120491</v>
      </c>
      <c r="AP1258" s="28">
        <f t="shared" si="423"/>
        <v>0.12374084326414254</v>
      </c>
      <c r="AQ1258" s="28">
        <f t="shared" si="423"/>
        <v>0.12387321615070723</v>
      </c>
      <c r="AR1258" s="28">
        <f t="shared" si="423"/>
        <v>0.12401678140322427</v>
      </c>
      <c r="AS1258" s="28">
        <f t="shared" si="423"/>
        <v>0.1240746358858464</v>
      </c>
      <c r="AT1258" s="28">
        <f t="shared" si="423"/>
        <v>0.12412319673902336</v>
      </c>
      <c r="AU1258" s="28">
        <f t="shared" si="423"/>
        <v>0.12417808819569943</v>
      </c>
      <c r="AV1258" s="28">
        <f t="shared" si="423"/>
        <v>0.12424261447905341</v>
      </c>
      <c r="AW1258" s="28">
        <f t="shared" si="423"/>
        <v>0.1243132159456129</v>
      </c>
      <c r="AY1258" s="85"/>
      <c r="AZ1258" s="85"/>
    </row>
    <row r="1259" spans="1:52" x14ac:dyDescent="0.25">
      <c r="A1259" s="102" t="str">
        <f t="shared" si="384"/>
        <v>FSFAGSPQNIBDDSCM Sheep MMN2O</v>
      </c>
      <c r="B1259" s="102" t="s">
        <v>1376</v>
      </c>
      <c r="C1259" s="102" t="s">
        <v>1329</v>
      </c>
      <c r="D1259" t="s">
        <v>15</v>
      </c>
      <c r="E1259" t="s">
        <v>657</v>
      </c>
      <c r="F1259" t="s">
        <v>18</v>
      </c>
      <c r="G1259" t="s">
        <v>123</v>
      </c>
      <c r="H1259" t="s">
        <v>1228</v>
      </c>
      <c r="I1259" t="s">
        <v>139</v>
      </c>
      <c r="J1259" t="s">
        <v>287</v>
      </c>
      <c r="K1259" s="28">
        <f t="shared" ref="K1259:AW1259" si="424">IFERROR(K1418-((K1418-K43)+(K1418-K196)+(K1418-K349)+(K1418-K501)+(K1418-K653)+(K1418-K804)+(K1418-K955)+(K1418-K1106)),0)</f>
        <v>6.2656398763200921E-2</v>
      </c>
      <c r="L1259" s="28">
        <f t="shared" si="424"/>
        <v>6.2690213227185057E-2</v>
      </c>
      <c r="M1259" s="28">
        <f t="shared" si="424"/>
        <v>6.276794979686845E-2</v>
      </c>
      <c r="N1259" s="28">
        <f t="shared" si="424"/>
        <v>6.2883356976822818E-2</v>
      </c>
      <c r="O1259" s="28">
        <f t="shared" si="424"/>
        <v>6.303912521764958E-2</v>
      </c>
      <c r="P1259" s="28">
        <f t="shared" si="424"/>
        <v>6.3238385034454531E-2</v>
      </c>
      <c r="Q1259" s="28">
        <f t="shared" si="424"/>
        <v>6.3457948623656765E-2</v>
      </c>
      <c r="R1259" s="28">
        <f t="shared" si="424"/>
        <v>6.3694405816808061E-2</v>
      </c>
      <c r="S1259" s="28">
        <f t="shared" si="424"/>
        <v>6.3928673704733319E-2</v>
      </c>
      <c r="T1259" s="28">
        <f t="shared" si="424"/>
        <v>6.4011741666987795E-2</v>
      </c>
      <c r="U1259" s="28">
        <f t="shared" si="424"/>
        <v>6.4107759833315375E-2</v>
      </c>
      <c r="V1259" s="28">
        <f t="shared" si="424"/>
        <v>6.4217979724878138E-2</v>
      </c>
      <c r="W1259" s="28">
        <f t="shared" si="424"/>
        <v>6.4343285176652498E-2</v>
      </c>
      <c r="X1259" s="28">
        <f t="shared" si="424"/>
        <v>6.448561993018212E-2</v>
      </c>
      <c r="Y1259" s="28">
        <f t="shared" si="424"/>
        <v>6.457028198056429E-2</v>
      </c>
      <c r="Z1259" s="28">
        <f t="shared" si="424"/>
        <v>6.4667201542339375E-2</v>
      </c>
      <c r="AA1259" s="28">
        <f t="shared" si="424"/>
        <v>6.4773314587072264E-2</v>
      </c>
      <c r="AB1259" s="28">
        <f t="shared" si="424"/>
        <v>6.4891406459563358E-2</v>
      </c>
      <c r="AC1259" s="28">
        <f t="shared" si="424"/>
        <v>6.5021454926007263E-2</v>
      </c>
      <c r="AD1259" s="28">
        <f t="shared" si="424"/>
        <v>6.5109612360665689E-2</v>
      </c>
      <c r="AE1259" s="28">
        <f t="shared" si="424"/>
        <v>6.5206960998576563E-2</v>
      </c>
      <c r="AF1259" s="28">
        <f t="shared" si="424"/>
        <v>6.5312800351008241E-2</v>
      </c>
      <c r="AG1259" s="28">
        <f t="shared" si="424"/>
        <v>6.5428344197993468E-2</v>
      </c>
      <c r="AH1259" s="28">
        <f t="shared" si="424"/>
        <v>6.5549269593174433E-2</v>
      </c>
      <c r="AI1259" s="28">
        <f t="shared" si="424"/>
        <v>6.5624250857874156E-2</v>
      </c>
      <c r="AJ1259" s="28">
        <f t="shared" si="424"/>
        <v>6.570613314763224E-2</v>
      </c>
      <c r="AK1259" s="28">
        <f t="shared" si="424"/>
        <v>6.5793574765369178E-2</v>
      </c>
      <c r="AL1259" s="28">
        <f t="shared" si="424"/>
        <v>6.5887088705894256E-2</v>
      </c>
      <c r="AM1259" s="28">
        <f t="shared" si="424"/>
        <v>6.5987142087731127E-2</v>
      </c>
      <c r="AN1259" s="28">
        <f t="shared" si="424"/>
        <v>6.6043381863672965E-2</v>
      </c>
      <c r="AO1259" s="28">
        <f t="shared" si="424"/>
        <v>6.6103727273143661E-2</v>
      </c>
      <c r="AP1259" s="28">
        <f t="shared" si="424"/>
        <v>6.6169357140161769E-2</v>
      </c>
      <c r="AQ1259" s="28">
        <f t="shared" si="424"/>
        <v>6.6240142408596339E-2</v>
      </c>
      <c r="AR1259" s="28">
        <f t="shared" si="424"/>
        <v>6.6316912698955816E-2</v>
      </c>
      <c r="AS1259" s="28">
        <f t="shared" si="424"/>
        <v>6.6347849888502952E-2</v>
      </c>
      <c r="AT1259" s="28">
        <f t="shared" si="424"/>
        <v>6.6373817389225709E-2</v>
      </c>
      <c r="AU1259" s="28">
        <f t="shared" si="424"/>
        <v>6.6403170126001471E-2</v>
      </c>
      <c r="AV1259" s="28">
        <f t="shared" si="424"/>
        <v>6.6437675003902311E-2</v>
      </c>
      <c r="AW1259" s="28">
        <f t="shared" si="424"/>
        <v>6.6475428534039677E-2</v>
      </c>
      <c r="AY1259" s="85"/>
      <c r="AZ1259" s="85"/>
    </row>
    <row r="1260" spans="1:52" x14ac:dyDescent="0.25">
      <c r="A1260" s="102" t="str">
        <f t="shared" si="384"/>
        <v>FSFAGSPQNIBDDSCM Goats MMN2O</v>
      </c>
      <c r="B1260" s="102" t="s">
        <v>1376</v>
      </c>
      <c r="C1260" s="102" t="s">
        <v>1330</v>
      </c>
      <c r="D1260" t="s">
        <v>15</v>
      </c>
      <c r="E1260" t="s">
        <v>657</v>
      </c>
      <c r="F1260" t="s">
        <v>19</v>
      </c>
      <c r="G1260" t="s">
        <v>122</v>
      </c>
      <c r="H1260" t="s">
        <v>1228</v>
      </c>
      <c r="I1260" t="s">
        <v>139</v>
      </c>
      <c r="J1260" t="s">
        <v>287</v>
      </c>
      <c r="K1260" s="28">
        <f t="shared" ref="K1260:AW1260" si="425">IFERROR(K1419-((K1419-K44)+(K1419-K197)+(K1419-K350)+(K1419-K502)+(K1419-K654)+(K1419-K805)+(K1419-K956)+(K1419-K1107)),0)</f>
        <v>1.4482807028187926E-2</v>
      </c>
      <c r="L1260" s="28">
        <f t="shared" si="425"/>
        <v>1.4520450251739283E-2</v>
      </c>
      <c r="M1260" s="28">
        <f t="shared" si="425"/>
        <v>1.4571212872745463E-2</v>
      </c>
      <c r="N1260" s="28">
        <f t="shared" si="425"/>
        <v>1.4633040456364911E-2</v>
      </c>
      <c r="O1260" s="28">
        <f t="shared" si="425"/>
        <v>1.4707094987006923E-2</v>
      </c>
      <c r="P1260" s="28">
        <f t="shared" si="425"/>
        <v>1.4794644538423191E-2</v>
      </c>
      <c r="Q1260" s="28">
        <f t="shared" si="425"/>
        <v>1.4887429784482062E-2</v>
      </c>
      <c r="R1260" s="28">
        <f t="shared" si="425"/>
        <v>1.4984365063470912E-2</v>
      </c>
      <c r="S1260" s="28">
        <f t="shared" si="425"/>
        <v>1.5078737379247895E-2</v>
      </c>
      <c r="T1260" s="28">
        <f t="shared" si="425"/>
        <v>1.5122022085784054E-2</v>
      </c>
      <c r="U1260" s="28">
        <f t="shared" si="425"/>
        <v>1.5168700186651049E-2</v>
      </c>
      <c r="V1260" s="28">
        <f t="shared" si="425"/>
        <v>1.5219291662698977E-2</v>
      </c>
      <c r="W1260" s="28">
        <f t="shared" si="425"/>
        <v>1.5274171031448219E-2</v>
      </c>
      <c r="X1260" s="28">
        <f t="shared" si="425"/>
        <v>1.5334076575093777E-2</v>
      </c>
      <c r="Y1260" s="28">
        <f t="shared" si="425"/>
        <v>1.5372633836154437E-2</v>
      </c>
      <c r="Z1260" s="28">
        <f t="shared" si="425"/>
        <v>1.5414710813994566E-2</v>
      </c>
      <c r="AA1260" s="28">
        <f t="shared" si="425"/>
        <v>1.5459260848218298E-2</v>
      </c>
      <c r="AB1260" s="28">
        <f t="shared" si="425"/>
        <v>1.5507296791102529E-2</v>
      </c>
      <c r="AC1260" s="28">
        <f t="shared" si="425"/>
        <v>1.5558834836357003E-2</v>
      </c>
      <c r="AD1260" s="28">
        <f t="shared" si="425"/>
        <v>1.5592757830860556E-2</v>
      </c>
      <c r="AE1260" s="28">
        <f t="shared" si="425"/>
        <v>1.562932478627909E-2</v>
      </c>
      <c r="AF1260" s="28">
        <f t="shared" si="425"/>
        <v>1.5668308058264361E-2</v>
      </c>
      <c r="AG1260" s="28">
        <f t="shared" si="425"/>
        <v>1.5710145809478677E-2</v>
      </c>
      <c r="AH1260" s="28">
        <f t="shared" si="425"/>
        <v>1.5753347197297651E-2</v>
      </c>
      <c r="AI1260" s="28">
        <f t="shared" si="425"/>
        <v>1.5780128357590142E-2</v>
      </c>
      <c r="AJ1260" s="28">
        <f t="shared" si="425"/>
        <v>1.5808895494916663E-2</v>
      </c>
      <c r="AK1260" s="28">
        <f t="shared" si="425"/>
        <v>1.5839194459493416E-2</v>
      </c>
      <c r="AL1260" s="28">
        <f t="shared" si="425"/>
        <v>1.5871212894447165E-2</v>
      </c>
      <c r="AM1260" s="28">
        <f t="shared" si="425"/>
        <v>1.5905120208325661E-2</v>
      </c>
      <c r="AN1260" s="28">
        <f t="shared" si="425"/>
        <v>1.5923608440521576E-2</v>
      </c>
      <c r="AO1260" s="28">
        <f t="shared" si="425"/>
        <v>1.5943219194385971E-2</v>
      </c>
      <c r="AP1260" s="28">
        <f t="shared" si="425"/>
        <v>1.5964364076511545E-2</v>
      </c>
      <c r="AQ1260" s="28">
        <f t="shared" si="425"/>
        <v>1.5987003748719163E-2</v>
      </c>
      <c r="AR1260" s="28">
        <f t="shared" si="425"/>
        <v>1.6011426014492076E-2</v>
      </c>
      <c r="AS1260" s="28">
        <f t="shared" si="425"/>
        <v>1.6019956720470994E-2</v>
      </c>
      <c r="AT1260" s="28">
        <f t="shared" si="425"/>
        <v>1.6026597354274651E-2</v>
      </c>
      <c r="AU1260" s="28">
        <f t="shared" si="425"/>
        <v>1.6034206571030277E-2</v>
      </c>
      <c r="AV1260" s="28">
        <f t="shared" si="425"/>
        <v>1.6043388029308273E-2</v>
      </c>
      <c r="AW1260" s="28">
        <f t="shared" si="425"/>
        <v>1.6053496862987397E-2</v>
      </c>
      <c r="AY1260" s="85"/>
      <c r="AZ1260" s="85"/>
    </row>
    <row r="1261" spans="1:52" x14ac:dyDescent="0.25">
      <c r="A1261" s="102" t="str">
        <f t="shared" si="384"/>
        <v>FSFAGSPQNIBDDSCM Goats MMN2O</v>
      </c>
      <c r="B1261" s="102" t="s">
        <v>1376</v>
      </c>
      <c r="C1261" s="102" t="s">
        <v>1330</v>
      </c>
      <c r="D1261" t="s">
        <v>15</v>
      </c>
      <c r="E1261" t="s">
        <v>657</v>
      </c>
      <c r="F1261" t="s">
        <v>19</v>
      </c>
      <c r="G1261" t="s">
        <v>123</v>
      </c>
      <c r="H1261" t="s">
        <v>1228</v>
      </c>
      <c r="I1261" t="s">
        <v>139</v>
      </c>
      <c r="J1261" t="s">
        <v>287</v>
      </c>
      <c r="K1261" s="28">
        <f t="shared" ref="K1261:AW1261" si="426">IFERROR(K1420-((K1420-K45)+(K1420-K198)+(K1420-K351)+(K1420-K503)+(K1420-K655)+(K1420-K806)+(K1420-K957)+(K1420-K1108)),0)</f>
        <v>0.11481805129047286</v>
      </c>
      <c r="L1261" s="28">
        <f t="shared" si="426"/>
        <v>0.11511648249680231</v>
      </c>
      <c r="M1261" s="28">
        <f t="shared" si="426"/>
        <v>0.11551892279798029</v>
      </c>
      <c r="N1261" s="28">
        <f t="shared" si="426"/>
        <v>0.11600908486762376</v>
      </c>
      <c r="O1261" s="28">
        <f t="shared" si="426"/>
        <v>0.11659618078632224</v>
      </c>
      <c r="P1261" s="28">
        <f t="shared" si="426"/>
        <v>0.11729026369893758</v>
      </c>
      <c r="Q1261" s="28">
        <f t="shared" si="426"/>
        <v>0.1180258546047787</v>
      </c>
      <c r="R1261" s="28">
        <f t="shared" si="426"/>
        <v>0.11879434650093773</v>
      </c>
      <c r="S1261" s="28">
        <f t="shared" si="426"/>
        <v>0.1195425195154779</v>
      </c>
      <c r="T1261" s="28">
        <f t="shared" si="426"/>
        <v>0.1198856757589802</v>
      </c>
      <c r="U1261" s="28">
        <f t="shared" si="426"/>
        <v>0.1202557344478143</v>
      </c>
      <c r="V1261" s="28">
        <f t="shared" si="426"/>
        <v>0.1206568179311767</v>
      </c>
      <c r="W1261" s="28">
        <f t="shared" si="426"/>
        <v>0.12109189534148641</v>
      </c>
      <c r="X1261" s="28">
        <f t="shared" si="426"/>
        <v>0.12156681969623982</v>
      </c>
      <c r="Y1261" s="28">
        <f t="shared" si="426"/>
        <v>0.12187249728826091</v>
      </c>
      <c r="Z1261" s="28">
        <f t="shared" si="426"/>
        <v>0.12220607879565744</v>
      </c>
      <c r="AA1261" s="28">
        <f t="shared" si="426"/>
        <v>0.12255926641353683</v>
      </c>
      <c r="AB1261" s="28">
        <f t="shared" si="426"/>
        <v>0.12294008991985945</v>
      </c>
      <c r="AC1261" s="28">
        <f t="shared" si="426"/>
        <v>0.12334867769651912</v>
      </c>
      <c r="AD1261" s="28">
        <f t="shared" si="426"/>
        <v>0.12361761534895452</v>
      </c>
      <c r="AE1261" s="28">
        <f t="shared" si="426"/>
        <v>0.12390751402361132</v>
      </c>
      <c r="AF1261" s="28">
        <f t="shared" si="426"/>
        <v>0.124216568981919</v>
      </c>
      <c r="AG1261" s="28">
        <f t="shared" si="426"/>
        <v>0.12454825392776228</v>
      </c>
      <c r="AH1261" s="28">
        <f t="shared" si="426"/>
        <v>0.12489074962992587</v>
      </c>
      <c r="AI1261" s="28">
        <f t="shared" si="426"/>
        <v>0.12510306763085599</v>
      </c>
      <c r="AJ1261" s="28">
        <f t="shared" si="426"/>
        <v>0.12533113023243647</v>
      </c>
      <c r="AK1261" s="28">
        <f t="shared" si="426"/>
        <v>0.12557133698669695</v>
      </c>
      <c r="AL1261" s="28">
        <f t="shared" si="426"/>
        <v>0.12582517550706146</v>
      </c>
      <c r="AM1261" s="28">
        <f t="shared" si="426"/>
        <v>0.12609398884528009</v>
      </c>
      <c r="AN1261" s="28">
        <f t="shared" si="426"/>
        <v>0.1262405614529527</v>
      </c>
      <c r="AO1261" s="28">
        <f t="shared" si="426"/>
        <v>0.12639603328508198</v>
      </c>
      <c r="AP1261" s="28">
        <f t="shared" si="426"/>
        <v>0.12656366751204504</v>
      </c>
      <c r="AQ1261" s="28">
        <f t="shared" si="426"/>
        <v>0.1267431522652199</v>
      </c>
      <c r="AR1261" s="28">
        <f t="shared" si="426"/>
        <v>0.12693676921797539</v>
      </c>
      <c r="AS1261" s="28">
        <f t="shared" si="426"/>
        <v>0.12700439968731225</v>
      </c>
      <c r="AT1261" s="28">
        <f t="shared" si="426"/>
        <v>0.12705704587884023</v>
      </c>
      <c r="AU1261" s="28">
        <f t="shared" si="426"/>
        <v>0.12711737088614225</v>
      </c>
      <c r="AV1261" s="28">
        <f t="shared" si="426"/>
        <v>0.12719016044588929</v>
      </c>
      <c r="AW1261" s="28">
        <f t="shared" si="426"/>
        <v>0.12727030213262158</v>
      </c>
      <c r="AY1261" s="85"/>
      <c r="AZ1261" s="85"/>
    </row>
    <row r="1262" spans="1:52" x14ac:dyDescent="0.25">
      <c r="A1262" s="102" t="str">
        <f t="shared" si="384"/>
        <v>FSFAGSPQNIBDDSCM Horses MMN2O</v>
      </c>
      <c r="B1262" s="102" t="s">
        <v>1376</v>
      </c>
      <c r="C1262" s="102" t="s">
        <v>1331</v>
      </c>
      <c r="D1262" t="s">
        <v>15</v>
      </c>
      <c r="E1262" t="s">
        <v>657</v>
      </c>
      <c r="F1262" t="s">
        <v>20</v>
      </c>
      <c r="G1262" t="s">
        <v>3</v>
      </c>
      <c r="H1262" t="s">
        <v>1228</v>
      </c>
      <c r="I1262" t="s">
        <v>139</v>
      </c>
      <c r="J1262" t="s">
        <v>287</v>
      </c>
      <c r="K1262" s="28">
        <f t="shared" ref="K1262:AW1262" si="427">IFERROR(K1421-((K1421-K46)+(K1421-K199)+(K1421-K352)+(K1421-K504)+(K1421-K656)+(K1421-K807)+(K1421-K958)+(K1421-K1109)),0)</f>
        <v>0</v>
      </c>
      <c r="L1262" s="28">
        <f t="shared" si="427"/>
        <v>0</v>
      </c>
      <c r="M1262" s="28">
        <f t="shared" si="427"/>
        <v>0</v>
      </c>
      <c r="N1262" s="28">
        <f t="shared" si="427"/>
        <v>0</v>
      </c>
      <c r="O1262" s="28">
        <f t="shared" si="427"/>
        <v>0</v>
      </c>
      <c r="P1262" s="28">
        <f t="shared" si="427"/>
        <v>0</v>
      </c>
      <c r="Q1262" s="28">
        <f t="shared" si="427"/>
        <v>0</v>
      </c>
      <c r="R1262" s="28">
        <f t="shared" si="427"/>
        <v>0</v>
      </c>
      <c r="S1262" s="28">
        <f t="shared" si="427"/>
        <v>0</v>
      </c>
      <c r="T1262" s="28">
        <f t="shared" si="427"/>
        <v>0</v>
      </c>
      <c r="U1262" s="28">
        <f t="shared" si="427"/>
        <v>0</v>
      </c>
      <c r="V1262" s="28">
        <f t="shared" si="427"/>
        <v>0</v>
      </c>
      <c r="W1262" s="28">
        <f t="shared" si="427"/>
        <v>0</v>
      </c>
      <c r="X1262" s="28">
        <f t="shared" si="427"/>
        <v>0</v>
      </c>
      <c r="Y1262" s="28">
        <f t="shared" si="427"/>
        <v>0</v>
      </c>
      <c r="Z1262" s="28">
        <f t="shared" si="427"/>
        <v>0</v>
      </c>
      <c r="AA1262" s="28">
        <f t="shared" si="427"/>
        <v>0</v>
      </c>
      <c r="AB1262" s="28">
        <f t="shared" si="427"/>
        <v>0</v>
      </c>
      <c r="AC1262" s="28">
        <f t="shared" si="427"/>
        <v>0</v>
      </c>
      <c r="AD1262" s="28">
        <f t="shared" si="427"/>
        <v>0</v>
      </c>
      <c r="AE1262" s="28">
        <f t="shared" si="427"/>
        <v>0</v>
      </c>
      <c r="AF1262" s="28">
        <f t="shared" si="427"/>
        <v>0</v>
      </c>
      <c r="AG1262" s="28">
        <f t="shared" si="427"/>
        <v>0</v>
      </c>
      <c r="AH1262" s="28">
        <f t="shared" si="427"/>
        <v>0</v>
      </c>
      <c r="AI1262" s="28">
        <f t="shared" si="427"/>
        <v>0</v>
      </c>
      <c r="AJ1262" s="28">
        <f t="shared" si="427"/>
        <v>0</v>
      </c>
      <c r="AK1262" s="28">
        <f t="shared" si="427"/>
        <v>0</v>
      </c>
      <c r="AL1262" s="28">
        <f t="shared" si="427"/>
        <v>0</v>
      </c>
      <c r="AM1262" s="28">
        <f t="shared" si="427"/>
        <v>0</v>
      </c>
      <c r="AN1262" s="28">
        <f t="shared" si="427"/>
        <v>0</v>
      </c>
      <c r="AO1262" s="28">
        <f t="shared" si="427"/>
        <v>0</v>
      </c>
      <c r="AP1262" s="28">
        <f t="shared" si="427"/>
        <v>0</v>
      </c>
      <c r="AQ1262" s="28">
        <f t="shared" si="427"/>
        <v>0</v>
      </c>
      <c r="AR1262" s="28">
        <f t="shared" si="427"/>
        <v>0</v>
      </c>
      <c r="AS1262" s="28">
        <f t="shared" si="427"/>
        <v>0</v>
      </c>
      <c r="AT1262" s="28">
        <f t="shared" si="427"/>
        <v>0</v>
      </c>
      <c r="AU1262" s="28">
        <f t="shared" si="427"/>
        <v>0</v>
      </c>
      <c r="AV1262" s="28">
        <f t="shared" si="427"/>
        <v>0</v>
      </c>
      <c r="AW1262" s="28">
        <f t="shared" si="427"/>
        <v>0</v>
      </c>
      <c r="AY1262" s="85"/>
      <c r="AZ1262" s="85"/>
    </row>
    <row r="1263" spans="1:52" x14ac:dyDescent="0.25">
      <c r="A1263" s="102" t="str">
        <f t="shared" si="384"/>
        <v>FSFAGSPQNIBDDSCM Mules MMN2O</v>
      </c>
      <c r="B1263" s="102" t="s">
        <v>1376</v>
      </c>
      <c r="C1263" s="102" t="s">
        <v>1332</v>
      </c>
      <c r="D1263" t="s">
        <v>15</v>
      </c>
      <c r="E1263" t="s">
        <v>657</v>
      </c>
      <c r="F1263" t="s">
        <v>140</v>
      </c>
      <c r="G1263" t="s">
        <v>124</v>
      </c>
      <c r="H1263" t="s">
        <v>1228</v>
      </c>
      <c r="I1263" t="s">
        <v>139</v>
      </c>
      <c r="J1263" t="s">
        <v>287</v>
      </c>
      <c r="K1263" s="28">
        <f t="shared" ref="K1263:AW1263" si="428">IFERROR(K1422-((K1422-K47)+(K1422-K200)+(K1422-K353)+(K1422-K505)+(K1422-K657)+(K1422-K808)+(K1422-K959)+(K1422-K1110)),0)</f>
        <v>0</v>
      </c>
      <c r="L1263" s="28">
        <f t="shared" si="428"/>
        <v>0</v>
      </c>
      <c r="M1263" s="28">
        <f t="shared" si="428"/>
        <v>0</v>
      </c>
      <c r="N1263" s="28">
        <f t="shared" si="428"/>
        <v>0</v>
      </c>
      <c r="O1263" s="28">
        <f t="shared" si="428"/>
        <v>0</v>
      </c>
      <c r="P1263" s="28">
        <f t="shared" si="428"/>
        <v>0</v>
      </c>
      <c r="Q1263" s="28">
        <f t="shared" si="428"/>
        <v>0</v>
      </c>
      <c r="R1263" s="28">
        <f t="shared" si="428"/>
        <v>0</v>
      </c>
      <c r="S1263" s="28">
        <f t="shared" si="428"/>
        <v>0</v>
      </c>
      <c r="T1263" s="28">
        <f t="shared" si="428"/>
        <v>0</v>
      </c>
      <c r="U1263" s="28">
        <f t="shared" si="428"/>
        <v>0</v>
      </c>
      <c r="V1263" s="28">
        <f t="shared" si="428"/>
        <v>0</v>
      </c>
      <c r="W1263" s="28">
        <f t="shared" si="428"/>
        <v>0</v>
      </c>
      <c r="X1263" s="28">
        <f t="shared" si="428"/>
        <v>0</v>
      </c>
      <c r="Y1263" s="28">
        <f t="shared" si="428"/>
        <v>0</v>
      </c>
      <c r="Z1263" s="28">
        <f t="shared" si="428"/>
        <v>0</v>
      </c>
      <c r="AA1263" s="28">
        <f t="shared" si="428"/>
        <v>0</v>
      </c>
      <c r="AB1263" s="28">
        <f t="shared" si="428"/>
        <v>0</v>
      </c>
      <c r="AC1263" s="28">
        <f t="shared" si="428"/>
        <v>0</v>
      </c>
      <c r="AD1263" s="28">
        <f t="shared" si="428"/>
        <v>0</v>
      </c>
      <c r="AE1263" s="28">
        <f t="shared" si="428"/>
        <v>0</v>
      </c>
      <c r="AF1263" s="28">
        <f t="shared" si="428"/>
        <v>0</v>
      </c>
      <c r="AG1263" s="28">
        <f t="shared" si="428"/>
        <v>0</v>
      </c>
      <c r="AH1263" s="28">
        <f t="shared" si="428"/>
        <v>0</v>
      </c>
      <c r="AI1263" s="28">
        <f t="shared" si="428"/>
        <v>0</v>
      </c>
      <c r="AJ1263" s="28">
        <f t="shared" si="428"/>
        <v>0</v>
      </c>
      <c r="AK1263" s="28">
        <f t="shared" si="428"/>
        <v>0</v>
      </c>
      <c r="AL1263" s="28">
        <f t="shared" si="428"/>
        <v>0</v>
      </c>
      <c r="AM1263" s="28">
        <f t="shared" si="428"/>
        <v>0</v>
      </c>
      <c r="AN1263" s="28">
        <f t="shared" si="428"/>
        <v>0</v>
      </c>
      <c r="AO1263" s="28">
        <f t="shared" si="428"/>
        <v>0</v>
      </c>
      <c r="AP1263" s="28">
        <f t="shared" si="428"/>
        <v>0</v>
      </c>
      <c r="AQ1263" s="28">
        <f t="shared" si="428"/>
        <v>0</v>
      </c>
      <c r="AR1263" s="28">
        <f t="shared" si="428"/>
        <v>0</v>
      </c>
      <c r="AS1263" s="28">
        <f t="shared" si="428"/>
        <v>0</v>
      </c>
      <c r="AT1263" s="28">
        <f t="shared" si="428"/>
        <v>0</v>
      </c>
      <c r="AU1263" s="28">
        <f t="shared" si="428"/>
        <v>0</v>
      </c>
      <c r="AV1263" s="28">
        <f t="shared" si="428"/>
        <v>0</v>
      </c>
      <c r="AW1263" s="28">
        <f t="shared" si="428"/>
        <v>0</v>
      </c>
      <c r="AY1263" s="85"/>
      <c r="AZ1263" s="85"/>
    </row>
    <row r="1264" spans="1:52" x14ac:dyDescent="0.25">
      <c r="A1264" s="102" t="str">
        <f t="shared" si="384"/>
        <v>FSFAGSPQNIBDDSCM Swine MMN2O</v>
      </c>
      <c r="B1264" s="102" t="s">
        <v>1376</v>
      </c>
      <c r="C1264" s="102" t="s">
        <v>1234</v>
      </c>
      <c r="D1264" t="s">
        <v>15</v>
      </c>
      <c r="E1264" t="s">
        <v>657</v>
      </c>
      <c r="F1264" t="s">
        <v>21</v>
      </c>
      <c r="G1264" t="s">
        <v>122</v>
      </c>
      <c r="H1264" t="s">
        <v>1228</v>
      </c>
      <c r="I1264" t="s">
        <v>139</v>
      </c>
      <c r="J1264" t="s">
        <v>287</v>
      </c>
      <c r="K1264" s="28">
        <f t="shared" ref="K1264:AW1264" si="429">IFERROR(K1423-((K1423-K48)+(K1423-K201)+(K1423-K354)+(K1423-K506)+(K1423-K658)+(K1423-K809)+(K1423-K960)+(K1423-K1111)),0)</f>
        <v>9.7855003322124628E-2</v>
      </c>
      <c r="L1264" s="28">
        <f t="shared" si="429"/>
        <v>9.768205595551481E-2</v>
      </c>
      <c r="M1264" s="28">
        <f t="shared" si="429"/>
        <v>9.7134008511937764E-2</v>
      </c>
      <c r="N1264" s="28">
        <f t="shared" si="429"/>
        <v>9.4990622413168677E-2</v>
      </c>
      <c r="O1264" s="28">
        <f t="shared" si="429"/>
        <v>9.2963704380958218E-2</v>
      </c>
      <c r="P1264" s="28">
        <f t="shared" si="429"/>
        <v>9.2636555494494649E-2</v>
      </c>
      <c r="Q1264" s="28">
        <f t="shared" si="429"/>
        <v>9.1842396693378264E-2</v>
      </c>
      <c r="R1264" s="28">
        <f t="shared" si="429"/>
        <v>8.9396441883992581E-2</v>
      </c>
      <c r="S1264" s="28">
        <f t="shared" si="429"/>
        <v>7.973748994684815E-2</v>
      </c>
      <c r="T1264" s="28">
        <f t="shared" si="429"/>
        <v>8.1436401650850934E-2</v>
      </c>
      <c r="U1264" s="28">
        <f t="shared" si="429"/>
        <v>8.22096147995513E-2</v>
      </c>
      <c r="V1264" s="28">
        <f t="shared" si="429"/>
        <v>8.2768053449766926E-2</v>
      </c>
      <c r="W1264" s="28">
        <f t="shared" si="429"/>
        <v>8.3633919959097178E-2</v>
      </c>
      <c r="X1264" s="28">
        <f t="shared" si="429"/>
        <v>8.5576398291327294E-2</v>
      </c>
      <c r="Y1264" s="28">
        <f t="shared" si="429"/>
        <v>8.7763815717527546E-2</v>
      </c>
      <c r="Z1264" s="28">
        <f t="shared" si="429"/>
        <v>9.0171670058210876E-2</v>
      </c>
      <c r="AA1264" s="28">
        <f t="shared" si="429"/>
        <v>9.209269193858842E-2</v>
      </c>
      <c r="AB1264" s="28">
        <f t="shared" si="429"/>
        <v>9.444879422375306E-2</v>
      </c>
      <c r="AC1264" s="28">
        <f t="shared" si="429"/>
        <v>9.7335191711402189E-2</v>
      </c>
      <c r="AD1264" s="28">
        <f t="shared" si="429"/>
        <v>0.10007518793097436</v>
      </c>
      <c r="AE1264" s="28">
        <f t="shared" si="429"/>
        <v>0.10292675471931297</v>
      </c>
      <c r="AF1264" s="28">
        <f t="shared" si="429"/>
        <v>0.10579452527936169</v>
      </c>
      <c r="AG1264" s="28">
        <f t="shared" si="429"/>
        <v>0.10906598410393169</v>
      </c>
      <c r="AH1264" s="28">
        <f t="shared" si="429"/>
        <v>0.11171565306560718</v>
      </c>
      <c r="AI1264" s="28">
        <f t="shared" si="429"/>
        <v>0.11455509243540948</v>
      </c>
      <c r="AJ1264" s="28">
        <f t="shared" si="429"/>
        <v>0.11739449871653893</v>
      </c>
      <c r="AK1264" s="28">
        <f t="shared" si="429"/>
        <v>0.1199699221676345</v>
      </c>
      <c r="AL1264" s="28">
        <f t="shared" si="429"/>
        <v>0.12246459121400947</v>
      </c>
      <c r="AM1264" s="28">
        <f t="shared" si="429"/>
        <v>0.125036417840722</v>
      </c>
      <c r="AN1264" s="28">
        <f t="shared" si="429"/>
        <v>0.12775553426246711</v>
      </c>
      <c r="AO1264" s="28">
        <f t="shared" si="429"/>
        <v>0.13014415148839389</v>
      </c>
      <c r="AP1264" s="28">
        <f t="shared" si="429"/>
        <v>0.13251479136892375</v>
      </c>
      <c r="AQ1264" s="28">
        <f t="shared" si="429"/>
        <v>0.13487379644716166</v>
      </c>
      <c r="AR1264" s="28">
        <f t="shared" si="429"/>
        <v>0.13743060072319849</v>
      </c>
      <c r="AS1264" s="28">
        <f t="shared" si="429"/>
        <v>0.14002417365519876</v>
      </c>
      <c r="AT1264" s="28">
        <f t="shared" si="429"/>
        <v>0.14061969913789321</v>
      </c>
      <c r="AU1264" s="28">
        <f t="shared" si="429"/>
        <v>0.14104741924155845</v>
      </c>
      <c r="AV1264" s="28">
        <f t="shared" si="429"/>
        <v>0.14169648633765713</v>
      </c>
      <c r="AW1264" s="28">
        <f t="shared" si="429"/>
        <v>0.14220005678993883</v>
      </c>
      <c r="AY1264" s="85"/>
      <c r="AZ1264" s="85"/>
    </row>
    <row r="1265" spans="1:52" x14ac:dyDescent="0.25">
      <c r="A1265" s="102" t="str">
        <f t="shared" si="384"/>
        <v>FSFAGSPQNIBDDSCM Swine MMN2O</v>
      </c>
      <c r="B1265" s="102" t="s">
        <v>1376</v>
      </c>
      <c r="C1265" s="102" t="s">
        <v>1234</v>
      </c>
      <c r="D1265" t="s">
        <v>15</v>
      </c>
      <c r="E1265" t="s">
        <v>657</v>
      </c>
      <c r="F1265" t="s">
        <v>21</v>
      </c>
      <c r="G1265" t="s">
        <v>123</v>
      </c>
      <c r="H1265" t="s">
        <v>1228</v>
      </c>
      <c r="I1265" t="s">
        <v>139</v>
      </c>
      <c r="J1265" t="s">
        <v>287</v>
      </c>
      <c r="K1265" s="28">
        <f t="shared" ref="K1265:AW1265" si="430">IFERROR(K1424-((K1424-K49)+(K1424-K202)+(K1424-K355)+(K1424-K507)+(K1424-K659)+(K1424-K810)+(K1424-K961)+(K1424-K1112)),0)</f>
        <v>3.8282858549039588E-2</v>
      </c>
      <c r="L1265" s="28">
        <f t="shared" si="430"/>
        <v>3.8215198037593316E-2</v>
      </c>
      <c r="M1265" s="28">
        <f t="shared" si="430"/>
        <v>3.8000790781466037E-2</v>
      </c>
      <c r="N1265" s="28">
        <f t="shared" si="430"/>
        <v>3.7162254742945426E-2</v>
      </c>
      <c r="O1265" s="28">
        <f t="shared" si="430"/>
        <v>3.6369283370166726E-2</v>
      </c>
      <c r="P1265" s="28">
        <f t="shared" si="430"/>
        <v>3.6241296102068297E-2</v>
      </c>
      <c r="Q1265" s="28">
        <f t="shared" si="430"/>
        <v>3.5930605099907358E-2</v>
      </c>
      <c r="R1265" s="28">
        <f t="shared" si="430"/>
        <v>3.497369805574925E-2</v>
      </c>
      <c r="S1265" s="28">
        <f t="shared" si="430"/>
        <v>3.1194920495194334E-2</v>
      </c>
      <c r="T1265" s="28">
        <f t="shared" si="430"/>
        <v>3.1859569151303883E-2</v>
      </c>
      <c r="U1265" s="28">
        <f t="shared" si="430"/>
        <v>3.2162065790157512E-2</v>
      </c>
      <c r="V1265" s="28">
        <f t="shared" si="430"/>
        <v>3.2380538296710358E-2</v>
      </c>
      <c r="W1265" s="28">
        <f t="shared" si="430"/>
        <v>3.2719282806175275E-2</v>
      </c>
      <c r="X1265" s="28">
        <f t="shared" si="430"/>
        <v>3.3479219658689038E-2</v>
      </c>
      <c r="Y1265" s="28">
        <f t="shared" si="430"/>
        <v>3.4334981643993637E-2</v>
      </c>
      <c r="Z1265" s="28">
        <f t="shared" si="430"/>
        <v>3.5276983013383285E-2</v>
      </c>
      <c r="AA1265" s="28">
        <f t="shared" si="430"/>
        <v>3.6028525667508131E-2</v>
      </c>
      <c r="AB1265" s="28">
        <f t="shared" si="430"/>
        <v>3.6950280584966015E-2</v>
      </c>
      <c r="AC1265" s="28">
        <f t="shared" si="430"/>
        <v>3.8079497722409941E-2</v>
      </c>
      <c r="AD1265" s="28">
        <f t="shared" si="430"/>
        <v>3.9151439719626834E-2</v>
      </c>
      <c r="AE1265" s="28">
        <f t="shared" si="430"/>
        <v>4.0267030382290729E-2</v>
      </c>
      <c r="AF1265" s="28">
        <f t="shared" si="430"/>
        <v>4.1388960288521931E-2</v>
      </c>
      <c r="AG1265" s="28">
        <f t="shared" si="430"/>
        <v>4.2668821217224227E-2</v>
      </c>
      <c r="AH1265" s="28">
        <f t="shared" si="430"/>
        <v>4.3705425362315177E-2</v>
      </c>
      <c r="AI1265" s="28">
        <f t="shared" si="430"/>
        <v>4.4816271533306411E-2</v>
      </c>
      <c r="AJ1265" s="28">
        <f t="shared" si="430"/>
        <v>4.5927104759338866E-2</v>
      </c>
      <c r="AK1265" s="28">
        <f t="shared" si="430"/>
        <v>4.6934662557457901E-2</v>
      </c>
      <c r="AL1265" s="28">
        <f t="shared" si="430"/>
        <v>4.7910627597433003E-2</v>
      </c>
      <c r="AM1265" s="28">
        <f t="shared" si="430"/>
        <v>4.8916778245029255E-2</v>
      </c>
      <c r="AN1265" s="28">
        <f t="shared" si="430"/>
        <v>4.9980551642587391E-2</v>
      </c>
      <c r="AO1265" s="28">
        <f t="shared" si="430"/>
        <v>5.0915027063194521E-2</v>
      </c>
      <c r="AP1265" s="28">
        <f t="shared" si="430"/>
        <v>5.1842469382298882E-2</v>
      </c>
      <c r="AQ1265" s="28">
        <f t="shared" si="430"/>
        <v>5.2765359931179263E-2</v>
      </c>
      <c r="AR1265" s="28">
        <f t="shared" si="430"/>
        <v>5.3765633531036874E-2</v>
      </c>
      <c r="AS1265" s="28">
        <f t="shared" si="430"/>
        <v>5.4780291773554486E-2</v>
      </c>
      <c r="AT1265" s="28">
        <f t="shared" si="430"/>
        <v>5.5013273399862256E-2</v>
      </c>
      <c r="AU1265" s="28">
        <f t="shared" si="430"/>
        <v>5.5180606164373994E-2</v>
      </c>
      <c r="AV1265" s="28">
        <f t="shared" si="430"/>
        <v>5.543453435389116E-2</v>
      </c>
      <c r="AW1265" s="28">
        <f t="shared" si="430"/>
        <v>5.5631541310507508E-2</v>
      </c>
      <c r="AY1265" s="85"/>
      <c r="AZ1265" s="85"/>
    </row>
    <row r="1266" spans="1:52" x14ac:dyDescent="0.25">
      <c r="A1266" s="102" t="str">
        <f t="shared" si="384"/>
        <v>FSFAGSPQNIBDDSCM Poultry MMN2O</v>
      </c>
      <c r="B1266" s="102" t="s">
        <v>1376</v>
      </c>
      <c r="C1266" s="102" t="s">
        <v>1235</v>
      </c>
      <c r="D1266" t="s">
        <v>15</v>
      </c>
      <c r="E1266" t="s">
        <v>657</v>
      </c>
      <c r="F1266" t="s">
        <v>28</v>
      </c>
      <c r="G1266" t="s">
        <v>131</v>
      </c>
      <c r="H1266" t="s">
        <v>1228</v>
      </c>
      <c r="I1266" t="s">
        <v>139</v>
      </c>
      <c r="J1266" t="s">
        <v>287</v>
      </c>
      <c r="K1266" s="28">
        <f t="shared" ref="K1266:AW1266" si="431">IFERROR(K1425-((K1425-K50)+(K1425-K203)+(K1425-K356)+(K1425-K508)+(K1425-K660)+(K1425-K811)+(K1425-K962)+(K1425-K1113)),0)</f>
        <v>0.32879130142743862</v>
      </c>
      <c r="L1266" s="28">
        <f t="shared" si="431"/>
        <v>0.33618147320266517</v>
      </c>
      <c r="M1266" s="28">
        <f t="shared" si="431"/>
        <v>0.34286580262317662</v>
      </c>
      <c r="N1266" s="28">
        <f t="shared" si="431"/>
        <v>0.34631663130525719</v>
      </c>
      <c r="O1266" s="28">
        <f t="shared" si="431"/>
        <v>0.34986259378047058</v>
      </c>
      <c r="P1266" s="28">
        <f t="shared" si="431"/>
        <v>0.35692259519801384</v>
      </c>
      <c r="Q1266" s="28">
        <f t="shared" si="431"/>
        <v>0.36295954497520366</v>
      </c>
      <c r="R1266" s="28">
        <f t="shared" si="431"/>
        <v>0.36525102127555931</v>
      </c>
      <c r="S1266" s="28">
        <f t="shared" si="431"/>
        <v>0.35074524152454095</v>
      </c>
      <c r="T1266" s="28">
        <f t="shared" si="431"/>
        <v>0.36118344194798235</v>
      </c>
      <c r="U1266" s="28">
        <f t="shared" si="431"/>
        <v>0.36961966083970876</v>
      </c>
      <c r="V1266" s="28">
        <f t="shared" si="431"/>
        <v>0.37765888442551321</v>
      </c>
      <c r="W1266" s="28">
        <f t="shared" si="431"/>
        <v>0.38658550533232433</v>
      </c>
      <c r="X1266" s="28">
        <f t="shared" si="431"/>
        <v>0.39843478474254634</v>
      </c>
      <c r="Y1266" s="28">
        <f t="shared" si="431"/>
        <v>0.41088019341175391</v>
      </c>
      <c r="Z1266" s="28">
        <f t="shared" si="431"/>
        <v>0.42422078606736746</v>
      </c>
      <c r="AA1266" s="28">
        <f t="shared" si="431"/>
        <v>0.4365608627490552</v>
      </c>
      <c r="AB1266" s="28">
        <f t="shared" si="431"/>
        <v>0.45040527564099359</v>
      </c>
      <c r="AC1266" s="28">
        <f t="shared" si="431"/>
        <v>0.46610821416360254</v>
      </c>
      <c r="AD1266" s="28">
        <f t="shared" si="431"/>
        <v>0.48149963825345377</v>
      </c>
      <c r="AE1266" s="28">
        <f t="shared" si="431"/>
        <v>0.49761952403274901</v>
      </c>
      <c r="AF1266" s="28">
        <f t="shared" si="431"/>
        <v>0.51420726915291115</v>
      </c>
      <c r="AG1266" s="28">
        <f t="shared" si="431"/>
        <v>0.53247410489136104</v>
      </c>
      <c r="AH1266" s="28">
        <f t="shared" si="431"/>
        <v>0.5492684403625786</v>
      </c>
      <c r="AI1266" s="28">
        <f t="shared" si="431"/>
        <v>0.56683832060292816</v>
      </c>
      <c r="AJ1266" s="28">
        <f t="shared" si="431"/>
        <v>0.584861650511455</v>
      </c>
      <c r="AK1266" s="28">
        <f t="shared" si="431"/>
        <v>0.60246746038216259</v>
      </c>
      <c r="AL1266" s="28">
        <f t="shared" si="431"/>
        <v>0.62024062021411375</v>
      </c>
      <c r="AM1266" s="28">
        <f t="shared" si="431"/>
        <v>0.63872476172334525</v>
      </c>
      <c r="AN1266" s="28">
        <f t="shared" si="431"/>
        <v>0.65794922439522119</v>
      </c>
      <c r="AO1266" s="28">
        <f t="shared" si="431"/>
        <v>0.67647629594315495</v>
      </c>
      <c r="AP1266" s="28">
        <f t="shared" si="431"/>
        <v>0.69539916939277291</v>
      </c>
      <c r="AQ1266" s="28">
        <f t="shared" si="431"/>
        <v>0.71475050403818352</v>
      </c>
      <c r="AR1266" s="28">
        <f t="shared" si="431"/>
        <v>0.73533889699431976</v>
      </c>
      <c r="AS1266" s="28">
        <f t="shared" si="431"/>
        <v>0.75634294211031738</v>
      </c>
      <c r="AT1266" s="28">
        <f t="shared" si="431"/>
        <v>0.76999066398321547</v>
      </c>
      <c r="AU1266" s="28">
        <f t="shared" si="431"/>
        <v>0.78322712569021657</v>
      </c>
      <c r="AV1266" s="28">
        <f t="shared" si="431"/>
        <v>0.79761951278112875</v>
      </c>
      <c r="AW1266" s="28">
        <f t="shared" si="431"/>
        <v>0.8116941649813233</v>
      </c>
      <c r="AY1266" s="85"/>
      <c r="AZ1266" s="85"/>
    </row>
    <row r="1267" spans="1:52" x14ac:dyDescent="0.25">
      <c r="A1267" s="102" t="str">
        <f t="shared" si="384"/>
        <v>FSFAGSPQNIBDDSCM Poultry MMN2O</v>
      </c>
      <c r="B1267" s="102" t="s">
        <v>1376</v>
      </c>
      <c r="C1267" s="102" t="s">
        <v>1235</v>
      </c>
      <c r="D1267" t="s">
        <v>15</v>
      </c>
      <c r="E1267" t="s">
        <v>657</v>
      </c>
      <c r="F1267" t="s">
        <v>28</v>
      </c>
      <c r="G1267" t="s">
        <v>132</v>
      </c>
      <c r="H1267" t="s">
        <v>1228</v>
      </c>
      <c r="I1267" t="s">
        <v>139</v>
      </c>
      <c r="J1267" t="s">
        <v>287</v>
      </c>
      <c r="K1267" s="28">
        <f t="shared" ref="K1267:AW1267" si="432">IFERROR(K1426-((K1426-K51)+(K1426-K204)+(K1426-K357)+(K1426-K509)+(K1426-K661)+(K1426-K812)+(K1426-K963)+(K1426-K1114)),0)</f>
        <v>1.7130795703114865</v>
      </c>
      <c r="L1267" s="28">
        <f t="shared" si="432"/>
        <v>1.7448742149951937</v>
      </c>
      <c r="M1267" s="28">
        <f t="shared" si="432"/>
        <v>1.7656986639980343</v>
      </c>
      <c r="N1267" s="28">
        <f t="shared" si="432"/>
        <v>1.7427941986174933</v>
      </c>
      <c r="O1267" s="28">
        <f t="shared" si="432"/>
        <v>1.7205815318546955</v>
      </c>
      <c r="P1267" s="28">
        <f t="shared" si="432"/>
        <v>1.7425923100139877</v>
      </c>
      <c r="Q1267" s="28">
        <f t="shared" si="432"/>
        <v>1.7510736876348556</v>
      </c>
      <c r="R1267" s="28">
        <f t="shared" si="432"/>
        <v>1.7121897293862536</v>
      </c>
      <c r="S1267" s="28">
        <f t="shared" si="432"/>
        <v>1.4655218906646825</v>
      </c>
      <c r="T1267" s="28">
        <f t="shared" si="432"/>
        <v>1.5435447554829997</v>
      </c>
      <c r="U1267" s="28">
        <f t="shared" si="432"/>
        <v>1.5956560108361177</v>
      </c>
      <c r="V1267" s="28">
        <f t="shared" si="432"/>
        <v>1.6419221451530122</v>
      </c>
      <c r="W1267" s="28">
        <f t="shared" si="432"/>
        <v>1.6978384527889268</v>
      </c>
      <c r="X1267" s="28">
        <f t="shared" si="432"/>
        <v>1.7872460275438702</v>
      </c>
      <c r="Y1267" s="28">
        <f t="shared" si="432"/>
        <v>1.887240682197036</v>
      </c>
      <c r="Z1267" s="28">
        <f t="shared" si="432"/>
        <v>1.995971101735482</v>
      </c>
      <c r="AA1267" s="28">
        <f t="shared" si="432"/>
        <v>2.0913588050429768</v>
      </c>
      <c r="AB1267" s="28">
        <f t="shared" si="432"/>
        <v>2.2024400328575071</v>
      </c>
      <c r="AC1267" s="28">
        <f t="shared" si="432"/>
        <v>2.3328994419775984</v>
      </c>
      <c r="AD1267" s="28">
        <f t="shared" si="432"/>
        <v>2.4622485384574722</v>
      </c>
      <c r="AE1267" s="28">
        <f t="shared" si="432"/>
        <v>2.5979128848174038</v>
      </c>
      <c r="AF1267" s="28">
        <f t="shared" si="432"/>
        <v>2.736883954367725</v>
      </c>
      <c r="AG1267" s="28">
        <f t="shared" si="432"/>
        <v>2.8925003504262654</v>
      </c>
      <c r="AH1267" s="28">
        <f t="shared" si="432"/>
        <v>3.0298623130308338</v>
      </c>
      <c r="AI1267" s="28">
        <f t="shared" si="432"/>
        <v>3.177749305338081</v>
      </c>
      <c r="AJ1267" s="28">
        <f t="shared" si="432"/>
        <v>3.3286906573992181</v>
      </c>
      <c r="AK1267" s="28">
        <f t="shared" si="432"/>
        <v>3.4732778027932514</v>
      </c>
      <c r="AL1267" s="28">
        <f t="shared" si="432"/>
        <v>3.6179058084191946</v>
      </c>
      <c r="AM1267" s="28">
        <f t="shared" si="432"/>
        <v>3.7683694388074951</v>
      </c>
      <c r="AN1267" s="28">
        <f t="shared" si="432"/>
        <v>3.9284612032143356</v>
      </c>
      <c r="AO1267" s="28">
        <f t="shared" si="432"/>
        <v>4.0794299759760078</v>
      </c>
      <c r="AP1267" s="28">
        <f t="shared" si="432"/>
        <v>4.232865087683491</v>
      </c>
      <c r="AQ1267" s="28">
        <f t="shared" si="432"/>
        <v>4.3890787302931145</v>
      </c>
      <c r="AR1267" s="28">
        <f t="shared" si="432"/>
        <v>4.5563813177136412</v>
      </c>
      <c r="AS1267" s="28">
        <f t="shared" si="432"/>
        <v>4.7297394965419057</v>
      </c>
      <c r="AT1267" s="28">
        <f t="shared" si="432"/>
        <v>4.8262731590339127</v>
      </c>
      <c r="AU1267" s="28">
        <f t="shared" si="432"/>
        <v>4.9177251341699524</v>
      </c>
      <c r="AV1267" s="28">
        <f t="shared" si="432"/>
        <v>5.0199981180084885</v>
      </c>
      <c r="AW1267" s="28">
        <f t="shared" si="432"/>
        <v>5.1181310105583959</v>
      </c>
      <c r="AY1267" s="85"/>
      <c r="AZ1267" s="85"/>
    </row>
    <row r="1268" spans="1:52" x14ac:dyDescent="0.25">
      <c r="A1268" s="102" t="str">
        <f t="shared" si="384"/>
        <v>FSFAGSPQNIBDDSCM Poultry MMN2O</v>
      </c>
      <c r="B1268" s="102" t="s">
        <v>1376</v>
      </c>
      <c r="C1268" s="102" t="s">
        <v>1235</v>
      </c>
      <c r="D1268" t="s">
        <v>15</v>
      </c>
      <c r="E1268" t="s">
        <v>657</v>
      </c>
      <c r="F1268" t="s">
        <v>28</v>
      </c>
      <c r="G1268" t="s">
        <v>134</v>
      </c>
      <c r="H1268" t="s">
        <v>1228</v>
      </c>
      <c r="I1268" t="s">
        <v>139</v>
      </c>
      <c r="J1268" t="s">
        <v>287</v>
      </c>
      <c r="K1268" s="28">
        <f t="shared" ref="K1268:AW1268" si="433">IFERROR(K1427-((K1427-K52)+(K1427-K205)+(K1427-K358)+(K1427-K510)+(K1427-K662)+(K1427-K813)+(K1427-K964)+(K1427-K1115)),0)</f>
        <v>1.3699637559476618E-2</v>
      </c>
      <c r="L1268" s="28">
        <f t="shared" si="433"/>
        <v>1.4007561383444394E-2</v>
      </c>
      <c r="M1268" s="28">
        <f t="shared" si="433"/>
        <v>1.4286075109299039E-2</v>
      </c>
      <c r="N1268" s="28">
        <f t="shared" si="433"/>
        <v>1.4429859637719061E-2</v>
      </c>
      <c r="O1268" s="28">
        <f t="shared" si="433"/>
        <v>1.4577608074186288E-2</v>
      </c>
      <c r="P1268" s="28">
        <f t="shared" si="433"/>
        <v>1.4871774799917255E-2</v>
      </c>
      <c r="Q1268" s="28">
        <f t="shared" si="433"/>
        <v>1.5123314373966834E-2</v>
      </c>
      <c r="R1268" s="28">
        <f t="shared" si="433"/>
        <v>1.5218792553148319E-2</v>
      </c>
      <c r="S1268" s="28">
        <f t="shared" si="433"/>
        <v>1.4614385063522554E-2</v>
      </c>
      <c r="T1268" s="28">
        <f t="shared" si="433"/>
        <v>1.5049310081165945E-2</v>
      </c>
      <c r="U1268" s="28">
        <f t="shared" si="433"/>
        <v>1.5400819201654545E-2</v>
      </c>
      <c r="V1268" s="28">
        <f t="shared" si="433"/>
        <v>1.5735786851063062E-2</v>
      </c>
      <c r="W1268" s="28">
        <f t="shared" si="433"/>
        <v>1.6107729388846862E-2</v>
      </c>
      <c r="X1268" s="28">
        <f t="shared" si="433"/>
        <v>1.6601449364272783E-2</v>
      </c>
      <c r="Y1268" s="28">
        <f t="shared" si="433"/>
        <v>1.7120008058823098E-2</v>
      </c>
      <c r="Z1268" s="28">
        <f t="shared" si="433"/>
        <v>1.7675866086140329E-2</v>
      </c>
      <c r="AA1268" s="28">
        <f t="shared" si="433"/>
        <v>1.8190035947877312E-2</v>
      </c>
      <c r="AB1268" s="28">
        <f t="shared" si="433"/>
        <v>1.8766886485041417E-2</v>
      </c>
      <c r="AC1268" s="28">
        <f t="shared" si="433"/>
        <v>1.9421175590150126E-2</v>
      </c>
      <c r="AD1268" s="28">
        <f t="shared" si="433"/>
        <v>2.0062484927227259E-2</v>
      </c>
      <c r="AE1268" s="28">
        <f t="shared" si="433"/>
        <v>2.0734146834697896E-2</v>
      </c>
      <c r="AF1268" s="28">
        <f t="shared" si="433"/>
        <v>2.1425302881371316E-2</v>
      </c>
      <c r="AG1268" s="28">
        <f t="shared" si="433"/>
        <v>2.2186421037140063E-2</v>
      </c>
      <c r="AH1268" s="28">
        <f t="shared" si="433"/>
        <v>2.2886185015107467E-2</v>
      </c>
      <c r="AI1268" s="28">
        <f t="shared" si="433"/>
        <v>2.3618263358455356E-2</v>
      </c>
      <c r="AJ1268" s="28">
        <f t="shared" si="433"/>
        <v>2.436923543797731E-2</v>
      </c>
      <c r="AK1268" s="28">
        <f t="shared" si="433"/>
        <v>2.5102810849256797E-2</v>
      </c>
      <c r="AL1268" s="28">
        <f t="shared" si="433"/>
        <v>2.5843359175588099E-2</v>
      </c>
      <c r="AM1268" s="28">
        <f t="shared" si="433"/>
        <v>2.6613531738472741E-2</v>
      </c>
      <c r="AN1268" s="28">
        <f t="shared" si="433"/>
        <v>2.7414551016467576E-2</v>
      </c>
      <c r="AO1268" s="28">
        <f t="shared" si="433"/>
        <v>2.8186512330964811E-2</v>
      </c>
      <c r="AP1268" s="28">
        <f t="shared" si="433"/>
        <v>2.8974965391365567E-2</v>
      </c>
      <c r="AQ1268" s="28">
        <f t="shared" si="433"/>
        <v>2.978127100159101E-2</v>
      </c>
      <c r="AR1268" s="28">
        <f t="shared" si="433"/>
        <v>3.0639120708096691E-2</v>
      </c>
      <c r="AS1268" s="28">
        <f t="shared" si="433"/>
        <v>3.1514289254596581E-2</v>
      </c>
      <c r="AT1268" s="28">
        <f t="shared" si="433"/>
        <v>3.2082944332634006E-2</v>
      </c>
      <c r="AU1268" s="28">
        <f t="shared" si="433"/>
        <v>3.2634463570425723E-2</v>
      </c>
      <c r="AV1268" s="28">
        <f t="shared" si="433"/>
        <v>3.3234146365880395E-2</v>
      </c>
      <c r="AW1268" s="28">
        <f t="shared" si="433"/>
        <v>3.3820590207555172E-2</v>
      </c>
      <c r="AY1268" s="85"/>
      <c r="AZ1268" s="85"/>
    </row>
    <row r="1269" spans="1:52" x14ac:dyDescent="0.25">
      <c r="A1269" s="102" t="str">
        <f t="shared" si="384"/>
        <v>FSFAGSPQNIBDDSCM Poultry MMN2O</v>
      </c>
      <c r="B1269" s="102" t="s">
        <v>1376</v>
      </c>
      <c r="C1269" s="102" t="s">
        <v>1235</v>
      </c>
      <c r="D1269" t="s">
        <v>15</v>
      </c>
      <c r="E1269" t="s">
        <v>657</v>
      </c>
      <c r="F1269" t="s">
        <v>28</v>
      </c>
      <c r="G1269" t="s">
        <v>133</v>
      </c>
      <c r="H1269" t="s">
        <v>1228</v>
      </c>
      <c r="I1269" t="s">
        <v>139</v>
      </c>
      <c r="J1269" t="s">
        <v>287</v>
      </c>
      <c r="K1269" s="28">
        <f t="shared" ref="K1269:AW1269" si="434">IFERROR(K1428-((K1428-K53)+(K1428-K206)+(K1428-K359)+(K1428-K511)+(K1428-K663)+(K1428-K814)+(K1428-K965)+(K1428-K1116)),0)</f>
        <v>7.1378315429645331E-2</v>
      </c>
      <c r="L1269" s="28">
        <f t="shared" si="434"/>
        <v>7.2703092291466473E-2</v>
      </c>
      <c r="M1269" s="28">
        <f t="shared" si="434"/>
        <v>7.3570777666584833E-2</v>
      </c>
      <c r="N1269" s="28">
        <f t="shared" si="434"/>
        <v>7.2616424942395619E-2</v>
      </c>
      <c r="O1269" s="28">
        <f t="shared" si="434"/>
        <v>7.1690897160612388E-2</v>
      </c>
      <c r="P1269" s="28">
        <f t="shared" si="434"/>
        <v>7.2608012917249581E-2</v>
      </c>
      <c r="Q1269" s="28">
        <f t="shared" si="434"/>
        <v>7.2961403651452372E-2</v>
      </c>
      <c r="R1269" s="28">
        <f t="shared" si="434"/>
        <v>7.1341238724427325E-2</v>
      </c>
      <c r="S1269" s="28">
        <f t="shared" si="434"/>
        <v>6.1063412111028503E-2</v>
      </c>
      <c r="T1269" s="28">
        <f t="shared" si="434"/>
        <v>6.4314364811791716E-2</v>
      </c>
      <c r="U1269" s="28">
        <f t="shared" si="434"/>
        <v>6.6485667118171637E-2</v>
      </c>
      <c r="V1269" s="28">
        <f t="shared" si="434"/>
        <v>6.8413422714708877E-2</v>
      </c>
      <c r="W1269" s="28">
        <f t="shared" si="434"/>
        <v>7.0743268866205369E-2</v>
      </c>
      <c r="X1269" s="28">
        <f t="shared" si="434"/>
        <v>7.4468584480994651E-2</v>
      </c>
      <c r="Y1269" s="28">
        <f t="shared" si="434"/>
        <v>7.8635028424876574E-2</v>
      </c>
      <c r="Z1269" s="28">
        <f t="shared" si="434"/>
        <v>8.3165462572311832E-2</v>
      </c>
      <c r="AA1269" s="28">
        <f t="shared" si="434"/>
        <v>8.7139950210124106E-2</v>
      </c>
      <c r="AB1269" s="28">
        <f t="shared" si="434"/>
        <v>9.176833470239619E-2</v>
      </c>
      <c r="AC1269" s="28">
        <f t="shared" si="434"/>
        <v>9.720414341573333E-2</v>
      </c>
      <c r="AD1269" s="28">
        <f t="shared" si="434"/>
        <v>0.10259368910239479</v>
      </c>
      <c r="AE1269" s="28">
        <f t="shared" si="434"/>
        <v>0.10824637020072524</v>
      </c>
      <c r="AF1269" s="28">
        <f t="shared" si="434"/>
        <v>0.11403683143198864</v>
      </c>
      <c r="AG1269" s="28">
        <f t="shared" si="434"/>
        <v>0.12052084793442783</v>
      </c>
      <c r="AH1269" s="28">
        <f t="shared" si="434"/>
        <v>0.12624426304295153</v>
      </c>
      <c r="AI1269" s="28">
        <f t="shared" si="434"/>
        <v>0.1324062210557535</v>
      </c>
      <c r="AJ1269" s="28">
        <f t="shared" si="434"/>
        <v>0.13869544405830089</v>
      </c>
      <c r="AK1269" s="28">
        <f t="shared" si="434"/>
        <v>0.14471990844971894</v>
      </c>
      <c r="AL1269" s="28">
        <f t="shared" si="434"/>
        <v>0.15074607535079992</v>
      </c>
      <c r="AM1269" s="28">
        <f t="shared" si="434"/>
        <v>0.15701539328364578</v>
      </c>
      <c r="AN1269" s="28">
        <f t="shared" si="434"/>
        <v>0.16368588346726415</v>
      </c>
      <c r="AO1269" s="28">
        <f t="shared" si="434"/>
        <v>0.16997624899900052</v>
      </c>
      <c r="AP1269" s="28">
        <f t="shared" si="434"/>
        <v>0.17636937865347899</v>
      </c>
      <c r="AQ1269" s="28">
        <f t="shared" si="434"/>
        <v>0.18287828042887994</v>
      </c>
      <c r="AR1269" s="28">
        <f t="shared" si="434"/>
        <v>0.18984922157140194</v>
      </c>
      <c r="AS1269" s="28">
        <f t="shared" si="434"/>
        <v>0.19707247902257957</v>
      </c>
      <c r="AT1269" s="28">
        <f t="shared" si="434"/>
        <v>0.20109471495974654</v>
      </c>
      <c r="AU1269" s="28">
        <f t="shared" si="434"/>
        <v>0.20490521392374819</v>
      </c>
      <c r="AV1269" s="28">
        <f t="shared" si="434"/>
        <v>0.20916658825035392</v>
      </c>
      <c r="AW1269" s="28">
        <f t="shared" si="434"/>
        <v>0.21325545877326671</v>
      </c>
      <c r="AY1269" s="85"/>
      <c r="AZ1269" s="85"/>
    </row>
    <row r="1270" spans="1:52" x14ac:dyDescent="0.25">
      <c r="A1270" s="102" t="str">
        <f t="shared" si="384"/>
        <v>FSFAGSPQNIBDDSCM Synthetic</v>
      </c>
      <c r="B1270" s="102" t="s">
        <v>1376</v>
      </c>
      <c r="C1270" s="102" t="s">
        <v>1127</v>
      </c>
      <c r="D1270" t="s">
        <v>369</v>
      </c>
      <c r="E1270" t="s">
        <v>55</v>
      </c>
      <c r="H1270" t="s">
        <v>419</v>
      </c>
      <c r="I1270" t="s">
        <v>139</v>
      </c>
      <c r="J1270" t="s">
        <v>287</v>
      </c>
      <c r="K1270" s="28">
        <f t="shared" ref="K1270:AW1270" si="435">IFERROR(K1463-((K1463-K54)+(K1463-K207)+(K1463-K360)+(K1463-K512)+(K1463-K664)+(K1463-K815)+(K1463-K966)+(K1463-K1117)),0)</f>
        <v>6.6064812063358538</v>
      </c>
      <c r="L1270" s="28">
        <f t="shared" si="435"/>
        <v>6.6056660352543144</v>
      </c>
      <c r="M1270" s="28">
        <f t="shared" si="435"/>
        <v>6.6042995522505379</v>
      </c>
      <c r="N1270" s="28">
        <f t="shared" si="435"/>
        <v>6.6031365898338095</v>
      </c>
      <c r="O1270" s="28">
        <f t="shared" si="435"/>
        <v>6.6027560568732087</v>
      </c>
      <c r="P1270" s="28">
        <f t="shared" si="435"/>
        <v>6.6023708971175274</v>
      </c>
      <c r="Q1270" s="28">
        <f t="shared" si="435"/>
        <v>6.6011966991986881</v>
      </c>
      <c r="R1270" s="28">
        <f t="shared" si="435"/>
        <v>6.6002765167075461</v>
      </c>
      <c r="S1270" s="28">
        <f t="shared" si="435"/>
        <v>6.6002145648060502</v>
      </c>
      <c r="T1270" s="28">
        <f t="shared" si="435"/>
        <v>6.4884713357569712</v>
      </c>
      <c r="U1270" s="28">
        <f t="shared" si="435"/>
        <v>6.3708803698567307</v>
      </c>
      <c r="V1270" s="28">
        <f t="shared" si="435"/>
        <v>6.2538460566482117</v>
      </c>
      <c r="W1270" s="28">
        <f t="shared" si="435"/>
        <v>6.1369820845996612</v>
      </c>
      <c r="X1270" s="28">
        <f t="shared" si="435"/>
        <v>6.0200212739880508</v>
      </c>
      <c r="Y1270" s="28">
        <f t="shared" si="435"/>
        <v>5.9025961220093164</v>
      </c>
      <c r="Z1270" s="28">
        <f t="shared" si="435"/>
        <v>5.7851569814433388</v>
      </c>
      <c r="AA1270" s="28">
        <f t="shared" si="435"/>
        <v>5.6677054111242109</v>
      </c>
      <c r="AB1270" s="28">
        <f t="shared" si="435"/>
        <v>5.5505648633992308</v>
      </c>
      <c r="AC1270" s="28">
        <f t="shared" si="435"/>
        <v>5.4333166304000633</v>
      </c>
      <c r="AD1270" s="28">
        <f t="shared" si="435"/>
        <v>5.3159379976462064</v>
      </c>
      <c r="AE1270" s="28">
        <f t="shared" si="435"/>
        <v>5.198739225982175</v>
      </c>
      <c r="AF1270" s="28">
        <f t="shared" si="435"/>
        <v>5.0815962497557008</v>
      </c>
      <c r="AG1270" s="28">
        <f t="shared" si="435"/>
        <v>4.9645485717820748</v>
      </c>
      <c r="AH1270" s="28">
        <f t="shared" si="435"/>
        <v>4.8474557390037623</v>
      </c>
      <c r="AI1270" s="28">
        <f t="shared" si="435"/>
        <v>4.7306898681441432</v>
      </c>
      <c r="AJ1270" s="28">
        <f t="shared" si="435"/>
        <v>4.6139615258641831</v>
      </c>
      <c r="AK1270" s="28">
        <f t="shared" si="435"/>
        <v>4.497329343191331</v>
      </c>
      <c r="AL1270" s="28">
        <f t="shared" si="435"/>
        <v>4.3808744873696472</v>
      </c>
      <c r="AM1270" s="28">
        <f t="shared" si="435"/>
        <v>4.2645319482134649</v>
      </c>
      <c r="AN1270" s="28">
        <f t="shared" si="435"/>
        <v>4.2630265119364426</v>
      </c>
      <c r="AO1270" s="28">
        <f t="shared" si="435"/>
        <v>4.2614899499211401</v>
      </c>
      <c r="AP1270" s="28">
        <f t="shared" si="435"/>
        <v>4.2600556212534961</v>
      </c>
      <c r="AQ1270" s="28">
        <f t="shared" si="435"/>
        <v>4.2586305769995354</v>
      </c>
      <c r="AR1270" s="28">
        <f t="shared" si="435"/>
        <v>4.2572126751954817</v>
      </c>
      <c r="AS1270" s="28">
        <f t="shared" si="435"/>
        <v>4.2557426056629861</v>
      </c>
      <c r="AT1270" s="28">
        <f t="shared" si="435"/>
        <v>4.254272279998963</v>
      </c>
      <c r="AU1270" s="28">
        <f t="shared" si="435"/>
        <v>4.2533600661556656</v>
      </c>
      <c r="AV1270" s="28">
        <f t="shared" si="435"/>
        <v>4.2524929028242848</v>
      </c>
      <c r="AW1270" s="28">
        <f t="shared" si="435"/>
        <v>4.2515620439195612</v>
      </c>
      <c r="AY1270" s="85"/>
      <c r="AZ1270" s="85"/>
    </row>
    <row r="1271" spans="1:52" x14ac:dyDescent="0.25">
      <c r="A1271" s="102" t="str">
        <f t="shared" si="384"/>
        <v>FSFAGSPQNIBDDSCM Organic</v>
      </c>
      <c r="B1271" s="102" t="s">
        <v>1376</v>
      </c>
      <c r="C1271" s="102" t="s">
        <v>1128</v>
      </c>
      <c r="D1271" t="s">
        <v>369</v>
      </c>
      <c r="E1271" t="s">
        <v>55</v>
      </c>
      <c r="H1271" t="s">
        <v>420</v>
      </c>
      <c r="I1271" t="s">
        <v>139</v>
      </c>
      <c r="J1271" t="s">
        <v>287</v>
      </c>
      <c r="K1271" s="28">
        <f t="shared" ref="K1271:AW1271" si="436">IFERROR(K1464-((K1464-K55)+(K1464-K208)+(K1464-K361)+(K1464-K513)+(K1464-K665)+(K1464-K816)+(K1464-K967)+(K1464-K1118)),0)</f>
        <v>4.3602775961816637E-2</v>
      </c>
      <c r="L1271" s="28">
        <f t="shared" si="436"/>
        <v>4.3597395832678479E-2</v>
      </c>
      <c r="M1271" s="28">
        <f t="shared" si="436"/>
        <v>4.3588377044853563E-2</v>
      </c>
      <c r="N1271" s="28">
        <f t="shared" si="436"/>
        <v>4.3580701492903162E-2</v>
      </c>
      <c r="O1271" s="28">
        <f t="shared" si="436"/>
        <v>4.3578189975363169E-2</v>
      </c>
      <c r="P1271" s="28">
        <f t="shared" si="436"/>
        <v>4.3575647920975694E-2</v>
      </c>
      <c r="Q1271" s="28">
        <f t="shared" si="436"/>
        <v>4.3567898214711354E-2</v>
      </c>
      <c r="R1271" s="28">
        <f t="shared" si="436"/>
        <v>4.3561825010269811E-2</v>
      </c>
      <c r="S1271" s="28">
        <f t="shared" si="436"/>
        <v>4.3561416127719944E-2</v>
      </c>
      <c r="T1271" s="28">
        <f t="shared" si="436"/>
        <v>4.2823910815996014E-2</v>
      </c>
      <c r="U1271" s="28">
        <f t="shared" si="436"/>
        <v>4.2047810441054427E-2</v>
      </c>
      <c r="V1271" s="28">
        <f t="shared" si="436"/>
        <v>4.1275383973878199E-2</v>
      </c>
      <c r="W1271" s="28">
        <f t="shared" si="436"/>
        <v>4.0504081758357777E-2</v>
      </c>
      <c r="X1271" s="28">
        <f t="shared" si="436"/>
        <v>3.9732140408321154E-2</v>
      </c>
      <c r="Y1271" s="28">
        <f t="shared" si="436"/>
        <v>3.8957134405261495E-2</v>
      </c>
      <c r="Z1271" s="28">
        <f t="shared" si="436"/>
        <v>3.8182036077526058E-2</v>
      </c>
      <c r="AA1271" s="28">
        <f t="shared" si="436"/>
        <v>3.7406855713419791E-2</v>
      </c>
      <c r="AB1271" s="28">
        <f t="shared" si="436"/>
        <v>3.6633728098434931E-2</v>
      </c>
      <c r="AC1271" s="28">
        <f t="shared" si="436"/>
        <v>3.5859889760640425E-2</v>
      </c>
      <c r="AD1271" s="28">
        <f t="shared" si="436"/>
        <v>3.5085190784464967E-2</v>
      </c>
      <c r="AE1271" s="28">
        <f t="shared" si="436"/>
        <v>3.4311678891482358E-2</v>
      </c>
      <c r="AF1271" s="28">
        <f t="shared" si="436"/>
        <v>3.3538535248387624E-2</v>
      </c>
      <c r="AG1271" s="28">
        <f t="shared" si="436"/>
        <v>3.2766020573761698E-2</v>
      </c>
      <c r="AH1271" s="28">
        <f t="shared" si="436"/>
        <v>3.1993207877424837E-2</v>
      </c>
      <c r="AI1271" s="28">
        <f t="shared" si="436"/>
        <v>3.1222553129751345E-2</v>
      </c>
      <c r="AJ1271" s="28">
        <f t="shared" si="436"/>
        <v>3.0452146070703619E-2</v>
      </c>
      <c r="AK1271" s="28">
        <f t="shared" si="436"/>
        <v>2.9682373665062801E-2</v>
      </c>
      <c r="AL1271" s="28">
        <f t="shared" si="436"/>
        <v>2.8913771616639671E-2</v>
      </c>
      <c r="AM1271" s="28">
        <f t="shared" si="436"/>
        <v>2.8145910858208875E-2</v>
      </c>
      <c r="AN1271" s="28">
        <f t="shared" si="436"/>
        <v>2.8135974978780533E-2</v>
      </c>
      <c r="AO1271" s="28">
        <f t="shared" si="436"/>
        <v>2.8125833669479527E-2</v>
      </c>
      <c r="AP1271" s="28">
        <f t="shared" si="436"/>
        <v>2.8116367100273078E-2</v>
      </c>
      <c r="AQ1271" s="28">
        <f t="shared" si="436"/>
        <v>2.8106961808196943E-2</v>
      </c>
      <c r="AR1271" s="28">
        <f t="shared" si="436"/>
        <v>2.8097603656290184E-2</v>
      </c>
      <c r="AS1271" s="28">
        <f t="shared" si="436"/>
        <v>2.8087901197375715E-2</v>
      </c>
      <c r="AT1271" s="28">
        <f t="shared" si="436"/>
        <v>2.807819704799315E-2</v>
      </c>
      <c r="AU1271" s="28">
        <f t="shared" si="436"/>
        <v>2.8072176436627395E-2</v>
      </c>
      <c r="AV1271" s="28">
        <f t="shared" si="436"/>
        <v>2.806645315864029E-2</v>
      </c>
      <c r="AW1271" s="28">
        <f t="shared" si="436"/>
        <v>2.8060309489869109E-2</v>
      </c>
      <c r="AY1271" s="85"/>
      <c r="AZ1271" s="85"/>
    </row>
    <row r="1272" spans="1:52" x14ac:dyDescent="0.25">
      <c r="A1272" s="102" t="str">
        <f t="shared" si="384"/>
        <v>FSFAGSPQNIBDDSCM Crop residues</v>
      </c>
      <c r="B1272" s="102" t="s">
        <v>1376</v>
      </c>
      <c r="C1272" s="102" t="s">
        <v>58</v>
      </c>
      <c r="D1272" t="str">
        <f t="shared" ref="D1272" si="437">D1271</f>
        <v>3C Aggregated and non-CO2 emissions on land</v>
      </c>
      <c r="E1272" t="str">
        <f>E1271</f>
        <v>3C4 Direct N2O from managed soils (N2O)</v>
      </c>
      <c r="H1272" t="s">
        <v>58</v>
      </c>
      <c r="I1272" t="str">
        <f>I1271</f>
        <v>N2O</v>
      </c>
      <c r="J1272" t="str">
        <f>J1271</f>
        <v>Gg N2O</v>
      </c>
      <c r="K1272" s="28">
        <f t="shared" ref="K1272:AW1272" si="438">IFERROR(K1465-((K1465-K56)+(K1465-K209)+(K1465-K362)+(K1465-K514)+(K1465-K666)+(K1465-K817)+(K1465-K968)+(K1465-K1119)),0)</f>
        <v>2.94930909510781</v>
      </c>
      <c r="L1272" s="28">
        <f t="shared" si="438"/>
        <v>2.9553948259346963</v>
      </c>
      <c r="M1272" s="28">
        <f t="shared" si="438"/>
        <v>2.9655964240149095</v>
      </c>
      <c r="N1272" s="28">
        <f t="shared" si="438"/>
        <v>2.9742786213968655</v>
      </c>
      <c r="O1272" s="28">
        <f t="shared" si="438"/>
        <v>2.9771195234129291</v>
      </c>
      <c r="P1272" s="28">
        <f t="shared" si="438"/>
        <v>2.9799949671713049</v>
      </c>
      <c r="Q1272" s="28">
        <f t="shared" si="438"/>
        <v>2.9887610441744785</v>
      </c>
      <c r="R1272" s="28">
        <f t="shared" si="438"/>
        <v>2.9956307468412153</v>
      </c>
      <c r="S1272" s="28">
        <f t="shared" si="438"/>
        <v>2.9960932541666816</v>
      </c>
      <c r="T1272" s="28">
        <f t="shared" si="438"/>
        <v>2.9675186651595986</v>
      </c>
      <c r="U1272" s="28">
        <f t="shared" si="438"/>
        <v>2.9831478886073279</v>
      </c>
      <c r="V1272" s="28">
        <f t="shared" si="438"/>
        <v>2.9949684403788361</v>
      </c>
      <c r="W1272" s="28">
        <f t="shared" si="438"/>
        <v>3.0058664357215821</v>
      </c>
      <c r="X1272" s="28">
        <f t="shared" si="438"/>
        <v>3.0179747177251275</v>
      </c>
      <c r="Y1272" s="28">
        <f t="shared" si="438"/>
        <v>3.0344297828088291</v>
      </c>
      <c r="Z1272" s="28">
        <f t="shared" si="438"/>
        <v>3.051660187261632</v>
      </c>
      <c r="AA1272" s="28">
        <f t="shared" si="438"/>
        <v>3.0696997307404872</v>
      </c>
      <c r="AB1272" s="28">
        <f t="shared" si="438"/>
        <v>3.0857326483566894</v>
      </c>
      <c r="AC1272" s="28">
        <f t="shared" si="438"/>
        <v>3.1034202155798769</v>
      </c>
      <c r="AD1272" s="28">
        <f t="shared" si="438"/>
        <v>3.1230800126456195</v>
      </c>
      <c r="AE1272" s="28">
        <f t="shared" si="438"/>
        <v>3.1419111062172522</v>
      </c>
      <c r="AF1272" s="28">
        <f t="shared" si="438"/>
        <v>3.1610561707509404</v>
      </c>
      <c r="AG1272" s="28">
        <f t="shared" si="438"/>
        <v>3.1801464271230016</v>
      </c>
      <c r="AH1272" s="28">
        <f t="shared" si="438"/>
        <v>3.2005997561822985</v>
      </c>
      <c r="AI1272" s="28">
        <f t="shared" si="438"/>
        <v>3.2186571182805661</v>
      </c>
      <c r="AJ1272" s="28">
        <f t="shared" si="438"/>
        <v>3.2372153128171188</v>
      </c>
      <c r="AK1272" s="28">
        <f t="shared" si="438"/>
        <v>3.2556737246860838</v>
      </c>
      <c r="AL1272" s="28">
        <f t="shared" si="438"/>
        <v>3.2731166988585363</v>
      </c>
      <c r="AM1272" s="28">
        <f t="shared" si="438"/>
        <v>3.2902088949247208</v>
      </c>
      <c r="AN1272" s="28">
        <f t="shared" si="438"/>
        <v>3.3074996116389994</v>
      </c>
      <c r="AO1272" s="28">
        <f t="shared" si="438"/>
        <v>3.3251478236065783</v>
      </c>
      <c r="AP1272" s="28">
        <f t="shared" si="438"/>
        <v>3.3416218325340545</v>
      </c>
      <c r="AQ1272" s="28">
        <f t="shared" si="438"/>
        <v>3.3579892051532951</v>
      </c>
      <c r="AR1272" s="28">
        <f t="shared" si="438"/>
        <v>3.3742745430296259</v>
      </c>
      <c r="AS1272" s="28">
        <f t="shared" si="438"/>
        <v>3.391159054333535</v>
      </c>
      <c r="AT1272" s="28">
        <f t="shared" si="438"/>
        <v>3.4080465074409378</v>
      </c>
      <c r="AU1272" s="28">
        <f t="shared" si="438"/>
        <v>3.4185237567194666</v>
      </c>
      <c r="AV1272" s="28">
        <f t="shared" si="438"/>
        <v>3.4284835774948501</v>
      </c>
      <c r="AW1272" s="28">
        <f t="shared" si="438"/>
        <v>3.439174974977584</v>
      </c>
      <c r="AY1272" s="85"/>
      <c r="AZ1272" s="85"/>
    </row>
    <row r="1273" spans="1:52" x14ac:dyDescent="0.25">
      <c r="A1273" s="102" t="str">
        <f t="shared" si="384"/>
        <v>FSFAGSPQNIBDDSCM Organic</v>
      </c>
      <c r="B1273" s="102" t="s">
        <v>1376</v>
      </c>
      <c r="C1273" s="102" t="s">
        <v>1128</v>
      </c>
      <c r="D1273" t="s">
        <v>369</v>
      </c>
      <c r="E1273" t="s">
        <v>55</v>
      </c>
      <c r="F1273" t="s">
        <v>421</v>
      </c>
      <c r="G1273" t="s">
        <v>1153</v>
      </c>
      <c r="H1273" t="s">
        <v>1154</v>
      </c>
      <c r="I1273" t="s">
        <v>139</v>
      </c>
      <c r="J1273" t="s">
        <v>287</v>
      </c>
      <c r="K1273" s="28">
        <f t="shared" ref="K1273:AW1273" si="439">IFERROR(K1466-((K1466-K57)+(K1466-K210)+(K1466-K363)+(K1466-K515)+(K1466-K667)+(K1466-K818)+(K1466-K969)+(K1466-K1120)),0)</f>
        <v>0.31910516055557447</v>
      </c>
      <c r="L1273" s="28">
        <f t="shared" si="439"/>
        <v>0.32125977651579962</v>
      </c>
      <c r="M1273" s="28">
        <f t="shared" si="439"/>
        <v>0.32314451970240549</v>
      </c>
      <c r="N1273" s="28">
        <f t="shared" si="439"/>
        <v>0.32338831518425315</v>
      </c>
      <c r="O1273" s="28">
        <f t="shared" si="439"/>
        <v>0.32380822899810918</v>
      </c>
      <c r="P1273" s="28">
        <f t="shared" si="439"/>
        <v>0.32621761700786678</v>
      </c>
      <c r="Q1273" s="28">
        <f t="shared" si="439"/>
        <v>0.32814424518292917</v>
      </c>
      <c r="R1273" s="28">
        <f t="shared" si="439"/>
        <v>0.32816113797461788</v>
      </c>
      <c r="S1273" s="28">
        <f t="shared" si="439"/>
        <v>0.31946691799605059</v>
      </c>
      <c r="T1273" s="28">
        <f t="shared" si="439"/>
        <v>0.31286951482847003</v>
      </c>
      <c r="U1273" s="28">
        <f t="shared" si="439"/>
        <v>0.30513079373569552</v>
      </c>
      <c r="V1273" s="28">
        <f t="shared" si="439"/>
        <v>0.29711225097479566</v>
      </c>
      <c r="W1273" s="28">
        <f t="shared" si="439"/>
        <v>0.28940561376677137</v>
      </c>
      <c r="X1273" s="28">
        <f t="shared" si="439"/>
        <v>0.28282570207128016</v>
      </c>
      <c r="Y1273" s="28">
        <f t="shared" si="439"/>
        <v>0.27618531671894037</v>
      </c>
      <c r="Z1273" s="28">
        <f t="shared" si="439"/>
        <v>0.26965645519712578</v>
      </c>
      <c r="AA1273" s="28">
        <f t="shared" si="439"/>
        <v>0.26249145549089542</v>
      </c>
      <c r="AB1273" s="28">
        <f t="shared" si="439"/>
        <v>0.25563550329953477</v>
      </c>
      <c r="AC1273" s="28">
        <f t="shared" si="439"/>
        <v>0.24913624285558328</v>
      </c>
      <c r="AD1273" s="28">
        <f t="shared" si="439"/>
        <v>0.24654678076450942</v>
      </c>
      <c r="AE1273" s="28">
        <f t="shared" si="439"/>
        <v>0.24394994735039621</v>
      </c>
      <c r="AF1273" s="28">
        <f t="shared" si="439"/>
        <v>0.24124539697799097</v>
      </c>
      <c r="AG1273" s="28">
        <f t="shared" si="439"/>
        <v>0.23877879296498866</v>
      </c>
      <c r="AH1273" s="28">
        <f t="shared" si="439"/>
        <v>0.23560283333898313</v>
      </c>
      <c r="AI1273" s="28">
        <f t="shared" si="439"/>
        <v>0.23234115215001744</v>
      </c>
      <c r="AJ1273" s="28">
        <f t="shared" si="439"/>
        <v>0.22893263260999497</v>
      </c>
      <c r="AK1273" s="28">
        <f t="shared" si="439"/>
        <v>0.22514451691551152</v>
      </c>
      <c r="AL1273" s="28">
        <f t="shared" si="439"/>
        <v>0.22113549278172384</v>
      </c>
      <c r="AM1273" s="28">
        <f t="shared" si="439"/>
        <v>0.21703163400179953</v>
      </c>
      <c r="AN1273" s="28">
        <f t="shared" si="439"/>
        <v>0.21987250566761074</v>
      </c>
      <c r="AO1273" s="28">
        <f t="shared" si="439"/>
        <v>0.22249818791955661</v>
      </c>
      <c r="AP1273" s="28">
        <f t="shared" si="439"/>
        <v>0.2251645005973168</v>
      </c>
      <c r="AQ1273" s="28">
        <f t="shared" si="439"/>
        <v>0.22787704710369566</v>
      </c>
      <c r="AR1273" s="28">
        <f t="shared" si="439"/>
        <v>0.23081656318634558</v>
      </c>
      <c r="AS1273" s="28">
        <f t="shared" si="439"/>
        <v>0.23375877068146561</v>
      </c>
      <c r="AT1273" s="28">
        <f t="shared" si="439"/>
        <v>0.23500860040201932</v>
      </c>
      <c r="AU1273" s="28">
        <f t="shared" si="439"/>
        <v>0.23613780511152216</v>
      </c>
      <c r="AV1273" s="28">
        <f t="shared" si="439"/>
        <v>0.23749125504837271</v>
      </c>
      <c r="AW1273" s="28">
        <f t="shared" si="439"/>
        <v>0.23874331464309806</v>
      </c>
      <c r="AY1273" s="85"/>
      <c r="AZ1273" s="85"/>
    </row>
    <row r="1274" spans="1:52" x14ac:dyDescent="0.25">
      <c r="A1274" s="102" t="str">
        <f t="shared" si="384"/>
        <v>FSFAGSPQNIBDDSCM Organic</v>
      </c>
      <c r="B1274" s="102" t="s">
        <v>1376</v>
      </c>
      <c r="C1274" s="102" t="s">
        <v>1128</v>
      </c>
      <c r="D1274" t="s">
        <v>369</v>
      </c>
      <c r="E1274" t="s">
        <v>55</v>
      </c>
      <c r="F1274" t="s">
        <v>421</v>
      </c>
      <c r="G1274" t="s">
        <v>1155</v>
      </c>
      <c r="H1274" t="s">
        <v>1156</v>
      </c>
      <c r="I1274" t="s">
        <v>139</v>
      </c>
      <c r="J1274" t="s">
        <v>287</v>
      </c>
      <c r="K1274" s="28">
        <f t="shared" ref="K1274:AW1274" si="440">IFERROR(K1467-((K1467-K58)+(K1467-K211)+(K1467-K364)+(K1467-K516)+(K1467-K668)+(K1467-K819)+(K1467-K970)+(K1467-K1121)),0)</f>
        <v>0.93305416014115006</v>
      </c>
      <c r="L1274" s="28">
        <f t="shared" si="440"/>
        <v>0.93935419421673338</v>
      </c>
      <c r="M1274" s="28">
        <f t="shared" si="440"/>
        <v>0.94486512819222468</v>
      </c>
      <c r="N1274" s="28">
        <f t="shared" si="440"/>
        <v>0.94557797905356933</v>
      </c>
      <c r="O1274" s="28">
        <f t="shared" si="440"/>
        <v>0.94680579476873028</v>
      </c>
      <c r="P1274" s="28">
        <f t="shared" si="440"/>
        <v>0.9538507748686591</v>
      </c>
      <c r="Q1274" s="28">
        <f t="shared" si="440"/>
        <v>0.95948417932585228</v>
      </c>
      <c r="R1274" s="28">
        <f t="shared" si="440"/>
        <v>0.95953357335487388</v>
      </c>
      <c r="S1274" s="28">
        <f t="shared" si="440"/>
        <v>0.9341119283208017</v>
      </c>
      <c r="T1274" s="28">
        <f t="shared" si="440"/>
        <v>0.91482131433974867</v>
      </c>
      <c r="U1274" s="28">
        <f t="shared" si="440"/>
        <v>0.89219352011287445</v>
      </c>
      <c r="V1274" s="28">
        <f t="shared" si="440"/>
        <v>0.86874753550923656</v>
      </c>
      <c r="W1274" s="28">
        <f t="shared" si="440"/>
        <v>0.8462135536233707</v>
      </c>
      <c r="X1274" s="28">
        <f t="shared" si="440"/>
        <v>0.82697408419532858</v>
      </c>
      <c r="Y1274" s="28">
        <f t="shared" si="440"/>
        <v>0.80755779156266261</v>
      </c>
      <c r="Z1274" s="28">
        <f t="shared" si="440"/>
        <v>0.78846759134995359</v>
      </c>
      <c r="AA1274" s="28">
        <f t="shared" si="440"/>
        <v>0.76751734168407804</v>
      </c>
      <c r="AB1274" s="28">
        <f t="shared" si="440"/>
        <v>0.74747073791640373</v>
      </c>
      <c r="AC1274" s="28">
        <f t="shared" si="440"/>
        <v>0.72846709038995283</v>
      </c>
      <c r="AD1274" s="28">
        <f t="shared" si="440"/>
        <v>0.72089557894088097</v>
      </c>
      <c r="AE1274" s="28">
        <f t="shared" si="440"/>
        <v>0.71330251395875033</v>
      </c>
      <c r="AF1274" s="28">
        <f t="shared" si="440"/>
        <v>0.70539448773977376</v>
      </c>
      <c r="AG1274" s="28">
        <f t="shared" si="440"/>
        <v>0.69818220971911849</v>
      </c>
      <c r="AH1274" s="28">
        <f t="shared" si="440"/>
        <v>0.6888957966246837</v>
      </c>
      <c r="AI1274" s="28">
        <f t="shared" si="440"/>
        <v>0.67935873618630072</v>
      </c>
      <c r="AJ1274" s="28">
        <f t="shared" si="440"/>
        <v>0.66939232470237753</v>
      </c>
      <c r="AK1274" s="28">
        <f t="shared" si="440"/>
        <v>0.65831598516064105</v>
      </c>
      <c r="AL1274" s="28">
        <f t="shared" si="440"/>
        <v>0.64659371580083524</v>
      </c>
      <c r="AM1274" s="28">
        <f t="shared" si="440"/>
        <v>0.63459415270829933</v>
      </c>
      <c r="AN1274" s="28">
        <f t="shared" si="440"/>
        <v>0.64290077840371984</v>
      </c>
      <c r="AO1274" s="28">
        <f t="shared" si="440"/>
        <v>0.65057819654425186</v>
      </c>
      <c r="AP1274" s="28">
        <f t="shared" si="440"/>
        <v>0.65837441686199905</v>
      </c>
      <c r="AQ1274" s="28">
        <f t="shared" si="440"/>
        <v>0.66630582354293988</v>
      </c>
      <c r="AR1274" s="28">
        <f t="shared" si="440"/>
        <v>0.67490088262923886</v>
      </c>
      <c r="AS1274" s="28">
        <f t="shared" si="440"/>
        <v>0.68350381132691529</v>
      </c>
      <c r="AT1274" s="28">
        <f t="shared" si="440"/>
        <v>0.68715827688993125</v>
      </c>
      <c r="AU1274" s="28">
        <f t="shared" si="440"/>
        <v>0.69046003844721315</v>
      </c>
      <c r="AV1274" s="28">
        <f t="shared" si="440"/>
        <v>0.69441748649324986</v>
      </c>
      <c r="AW1274" s="28">
        <f t="shared" si="440"/>
        <v>0.69807847214314989</v>
      </c>
      <c r="AY1274" s="85"/>
      <c r="AZ1274" s="85"/>
    </row>
    <row r="1275" spans="1:52" x14ac:dyDescent="0.25">
      <c r="A1275" s="102" t="str">
        <f t="shared" si="384"/>
        <v>FSFAGSPQNIBDDSCM Organic</v>
      </c>
      <c r="B1275" s="102" t="s">
        <v>1376</v>
      </c>
      <c r="C1275" s="102" t="s">
        <v>1128</v>
      </c>
      <c r="D1275" t="s">
        <v>369</v>
      </c>
      <c r="E1275" t="s">
        <v>55</v>
      </c>
      <c r="F1275" t="s">
        <v>421</v>
      </c>
      <c r="G1275" t="s">
        <v>1157</v>
      </c>
      <c r="H1275" t="s">
        <v>1158</v>
      </c>
      <c r="I1275" t="s">
        <v>139</v>
      </c>
      <c r="J1275" t="s">
        <v>287</v>
      </c>
      <c r="K1275" s="28">
        <f t="shared" ref="K1275:AW1275" si="441">IFERROR(K1468-((K1468-K59)+(K1468-K212)+(K1468-K365)+(K1468-K517)+(K1468-K669)+(K1468-K820)+(K1468-K971)+(K1468-K1122)),0)</f>
        <v>4.9913136648560473E-2</v>
      </c>
      <c r="L1275" s="28">
        <f t="shared" si="441"/>
        <v>5.0250152949583772E-2</v>
      </c>
      <c r="M1275" s="28">
        <f t="shared" si="441"/>
        <v>5.0544956844502678E-2</v>
      </c>
      <c r="N1275" s="28">
        <f t="shared" si="441"/>
        <v>5.0583090346256708E-2</v>
      </c>
      <c r="O1275" s="28">
        <f t="shared" si="441"/>
        <v>5.0648771564119566E-2</v>
      </c>
      <c r="P1275" s="28">
        <f t="shared" si="441"/>
        <v>5.1025638277152528E-2</v>
      </c>
      <c r="Q1275" s="28">
        <f t="shared" si="441"/>
        <v>5.1326993652306703E-2</v>
      </c>
      <c r="R1275" s="28">
        <f t="shared" si="441"/>
        <v>5.1329635954356786E-2</v>
      </c>
      <c r="S1275" s="28">
        <f t="shared" si="441"/>
        <v>4.9969721282067128E-2</v>
      </c>
      <c r="T1275" s="28">
        <f t="shared" si="441"/>
        <v>4.8937782201997793E-2</v>
      </c>
      <c r="U1275" s="28">
        <f t="shared" si="441"/>
        <v>4.7727322795085549E-2</v>
      </c>
      <c r="V1275" s="28">
        <f t="shared" si="441"/>
        <v>4.6473094816289105E-2</v>
      </c>
      <c r="W1275" s="28">
        <f t="shared" si="441"/>
        <v>4.5267653840670642E-2</v>
      </c>
      <c r="X1275" s="28">
        <f t="shared" si="441"/>
        <v>4.4238450705814683E-2</v>
      </c>
      <c r="Y1275" s="28">
        <f t="shared" si="441"/>
        <v>4.3199788526508714E-2</v>
      </c>
      <c r="Z1275" s="28">
        <f t="shared" si="441"/>
        <v>4.2178570453035712E-2</v>
      </c>
      <c r="AA1275" s="28">
        <f t="shared" si="441"/>
        <v>4.1057850221494052E-2</v>
      </c>
      <c r="AB1275" s="28">
        <f t="shared" si="441"/>
        <v>3.9985469950402246E-2</v>
      </c>
      <c r="AC1275" s="28">
        <f t="shared" si="441"/>
        <v>3.8968881957626669E-2</v>
      </c>
      <c r="AD1275" s="28">
        <f t="shared" si="441"/>
        <v>3.8563848786201241E-2</v>
      </c>
      <c r="AE1275" s="28">
        <f t="shared" si="441"/>
        <v>3.8157662622284275E-2</v>
      </c>
      <c r="AF1275" s="28">
        <f t="shared" si="441"/>
        <v>3.7734627808068924E-2</v>
      </c>
      <c r="AG1275" s="28">
        <f t="shared" si="441"/>
        <v>3.7348811599567246E-2</v>
      </c>
      <c r="AH1275" s="28">
        <f t="shared" si="441"/>
        <v>3.6852040859391422E-2</v>
      </c>
      <c r="AI1275" s="28">
        <f t="shared" si="441"/>
        <v>3.6341861899560617E-2</v>
      </c>
      <c r="AJ1275" s="28">
        <f t="shared" si="441"/>
        <v>3.5808715079640098E-2</v>
      </c>
      <c r="AK1275" s="28">
        <f t="shared" si="441"/>
        <v>3.5216193366828789E-2</v>
      </c>
      <c r="AL1275" s="28">
        <f t="shared" si="441"/>
        <v>3.4589118050752064E-2</v>
      </c>
      <c r="AM1275" s="28">
        <f t="shared" si="441"/>
        <v>3.3947209083463221E-2</v>
      </c>
      <c r="AN1275" s="28">
        <f t="shared" si="441"/>
        <v>3.4391566722210859E-2</v>
      </c>
      <c r="AO1275" s="28">
        <f t="shared" si="441"/>
        <v>3.480226530448665E-2</v>
      </c>
      <c r="AP1275" s="28">
        <f t="shared" si="441"/>
        <v>3.5219319133390999E-2</v>
      </c>
      <c r="AQ1275" s="28">
        <f t="shared" si="441"/>
        <v>3.5643604670493399E-2</v>
      </c>
      <c r="AR1275" s="28">
        <f t="shared" si="441"/>
        <v>3.6103391869354351E-2</v>
      </c>
      <c r="AS1275" s="28">
        <f t="shared" si="441"/>
        <v>3.656360004805214E-2</v>
      </c>
      <c r="AT1275" s="28">
        <f t="shared" si="441"/>
        <v>3.67590933503881E-2</v>
      </c>
      <c r="AU1275" s="28">
        <f t="shared" si="441"/>
        <v>3.6935718977098325E-2</v>
      </c>
      <c r="AV1275" s="28">
        <f t="shared" si="441"/>
        <v>3.7147420133943919E-2</v>
      </c>
      <c r="AW1275" s="28">
        <f t="shared" si="441"/>
        <v>3.7343262224165383E-2</v>
      </c>
      <c r="AY1275" s="85"/>
      <c r="AZ1275" s="85"/>
    </row>
    <row r="1276" spans="1:52" x14ac:dyDescent="0.25">
      <c r="A1276" s="102" t="str">
        <f t="shared" si="384"/>
        <v>FSFAGSPQNIBDDSCM Organic</v>
      </c>
      <c r="B1276" s="102" t="s">
        <v>1376</v>
      </c>
      <c r="C1276" s="102" t="s">
        <v>1128</v>
      </c>
      <c r="D1276" t="s">
        <v>369</v>
      </c>
      <c r="E1276" t="s">
        <v>55</v>
      </c>
      <c r="F1276" t="s">
        <v>421</v>
      </c>
      <c r="G1276" t="s">
        <v>1159</v>
      </c>
      <c r="H1276" t="s">
        <v>1160</v>
      </c>
      <c r="I1276" t="s">
        <v>139</v>
      </c>
      <c r="J1276" t="s">
        <v>287</v>
      </c>
      <c r="K1276" s="28">
        <f t="shared" ref="K1276:AW1276" si="442">IFERROR(K1469-((K1469-K60)+(K1469-K213)+(K1469-K366)+(K1469-K518)+(K1469-K670)+(K1469-K821)+(K1469-K972)+(K1469-K1123)),0)</f>
        <v>0.40197336823107255</v>
      </c>
      <c r="L1276" s="28">
        <f t="shared" si="442"/>
        <v>0.39992683453201888</v>
      </c>
      <c r="M1276" s="28">
        <f t="shared" si="442"/>
        <v>0.39619153570803745</v>
      </c>
      <c r="N1276" s="28">
        <f t="shared" si="442"/>
        <v>0.38596696743557218</v>
      </c>
      <c r="O1276" s="28">
        <f t="shared" si="442"/>
        <v>0.37615042112991043</v>
      </c>
      <c r="P1276" s="28">
        <f t="shared" si="442"/>
        <v>0.37293713836150383</v>
      </c>
      <c r="Q1276" s="28">
        <f t="shared" si="442"/>
        <v>0.36774734482056881</v>
      </c>
      <c r="R1276" s="28">
        <f t="shared" si="442"/>
        <v>0.35608688957109119</v>
      </c>
      <c r="S1276" s="28">
        <f t="shared" si="442"/>
        <v>0.31696486473191704</v>
      </c>
      <c r="T1276" s="28">
        <f t="shared" si="442"/>
        <v>0.29448800056895014</v>
      </c>
      <c r="U1276" s="28">
        <f t="shared" si="442"/>
        <v>0.26837684929929928</v>
      </c>
      <c r="V1276" s="28">
        <f t="shared" si="442"/>
        <v>0.24156252757492025</v>
      </c>
      <c r="W1276" s="28">
        <f t="shared" si="442"/>
        <v>0.21558770667870031</v>
      </c>
      <c r="X1276" s="28">
        <f t="shared" si="442"/>
        <v>0.19189912613685506</v>
      </c>
      <c r="Y1276" s="28">
        <f t="shared" si="442"/>
        <v>0.16787617785156017</v>
      </c>
      <c r="Z1276" s="28">
        <f t="shared" si="442"/>
        <v>0.14337113934474494</v>
      </c>
      <c r="AA1276" s="28">
        <f t="shared" si="442"/>
        <v>0.11727795518355966</v>
      </c>
      <c r="AB1276" s="28">
        <f t="shared" si="442"/>
        <v>9.1022849218457103E-2</v>
      </c>
      <c r="AC1276" s="28">
        <f t="shared" si="442"/>
        <v>6.4339546133340031E-2</v>
      </c>
      <c r="AD1276" s="28">
        <f t="shared" si="442"/>
        <v>4.7965005007787276E-2</v>
      </c>
      <c r="AE1276" s="28">
        <f t="shared" si="442"/>
        <v>3.1160611214940737E-2</v>
      </c>
      <c r="AF1276" s="28">
        <f t="shared" si="442"/>
        <v>1.388668830160722E-2</v>
      </c>
      <c r="AG1276" s="28">
        <f t="shared" si="442"/>
        <v>-3.7829368085657844E-3</v>
      </c>
      <c r="AH1276" s="28">
        <f t="shared" si="442"/>
        <v>-2.1938328153915776E-2</v>
      </c>
      <c r="AI1276" s="28">
        <f t="shared" si="442"/>
        <v>-4.0410974772173092E-2</v>
      </c>
      <c r="AJ1276" s="28">
        <f t="shared" si="442"/>
        <v>-5.9174864329268329E-2</v>
      </c>
      <c r="AK1276" s="28">
        <f t="shared" si="442"/>
        <v>-7.805529492600416E-2</v>
      </c>
      <c r="AL1276" s="28">
        <f t="shared" si="442"/>
        <v>-9.7014784454959424E-2</v>
      </c>
      <c r="AM1276" s="28">
        <f t="shared" si="442"/>
        <v>-0.11610108502814281</v>
      </c>
      <c r="AN1276" s="28">
        <f t="shared" si="442"/>
        <v>-0.12471000551838446</v>
      </c>
      <c r="AO1276" s="28">
        <f t="shared" si="442"/>
        <v>-0.13317918491416181</v>
      </c>
      <c r="AP1276" s="28">
        <f t="shared" si="442"/>
        <v>-0.14173668969770725</v>
      </c>
      <c r="AQ1276" s="28">
        <f t="shared" si="442"/>
        <v>-0.15037645690009327</v>
      </c>
      <c r="AR1276" s="28">
        <f t="shared" si="442"/>
        <v>-0.1592982248504457</v>
      </c>
      <c r="AS1276" s="28">
        <f t="shared" si="442"/>
        <v>-0.1683320194126911</v>
      </c>
      <c r="AT1276" s="28">
        <f t="shared" si="442"/>
        <v>-0.17525353488150353</v>
      </c>
      <c r="AU1276" s="28">
        <f t="shared" si="442"/>
        <v>-0.18188079834372772</v>
      </c>
      <c r="AV1276" s="28">
        <f t="shared" si="442"/>
        <v>-0.18864763858090905</v>
      </c>
      <c r="AW1276" s="28">
        <f t="shared" si="442"/>
        <v>-0.19512699072550482</v>
      </c>
      <c r="AY1276" s="85"/>
      <c r="AZ1276" s="85"/>
    </row>
    <row r="1277" spans="1:52" x14ac:dyDescent="0.25">
      <c r="A1277" s="102" t="str">
        <f t="shared" si="384"/>
        <v>FSFAGSPQNIBDDSCM Organic</v>
      </c>
      <c r="B1277" s="102" t="s">
        <v>1376</v>
      </c>
      <c r="C1277" s="102" t="s">
        <v>1128</v>
      </c>
      <c r="D1277" t="s">
        <v>369</v>
      </c>
      <c r="E1277" t="s">
        <v>55</v>
      </c>
      <c r="F1277" t="s">
        <v>421</v>
      </c>
      <c r="G1277" t="s">
        <v>1161</v>
      </c>
      <c r="H1277" t="s">
        <v>1162</v>
      </c>
      <c r="I1277" t="s">
        <v>139</v>
      </c>
      <c r="J1277" t="s">
        <v>287</v>
      </c>
      <c r="K1277" s="28">
        <f t="shared" ref="K1277:AW1277" si="443">IFERROR(K1470-((K1470-K61)+(K1470-K214)+(K1470-K367)+(K1470-K519)+(K1470-K671)+(K1470-K822)+(K1470-K973)+(K1470-K1124)),0)</f>
        <v>2.6734246327620794</v>
      </c>
      <c r="L1277" s="28">
        <f t="shared" si="443"/>
        <v>2.6598136474699339</v>
      </c>
      <c r="M1277" s="28">
        <f t="shared" si="443"/>
        <v>2.6349711064560761</v>
      </c>
      <c r="N1277" s="28">
        <f t="shared" si="443"/>
        <v>2.5669700525572687</v>
      </c>
      <c r="O1277" s="28">
        <f t="shared" si="443"/>
        <v>2.5016826510120014</v>
      </c>
      <c r="P1277" s="28">
        <f t="shared" si="443"/>
        <v>2.4803119086096084</v>
      </c>
      <c r="Q1277" s="28">
        <f t="shared" si="443"/>
        <v>2.4457958859379039</v>
      </c>
      <c r="R1277" s="28">
        <f t="shared" si="443"/>
        <v>2.3682451058194229</v>
      </c>
      <c r="S1277" s="28">
        <f t="shared" si="443"/>
        <v>2.1080542743998265</v>
      </c>
      <c r="T1277" s="28">
        <f t="shared" si="443"/>
        <v>2.0501220881463547</v>
      </c>
      <c r="U1277" s="28">
        <f t="shared" si="443"/>
        <v>1.9675411952437414</v>
      </c>
      <c r="V1277" s="28">
        <f t="shared" si="443"/>
        <v>1.8790984629651799</v>
      </c>
      <c r="W1277" s="28">
        <f t="shared" si="443"/>
        <v>1.7964520273584075</v>
      </c>
      <c r="X1277" s="28">
        <f t="shared" si="443"/>
        <v>1.7338185195765106</v>
      </c>
      <c r="Y1277" s="28">
        <f t="shared" si="443"/>
        <v>1.671638824655723</v>
      </c>
      <c r="Z1277" s="28">
        <f t="shared" si="443"/>
        <v>1.6094166987493663</v>
      </c>
      <c r="AA1277" s="28">
        <f t="shared" si="443"/>
        <v>1.5348722328482793</v>
      </c>
      <c r="AB1277" s="28">
        <f t="shared" si="443"/>
        <v>1.4638621609192008</v>
      </c>
      <c r="AC1277" s="28">
        <f t="shared" si="443"/>
        <v>1.3964465050623107</v>
      </c>
      <c r="AD1277" s="28">
        <f t="shared" si="443"/>
        <v>1.3664036043578878</v>
      </c>
      <c r="AE1277" s="28">
        <f t="shared" si="443"/>
        <v>1.3350892911403021</v>
      </c>
      <c r="AF1277" s="28">
        <f t="shared" si="443"/>
        <v>1.3011968050506733</v>
      </c>
      <c r="AG1277" s="28">
        <f t="shared" si="443"/>
        <v>1.2693610852135406</v>
      </c>
      <c r="AH1277" s="28">
        <f t="shared" si="443"/>
        <v>1.2274710030396663</v>
      </c>
      <c r="AI1277" s="28">
        <f t="shared" si="443"/>
        <v>1.1851397358618789</v>
      </c>
      <c r="AJ1277" s="28">
        <f t="shared" si="443"/>
        <v>1.1404733389306054</v>
      </c>
      <c r="AK1277" s="28">
        <f t="shared" si="443"/>
        <v>1.0911047624761387</v>
      </c>
      <c r="AL1277" s="28">
        <f t="shared" si="443"/>
        <v>1.0392161811636038</v>
      </c>
      <c r="AM1277" s="28">
        <f t="shared" si="443"/>
        <v>0.9863489642647747</v>
      </c>
      <c r="AN1277" s="28">
        <f t="shared" si="443"/>
        <v>0.96766927037548811</v>
      </c>
      <c r="AO1277" s="28">
        <f t="shared" si="443"/>
        <v>0.94513746733255166</v>
      </c>
      <c r="AP1277" s="28">
        <f t="shared" si="443"/>
        <v>0.92136790123760148</v>
      </c>
      <c r="AQ1277" s="28">
        <f t="shared" si="443"/>
        <v>0.89645396338596628</v>
      </c>
      <c r="AR1277" s="28">
        <f t="shared" si="443"/>
        <v>0.87183689436634815</v>
      </c>
      <c r="AS1277" s="28">
        <f t="shared" si="443"/>
        <v>0.84624390988327169</v>
      </c>
      <c r="AT1277" s="28">
        <f t="shared" si="443"/>
        <v>0.80743241514361141</v>
      </c>
      <c r="AU1277" s="28">
        <f t="shared" si="443"/>
        <v>0.76778190667121171</v>
      </c>
      <c r="AV1277" s="28">
        <f t="shared" si="443"/>
        <v>0.7295955408782504</v>
      </c>
      <c r="AW1277" s="28">
        <f t="shared" si="443"/>
        <v>0.69079222008538999</v>
      </c>
      <c r="AY1277" s="85"/>
      <c r="AZ1277" s="85"/>
    </row>
    <row r="1278" spans="1:52" x14ac:dyDescent="0.25">
      <c r="A1278" s="102" t="str">
        <f t="shared" si="384"/>
        <v>FSFAGSPQNIBDDSCM Organic</v>
      </c>
      <c r="B1278" s="102" t="s">
        <v>1376</v>
      </c>
      <c r="C1278" s="102" t="s">
        <v>1128</v>
      </c>
      <c r="D1278" t="s">
        <v>369</v>
      </c>
      <c r="E1278" t="s">
        <v>55</v>
      </c>
      <c r="F1278" t="s">
        <v>421</v>
      </c>
      <c r="G1278" t="s">
        <v>1163</v>
      </c>
      <c r="H1278" t="s">
        <v>1164</v>
      </c>
      <c r="I1278" t="s">
        <v>139</v>
      </c>
      <c r="J1278" t="s">
        <v>287</v>
      </c>
      <c r="K1278" s="28">
        <f t="shared" ref="K1278:AW1278" si="444">IFERROR(K1471-((K1471-K62)+(K1471-K215)+(K1471-K368)+(K1471-K520)+(K1471-K672)+(K1471-K823)+(K1471-K974)+(K1471-K1125)),0)</f>
        <v>0.34456271820054257</v>
      </c>
      <c r="L1278" s="28">
        <f t="shared" si="444"/>
        <v>0.35741698731572036</v>
      </c>
      <c r="M1278" s="28">
        <f t="shared" si="444"/>
        <v>0.36896489164513291</v>
      </c>
      <c r="N1278" s="28">
        <f t="shared" si="444"/>
        <v>0.37438401076610434</v>
      </c>
      <c r="O1278" s="28">
        <f t="shared" si="444"/>
        <v>0.37988604718806568</v>
      </c>
      <c r="P1278" s="28">
        <f t="shared" si="444"/>
        <v>0.39203102133073692</v>
      </c>
      <c r="Q1278" s="28">
        <f t="shared" si="444"/>
        <v>0.40227536328848007</v>
      </c>
      <c r="R1278" s="28">
        <f t="shared" si="444"/>
        <v>0.40526591417131741</v>
      </c>
      <c r="S1278" s="28">
        <f t="shared" si="444"/>
        <v>0.37527481867018142</v>
      </c>
      <c r="T1278" s="28">
        <f t="shared" si="444"/>
        <v>0.36940642765125953</v>
      </c>
      <c r="U1278" s="28">
        <f t="shared" si="444"/>
        <v>0.35815741457891848</v>
      </c>
      <c r="V1278" s="28">
        <f t="shared" si="444"/>
        <v>0.34480371895077766</v>
      </c>
      <c r="W1278" s="28">
        <f t="shared" si="444"/>
        <v>0.33145817155704899</v>
      </c>
      <c r="X1278" s="28">
        <f t="shared" si="444"/>
        <v>0.32077898261192689</v>
      </c>
      <c r="Y1278" s="28">
        <f t="shared" si="444"/>
        <v>0.30908025601414046</v>
      </c>
      <c r="Z1278" s="28">
        <f t="shared" si="444"/>
        <v>0.29618239842170885</v>
      </c>
      <c r="AA1278" s="28">
        <f t="shared" si="444"/>
        <v>0.27967759033466694</v>
      </c>
      <c r="AB1278" s="28">
        <f t="shared" si="444"/>
        <v>0.26244626753806521</v>
      </c>
      <c r="AC1278" s="28">
        <f t="shared" si="444"/>
        <v>0.24435176330439479</v>
      </c>
      <c r="AD1278" s="28">
        <f t="shared" si="444"/>
        <v>0.22810251783068647</v>
      </c>
      <c r="AE1278" s="28">
        <f t="shared" si="444"/>
        <v>0.20983341371302433</v>
      </c>
      <c r="AF1278" s="28">
        <f t="shared" si="444"/>
        <v>0.18918435006248518</v>
      </c>
      <c r="AG1278" s="28">
        <f t="shared" si="444"/>
        <v>0.16670798430115075</v>
      </c>
      <c r="AH1278" s="28">
        <f t="shared" si="444"/>
        <v>0.14049060233716382</v>
      </c>
      <c r="AI1278" s="28">
        <f t="shared" si="444"/>
        <v>0.11185506257124123</v>
      </c>
      <c r="AJ1278" s="28">
        <f t="shared" si="444"/>
        <v>8.0401601120843935E-2</v>
      </c>
      <c r="AK1278" s="28">
        <f t="shared" si="444"/>
        <v>4.5848153463259544E-2</v>
      </c>
      <c r="AL1278" s="28">
        <f t="shared" si="444"/>
        <v>8.3781724013097802E-3</v>
      </c>
      <c r="AM1278" s="28">
        <f t="shared" si="444"/>
        <v>-3.203627261387354E-2</v>
      </c>
      <c r="AN1278" s="28">
        <f t="shared" si="444"/>
        <v>-4.8453421746209369E-2</v>
      </c>
      <c r="AO1278" s="28">
        <f t="shared" si="444"/>
        <v>-6.6141363679857568E-2</v>
      </c>
      <c r="AP1278" s="28">
        <f t="shared" si="444"/>
        <v>-8.5134650054947025E-2</v>
      </c>
      <c r="AQ1278" s="28">
        <f t="shared" si="444"/>
        <v>-0.10548566696731432</v>
      </c>
      <c r="AR1278" s="28">
        <f t="shared" si="444"/>
        <v>-0.12737386735463141</v>
      </c>
      <c r="AS1278" s="28">
        <f t="shared" si="444"/>
        <v>-0.15081395591737934</v>
      </c>
      <c r="AT1278" s="28">
        <f t="shared" si="444"/>
        <v>-0.17407347475253654</v>
      </c>
      <c r="AU1278" s="28">
        <f t="shared" si="444"/>
        <v>-0.198209335498154</v>
      </c>
      <c r="AV1278" s="28">
        <f t="shared" si="444"/>
        <v>-0.22364841818762971</v>
      </c>
      <c r="AW1278" s="28">
        <f t="shared" si="444"/>
        <v>-0.25002916429899469</v>
      </c>
      <c r="AY1278" s="85"/>
      <c r="AZ1278" s="85"/>
    </row>
    <row r="1279" spans="1:52" x14ac:dyDescent="0.25">
      <c r="A1279" s="102" t="str">
        <f t="shared" si="384"/>
        <v>FSFAGSPQNIBDDSCM Organic</v>
      </c>
      <c r="B1279" s="102" t="s">
        <v>1376</v>
      </c>
      <c r="C1279" s="102" t="s">
        <v>1128</v>
      </c>
      <c r="D1279" t="s">
        <v>369</v>
      </c>
      <c r="E1279" t="s">
        <v>55</v>
      </c>
      <c r="F1279" t="s">
        <v>421</v>
      </c>
      <c r="G1279" t="s">
        <v>1165</v>
      </c>
      <c r="H1279" t="s">
        <v>1166</v>
      </c>
      <c r="I1279" t="s">
        <v>139</v>
      </c>
      <c r="J1279" t="s">
        <v>287</v>
      </c>
      <c r="K1279" s="28">
        <f t="shared" ref="K1279:AW1279" si="445">IFERROR(K1472-((K1472-K63)+(K1472-K216)+(K1472-K369)+(K1472-K521)+(K1472-K673)+(K1472-K824)+(K1472-K975)+(K1472-K1126)),0)</f>
        <v>5.8351352726762881E-2</v>
      </c>
      <c r="L1279" s="28">
        <f t="shared" si="445"/>
        <v>5.838284383946888E-2</v>
      </c>
      <c r="M1279" s="28">
        <f t="shared" si="445"/>
        <v>5.8455239222652444E-2</v>
      </c>
      <c r="N1279" s="28">
        <f t="shared" si="445"/>
        <v>5.8562716913640872E-2</v>
      </c>
      <c r="O1279" s="28">
        <f t="shared" si="445"/>
        <v>5.8707782505400478E-2</v>
      </c>
      <c r="P1279" s="28">
        <f t="shared" si="445"/>
        <v>5.8893351419097517E-2</v>
      </c>
      <c r="Q1279" s="28">
        <f t="shared" si="445"/>
        <v>5.909782905733385E-2</v>
      </c>
      <c r="R1279" s="28">
        <f t="shared" si="445"/>
        <v>5.9318039560246685E-2</v>
      </c>
      <c r="S1279" s="28">
        <f t="shared" si="445"/>
        <v>5.9536211182470676E-2</v>
      </c>
      <c r="T1279" s="28">
        <f t="shared" si="445"/>
        <v>5.8558409041504063E-2</v>
      </c>
      <c r="U1279" s="28">
        <f t="shared" si="445"/>
        <v>5.7589497026441033E-2</v>
      </c>
      <c r="V1279" s="28">
        <f t="shared" si="445"/>
        <v>5.6629938341308375E-2</v>
      </c>
      <c r="W1279" s="28">
        <f t="shared" si="445"/>
        <v>5.5679795484292138E-2</v>
      </c>
      <c r="X1279" s="28">
        <f t="shared" si="445"/>
        <v>5.4739972393923905E-2</v>
      </c>
      <c r="Y1279" s="28">
        <f t="shared" si="445"/>
        <v>5.3747445935022391E-2</v>
      </c>
      <c r="Z1279" s="28">
        <f t="shared" si="445"/>
        <v>5.2762124391299077E-2</v>
      </c>
      <c r="AA1279" s="28">
        <f t="shared" si="445"/>
        <v>5.1780952127753285E-2</v>
      </c>
      <c r="AB1279" s="28">
        <f t="shared" si="445"/>
        <v>5.0805655209825197E-2</v>
      </c>
      <c r="AC1279" s="28">
        <f t="shared" si="445"/>
        <v>4.9835624172422849E-2</v>
      </c>
      <c r="AD1279" s="28">
        <f t="shared" si="445"/>
        <v>4.8835973648251353E-2</v>
      </c>
      <c r="AE1279" s="28">
        <f t="shared" si="445"/>
        <v>4.7840175185610352E-2</v>
      </c>
      <c r="AF1279" s="28">
        <f t="shared" si="445"/>
        <v>4.6847274372686709E-2</v>
      </c>
      <c r="AG1279" s="28">
        <f t="shared" si="445"/>
        <v>4.5857704405009067E-2</v>
      </c>
      <c r="AH1279" s="28">
        <f t="shared" si="445"/>
        <v>4.4868029044442002E-2</v>
      </c>
      <c r="AI1279" s="28">
        <f t="shared" si="445"/>
        <v>4.3843692865705698E-2</v>
      </c>
      <c r="AJ1279" s="28">
        <f t="shared" si="445"/>
        <v>4.2821394859957056E-2</v>
      </c>
      <c r="AK1279" s="28">
        <f t="shared" si="445"/>
        <v>4.1799943267176239E-2</v>
      </c>
      <c r="AL1279" s="28">
        <f t="shared" si="445"/>
        <v>4.0779382216230183E-2</v>
      </c>
      <c r="AM1279" s="28">
        <f t="shared" si="445"/>
        <v>3.9759694558637454E-2</v>
      </c>
      <c r="AN1279" s="28">
        <f t="shared" si="445"/>
        <v>3.9787392851632117E-2</v>
      </c>
      <c r="AO1279" s="28">
        <f t="shared" si="445"/>
        <v>3.9817552389265841E-2</v>
      </c>
      <c r="AP1279" s="28">
        <f t="shared" si="445"/>
        <v>3.9850881967090863E-2</v>
      </c>
      <c r="AQ1279" s="28">
        <f t="shared" si="445"/>
        <v>3.9887302382266121E-2</v>
      </c>
      <c r="AR1279" s="28">
        <f t="shared" si="445"/>
        <v>3.9927311668587151E-2</v>
      </c>
      <c r="AS1279" s="28">
        <f t="shared" si="445"/>
        <v>3.9939714948155201E-2</v>
      </c>
      <c r="AT1279" s="28">
        <f t="shared" si="445"/>
        <v>3.9949120014662415E-2</v>
      </c>
      <c r="AU1279" s="28">
        <f t="shared" si="445"/>
        <v>3.9960556149046735E-2</v>
      </c>
      <c r="AV1279" s="28">
        <f t="shared" si="445"/>
        <v>3.9975085530801729E-2</v>
      </c>
      <c r="AW1279" s="28">
        <f t="shared" si="445"/>
        <v>3.9991561569703675E-2</v>
      </c>
      <c r="AY1279" s="85"/>
      <c r="AZ1279" s="85"/>
    </row>
    <row r="1280" spans="1:52" x14ac:dyDescent="0.25">
      <c r="A1280" s="102" t="str">
        <f t="shared" si="384"/>
        <v>FSFAGSPQNIBDDSCM Organic</v>
      </c>
      <c r="B1280" s="102" t="s">
        <v>1376</v>
      </c>
      <c r="C1280" s="102" t="s">
        <v>1128</v>
      </c>
      <c r="D1280" t="s">
        <v>369</v>
      </c>
      <c r="E1280" t="s">
        <v>55</v>
      </c>
      <c r="F1280" t="s">
        <v>421</v>
      </c>
      <c r="G1280" t="s">
        <v>1167</v>
      </c>
      <c r="H1280" t="s">
        <v>1168</v>
      </c>
      <c r="I1280" t="s">
        <v>139</v>
      </c>
      <c r="J1280" t="s">
        <v>287</v>
      </c>
      <c r="K1280" s="28">
        <f t="shared" ref="K1280:AW1280" si="446">IFERROR(K1473-((K1473-K64)+(K1473-K217)+(K1473-K370)+(K1473-K522)+(K1473-K674)+(K1473-K825)+(K1473-K976)+(K1473-K1127)),0)</f>
        <v>4.7490069351463909E-2</v>
      </c>
      <c r="L1280" s="28">
        <f t="shared" si="446"/>
        <v>4.7515698836582541E-2</v>
      </c>
      <c r="M1280" s="28">
        <f t="shared" si="446"/>
        <v>4.7574618837704238E-2</v>
      </c>
      <c r="N1280" s="28">
        <f t="shared" si="446"/>
        <v>4.7662091068599664E-2</v>
      </c>
      <c r="O1280" s="28">
        <f t="shared" si="446"/>
        <v>4.7780154741355184E-2</v>
      </c>
      <c r="P1280" s="28">
        <f t="shared" si="446"/>
        <v>4.7931182612503523E-2</v>
      </c>
      <c r="Q1280" s="28">
        <f t="shared" si="446"/>
        <v>4.809759961514163E-2</v>
      </c>
      <c r="R1280" s="28">
        <f t="shared" si="446"/>
        <v>4.8276821031039585E-2</v>
      </c>
      <c r="S1280" s="28">
        <f t="shared" si="446"/>
        <v>4.845438307520427E-2</v>
      </c>
      <c r="T1280" s="28">
        <f t="shared" si="446"/>
        <v>4.8517343975706374E-2</v>
      </c>
      <c r="U1280" s="28">
        <f t="shared" si="446"/>
        <v>4.8590120411440091E-2</v>
      </c>
      <c r="V1280" s="28">
        <f t="shared" si="446"/>
        <v>4.8673660965917367E-2</v>
      </c>
      <c r="W1280" s="28">
        <f t="shared" si="446"/>
        <v>4.8768635536948338E-2</v>
      </c>
      <c r="X1280" s="28">
        <f t="shared" si="446"/>
        <v>4.8876517372637492E-2</v>
      </c>
      <c r="Y1280" s="28">
        <f t="shared" si="446"/>
        <v>4.8940686503379939E-2</v>
      </c>
      <c r="Z1280" s="28">
        <f t="shared" si="446"/>
        <v>4.9014146146785342E-2</v>
      </c>
      <c r="AA1280" s="28">
        <f t="shared" si="446"/>
        <v>4.9094573939523732E-2</v>
      </c>
      <c r="AB1280" s="28">
        <f t="shared" si="446"/>
        <v>4.9184081018212401E-2</v>
      </c>
      <c r="AC1280" s="28">
        <f t="shared" si="446"/>
        <v>4.9282650530862067E-2</v>
      </c>
      <c r="AD1280" s="28">
        <f t="shared" si="446"/>
        <v>4.93494689686979E-2</v>
      </c>
      <c r="AE1280" s="28">
        <f t="shared" si="446"/>
        <v>4.9423253827976674E-2</v>
      </c>
      <c r="AF1280" s="28">
        <f t="shared" si="446"/>
        <v>4.9503474177155865E-2</v>
      </c>
      <c r="AG1280" s="28">
        <f t="shared" si="446"/>
        <v>4.9591049994068055E-2</v>
      </c>
      <c r="AH1280" s="28">
        <f t="shared" si="446"/>
        <v>4.9682704725537721E-2</v>
      </c>
      <c r="AI1280" s="28">
        <f t="shared" si="446"/>
        <v>4.9739536358554284E-2</v>
      </c>
      <c r="AJ1280" s="28">
        <f t="shared" si="446"/>
        <v>4.9801598585174821E-2</v>
      </c>
      <c r="AK1280" s="28">
        <f t="shared" si="446"/>
        <v>4.9867874473551767E-2</v>
      </c>
      <c r="AL1280" s="28">
        <f t="shared" si="446"/>
        <v>4.9938752845250851E-2</v>
      </c>
      <c r="AM1280" s="28">
        <f t="shared" si="446"/>
        <v>5.0014587750161987E-2</v>
      </c>
      <c r="AN1280" s="28">
        <f t="shared" si="446"/>
        <v>5.0057214375893909E-2</v>
      </c>
      <c r="AO1280" s="28">
        <f t="shared" si="446"/>
        <v>5.0102952843749951E-2</v>
      </c>
      <c r="AP1280" s="28">
        <f t="shared" si="446"/>
        <v>5.0152696636845955E-2</v>
      </c>
      <c r="AQ1280" s="28">
        <f t="shared" si="446"/>
        <v>5.0206347937804444E-2</v>
      </c>
      <c r="AR1280" s="28">
        <f t="shared" si="446"/>
        <v>5.0264535552880796E-2</v>
      </c>
      <c r="AS1280" s="28">
        <f t="shared" si="446"/>
        <v>5.0287984223824772E-2</v>
      </c>
      <c r="AT1280" s="28">
        <f t="shared" si="446"/>
        <v>5.0307666146733696E-2</v>
      </c>
      <c r="AU1280" s="28">
        <f t="shared" si="446"/>
        <v>5.0329913890502127E-2</v>
      </c>
      <c r="AV1280" s="28">
        <f t="shared" si="446"/>
        <v>5.0356066671013291E-2</v>
      </c>
      <c r="AW1280" s="28">
        <f t="shared" si="446"/>
        <v>5.0384681749439074E-2</v>
      </c>
      <c r="AY1280" s="85"/>
      <c r="AZ1280" s="85"/>
    </row>
    <row r="1281" spans="1:52" x14ac:dyDescent="0.25">
      <c r="A1281" s="102" t="str">
        <f t="shared" si="384"/>
        <v>FSFAGSPQNIBDDSCM Organic</v>
      </c>
      <c r="B1281" s="102" t="s">
        <v>1376</v>
      </c>
      <c r="C1281" s="102" t="s">
        <v>1128</v>
      </c>
      <c r="D1281" t="s">
        <v>369</v>
      </c>
      <c r="E1281" t="s">
        <v>55</v>
      </c>
      <c r="F1281" t="s">
        <v>421</v>
      </c>
      <c r="G1281" t="s">
        <v>1169</v>
      </c>
      <c r="H1281" t="s">
        <v>1170</v>
      </c>
      <c r="I1281" t="s">
        <v>139</v>
      </c>
      <c r="J1281" t="s">
        <v>287</v>
      </c>
      <c r="K1281" s="28">
        <f t="shared" ref="K1281:AW1281" si="447">IFERROR(K1474-((K1474-K65)+(K1474-K218)+(K1474-K371)+(K1474-K523)+(K1474-K675)+(K1474-K826)+(K1474-K977)+(K1474-K1128)),0)</f>
        <v>7.2124379000375856E-3</v>
      </c>
      <c r="L1281" s="28">
        <f t="shared" si="447"/>
        <v>7.2311842253661622E-3</v>
      </c>
      <c r="M1281" s="28">
        <f t="shared" si="447"/>
        <v>7.2564640106272402E-3</v>
      </c>
      <c r="N1281" s="28">
        <f t="shared" si="447"/>
        <v>7.287254147269725E-3</v>
      </c>
      <c r="O1281" s="28">
        <f t="shared" si="447"/>
        <v>7.3241333035294473E-3</v>
      </c>
      <c r="P1281" s="28">
        <f t="shared" si="447"/>
        <v>7.3677329801347495E-3</v>
      </c>
      <c r="Q1281" s="28">
        <f t="shared" si="447"/>
        <v>7.4139400326720672E-3</v>
      </c>
      <c r="R1281" s="28">
        <f t="shared" si="447"/>
        <v>7.4622138016085145E-3</v>
      </c>
      <c r="S1281" s="28">
        <f t="shared" si="447"/>
        <v>7.509211214865451E-3</v>
      </c>
      <c r="T1281" s="28">
        <f t="shared" si="447"/>
        <v>7.3989785762428508E-3</v>
      </c>
      <c r="U1281" s="28">
        <f t="shared" si="447"/>
        <v>7.2896222486988956E-3</v>
      </c>
      <c r="V1281" s="28">
        <f t="shared" si="447"/>
        <v>7.1812988675028239E-3</v>
      </c>
      <c r="W1281" s="28">
        <f t="shared" si="447"/>
        <v>7.0740795715049281E-3</v>
      </c>
      <c r="X1281" s="28">
        <f t="shared" si="447"/>
        <v>6.9681877476369895E-3</v>
      </c>
      <c r="Y1281" s="28">
        <f t="shared" si="447"/>
        <v>6.8517366271123948E-3</v>
      </c>
      <c r="Z1281" s="28">
        <f t="shared" si="447"/>
        <v>6.7361515521615544E-3</v>
      </c>
      <c r="AA1281" s="28">
        <f t="shared" si="447"/>
        <v>6.6208922360749337E-3</v>
      </c>
      <c r="AB1281" s="28">
        <f t="shared" si="447"/>
        <v>6.5063189781589328E-3</v>
      </c>
      <c r="AC1281" s="28">
        <f t="shared" si="447"/>
        <v>6.3923472925172739E-3</v>
      </c>
      <c r="AD1281" s="28">
        <f t="shared" si="447"/>
        <v>6.2703936703131088E-3</v>
      </c>
      <c r="AE1281" s="28">
        <f t="shared" si="447"/>
        <v>6.14888895741792E-3</v>
      </c>
      <c r="AF1281" s="28">
        <f t="shared" si="447"/>
        <v>6.0276764515545906E-3</v>
      </c>
      <c r="AG1281" s="28">
        <f t="shared" si="447"/>
        <v>5.9068577229058868E-3</v>
      </c>
      <c r="AH1281" s="28">
        <f t="shared" si="447"/>
        <v>5.7858105918874936E-3</v>
      </c>
      <c r="AI1281" s="28">
        <f t="shared" si="447"/>
        <v>5.6581228238975203E-3</v>
      </c>
      <c r="AJ1281" s="28">
        <f t="shared" si="447"/>
        <v>5.5306630444191202E-3</v>
      </c>
      <c r="AK1281" s="28">
        <f t="shared" si="447"/>
        <v>5.4032244059669882E-3</v>
      </c>
      <c r="AL1281" s="28">
        <f t="shared" si="447"/>
        <v>5.2758292343076524E-3</v>
      </c>
      <c r="AM1281" s="28">
        <f t="shared" si="447"/>
        <v>5.1484874114350165E-3</v>
      </c>
      <c r="AN1281" s="28">
        <f t="shared" si="447"/>
        <v>5.1544720521968347E-3</v>
      </c>
      <c r="AO1281" s="28">
        <f t="shared" si="447"/>
        <v>5.1608200532227387E-3</v>
      </c>
      <c r="AP1281" s="28">
        <f t="shared" si="447"/>
        <v>5.167664651566789E-3</v>
      </c>
      <c r="AQ1281" s="28">
        <f t="shared" si="447"/>
        <v>5.174993113460394E-3</v>
      </c>
      <c r="AR1281" s="28">
        <f t="shared" si="447"/>
        <v>5.182898600891086E-3</v>
      </c>
      <c r="AS1281" s="28">
        <f t="shared" si="447"/>
        <v>5.1856599904164611E-3</v>
      </c>
      <c r="AT1281" s="28">
        <f t="shared" si="447"/>
        <v>5.1878095635787044E-3</v>
      </c>
      <c r="AU1281" s="28">
        <f t="shared" si="447"/>
        <v>5.1902726670425012E-3</v>
      </c>
      <c r="AV1281" s="28">
        <f t="shared" si="447"/>
        <v>5.1932447050870873E-3</v>
      </c>
      <c r="AW1281" s="28">
        <f t="shared" si="447"/>
        <v>5.1965169345490206E-3</v>
      </c>
      <c r="AY1281" s="85"/>
      <c r="AZ1281" s="85"/>
    </row>
    <row r="1282" spans="1:52" x14ac:dyDescent="0.25">
      <c r="A1282" s="102" t="str">
        <f t="shared" si="384"/>
        <v>FSFAGSPQNIBDDSCM Organic</v>
      </c>
      <c r="B1282" s="102" t="s">
        <v>1376</v>
      </c>
      <c r="C1282" s="102" t="s">
        <v>1128</v>
      </c>
      <c r="D1282" t="s">
        <v>369</v>
      </c>
      <c r="E1282" t="s">
        <v>55</v>
      </c>
      <c r="F1282" t="s">
        <v>421</v>
      </c>
      <c r="G1282" t="s">
        <v>1171</v>
      </c>
      <c r="H1282" t="s">
        <v>1172</v>
      </c>
      <c r="I1282" t="s">
        <v>139</v>
      </c>
      <c r="J1282" t="s">
        <v>287</v>
      </c>
      <c r="K1282" s="28">
        <f t="shared" ref="K1282:AW1282" si="448">IFERROR(K1475-((K1475-K66)+(K1475-K219)+(K1475-K372)+(K1475-K524)+(K1475-K676)+(K1475-K827)+(K1475-K978)+(K1475-K1129)),0)</f>
        <v>8.7025704097551199E-2</v>
      </c>
      <c r="L1282" s="28">
        <f t="shared" si="448"/>
        <v>8.7251898372437478E-2</v>
      </c>
      <c r="M1282" s="28">
        <f t="shared" si="448"/>
        <v>8.7556925762935861E-2</v>
      </c>
      <c r="N1282" s="28">
        <f t="shared" si="448"/>
        <v>8.7928441380499503E-2</v>
      </c>
      <c r="O1282" s="28">
        <f t="shared" si="448"/>
        <v>8.8373427470433044E-2</v>
      </c>
      <c r="P1282" s="28">
        <f t="shared" si="448"/>
        <v>8.8899503758033641E-2</v>
      </c>
      <c r="Q1282" s="28">
        <f t="shared" si="448"/>
        <v>8.9457040798499768E-2</v>
      </c>
      <c r="R1282" s="28">
        <f t="shared" si="448"/>
        <v>9.0039514961794118E-2</v>
      </c>
      <c r="S1282" s="28">
        <f t="shared" si="448"/>
        <v>9.0606588541648075E-2</v>
      </c>
      <c r="T1282" s="28">
        <f t="shared" si="448"/>
        <v>9.0866681909987077E-2</v>
      </c>
      <c r="U1282" s="28">
        <f t="shared" si="448"/>
        <v>9.1147165837307267E-2</v>
      </c>
      <c r="V1282" s="28">
        <f t="shared" si="448"/>
        <v>9.1451164835280221E-2</v>
      </c>
      <c r="W1282" s="28">
        <f t="shared" si="448"/>
        <v>9.1780929341327769E-2</v>
      </c>
      <c r="X1282" s="28">
        <f t="shared" si="448"/>
        <v>9.2140895617544447E-2</v>
      </c>
      <c r="Y1282" s="28">
        <f t="shared" si="448"/>
        <v>9.2372582250207988E-2</v>
      </c>
      <c r="Z1282" s="28">
        <f t="shared" si="448"/>
        <v>9.2625418500508608E-2</v>
      </c>
      <c r="AA1282" s="28">
        <f t="shared" si="448"/>
        <v>9.2893115093326858E-2</v>
      </c>
      <c r="AB1282" s="28">
        <f t="shared" si="448"/>
        <v>9.3181758154257929E-2</v>
      </c>
      <c r="AC1282" s="28">
        <f t="shared" si="448"/>
        <v>9.3491444989645012E-2</v>
      </c>
      <c r="AD1282" s="28">
        <f t="shared" si="448"/>
        <v>9.3695284789210367E-2</v>
      </c>
      <c r="AE1282" s="28">
        <f t="shared" si="448"/>
        <v>9.3915011879118299E-2</v>
      </c>
      <c r="AF1282" s="28">
        <f t="shared" si="448"/>
        <v>9.4149258367795627E-2</v>
      </c>
      <c r="AG1282" s="28">
        <f t="shared" si="448"/>
        <v>9.4400657129803389E-2</v>
      </c>
      <c r="AH1282" s="28">
        <f t="shared" si="448"/>
        <v>9.4660249844504385E-2</v>
      </c>
      <c r="AI1282" s="28">
        <f t="shared" si="448"/>
        <v>9.4821175093764906E-2</v>
      </c>
      <c r="AJ1282" s="28">
        <f t="shared" si="448"/>
        <v>9.4994033875618389E-2</v>
      </c>
      <c r="AK1282" s="28">
        <f t="shared" si="448"/>
        <v>9.5176097250528169E-2</v>
      </c>
      <c r="AL1282" s="28">
        <f t="shared" si="448"/>
        <v>9.5368492746824421E-2</v>
      </c>
      <c r="AM1282" s="28">
        <f t="shared" si="448"/>
        <v>9.5572238323119812E-2</v>
      </c>
      <c r="AN1282" s="28">
        <f t="shared" si="448"/>
        <v>9.5683332216812994E-2</v>
      </c>
      <c r="AO1282" s="28">
        <f t="shared" si="448"/>
        <v>9.5801171228242971E-2</v>
      </c>
      <c r="AP1282" s="28">
        <f t="shared" si="448"/>
        <v>9.5928228659268394E-2</v>
      </c>
      <c r="AQ1282" s="28">
        <f t="shared" si="448"/>
        <v>9.6064268130799754E-2</v>
      </c>
      <c r="AR1282" s="28">
        <f t="shared" si="448"/>
        <v>9.6211019024491043E-2</v>
      </c>
      <c r="AS1282" s="28">
        <f t="shared" si="448"/>
        <v>9.6262279163000078E-2</v>
      </c>
      <c r="AT1282" s="28">
        <f t="shared" si="448"/>
        <v>9.6302182051389879E-2</v>
      </c>
      <c r="AU1282" s="28">
        <f t="shared" si="448"/>
        <v>9.634790505553549E-2</v>
      </c>
      <c r="AV1282" s="28">
        <f t="shared" si="448"/>
        <v>9.6403075497959345E-2</v>
      </c>
      <c r="AW1282" s="28">
        <f t="shared" si="448"/>
        <v>9.6463818444186472E-2</v>
      </c>
      <c r="AY1282" s="85"/>
      <c r="AZ1282" s="85"/>
    </row>
    <row r="1283" spans="1:52" x14ac:dyDescent="0.25">
      <c r="A1283" s="102" t="str">
        <f t="shared" si="384"/>
        <v>FSFAGSPQNIBDDSCM Organic</v>
      </c>
      <c r="B1283" s="102" t="s">
        <v>1376</v>
      </c>
      <c r="C1283" s="102" t="s">
        <v>1128</v>
      </c>
      <c r="D1283" t="s">
        <v>369</v>
      </c>
      <c r="E1283" t="s">
        <v>55</v>
      </c>
      <c r="F1283" t="s">
        <v>421</v>
      </c>
      <c r="G1283" t="s">
        <v>1173</v>
      </c>
      <c r="H1283" t="s">
        <v>1174</v>
      </c>
      <c r="I1283" t="s">
        <v>139</v>
      </c>
      <c r="J1283" t="s">
        <v>287</v>
      </c>
      <c r="K1283" s="28">
        <f t="shared" ref="K1283:AW1283" si="449">IFERROR(K1476-((K1476-K67)+(K1476-K220)+(K1476-K373)+(K1476-K525)+(K1476-K677)+(K1476-K828)+(K1476-K979)+(K1476-K1130)),0)</f>
        <v>0</v>
      </c>
      <c r="L1283" s="28">
        <f t="shared" si="449"/>
        <v>0</v>
      </c>
      <c r="M1283" s="28">
        <f t="shared" si="449"/>
        <v>0</v>
      </c>
      <c r="N1283" s="28">
        <f t="shared" si="449"/>
        <v>0</v>
      </c>
      <c r="O1283" s="28">
        <f t="shared" si="449"/>
        <v>0</v>
      </c>
      <c r="P1283" s="28">
        <f t="shared" si="449"/>
        <v>0</v>
      </c>
      <c r="Q1283" s="28">
        <f t="shared" si="449"/>
        <v>0</v>
      </c>
      <c r="R1283" s="28">
        <f t="shared" si="449"/>
        <v>0</v>
      </c>
      <c r="S1283" s="28">
        <f t="shared" si="449"/>
        <v>0</v>
      </c>
      <c r="T1283" s="28">
        <f t="shared" si="449"/>
        <v>0</v>
      </c>
      <c r="U1283" s="28">
        <f t="shared" si="449"/>
        <v>0</v>
      </c>
      <c r="V1283" s="28">
        <f t="shared" si="449"/>
        <v>0</v>
      </c>
      <c r="W1283" s="28">
        <f t="shared" si="449"/>
        <v>0</v>
      </c>
      <c r="X1283" s="28">
        <f t="shared" si="449"/>
        <v>0</v>
      </c>
      <c r="Y1283" s="28">
        <f t="shared" si="449"/>
        <v>0</v>
      </c>
      <c r="Z1283" s="28">
        <f t="shared" si="449"/>
        <v>0</v>
      </c>
      <c r="AA1283" s="28">
        <f t="shared" si="449"/>
        <v>0</v>
      </c>
      <c r="AB1283" s="28">
        <f t="shared" si="449"/>
        <v>0</v>
      </c>
      <c r="AC1283" s="28">
        <f t="shared" si="449"/>
        <v>0</v>
      </c>
      <c r="AD1283" s="28">
        <f t="shared" si="449"/>
        <v>0</v>
      </c>
      <c r="AE1283" s="28">
        <f t="shared" si="449"/>
        <v>0</v>
      </c>
      <c r="AF1283" s="28">
        <f t="shared" si="449"/>
        <v>0</v>
      </c>
      <c r="AG1283" s="28">
        <f t="shared" si="449"/>
        <v>0</v>
      </c>
      <c r="AH1283" s="28">
        <f t="shared" si="449"/>
        <v>0</v>
      </c>
      <c r="AI1283" s="28">
        <f t="shared" si="449"/>
        <v>0</v>
      </c>
      <c r="AJ1283" s="28">
        <f t="shared" si="449"/>
        <v>0</v>
      </c>
      <c r="AK1283" s="28">
        <f t="shared" si="449"/>
        <v>0</v>
      </c>
      <c r="AL1283" s="28">
        <f t="shared" si="449"/>
        <v>0</v>
      </c>
      <c r="AM1283" s="28">
        <f t="shared" si="449"/>
        <v>0</v>
      </c>
      <c r="AN1283" s="28">
        <f t="shared" si="449"/>
        <v>0</v>
      </c>
      <c r="AO1283" s="28">
        <f t="shared" si="449"/>
        <v>0</v>
      </c>
      <c r="AP1283" s="28">
        <f t="shared" si="449"/>
        <v>0</v>
      </c>
      <c r="AQ1283" s="28">
        <f t="shared" si="449"/>
        <v>0</v>
      </c>
      <c r="AR1283" s="28">
        <f t="shared" si="449"/>
        <v>0</v>
      </c>
      <c r="AS1283" s="28">
        <f t="shared" si="449"/>
        <v>0</v>
      </c>
      <c r="AT1283" s="28">
        <f t="shared" si="449"/>
        <v>0</v>
      </c>
      <c r="AU1283" s="28">
        <f t="shared" si="449"/>
        <v>0</v>
      </c>
      <c r="AV1283" s="28">
        <f t="shared" si="449"/>
        <v>0</v>
      </c>
      <c r="AW1283" s="28">
        <f t="shared" si="449"/>
        <v>0</v>
      </c>
      <c r="AY1283" s="85"/>
      <c r="AZ1283" s="85"/>
    </row>
    <row r="1284" spans="1:52" x14ac:dyDescent="0.25">
      <c r="A1284" s="102" t="str">
        <f t="shared" si="384"/>
        <v>FSFAGSPQNIBDDSCM Organic</v>
      </c>
      <c r="B1284" s="102" t="s">
        <v>1376</v>
      </c>
      <c r="C1284" s="102" t="s">
        <v>1128</v>
      </c>
      <c r="D1284" t="s">
        <v>369</v>
      </c>
      <c r="E1284" t="s">
        <v>55</v>
      </c>
      <c r="F1284" t="s">
        <v>421</v>
      </c>
      <c r="G1284" t="s">
        <v>1175</v>
      </c>
      <c r="H1284" t="s">
        <v>1176</v>
      </c>
      <c r="I1284" t="s">
        <v>139</v>
      </c>
      <c r="J1284" t="s">
        <v>287</v>
      </c>
      <c r="K1284" s="28">
        <f t="shared" ref="K1284:AW1284" si="450">IFERROR(K1477-((K1477-K68)+(K1477-K221)+(K1477-K374)+(K1477-K526)+(K1477-K678)+(K1477-K829)+(K1477-K980)+(K1477-K1131)),0)</f>
        <v>0</v>
      </c>
      <c r="L1284" s="28">
        <f t="shared" si="450"/>
        <v>0</v>
      </c>
      <c r="M1284" s="28">
        <f t="shared" si="450"/>
        <v>0</v>
      </c>
      <c r="N1284" s="28">
        <f t="shared" si="450"/>
        <v>0</v>
      </c>
      <c r="O1284" s="28">
        <f t="shared" si="450"/>
        <v>0</v>
      </c>
      <c r="P1284" s="28">
        <f t="shared" si="450"/>
        <v>0</v>
      </c>
      <c r="Q1284" s="28">
        <f t="shared" si="450"/>
        <v>0</v>
      </c>
      <c r="R1284" s="28">
        <f t="shared" si="450"/>
        <v>0</v>
      </c>
      <c r="S1284" s="28">
        <f t="shared" si="450"/>
        <v>0</v>
      </c>
      <c r="T1284" s="28">
        <f t="shared" si="450"/>
        <v>0</v>
      </c>
      <c r="U1284" s="28">
        <f t="shared" si="450"/>
        <v>0</v>
      </c>
      <c r="V1284" s="28">
        <f t="shared" si="450"/>
        <v>0</v>
      </c>
      <c r="W1284" s="28">
        <f t="shared" si="450"/>
        <v>0</v>
      </c>
      <c r="X1284" s="28">
        <f t="shared" si="450"/>
        <v>0</v>
      </c>
      <c r="Y1284" s="28">
        <f t="shared" si="450"/>
        <v>0</v>
      </c>
      <c r="Z1284" s="28">
        <f t="shared" si="450"/>
        <v>0</v>
      </c>
      <c r="AA1284" s="28">
        <f t="shared" si="450"/>
        <v>0</v>
      </c>
      <c r="AB1284" s="28">
        <f t="shared" si="450"/>
        <v>0</v>
      </c>
      <c r="AC1284" s="28">
        <f t="shared" si="450"/>
        <v>0</v>
      </c>
      <c r="AD1284" s="28">
        <f t="shared" si="450"/>
        <v>0</v>
      </c>
      <c r="AE1284" s="28">
        <f t="shared" si="450"/>
        <v>0</v>
      </c>
      <c r="AF1284" s="28">
        <f t="shared" si="450"/>
        <v>0</v>
      </c>
      <c r="AG1284" s="28">
        <f t="shared" si="450"/>
        <v>0</v>
      </c>
      <c r="AH1284" s="28">
        <f t="shared" si="450"/>
        <v>0</v>
      </c>
      <c r="AI1284" s="28">
        <f t="shared" si="450"/>
        <v>0</v>
      </c>
      <c r="AJ1284" s="28">
        <f t="shared" si="450"/>
        <v>0</v>
      </c>
      <c r="AK1284" s="28">
        <f t="shared" si="450"/>
        <v>0</v>
      </c>
      <c r="AL1284" s="28">
        <f t="shared" si="450"/>
        <v>0</v>
      </c>
      <c r="AM1284" s="28">
        <f t="shared" si="450"/>
        <v>0</v>
      </c>
      <c r="AN1284" s="28">
        <f t="shared" si="450"/>
        <v>0</v>
      </c>
      <c r="AO1284" s="28">
        <f t="shared" si="450"/>
        <v>0</v>
      </c>
      <c r="AP1284" s="28">
        <f t="shared" si="450"/>
        <v>0</v>
      </c>
      <c r="AQ1284" s="28">
        <f t="shared" si="450"/>
        <v>0</v>
      </c>
      <c r="AR1284" s="28">
        <f t="shared" si="450"/>
        <v>0</v>
      </c>
      <c r="AS1284" s="28">
        <f t="shared" si="450"/>
        <v>0</v>
      </c>
      <c r="AT1284" s="28">
        <f t="shared" si="450"/>
        <v>0</v>
      </c>
      <c r="AU1284" s="28">
        <f t="shared" si="450"/>
        <v>0</v>
      </c>
      <c r="AV1284" s="28">
        <f t="shared" si="450"/>
        <v>0</v>
      </c>
      <c r="AW1284" s="28">
        <f t="shared" si="450"/>
        <v>0</v>
      </c>
      <c r="AY1284" s="85"/>
      <c r="AZ1284" s="85"/>
    </row>
    <row r="1285" spans="1:52" x14ac:dyDescent="0.25">
      <c r="A1285" s="102" t="str">
        <f t="shared" si="384"/>
        <v>FSFAGSPQNIBDDSCM Organic</v>
      </c>
      <c r="B1285" s="102" t="s">
        <v>1376</v>
      </c>
      <c r="C1285" s="102" t="s">
        <v>1128</v>
      </c>
      <c r="D1285" t="s">
        <v>369</v>
      </c>
      <c r="E1285" t="s">
        <v>55</v>
      </c>
      <c r="F1285" t="s">
        <v>421</v>
      </c>
      <c r="G1285" t="s">
        <v>1177</v>
      </c>
      <c r="H1285" t="s">
        <v>1178</v>
      </c>
      <c r="I1285" t="s">
        <v>139</v>
      </c>
      <c r="J1285" t="s">
        <v>287</v>
      </c>
      <c r="K1285" s="28">
        <f t="shared" ref="K1285:AW1285" si="451">IFERROR(K1478-((K1478-K69)+(K1478-K222)+(K1478-K375)+(K1478-K527)+(K1478-K679)+(K1478-K830)+(K1478-K981)+(K1478-K1132)),0)</f>
        <v>0.12512489027733434</v>
      </c>
      <c r="L1285" s="28">
        <f t="shared" si="451"/>
        <v>0.1249037465490002</v>
      </c>
      <c r="M1285" s="28">
        <f t="shared" si="451"/>
        <v>0.12420297117813216</v>
      </c>
      <c r="N1285" s="28">
        <f t="shared" si="451"/>
        <v>0.12146227380625023</v>
      </c>
      <c r="O1285" s="28">
        <f t="shared" si="451"/>
        <v>0.11887050141065171</v>
      </c>
      <c r="P1285" s="28">
        <f t="shared" si="451"/>
        <v>0.11845218382715161</v>
      </c>
      <c r="Q1285" s="28">
        <f t="shared" si="451"/>
        <v>0.11743671165425351</v>
      </c>
      <c r="R1285" s="28">
        <f t="shared" si="451"/>
        <v>0.11430912679136991</v>
      </c>
      <c r="S1285" s="28">
        <f t="shared" si="451"/>
        <v>0.1019584522188007</v>
      </c>
      <c r="T1285" s="28">
        <f t="shared" si="451"/>
        <v>0.10228769112591682</v>
      </c>
      <c r="U1285" s="28">
        <f t="shared" si="451"/>
        <v>0.10139825297090732</v>
      </c>
      <c r="V1285" s="28">
        <f t="shared" si="451"/>
        <v>0.10021376217288573</v>
      </c>
      <c r="W1285" s="28">
        <f t="shared" si="451"/>
        <v>9.936925372578663E-2</v>
      </c>
      <c r="X1285" s="28">
        <f t="shared" si="451"/>
        <v>9.9740346765193E-2</v>
      </c>
      <c r="Y1285" s="28">
        <f t="shared" si="451"/>
        <v>0.10030343825920292</v>
      </c>
      <c r="Z1285" s="28">
        <f t="shared" si="451"/>
        <v>0.10101444784144592</v>
      </c>
      <c r="AA1285" s="28">
        <f t="shared" si="451"/>
        <v>0.10108209938002542</v>
      </c>
      <c r="AB1285" s="28">
        <f t="shared" si="451"/>
        <v>0.10153048533042444</v>
      </c>
      <c r="AC1285" s="28">
        <f t="shared" si="451"/>
        <v>0.10243026172893328</v>
      </c>
      <c r="AD1285" s="28">
        <f t="shared" si="451"/>
        <v>0.1030614694254781</v>
      </c>
      <c r="AE1285" s="28">
        <f t="shared" si="451"/>
        <v>0.10368173492857237</v>
      </c>
      <c r="AF1285" s="28">
        <f t="shared" si="451"/>
        <v>0.10418960517682133</v>
      </c>
      <c r="AG1285" s="28">
        <f t="shared" si="451"/>
        <v>0.10495687176848113</v>
      </c>
      <c r="AH1285" s="28">
        <f t="shared" si="451"/>
        <v>0.10499251503526906</v>
      </c>
      <c r="AI1285" s="28">
        <f t="shared" si="451"/>
        <v>0.10508297100198385</v>
      </c>
      <c r="AJ1285" s="28">
        <f t="shared" si="451"/>
        <v>0.10504558912161222</v>
      </c>
      <c r="AK1285" s="28">
        <f t="shared" si="451"/>
        <v>0.1046501272471467</v>
      </c>
      <c r="AL1285" s="28">
        <f t="shared" si="451"/>
        <v>0.10407011538115463</v>
      </c>
      <c r="AM1285" s="28">
        <f t="shared" si="451"/>
        <v>0.1034416449124331</v>
      </c>
      <c r="AN1285" s="28">
        <f t="shared" si="451"/>
        <v>0.10567471263316876</v>
      </c>
      <c r="AO1285" s="28">
        <f t="shared" si="451"/>
        <v>0.10763374301254586</v>
      </c>
      <c r="AP1285" s="28">
        <f t="shared" si="451"/>
        <v>0.10957728967285815</v>
      </c>
      <c r="AQ1285" s="28">
        <f t="shared" si="451"/>
        <v>0.11151060324176315</v>
      </c>
      <c r="AR1285" s="28">
        <f t="shared" si="451"/>
        <v>0.11360681635564142</v>
      </c>
      <c r="AS1285" s="28">
        <f t="shared" si="451"/>
        <v>0.11573275747508292</v>
      </c>
      <c r="AT1285" s="28">
        <f t="shared" si="451"/>
        <v>0.11620685840975482</v>
      </c>
      <c r="AU1285" s="28">
        <f t="shared" si="451"/>
        <v>0.11654215103612306</v>
      </c>
      <c r="AV1285" s="28">
        <f t="shared" si="451"/>
        <v>0.11706019192555833</v>
      </c>
      <c r="AW1285" s="28">
        <f t="shared" si="451"/>
        <v>0.1174578809803232</v>
      </c>
      <c r="AY1285" s="85"/>
      <c r="AZ1285" s="85"/>
    </row>
    <row r="1286" spans="1:52" x14ac:dyDescent="0.25">
      <c r="A1286" s="102" t="str">
        <f t="shared" si="384"/>
        <v>FSFAGSPQNIBDDSCM Organic</v>
      </c>
      <c r="B1286" s="102" t="s">
        <v>1376</v>
      </c>
      <c r="C1286" s="102" t="s">
        <v>1128</v>
      </c>
      <c r="D1286" t="s">
        <v>369</v>
      </c>
      <c r="E1286" t="s">
        <v>55</v>
      </c>
      <c r="F1286" t="s">
        <v>421</v>
      </c>
      <c r="G1286" t="s">
        <v>1179</v>
      </c>
      <c r="H1286" t="s">
        <v>1180</v>
      </c>
      <c r="I1286" t="s">
        <v>139</v>
      </c>
      <c r="J1286" t="s">
        <v>287</v>
      </c>
      <c r="K1286" s="28">
        <f t="shared" ref="K1286:AW1286" si="452">IFERROR(K1479-((K1479-K70)+(K1479-K223)+(K1479-K376)+(K1479-K528)+(K1479-K680)+(K1479-K831)+(K1479-K982)+(K1479-K1133)),0)</f>
        <v>3.1744662482237319E-2</v>
      </c>
      <c r="L1286" s="28">
        <f t="shared" si="452"/>
        <v>3.1688557473869519E-2</v>
      </c>
      <c r="M1286" s="28">
        <f t="shared" si="452"/>
        <v>3.151076808620442E-2</v>
      </c>
      <c r="N1286" s="28">
        <f t="shared" si="452"/>
        <v>3.0815442696959246E-2</v>
      </c>
      <c r="O1286" s="28">
        <f t="shared" si="452"/>
        <v>3.0157900142902292E-2</v>
      </c>
      <c r="P1286" s="28">
        <f t="shared" si="452"/>
        <v>3.0051771374524052E-2</v>
      </c>
      <c r="Q1286" s="28">
        <f t="shared" si="452"/>
        <v>2.9794142206440031E-2</v>
      </c>
      <c r="R1286" s="28">
        <f t="shared" si="452"/>
        <v>2.9000661983306687E-2</v>
      </c>
      <c r="S1286" s="28">
        <f t="shared" si="452"/>
        <v>2.5867248680284741E-2</v>
      </c>
      <c r="T1286" s="28">
        <f t="shared" si="452"/>
        <v>2.6418384307485693E-2</v>
      </c>
      <c r="U1286" s="28">
        <f t="shared" si="452"/>
        <v>2.6669218599029494E-2</v>
      </c>
      <c r="V1286" s="28">
        <f t="shared" si="452"/>
        <v>2.6850378947159824E-2</v>
      </c>
      <c r="W1286" s="28">
        <f t="shared" si="452"/>
        <v>2.7131270461749835E-2</v>
      </c>
      <c r="X1286" s="28">
        <f t="shared" si="452"/>
        <v>2.7761420346193836E-2</v>
      </c>
      <c r="Y1286" s="28">
        <f t="shared" si="452"/>
        <v>2.8471029722772257E-2</v>
      </c>
      <c r="Z1286" s="28">
        <f t="shared" si="452"/>
        <v>2.9252149959412211E-2</v>
      </c>
      <c r="AA1286" s="28">
        <f t="shared" si="452"/>
        <v>2.9875339261371911E-2</v>
      </c>
      <c r="AB1286" s="28">
        <f t="shared" si="452"/>
        <v>3.063967086708418E-2</v>
      </c>
      <c r="AC1286" s="28">
        <f t="shared" si="452"/>
        <v>3.1576032942852293E-2</v>
      </c>
      <c r="AD1286" s="28">
        <f t="shared" si="452"/>
        <v>3.2464901700095063E-2</v>
      </c>
      <c r="AE1286" s="28">
        <f t="shared" si="452"/>
        <v>3.3389964519247813E-2</v>
      </c>
      <c r="AF1286" s="28">
        <f t="shared" si="452"/>
        <v>3.4320283924639539E-2</v>
      </c>
      <c r="AG1286" s="28">
        <f t="shared" si="452"/>
        <v>3.5381561863271328E-2</v>
      </c>
      <c r="AH1286" s="28">
        <f t="shared" si="452"/>
        <v>3.6241127997065845E-2</v>
      </c>
      <c r="AI1286" s="28">
        <f t="shared" si="452"/>
        <v>3.7162256619752955E-2</v>
      </c>
      <c r="AJ1286" s="28">
        <f t="shared" si="452"/>
        <v>3.8083374508305706E-2</v>
      </c>
      <c r="AK1286" s="28">
        <f t="shared" si="452"/>
        <v>3.8918855019554971E-2</v>
      </c>
      <c r="AL1286" s="28">
        <f t="shared" si="452"/>
        <v>3.9728138389781516E-2</v>
      </c>
      <c r="AM1286" s="28">
        <f t="shared" si="452"/>
        <v>4.0562452072844486E-2</v>
      </c>
      <c r="AN1286" s="28">
        <f t="shared" si="452"/>
        <v>4.1444547317111793E-2</v>
      </c>
      <c r="AO1286" s="28">
        <f t="shared" si="452"/>
        <v>4.2219426935547817E-2</v>
      </c>
      <c r="AP1286" s="28">
        <f t="shared" si="452"/>
        <v>4.2988474611389403E-2</v>
      </c>
      <c r="AQ1286" s="28">
        <f t="shared" si="452"/>
        <v>4.3753747897989102E-2</v>
      </c>
      <c r="AR1286" s="28">
        <f t="shared" si="452"/>
        <v>4.4583188253826081E-2</v>
      </c>
      <c r="AS1286" s="28">
        <f t="shared" si="452"/>
        <v>4.542455654930698E-2</v>
      </c>
      <c r="AT1286" s="28">
        <f t="shared" si="452"/>
        <v>4.5617748055166669E-2</v>
      </c>
      <c r="AU1286" s="28">
        <f t="shared" si="452"/>
        <v>4.5756502639671924E-2</v>
      </c>
      <c r="AV1286" s="28">
        <f t="shared" si="452"/>
        <v>4.5967063318170423E-2</v>
      </c>
      <c r="AW1286" s="28">
        <f t="shared" si="452"/>
        <v>4.6130424142870274E-2</v>
      </c>
      <c r="AY1286" s="85"/>
      <c r="AZ1286" s="85"/>
    </row>
    <row r="1287" spans="1:52" x14ac:dyDescent="0.25">
      <c r="A1287" s="102" t="str">
        <f t="shared" si="384"/>
        <v>FSFAGSPQNIBDDSCM Organic</v>
      </c>
      <c r="B1287" s="102" t="s">
        <v>1376</v>
      </c>
      <c r="C1287" s="102" t="s">
        <v>1128</v>
      </c>
      <c r="D1287" t="s">
        <v>369</v>
      </c>
      <c r="E1287" t="s">
        <v>55</v>
      </c>
      <c r="F1287" t="s">
        <v>421</v>
      </c>
      <c r="G1287" t="s">
        <v>1181</v>
      </c>
      <c r="H1287" t="s">
        <v>1182</v>
      </c>
      <c r="I1287" t="s">
        <v>139</v>
      </c>
      <c r="J1287" t="s">
        <v>287</v>
      </c>
      <c r="K1287" s="28">
        <f t="shared" ref="K1287:AW1287" si="453">IFERROR(K1480-((K1480-K71)+(K1480-K224)+(K1480-K377)+(K1480-K529)+(K1480-K681)+(K1480-K832)+(K1480-K983)+(K1480-K1134)),0)</f>
        <v>0.1574619566019842</v>
      </c>
      <c r="L1287" s="28">
        <f t="shared" si="453"/>
        <v>0.16100119532971174</v>
      </c>
      <c r="M1287" s="28">
        <f t="shared" si="453"/>
        <v>0.16420239799096348</v>
      </c>
      <c r="N1287" s="28">
        <f t="shared" si="453"/>
        <v>0.16585503975435448</v>
      </c>
      <c r="O1287" s="28">
        <f t="shared" si="453"/>
        <v>0.16755324219146345</v>
      </c>
      <c r="P1287" s="28">
        <f t="shared" si="453"/>
        <v>0.1709343585165998</v>
      </c>
      <c r="Q1287" s="28">
        <f t="shared" si="453"/>
        <v>0.17382552357996145</v>
      </c>
      <c r="R1287" s="28">
        <f t="shared" si="453"/>
        <v>0.17492293808026785</v>
      </c>
      <c r="S1287" s="28">
        <f t="shared" si="453"/>
        <v>0.16797595240358967</v>
      </c>
      <c r="T1287" s="28">
        <f t="shared" si="453"/>
        <v>0.16994786607250364</v>
      </c>
      <c r="U1287" s="28">
        <f t="shared" si="453"/>
        <v>0.17081960053609832</v>
      </c>
      <c r="V1287" s="28">
        <f t="shared" si="453"/>
        <v>0.17136978385523424</v>
      </c>
      <c r="W1287" s="28">
        <f t="shared" si="453"/>
        <v>0.17218045037495194</v>
      </c>
      <c r="X1287" s="28">
        <f t="shared" si="453"/>
        <v>0.17411871137320528</v>
      </c>
      <c r="Y1287" s="28">
        <f t="shared" si="453"/>
        <v>0.17611387228903255</v>
      </c>
      <c r="Z1287" s="28">
        <f t="shared" si="453"/>
        <v>0.17827662095304544</v>
      </c>
      <c r="AA1287" s="28">
        <f t="shared" si="453"/>
        <v>0.17980367941686254</v>
      </c>
      <c r="AB1287" s="28">
        <f t="shared" si="453"/>
        <v>0.18173086876747352</v>
      </c>
      <c r="AC1287" s="28">
        <f t="shared" si="453"/>
        <v>0.18416030665729274</v>
      </c>
      <c r="AD1287" s="28">
        <f t="shared" si="453"/>
        <v>0.18620606418661453</v>
      </c>
      <c r="AE1287" s="28">
        <f t="shared" si="453"/>
        <v>0.18826943842588684</v>
      </c>
      <c r="AF1287" s="28">
        <f t="shared" si="453"/>
        <v>0.19023570153477493</v>
      </c>
      <c r="AG1287" s="28">
        <f t="shared" si="453"/>
        <v>0.1925310450556845</v>
      </c>
      <c r="AH1287" s="28">
        <f t="shared" si="453"/>
        <v>0.19400011852806173</v>
      </c>
      <c r="AI1287" s="28">
        <f t="shared" si="453"/>
        <v>0.19545510744708311</v>
      </c>
      <c r="AJ1287" s="28">
        <f t="shared" si="453"/>
        <v>0.19676814821560892</v>
      </c>
      <c r="AK1287" s="28">
        <f t="shared" si="453"/>
        <v>0.19764211435013199</v>
      </c>
      <c r="AL1287" s="28">
        <f t="shared" si="453"/>
        <v>0.19827447091905867</v>
      </c>
      <c r="AM1287" s="28">
        <f t="shared" si="453"/>
        <v>0.19883023875143047</v>
      </c>
      <c r="AN1287" s="28">
        <f t="shared" si="453"/>
        <v>0.20481467012466203</v>
      </c>
      <c r="AO1287" s="28">
        <f t="shared" si="453"/>
        <v>0.21058200885958345</v>
      </c>
      <c r="AP1287" s="28">
        <f t="shared" si="453"/>
        <v>0.21647255776471624</v>
      </c>
      <c r="AQ1287" s="28">
        <f t="shared" si="453"/>
        <v>0.22249648343392708</v>
      </c>
      <c r="AR1287" s="28">
        <f t="shared" si="453"/>
        <v>0.2289054960983678</v>
      </c>
      <c r="AS1287" s="28">
        <f t="shared" si="453"/>
        <v>0.23544389816985117</v>
      </c>
      <c r="AT1287" s="28">
        <f t="shared" si="453"/>
        <v>0.23969233186307437</v>
      </c>
      <c r="AU1287" s="28">
        <f t="shared" si="453"/>
        <v>0.24381274334411099</v>
      </c>
      <c r="AV1287" s="28">
        <f t="shared" si="453"/>
        <v>0.24829298574737718</v>
      </c>
      <c r="AW1287" s="28">
        <f t="shared" si="453"/>
        <v>0.25267431965677106</v>
      </c>
      <c r="AY1287" s="85"/>
      <c r="AZ1287" s="85"/>
    </row>
    <row r="1288" spans="1:52" x14ac:dyDescent="0.25">
      <c r="A1288" s="102" t="str">
        <f t="shared" si="384"/>
        <v>FSFAGSPQNIBDDSCM Organic</v>
      </c>
      <c r="B1288" s="102" t="s">
        <v>1376</v>
      </c>
      <c r="C1288" s="102" t="s">
        <v>1128</v>
      </c>
      <c r="D1288" t="s">
        <v>369</v>
      </c>
      <c r="E1288" t="s">
        <v>55</v>
      </c>
      <c r="F1288" t="s">
        <v>421</v>
      </c>
      <c r="G1288" t="s">
        <v>1183</v>
      </c>
      <c r="H1288" t="s">
        <v>1184</v>
      </c>
      <c r="I1288" t="s">
        <v>139</v>
      </c>
      <c r="J1288" t="s">
        <v>287</v>
      </c>
      <c r="K1288" s="28">
        <f t="shared" ref="K1288:AW1288" si="454">IFERROR(K1481-((K1481-K72)+(K1481-K225)+(K1481-K378)+(K1481-K530)+(K1481-K682)+(K1481-K833)+(K1481-K984)+(K1481-K1135)),0)</f>
        <v>0.79145317534147697</v>
      </c>
      <c r="L1288" s="28">
        <f t="shared" si="454"/>
        <v>0.80614249446586472</v>
      </c>
      <c r="M1288" s="28">
        <f t="shared" si="454"/>
        <v>0.81576351649757217</v>
      </c>
      <c r="N1288" s="28">
        <f t="shared" si="454"/>
        <v>0.8051815142548906</v>
      </c>
      <c r="O1288" s="28">
        <f t="shared" si="454"/>
        <v>0.79491912717906921</v>
      </c>
      <c r="P1288" s="28">
        <f t="shared" si="454"/>
        <v>0.8050882404927846</v>
      </c>
      <c r="Q1288" s="28">
        <f t="shared" si="454"/>
        <v>0.80900668851215218</v>
      </c>
      <c r="R1288" s="28">
        <f t="shared" si="454"/>
        <v>0.79104206342465233</v>
      </c>
      <c r="S1288" s="28">
        <f t="shared" si="454"/>
        <v>0.67708002243474696</v>
      </c>
      <c r="T1288" s="28">
        <f t="shared" si="454"/>
        <v>0.70050468278612477</v>
      </c>
      <c r="U1288" s="28">
        <f t="shared" si="454"/>
        <v>0.71110568073586644</v>
      </c>
      <c r="V1288" s="28">
        <f t="shared" si="454"/>
        <v>0.71829724664248962</v>
      </c>
      <c r="W1288" s="28">
        <f t="shared" si="454"/>
        <v>0.72887483657270702</v>
      </c>
      <c r="X1288" s="28">
        <f t="shared" si="454"/>
        <v>0.75264161304200183</v>
      </c>
      <c r="Y1288" s="28">
        <f t="shared" si="454"/>
        <v>0.77931786057787511</v>
      </c>
      <c r="Z1288" s="28">
        <f t="shared" si="454"/>
        <v>0.80789449065548957</v>
      </c>
      <c r="AA1288" s="28">
        <f t="shared" si="454"/>
        <v>0.82940118370864258</v>
      </c>
      <c r="AB1288" s="28">
        <f t="shared" si="454"/>
        <v>0.85544315015553385</v>
      </c>
      <c r="AC1288" s="28">
        <f t="shared" si="454"/>
        <v>0.88703637491877885</v>
      </c>
      <c r="AD1288" s="28">
        <f t="shared" si="454"/>
        <v>0.91619690549854738</v>
      </c>
      <c r="AE1288" s="28">
        <f t="shared" si="454"/>
        <v>0.94555234557342727</v>
      </c>
      <c r="AF1288" s="28">
        <f t="shared" si="454"/>
        <v>0.97387809588007157</v>
      </c>
      <c r="AG1288" s="28">
        <f t="shared" si="454"/>
        <v>1.0057313603425333</v>
      </c>
      <c r="AH1288" s="28">
        <f t="shared" si="454"/>
        <v>1.0288551125490868</v>
      </c>
      <c r="AI1288" s="28">
        <f t="shared" si="454"/>
        <v>1.0532333244319483</v>
      </c>
      <c r="AJ1288" s="28">
        <f t="shared" si="454"/>
        <v>1.0761939067171935</v>
      </c>
      <c r="AK1288" s="28">
        <f t="shared" si="454"/>
        <v>1.0946969821776027</v>
      </c>
      <c r="AL1288" s="28">
        <f t="shared" si="454"/>
        <v>1.1108611311533718</v>
      </c>
      <c r="AM1288" s="28">
        <f t="shared" si="454"/>
        <v>1.1264174876862254</v>
      </c>
      <c r="AN1288" s="28">
        <f t="shared" si="454"/>
        <v>1.174088509825143</v>
      </c>
      <c r="AO1288" s="28">
        <f t="shared" si="454"/>
        <v>1.2190184709761522</v>
      </c>
      <c r="AP1288" s="28">
        <f t="shared" si="454"/>
        <v>1.2646712333129682</v>
      </c>
      <c r="AQ1288" s="28">
        <f t="shared" si="454"/>
        <v>1.3111397088644383</v>
      </c>
      <c r="AR1288" s="28">
        <f t="shared" si="454"/>
        <v>1.3609056703612157</v>
      </c>
      <c r="AS1288" s="28">
        <f t="shared" si="454"/>
        <v>1.4124644314111425</v>
      </c>
      <c r="AT1288" s="28">
        <f t="shared" si="454"/>
        <v>1.4410681212641583</v>
      </c>
      <c r="AU1288" s="28">
        <f t="shared" si="454"/>
        <v>1.4681456845866023</v>
      </c>
      <c r="AV1288" s="28">
        <f t="shared" si="454"/>
        <v>1.4984447048658527</v>
      </c>
      <c r="AW1288" s="28">
        <f t="shared" si="454"/>
        <v>1.5274985498632132</v>
      </c>
      <c r="AY1288" s="85"/>
      <c r="AZ1288" s="85"/>
    </row>
    <row r="1289" spans="1:52" x14ac:dyDescent="0.25">
      <c r="A1289" s="102" t="str">
        <f t="shared" si="384"/>
        <v>FSFAGSPQNIBDDSCM U&amp;D</v>
      </c>
      <c r="B1289" s="102" t="s">
        <v>1376</v>
      </c>
      <c r="C1289" s="102" t="s">
        <v>1337</v>
      </c>
      <c r="D1289" t="s">
        <v>369</v>
      </c>
      <c r="E1289" t="s">
        <v>55</v>
      </c>
      <c r="F1289" t="s">
        <v>422</v>
      </c>
      <c r="G1289" t="s">
        <v>1153</v>
      </c>
      <c r="H1289" t="s">
        <v>1241</v>
      </c>
      <c r="I1289" t="s">
        <v>139</v>
      </c>
      <c r="J1289" t="s">
        <v>287</v>
      </c>
      <c r="K1289" s="28">
        <f t="shared" ref="K1289:AW1289" si="455">IFERROR(K1482-((K1482-K73)+(K1482-K226)+(K1482-K379)+(K1482-K531)+(K1482-K683)+(K1482-K834)+(K1482-K985)+(K1482-K1136)),0)</f>
        <v>0</v>
      </c>
      <c r="L1289" s="28">
        <f t="shared" si="455"/>
        <v>0</v>
      </c>
      <c r="M1289" s="28">
        <f t="shared" si="455"/>
        <v>0</v>
      </c>
      <c r="N1289" s="28">
        <f t="shared" si="455"/>
        <v>0</v>
      </c>
      <c r="O1289" s="28">
        <f t="shared" si="455"/>
        <v>0</v>
      </c>
      <c r="P1289" s="28">
        <f t="shared" si="455"/>
        <v>0</v>
      </c>
      <c r="Q1289" s="28">
        <f t="shared" si="455"/>
        <v>0</v>
      </c>
      <c r="R1289" s="28">
        <f t="shared" si="455"/>
        <v>0</v>
      </c>
      <c r="S1289" s="28">
        <f t="shared" si="455"/>
        <v>0</v>
      </c>
      <c r="T1289" s="28">
        <f t="shared" si="455"/>
        <v>0</v>
      </c>
      <c r="U1289" s="28">
        <f t="shared" si="455"/>
        <v>0</v>
      </c>
      <c r="V1289" s="28">
        <f t="shared" si="455"/>
        <v>0</v>
      </c>
      <c r="W1289" s="28">
        <f t="shared" si="455"/>
        <v>0</v>
      </c>
      <c r="X1289" s="28">
        <f t="shared" si="455"/>
        <v>0</v>
      </c>
      <c r="Y1289" s="28">
        <f t="shared" si="455"/>
        <v>0</v>
      </c>
      <c r="Z1289" s="28">
        <f t="shared" si="455"/>
        <v>0</v>
      </c>
      <c r="AA1289" s="28">
        <f t="shared" si="455"/>
        <v>0</v>
      </c>
      <c r="AB1289" s="28">
        <f t="shared" si="455"/>
        <v>0</v>
      </c>
      <c r="AC1289" s="28">
        <f t="shared" si="455"/>
        <v>0</v>
      </c>
      <c r="AD1289" s="28">
        <f t="shared" si="455"/>
        <v>0</v>
      </c>
      <c r="AE1289" s="28">
        <f t="shared" si="455"/>
        <v>0</v>
      </c>
      <c r="AF1289" s="28">
        <f t="shared" si="455"/>
        <v>0</v>
      </c>
      <c r="AG1289" s="28">
        <f t="shared" si="455"/>
        <v>0</v>
      </c>
      <c r="AH1289" s="28">
        <f t="shared" si="455"/>
        <v>0</v>
      </c>
      <c r="AI1289" s="28">
        <f t="shared" si="455"/>
        <v>0</v>
      </c>
      <c r="AJ1289" s="28">
        <f t="shared" si="455"/>
        <v>0</v>
      </c>
      <c r="AK1289" s="28">
        <f t="shared" si="455"/>
        <v>0</v>
      </c>
      <c r="AL1289" s="28">
        <f t="shared" si="455"/>
        <v>0</v>
      </c>
      <c r="AM1289" s="28">
        <f t="shared" si="455"/>
        <v>0</v>
      </c>
      <c r="AN1289" s="28">
        <f t="shared" si="455"/>
        <v>0</v>
      </c>
      <c r="AO1289" s="28">
        <f t="shared" si="455"/>
        <v>0</v>
      </c>
      <c r="AP1289" s="28">
        <f t="shared" si="455"/>
        <v>0</v>
      </c>
      <c r="AQ1289" s="28">
        <f t="shared" si="455"/>
        <v>0</v>
      </c>
      <c r="AR1289" s="28">
        <f t="shared" si="455"/>
        <v>0</v>
      </c>
      <c r="AS1289" s="28">
        <f t="shared" si="455"/>
        <v>0</v>
      </c>
      <c r="AT1289" s="28">
        <f t="shared" si="455"/>
        <v>0</v>
      </c>
      <c r="AU1289" s="28">
        <f t="shared" si="455"/>
        <v>0</v>
      </c>
      <c r="AV1289" s="28">
        <f t="shared" si="455"/>
        <v>0</v>
      </c>
      <c r="AW1289" s="28">
        <f t="shared" si="455"/>
        <v>0</v>
      </c>
      <c r="AY1289" s="85"/>
      <c r="AZ1289" s="85"/>
    </row>
    <row r="1290" spans="1:52" x14ac:dyDescent="0.25">
      <c r="A1290" s="102" t="str">
        <f t="shared" si="384"/>
        <v>FSFAGSPQNIBDDSCM U&amp;D</v>
      </c>
      <c r="B1290" s="102" t="s">
        <v>1376</v>
      </c>
      <c r="C1290" s="102" t="s">
        <v>1337</v>
      </c>
      <c r="D1290" t="s">
        <v>369</v>
      </c>
      <c r="E1290" t="s">
        <v>55</v>
      </c>
      <c r="F1290" t="s">
        <v>422</v>
      </c>
      <c r="G1290" t="s">
        <v>1155</v>
      </c>
      <c r="H1290" t="s">
        <v>1242</v>
      </c>
      <c r="I1290" t="s">
        <v>139</v>
      </c>
      <c r="J1290" t="s">
        <v>287</v>
      </c>
      <c r="K1290" s="28">
        <f t="shared" ref="K1290:AW1290" si="456">IFERROR(K1483-((K1483-K74)+(K1483-K227)+(K1483-K380)+(K1483-K532)+(K1483-K684)+(K1483-K835)+(K1483-K986)+(K1483-K1137)),0)</f>
        <v>1.0786753296429479</v>
      </c>
      <c r="L1290" s="28">
        <f t="shared" si="456"/>
        <v>1.0859586060309057</v>
      </c>
      <c r="M1290" s="28">
        <f t="shared" si="456"/>
        <v>1.0923296279678898</v>
      </c>
      <c r="N1290" s="28">
        <f t="shared" si="456"/>
        <v>1.0931537330099066</v>
      </c>
      <c r="O1290" s="28">
        <f t="shared" si="456"/>
        <v>1.0945731731430408</v>
      </c>
      <c r="P1290" s="28">
        <f t="shared" si="456"/>
        <v>1.1027176588076981</v>
      </c>
      <c r="Q1290" s="28">
        <f t="shared" si="456"/>
        <v>1.1092302651165924</v>
      </c>
      <c r="R1290" s="28">
        <f t="shared" si="456"/>
        <v>1.109287368040317</v>
      </c>
      <c r="S1290" s="28">
        <f t="shared" si="456"/>
        <v>1.0798981830298287</v>
      </c>
      <c r="T1290" s="28">
        <f t="shared" si="456"/>
        <v>1.0853431681173318</v>
      </c>
      <c r="U1290" s="28">
        <f t="shared" si="456"/>
        <v>1.0871658961160653</v>
      </c>
      <c r="V1290" s="28">
        <f t="shared" si="456"/>
        <v>1.0882237589696442</v>
      </c>
      <c r="W1290" s="28">
        <f t="shared" si="456"/>
        <v>1.0906852423365305</v>
      </c>
      <c r="X1290" s="28">
        <f t="shared" si="456"/>
        <v>1.0978442913232778</v>
      </c>
      <c r="Y1290" s="28">
        <f t="shared" si="456"/>
        <v>1.1053932231359584</v>
      </c>
      <c r="Z1290" s="28">
        <f t="shared" si="456"/>
        <v>1.1140891893449847</v>
      </c>
      <c r="AA1290" s="28">
        <f t="shared" si="456"/>
        <v>1.1208646552204375</v>
      </c>
      <c r="AB1290" s="28">
        <f t="shared" si="456"/>
        <v>1.1297064172507854</v>
      </c>
      <c r="AC1290" s="28">
        <f t="shared" si="456"/>
        <v>1.1410689353754782</v>
      </c>
      <c r="AD1290" s="28">
        <f t="shared" si="456"/>
        <v>1.1594907700972652</v>
      </c>
      <c r="AE1290" s="28">
        <f t="shared" si="456"/>
        <v>1.1789020275238946</v>
      </c>
      <c r="AF1290" s="28">
        <f t="shared" si="456"/>
        <v>1.198888717612691</v>
      </c>
      <c r="AG1290" s="28">
        <f t="shared" si="456"/>
        <v>1.2212697465836981</v>
      </c>
      <c r="AH1290" s="28">
        <f t="shared" si="456"/>
        <v>1.2412709211031732</v>
      </c>
      <c r="AI1290" s="28">
        <f t="shared" si="456"/>
        <v>1.2620589924620986</v>
      </c>
      <c r="AJ1290" s="28">
        <f t="shared" si="456"/>
        <v>1.283367598296915</v>
      </c>
      <c r="AK1290" s="28">
        <f t="shared" si="456"/>
        <v>1.303901127746476</v>
      </c>
      <c r="AL1290" s="28">
        <f t="shared" si="456"/>
        <v>1.3245312060039569</v>
      </c>
      <c r="AM1290" s="28">
        <f t="shared" si="456"/>
        <v>1.3460507796314076</v>
      </c>
      <c r="AN1290" s="28">
        <f t="shared" si="456"/>
        <v>1.3682755587120194</v>
      </c>
      <c r="AO1290" s="28">
        <f t="shared" si="456"/>
        <v>1.3893229507656393</v>
      </c>
      <c r="AP1290" s="28">
        <f t="shared" si="456"/>
        <v>1.4107845569507815</v>
      </c>
      <c r="AQ1290" s="28">
        <f t="shared" si="456"/>
        <v>1.4327006910826547</v>
      </c>
      <c r="AR1290" s="28">
        <f t="shared" si="456"/>
        <v>1.4562171671275825</v>
      </c>
      <c r="AS1290" s="28">
        <f t="shared" si="456"/>
        <v>1.4799316965726703</v>
      </c>
      <c r="AT1290" s="28">
        <f t="shared" si="456"/>
        <v>1.4930780155299481</v>
      </c>
      <c r="AU1290" s="28">
        <f t="shared" si="456"/>
        <v>1.5055659308918872</v>
      </c>
      <c r="AV1290" s="28">
        <f t="shared" si="456"/>
        <v>1.5195956223115619</v>
      </c>
      <c r="AW1290" s="28">
        <f t="shared" si="456"/>
        <v>1.5330931708191899</v>
      </c>
      <c r="AY1290" s="85"/>
      <c r="AZ1290" s="85"/>
    </row>
    <row r="1291" spans="1:52" x14ac:dyDescent="0.25">
      <c r="A1291" s="102" t="str">
        <f t="shared" si="384"/>
        <v>FSFAGSPQNIBDDSCM U&amp;D</v>
      </c>
      <c r="B1291" s="102" t="s">
        <v>1376</v>
      </c>
      <c r="C1291" s="102" t="s">
        <v>1337</v>
      </c>
      <c r="D1291" t="s">
        <v>369</v>
      </c>
      <c r="E1291" t="s">
        <v>55</v>
      </c>
      <c r="F1291" t="s">
        <v>422</v>
      </c>
      <c r="G1291" t="s">
        <v>1157</v>
      </c>
      <c r="H1291" t="s">
        <v>1243</v>
      </c>
      <c r="I1291" t="s">
        <v>139</v>
      </c>
      <c r="J1291" t="s">
        <v>287</v>
      </c>
      <c r="K1291" s="28">
        <f t="shared" ref="K1291:AW1291" si="457">IFERROR(K1484-((K1484-K75)+(K1484-K228)+(K1484-K381)+(K1484-K533)+(K1484-K685)+(K1484-K836)+(K1484-K987)+(K1484-K1138)),0)</f>
        <v>0.73458527987811684</v>
      </c>
      <c r="L1291" s="28">
        <f t="shared" si="457"/>
        <v>0.73954524093113228</v>
      </c>
      <c r="M1291" s="28">
        <f t="shared" si="457"/>
        <v>0.74388395046130973</v>
      </c>
      <c r="N1291" s="28">
        <f t="shared" si="457"/>
        <v>0.7444451716335222</v>
      </c>
      <c r="O1291" s="28">
        <f t="shared" si="457"/>
        <v>0.7454118200761205</v>
      </c>
      <c r="P1291" s="28">
        <f t="shared" si="457"/>
        <v>0.75095827053903796</v>
      </c>
      <c r="Q1291" s="28">
        <f t="shared" si="457"/>
        <v>0.75539339999521871</v>
      </c>
      <c r="R1291" s="28">
        <f t="shared" si="457"/>
        <v>0.75543228747697821</v>
      </c>
      <c r="S1291" s="28">
        <f t="shared" si="457"/>
        <v>0.73541805140145267</v>
      </c>
      <c r="T1291" s="28">
        <f t="shared" si="457"/>
        <v>0.73912612350110807</v>
      </c>
      <c r="U1291" s="28">
        <f t="shared" si="457"/>
        <v>0.74036741373951076</v>
      </c>
      <c r="V1291" s="28">
        <f t="shared" si="457"/>
        <v>0.74108782558078856</v>
      </c>
      <c r="W1291" s="28">
        <f t="shared" si="457"/>
        <v>0.74276411259532316</v>
      </c>
      <c r="X1291" s="28">
        <f t="shared" si="457"/>
        <v>0.74763947393813956</v>
      </c>
      <c r="Y1291" s="28">
        <f t="shared" si="457"/>
        <v>0.75278034815302919</v>
      </c>
      <c r="Z1291" s="28">
        <f t="shared" si="457"/>
        <v>0.7587023606399399</v>
      </c>
      <c r="AA1291" s="28">
        <f t="shared" si="457"/>
        <v>0.76331649925945522</v>
      </c>
      <c r="AB1291" s="28">
        <f t="shared" si="457"/>
        <v>0.76933779969823413</v>
      </c>
      <c r="AC1291" s="28">
        <f t="shared" si="457"/>
        <v>0.77707575228449577</v>
      </c>
      <c r="AD1291" s="28">
        <f t="shared" si="457"/>
        <v>0.78962114777384285</v>
      </c>
      <c r="AE1291" s="28">
        <f t="shared" si="457"/>
        <v>0.80284034689490424</v>
      </c>
      <c r="AF1291" s="28">
        <f t="shared" si="457"/>
        <v>0.81645141959606204</v>
      </c>
      <c r="AG1291" s="28">
        <f t="shared" si="457"/>
        <v>0.83169305345828248</v>
      </c>
      <c r="AH1291" s="28">
        <f t="shared" si="457"/>
        <v>0.84531399015583641</v>
      </c>
      <c r="AI1291" s="28">
        <f t="shared" si="457"/>
        <v>0.85947080898507322</v>
      </c>
      <c r="AJ1291" s="28">
        <f t="shared" si="457"/>
        <v>0.87398211535393444</v>
      </c>
      <c r="AK1291" s="28">
        <f t="shared" si="457"/>
        <v>0.887965589401296</v>
      </c>
      <c r="AL1291" s="28">
        <f t="shared" si="457"/>
        <v>0.9020148138474462</v>
      </c>
      <c r="AM1291" s="28">
        <f t="shared" si="457"/>
        <v>0.91666979072655141</v>
      </c>
      <c r="AN1291" s="28">
        <f t="shared" si="457"/>
        <v>0.93180501734433718</v>
      </c>
      <c r="AO1291" s="28">
        <f t="shared" si="457"/>
        <v>0.94613843534095543</v>
      </c>
      <c r="AP1291" s="28">
        <f t="shared" si="457"/>
        <v>0.96075393599523029</v>
      </c>
      <c r="AQ1291" s="28">
        <f t="shared" si="457"/>
        <v>0.97567897329114905</v>
      </c>
      <c r="AR1291" s="28">
        <f t="shared" si="457"/>
        <v>0.99169385437953794</v>
      </c>
      <c r="AS1291" s="28">
        <f t="shared" si="457"/>
        <v>1.007843611188534</v>
      </c>
      <c r="AT1291" s="28">
        <f t="shared" si="457"/>
        <v>1.0167963443467087</v>
      </c>
      <c r="AU1291" s="28">
        <f t="shared" si="457"/>
        <v>1.0253007001516017</v>
      </c>
      <c r="AV1291" s="28">
        <f t="shared" si="457"/>
        <v>1.0348550160007803</v>
      </c>
      <c r="AW1291" s="28">
        <f t="shared" si="457"/>
        <v>1.0440469388858866</v>
      </c>
      <c r="AY1291" s="85"/>
      <c r="AZ1291" s="85"/>
    </row>
    <row r="1292" spans="1:52" x14ac:dyDescent="0.25">
      <c r="A1292" s="102" t="str">
        <f t="shared" si="384"/>
        <v>FSFAGSPQNIBDDSCM U&amp;D</v>
      </c>
      <c r="B1292" s="102" t="s">
        <v>1376</v>
      </c>
      <c r="C1292" s="102" t="s">
        <v>1337</v>
      </c>
      <c r="D1292" t="s">
        <v>369</v>
      </c>
      <c r="E1292" t="s">
        <v>55</v>
      </c>
      <c r="F1292" t="s">
        <v>422</v>
      </c>
      <c r="G1292" t="s">
        <v>1159</v>
      </c>
      <c r="H1292" t="s">
        <v>1244</v>
      </c>
      <c r="I1292" t="s">
        <v>139</v>
      </c>
      <c r="J1292" t="s">
        <v>287</v>
      </c>
      <c r="K1292" s="28">
        <f t="shared" ref="K1292:AW1292" si="458">IFERROR(K1485-((K1485-K76)+(K1485-K229)+(K1485-K382)+(K1485-K534)+(K1485-K686)+(K1485-K837)+(K1485-K988)+(K1485-K1139)),0)</f>
        <v>15.429280800788639</v>
      </c>
      <c r="L1292" s="28">
        <f t="shared" si="458"/>
        <v>15.35072698203709</v>
      </c>
      <c r="M1292" s="28">
        <f t="shared" si="458"/>
        <v>15.207351875662043</v>
      </c>
      <c r="N1292" s="28">
        <f t="shared" si="458"/>
        <v>14.814893699547214</v>
      </c>
      <c r="O1292" s="28">
        <f t="shared" si="458"/>
        <v>14.438096972663228</v>
      </c>
      <c r="P1292" s="28">
        <f t="shared" si="458"/>
        <v>14.314758846199135</v>
      </c>
      <c r="Q1292" s="28">
        <f t="shared" si="458"/>
        <v>14.115554649678398</v>
      </c>
      <c r="R1292" s="28">
        <f t="shared" si="458"/>
        <v>13.66798161990047</v>
      </c>
      <c r="S1292" s="28">
        <f t="shared" si="458"/>
        <v>12.166328141225097</v>
      </c>
      <c r="T1292" s="28">
        <f t="shared" si="458"/>
        <v>11.83198096788254</v>
      </c>
      <c r="U1292" s="28">
        <f t="shared" si="458"/>
        <v>11.355377374962886</v>
      </c>
      <c r="V1292" s="28">
        <f t="shared" si="458"/>
        <v>10.844943030043627</v>
      </c>
      <c r="W1292" s="28">
        <f t="shared" si="458"/>
        <v>10.367961166955268</v>
      </c>
      <c r="X1292" s="28">
        <f t="shared" si="458"/>
        <v>10.006481001304655</v>
      </c>
      <c r="Y1292" s="28">
        <f t="shared" si="458"/>
        <v>9.6476199504700162</v>
      </c>
      <c r="Z1292" s="28">
        <f t="shared" si="458"/>
        <v>9.2885140153835621</v>
      </c>
      <c r="AA1292" s="28">
        <f t="shared" si="458"/>
        <v>8.8582914901484404</v>
      </c>
      <c r="AB1292" s="28">
        <f t="shared" si="458"/>
        <v>8.4484672048286811</v>
      </c>
      <c r="AC1292" s="28">
        <f t="shared" si="458"/>
        <v>8.0593875682313971</v>
      </c>
      <c r="AD1292" s="28">
        <f t="shared" si="458"/>
        <v>7.8859993434959019</v>
      </c>
      <c r="AE1292" s="28">
        <f t="shared" si="458"/>
        <v>7.7052733466613539</v>
      </c>
      <c r="AF1292" s="28">
        <f t="shared" si="458"/>
        <v>7.509667800686632</v>
      </c>
      <c r="AG1292" s="28">
        <f t="shared" si="458"/>
        <v>7.3259325815064074</v>
      </c>
      <c r="AH1292" s="28">
        <f t="shared" si="458"/>
        <v>7.0841700748293199</v>
      </c>
      <c r="AI1292" s="28">
        <f t="shared" si="458"/>
        <v>6.8398613331744258</v>
      </c>
      <c r="AJ1292" s="28">
        <f t="shared" si="458"/>
        <v>6.5820757303313542</v>
      </c>
      <c r="AK1292" s="28">
        <f t="shared" si="458"/>
        <v>6.2971521833884267</v>
      </c>
      <c r="AL1292" s="28">
        <f t="shared" si="458"/>
        <v>5.9976847955240018</v>
      </c>
      <c r="AM1292" s="28">
        <f t="shared" si="458"/>
        <v>5.6925693549418988</v>
      </c>
      <c r="AN1292" s="28">
        <f t="shared" si="458"/>
        <v>5.5847622229365399</v>
      </c>
      <c r="AO1292" s="28">
        <f t="shared" si="458"/>
        <v>5.4547232041300333</v>
      </c>
      <c r="AP1292" s="28">
        <f t="shared" si="458"/>
        <v>5.3175406161874079</v>
      </c>
      <c r="AQ1292" s="28">
        <f t="shared" si="458"/>
        <v>5.1737534533642879</v>
      </c>
      <c r="AR1292" s="28">
        <f t="shared" si="458"/>
        <v>5.0316796257570147</v>
      </c>
      <c r="AS1292" s="28">
        <f t="shared" si="458"/>
        <v>4.8839734442247504</v>
      </c>
      <c r="AT1292" s="28">
        <f t="shared" si="458"/>
        <v>4.6599785564324989</v>
      </c>
      <c r="AU1292" s="28">
        <f t="shared" si="458"/>
        <v>4.4311414231101196</v>
      </c>
      <c r="AV1292" s="28">
        <f t="shared" si="458"/>
        <v>4.2107543759643455</v>
      </c>
      <c r="AW1292" s="28">
        <f t="shared" si="458"/>
        <v>3.9868066629152672</v>
      </c>
      <c r="AY1292" s="85"/>
      <c r="AZ1292" s="85"/>
    </row>
    <row r="1293" spans="1:52" x14ac:dyDescent="0.25">
      <c r="A1293" s="102" t="str">
        <f t="shared" si="384"/>
        <v>FSFAGSPQNIBDDSCM U&amp;D</v>
      </c>
      <c r="B1293" s="102" t="s">
        <v>1376</v>
      </c>
      <c r="C1293" s="102" t="s">
        <v>1337</v>
      </c>
      <c r="D1293" t="s">
        <v>369</v>
      </c>
      <c r="E1293" t="s">
        <v>55</v>
      </c>
      <c r="F1293" t="s">
        <v>422</v>
      </c>
      <c r="G1293" t="s">
        <v>1161</v>
      </c>
      <c r="H1293" t="s">
        <v>1245</v>
      </c>
      <c r="I1293" t="s">
        <v>139</v>
      </c>
      <c r="J1293" t="s">
        <v>287</v>
      </c>
      <c r="K1293" s="28">
        <f t="shared" ref="K1293:AW1293" si="459">IFERROR(K1486-((K1486-K77)+(K1486-K230)+(K1486-K383)+(K1486-K535)+(K1486-K687)+(K1486-K838)+(K1486-K989)+(K1486-K1140)),0)</f>
        <v>9.701944231797869</v>
      </c>
      <c r="L1293" s="28">
        <f t="shared" si="459"/>
        <v>9.652549527108631</v>
      </c>
      <c r="M1293" s="28">
        <f t="shared" si="459"/>
        <v>9.5623951443970494</v>
      </c>
      <c r="N1293" s="28">
        <f t="shared" si="459"/>
        <v>9.3156171262158942</v>
      </c>
      <c r="O1293" s="28">
        <f t="shared" si="459"/>
        <v>9.0786870399629098</v>
      </c>
      <c r="P1293" s="28">
        <f t="shared" si="459"/>
        <v>9.0011319264058365</v>
      </c>
      <c r="Q1293" s="28">
        <f t="shared" si="459"/>
        <v>8.8758721667101366</v>
      </c>
      <c r="R1293" s="28">
        <f t="shared" si="459"/>
        <v>8.5944378840220992</v>
      </c>
      <c r="S1293" s="28">
        <f t="shared" si="459"/>
        <v>7.6501969635477565</v>
      </c>
      <c r="T1293" s="28">
        <f t="shared" si="459"/>
        <v>6.9358328878496023</v>
      </c>
      <c r="U1293" s="28">
        <f t="shared" si="459"/>
        <v>6.1382236763405729</v>
      </c>
      <c r="V1293" s="28">
        <f t="shared" si="459"/>
        <v>5.3295312494085954</v>
      </c>
      <c r="W1293" s="28">
        <f t="shared" si="459"/>
        <v>4.5443282007442258</v>
      </c>
      <c r="X1293" s="28">
        <f t="shared" si="459"/>
        <v>3.8089612271071411</v>
      </c>
      <c r="Y1293" s="28">
        <f t="shared" si="459"/>
        <v>3.0645477399644276</v>
      </c>
      <c r="Z1293" s="28">
        <f t="shared" si="459"/>
        <v>2.3068897450422385</v>
      </c>
      <c r="AA1293" s="28">
        <f t="shared" si="459"/>
        <v>1.5185529173526815</v>
      </c>
      <c r="AB1293" s="28">
        <f t="shared" si="459"/>
        <v>0.72248120677969041</v>
      </c>
      <c r="AC1293" s="28">
        <f t="shared" si="459"/>
        <v>-9.0593429659136859E-2</v>
      </c>
      <c r="AD1293" s="28">
        <f t="shared" si="459"/>
        <v>-0.46450683440055762</v>
      </c>
      <c r="AE1293" s="28">
        <f t="shared" si="459"/>
        <v>-0.848396413204906</v>
      </c>
      <c r="AF1293" s="28">
        <f t="shared" si="459"/>
        <v>-1.2417490120236128</v>
      </c>
      <c r="AG1293" s="28">
        <f t="shared" si="459"/>
        <v>-1.6482668159442788</v>
      </c>
      <c r="AH1293" s="28">
        <f t="shared" si="459"/>
        <v>-2.0558670565167763</v>
      </c>
      <c r="AI1293" s="28">
        <f t="shared" si="459"/>
        <v>-2.4717837759058217</v>
      </c>
      <c r="AJ1293" s="28">
        <f t="shared" si="459"/>
        <v>-2.8931500339352283</v>
      </c>
      <c r="AK1293" s="28">
        <f t="shared" si="459"/>
        <v>-3.3127879573013299</v>
      </c>
      <c r="AL1293" s="28">
        <f t="shared" si="459"/>
        <v>-3.7323669409794391</v>
      </c>
      <c r="AM1293" s="28">
        <f t="shared" si="459"/>
        <v>-4.1549434927517161</v>
      </c>
      <c r="AN1293" s="28">
        <f t="shared" si="459"/>
        <v>-4.4716272632421177</v>
      </c>
      <c r="AO1293" s="28">
        <f t="shared" si="459"/>
        <v>-4.7814907298516189</v>
      </c>
      <c r="AP1293" s="28">
        <f t="shared" si="459"/>
        <v>-5.0931598337796196</v>
      </c>
      <c r="AQ1293" s="28">
        <f t="shared" si="459"/>
        <v>-5.4063783969265025</v>
      </c>
      <c r="AR1293" s="28">
        <f t="shared" si="459"/>
        <v>-5.7286098884777878</v>
      </c>
      <c r="AS1293" s="28">
        <f t="shared" si="459"/>
        <v>-6.0534151563380725</v>
      </c>
      <c r="AT1293" s="28">
        <f t="shared" si="459"/>
        <v>-6.2977665694073917</v>
      </c>
      <c r="AU1293" s="28">
        <f t="shared" si="459"/>
        <v>-6.5299177270651416</v>
      </c>
      <c r="AV1293" s="28">
        <f t="shared" si="459"/>
        <v>-6.766057308075883</v>
      </c>
      <c r="AW1293" s="28">
        <f t="shared" si="459"/>
        <v>-6.9903315434458158</v>
      </c>
      <c r="AY1293" s="85"/>
      <c r="AZ1293" s="85"/>
    </row>
    <row r="1294" spans="1:52" x14ac:dyDescent="0.25">
      <c r="A1294" s="102" t="str">
        <f t="shared" si="384"/>
        <v>FSFAGSPQNIBDDSCM U&amp;D</v>
      </c>
      <c r="B1294" s="102" t="s">
        <v>1376</v>
      </c>
      <c r="C1294" s="102" t="s">
        <v>1337</v>
      </c>
      <c r="D1294" t="s">
        <v>369</v>
      </c>
      <c r="E1294" t="s">
        <v>55</v>
      </c>
      <c r="F1294" t="s">
        <v>422</v>
      </c>
      <c r="G1294" t="s">
        <v>1163</v>
      </c>
      <c r="H1294" t="s">
        <v>1246</v>
      </c>
      <c r="I1294" t="s">
        <v>139</v>
      </c>
      <c r="J1294" t="s">
        <v>287</v>
      </c>
      <c r="K1294" s="28">
        <f t="shared" ref="K1294:AW1294" si="460">IFERROR(K1487-((K1487-K78)+(K1487-K231)+(K1487-K384)+(K1487-K536)+(K1487-K688)+(K1487-K839)+(K1487-K990)+(K1487-K1141)),0)</f>
        <v>0</v>
      </c>
      <c r="L1294" s="28">
        <f t="shared" si="460"/>
        <v>0</v>
      </c>
      <c r="M1294" s="28">
        <f t="shared" si="460"/>
        <v>0</v>
      </c>
      <c r="N1294" s="28">
        <f t="shared" si="460"/>
        <v>0</v>
      </c>
      <c r="O1294" s="28">
        <f t="shared" si="460"/>
        <v>0</v>
      </c>
      <c r="P1294" s="28">
        <f t="shared" si="460"/>
        <v>0</v>
      </c>
      <c r="Q1294" s="28">
        <f t="shared" si="460"/>
        <v>0</v>
      </c>
      <c r="R1294" s="28">
        <f t="shared" si="460"/>
        <v>0</v>
      </c>
      <c r="S1294" s="28">
        <f t="shared" si="460"/>
        <v>0</v>
      </c>
      <c r="T1294" s="28">
        <f t="shared" si="460"/>
        <v>0</v>
      </c>
      <c r="U1294" s="28">
        <f t="shared" si="460"/>
        <v>0</v>
      </c>
      <c r="V1294" s="28">
        <f t="shared" si="460"/>
        <v>0</v>
      </c>
      <c r="W1294" s="28">
        <f t="shared" si="460"/>
        <v>0</v>
      </c>
      <c r="X1294" s="28">
        <f t="shared" si="460"/>
        <v>0</v>
      </c>
      <c r="Y1294" s="28">
        <f t="shared" si="460"/>
        <v>0</v>
      </c>
      <c r="Z1294" s="28">
        <f t="shared" si="460"/>
        <v>0</v>
      </c>
      <c r="AA1294" s="28">
        <f t="shared" si="460"/>
        <v>0</v>
      </c>
      <c r="AB1294" s="28">
        <f t="shared" si="460"/>
        <v>0</v>
      </c>
      <c r="AC1294" s="28">
        <f t="shared" si="460"/>
        <v>0</v>
      </c>
      <c r="AD1294" s="28">
        <f t="shared" si="460"/>
        <v>0</v>
      </c>
      <c r="AE1294" s="28">
        <f t="shared" si="460"/>
        <v>0</v>
      </c>
      <c r="AF1294" s="28">
        <f t="shared" si="460"/>
        <v>0</v>
      </c>
      <c r="AG1294" s="28">
        <f t="shared" si="460"/>
        <v>0</v>
      </c>
      <c r="AH1294" s="28">
        <f t="shared" si="460"/>
        <v>0</v>
      </c>
      <c r="AI1294" s="28">
        <f t="shared" si="460"/>
        <v>0</v>
      </c>
      <c r="AJ1294" s="28">
        <f t="shared" si="460"/>
        <v>0</v>
      </c>
      <c r="AK1294" s="28">
        <f t="shared" si="460"/>
        <v>0</v>
      </c>
      <c r="AL1294" s="28">
        <f t="shared" si="460"/>
        <v>0</v>
      </c>
      <c r="AM1294" s="28">
        <f t="shared" si="460"/>
        <v>0</v>
      </c>
      <c r="AN1294" s="28">
        <f t="shared" si="460"/>
        <v>0</v>
      </c>
      <c r="AO1294" s="28">
        <f t="shared" si="460"/>
        <v>0</v>
      </c>
      <c r="AP1294" s="28">
        <f t="shared" si="460"/>
        <v>0</v>
      </c>
      <c r="AQ1294" s="28">
        <f t="shared" si="460"/>
        <v>0</v>
      </c>
      <c r="AR1294" s="28">
        <f t="shared" si="460"/>
        <v>0</v>
      </c>
      <c r="AS1294" s="28">
        <f t="shared" si="460"/>
        <v>0</v>
      </c>
      <c r="AT1294" s="28">
        <f t="shared" si="460"/>
        <v>0</v>
      </c>
      <c r="AU1294" s="28">
        <f t="shared" si="460"/>
        <v>0</v>
      </c>
      <c r="AV1294" s="28">
        <f t="shared" si="460"/>
        <v>0</v>
      </c>
      <c r="AW1294" s="28">
        <f t="shared" si="460"/>
        <v>0</v>
      </c>
      <c r="AY1294" s="85"/>
      <c r="AZ1294" s="85"/>
    </row>
    <row r="1295" spans="1:52" x14ac:dyDescent="0.25">
      <c r="A1295" s="102" t="str">
        <f t="shared" si="384"/>
        <v>FSFAGSPQNIBDDSCM U&amp;D</v>
      </c>
      <c r="B1295" s="102" t="s">
        <v>1376</v>
      </c>
      <c r="C1295" s="102" t="s">
        <v>1337</v>
      </c>
      <c r="D1295" t="s">
        <v>369</v>
      </c>
      <c r="E1295" t="s">
        <v>55</v>
      </c>
      <c r="F1295" t="s">
        <v>422</v>
      </c>
      <c r="G1295" t="s">
        <v>1165</v>
      </c>
      <c r="H1295" t="s">
        <v>1247</v>
      </c>
      <c r="I1295" t="s">
        <v>139</v>
      </c>
      <c r="J1295" t="s">
        <v>287</v>
      </c>
      <c r="K1295" s="28">
        <f t="shared" ref="K1295:AW1295" si="461">IFERROR(K1488-((K1488-K79)+(K1488-K232)+(K1488-K385)+(K1488-K537)+(K1488-K689)+(K1488-K840)+(K1488-K991)+(K1488-K1142)),0)</f>
        <v>5.7999838553710088</v>
      </c>
      <c r="L1295" s="28">
        <f t="shared" si="461"/>
        <v>5.8031139960917857</v>
      </c>
      <c r="M1295" s="28">
        <f t="shared" si="461"/>
        <v>5.8103099227335253</v>
      </c>
      <c r="N1295" s="28">
        <f t="shared" si="461"/>
        <v>5.8209929462353873</v>
      </c>
      <c r="O1295" s="28">
        <f t="shared" si="461"/>
        <v>5.8354121165006498</v>
      </c>
      <c r="P1295" s="28">
        <f t="shared" si="461"/>
        <v>5.8538572193681269</v>
      </c>
      <c r="Q1295" s="28">
        <f t="shared" si="461"/>
        <v>5.8741818038916174</v>
      </c>
      <c r="R1295" s="28">
        <f t="shared" si="461"/>
        <v>5.8960701972534357</v>
      </c>
      <c r="S1295" s="28">
        <f t="shared" si="461"/>
        <v>5.9177559307877479</v>
      </c>
      <c r="T1295" s="28">
        <f t="shared" si="461"/>
        <v>5.9254453743160216</v>
      </c>
      <c r="U1295" s="28">
        <f t="shared" si="461"/>
        <v>5.9343335936442152</v>
      </c>
      <c r="V1295" s="28">
        <f t="shared" si="461"/>
        <v>5.9445364397098013</v>
      </c>
      <c r="W1295" s="28">
        <f t="shared" si="461"/>
        <v>5.9561357274382241</v>
      </c>
      <c r="X1295" s="28">
        <f t="shared" si="461"/>
        <v>5.9693113852932198</v>
      </c>
      <c r="Y1295" s="28">
        <f t="shared" si="461"/>
        <v>5.9771483905324612</v>
      </c>
      <c r="Z1295" s="28">
        <f t="shared" si="461"/>
        <v>5.9861200503255718</v>
      </c>
      <c r="AA1295" s="28">
        <f t="shared" si="461"/>
        <v>5.9959427333786008</v>
      </c>
      <c r="AB1295" s="28">
        <f t="shared" si="461"/>
        <v>6.0068742737706309</v>
      </c>
      <c r="AC1295" s="28">
        <f t="shared" si="461"/>
        <v>6.0189126133605111</v>
      </c>
      <c r="AD1295" s="28">
        <f t="shared" si="461"/>
        <v>6.0270731796848249</v>
      </c>
      <c r="AE1295" s="28">
        <f t="shared" si="461"/>
        <v>6.0360845582410558</v>
      </c>
      <c r="AF1295" s="28">
        <f t="shared" si="461"/>
        <v>6.0458819061174731</v>
      </c>
      <c r="AG1295" s="28">
        <f t="shared" si="461"/>
        <v>6.0565775806268647</v>
      </c>
      <c r="AH1295" s="28">
        <f t="shared" si="461"/>
        <v>6.0677714148337216</v>
      </c>
      <c r="AI1295" s="28">
        <f t="shared" si="461"/>
        <v>6.0747122881251663</v>
      </c>
      <c r="AJ1295" s="28">
        <f t="shared" si="461"/>
        <v>6.0822919762019199</v>
      </c>
      <c r="AK1295" s="28">
        <f t="shared" si="461"/>
        <v>6.0903862807130738</v>
      </c>
      <c r="AL1295" s="28">
        <f t="shared" si="461"/>
        <v>6.099042688614003</v>
      </c>
      <c r="AM1295" s="28">
        <f t="shared" si="461"/>
        <v>6.1083044401794346</v>
      </c>
      <c r="AN1295" s="28">
        <f t="shared" si="461"/>
        <v>6.1135104494447452</v>
      </c>
      <c r="AO1295" s="28">
        <f t="shared" si="461"/>
        <v>6.1190965094096423</v>
      </c>
      <c r="AP1295" s="28">
        <f t="shared" si="461"/>
        <v>6.1251717415750555</v>
      </c>
      <c r="AQ1295" s="28">
        <f t="shared" si="461"/>
        <v>6.1317241994600078</v>
      </c>
      <c r="AR1295" s="28">
        <f t="shared" si="461"/>
        <v>6.1388306794596001</v>
      </c>
      <c r="AS1295" s="28">
        <f t="shared" si="461"/>
        <v>6.1416944763493966</v>
      </c>
      <c r="AT1295" s="28">
        <f t="shared" si="461"/>
        <v>6.1440982385816554</v>
      </c>
      <c r="AU1295" s="28">
        <f t="shared" si="461"/>
        <v>6.1468153656871216</v>
      </c>
      <c r="AV1295" s="28">
        <f t="shared" si="461"/>
        <v>6.1500094167131421</v>
      </c>
      <c r="AW1295" s="28">
        <f t="shared" si="461"/>
        <v>6.1535041893078395</v>
      </c>
      <c r="AY1295" s="85"/>
      <c r="AZ1295" s="85"/>
    </row>
    <row r="1296" spans="1:52" x14ac:dyDescent="0.25">
      <c r="A1296" s="102" t="str">
        <f t="shared" si="384"/>
        <v>FSFAGSPQNIBDDSCM U&amp;D</v>
      </c>
      <c r="B1296" s="102" t="s">
        <v>1376</v>
      </c>
      <c r="C1296" s="102" t="s">
        <v>1337</v>
      </c>
      <c r="D1296" t="s">
        <v>369</v>
      </c>
      <c r="E1296" t="s">
        <v>55</v>
      </c>
      <c r="F1296" t="s">
        <v>422</v>
      </c>
      <c r="G1296" t="s">
        <v>1167</v>
      </c>
      <c r="H1296" t="s">
        <v>1248</v>
      </c>
      <c r="I1296" t="s">
        <v>139</v>
      </c>
      <c r="J1296" t="s">
        <v>287</v>
      </c>
      <c r="K1296" s="28">
        <f t="shared" ref="K1296:AW1296" si="462">IFERROR(K1489-((K1489-K80)+(K1489-K233)+(K1489-K386)+(K1489-K538)+(K1489-K690)+(K1489-K841)+(K1489-K992)+(K1489-K1143)),0)</f>
        <v>0.64744945388640951</v>
      </c>
      <c r="L1296" s="28">
        <f t="shared" si="462"/>
        <v>0.64779887001424552</v>
      </c>
      <c r="M1296" s="28">
        <f t="shared" si="462"/>
        <v>0.64860214790097404</v>
      </c>
      <c r="N1296" s="28">
        <f t="shared" si="462"/>
        <v>0.64979468876050261</v>
      </c>
      <c r="O1296" s="28">
        <f t="shared" si="462"/>
        <v>0.65140429391571231</v>
      </c>
      <c r="P1296" s="28">
        <f t="shared" si="462"/>
        <v>0.6534633120226967</v>
      </c>
      <c r="Q1296" s="28">
        <f t="shared" si="462"/>
        <v>0.65573213577778644</v>
      </c>
      <c r="R1296" s="28">
        <f t="shared" si="462"/>
        <v>0.65817552677368318</v>
      </c>
      <c r="S1296" s="28">
        <f t="shared" si="462"/>
        <v>0.66059629494891092</v>
      </c>
      <c r="T1296" s="28">
        <f t="shared" si="462"/>
        <v>0.6614546638922072</v>
      </c>
      <c r="U1296" s="28">
        <f t="shared" si="462"/>
        <v>0.66244685161092531</v>
      </c>
      <c r="V1296" s="28">
        <f t="shared" si="462"/>
        <v>0.66358579049040756</v>
      </c>
      <c r="W1296" s="28">
        <f t="shared" si="462"/>
        <v>0.66488061349207583</v>
      </c>
      <c r="X1296" s="28">
        <f t="shared" si="462"/>
        <v>0.66635140594521525</v>
      </c>
      <c r="Y1296" s="28">
        <f t="shared" si="462"/>
        <v>0.66722624713249756</v>
      </c>
      <c r="Z1296" s="28">
        <f t="shared" si="462"/>
        <v>0.66822774927084017</v>
      </c>
      <c r="AA1296" s="28">
        <f t="shared" si="462"/>
        <v>0.66932425073308011</v>
      </c>
      <c r="AB1296" s="28">
        <f t="shared" si="462"/>
        <v>0.67054453341548814</v>
      </c>
      <c r="AC1296" s="28">
        <f t="shared" si="462"/>
        <v>0.67188836756874171</v>
      </c>
      <c r="AD1296" s="28">
        <f t="shared" si="462"/>
        <v>0.67279932772687889</v>
      </c>
      <c r="AE1296" s="28">
        <f t="shared" si="462"/>
        <v>0.6738052636519577</v>
      </c>
      <c r="AF1296" s="28">
        <f t="shared" si="462"/>
        <v>0.67489893696041836</v>
      </c>
      <c r="AG1296" s="28">
        <f t="shared" si="462"/>
        <v>0.67609289004593254</v>
      </c>
      <c r="AH1296" s="28">
        <f t="shared" si="462"/>
        <v>0.67734245246280245</v>
      </c>
      <c r="AI1296" s="28">
        <f t="shared" si="462"/>
        <v>0.67811725886469953</v>
      </c>
      <c r="AJ1296" s="28">
        <f t="shared" si="462"/>
        <v>0.67896337585886646</v>
      </c>
      <c r="AK1296" s="28">
        <f t="shared" si="462"/>
        <v>0.67986693924214803</v>
      </c>
      <c r="AL1296" s="28">
        <f t="shared" si="462"/>
        <v>0.68083324996090722</v>
      </c>
      <c r="AM1296" s="28">
        <f t="shared" si="462"/>
        <v>0.68186713490655504</v>
      </c>
      <c r="AN1296" s="28">
        <f t="shared" si="462"/>
        <v>0.68244827925795393</v>
      </c>
      <c r="AO1296" s="28">
        <f t="shared" si="462"/>
        <v>0.68307184848915115</v>
      </c>
      <c r="AP1296" s="28">
        <f t="shared" si="462"/>
        <v>0.68375002378167149</v>
      </c>
      <c r="AQ1296" s="28">
        <f t="shared" si="462"/>
        <v>0.68448147155549544</v>
      </c>
      <c r="AR1296" s="28">
        <f t="shared" si="462"/>
        <v>0.68527476455587666</v>
      </c>
      <c r="AS1296" s="28">
        <f t="shared" si="462"/>
        <v>0.68559444884786391</v>
      </c>
      <c r="AT1296" s="28">
        <f t="shared" si="462"/>
        <v>0.68586277968866571</v>
      </c>
      <c r="AU1296" s="28">
        <f t="shared" si="462"/>
        <v>0.68616609130201511</v>
      </c>
      <c r="AV1296" s="28">
        <f t="shared" si="462"/>
        <v>0.6865226417069904</v>
      </c>
      <c r="AW1296" s="28">
        <f t="shared" si="462"/>
        <v>0.68691276151840996</v>
      </c>
      <c r="AY1296" s="85"/>
      <c r="AZ1296" s="85"/>
    </row>
    <row r="1297" spans="1:52" x14ac:dyDescent="0.25">
      <c r="A1297" s="102" t="str">
        <f t="shared" si="384"/>
        <v>FSFAGSPQNIBDDSCM U&amp;D</v>
      </c>
      <c r="B1297" s="102" t="s">
        <v>1376</v>
      </c>
      <c r="C1297" s="102" t="s">
        <v>1337</v>
      </c>
      <c r="D1297" t="s">
        <v>369</v>
      </c>
      <c r="E1297" t="s">
        <v>55</v>
      </c>
      <c r="F1297" t="s">
        <v>422</v>
      </c>
      <c r="G1297" t="s">
        <v>1169</v>
      </c>
      <c r="H1297" t="s">
        <v>1249</v>
      </c>
      <c r="I1297" t="s">
        <v>139</v>
      </c>
      <c r="J1297" t="s">
        <v>287</v>
      </c>
      <c r="K1297" s="28">
        <f t="shared" ref="K1297:AW1297" si="463">IFERROR(K1490-((K1490-K81)+(K1490-K234)+(K1490-K387)+(K1490-K539)+(K1490-K691)+(K1490-K842)+(K1490-K993)+(K1490-K1144)),0)</f>
        <v>0.71689894789530229</v>
      </c>
      <c r="L1297" s="28">
        <f t="shared" si="463"/>
        <v>0.71876228746109427</v>
      </c>
      <c r="M1297" s="28">
        <f t="shared" si="463"/>
        <v>0.72127503720090047</v>
      </c>
      <c r="N1297" s="28">
        <f t="shared" si="463"/>
        <v>0.72433550259006296</v>
      </c>
      <c r="O1297" s="28">
        <f t="shared" si="463"/>
        <v>0.72800120185684258</v>
      </c>
      <c r="P1297" s="28">
        <f t="shared" si="463"/>
        <v>0.73233490465194795</v>
      </c>
      <c r="Q1297" s="28">
        <f t="shared" si="463"/>
        <v>0.73692777433186207</v>
      </c>
      <c r="R1297" s="28">
        <f t="shared" si="463"/>
        <v>0.74172607064181018</v>
      </c>
      <c r="S1297" s="28">
        <f t="shared" si="463"/>
        <v>0.74639750027277085</v>
      </c>
      <c r="T1297" s="28">
        <f t="shared" si="463"/>
        <v>0.74854009324631066</v>
      </c>
      <c r="U1297" s="28">
        <f t="shared" si="463"/>
        <v>0.75085065923922678</v>
      </c>
      <c r="V1297" s="28">
        <f t="shared" si="463"/>
        <v>0.75335493730359926</v>
      </c>
      <c r="W1297" s="28">
        <f t="shared" si="463"/>
        <v>0.75607146605668685</v>
      </c>
      <c r="X1297" s="28">
        <f t="shared" si="463"/>
        <v>0.75903679046714201</v>
      </c>
      <c r="Y1297" s="28">
        <f t="shared" si="463"/>
        <v>0.76094537488964475</v>
      </c>
      <c r="Z1297" s="28">
        <f t="shared" si="463"/>
        <v>0.76302818529273087</v>
      </c>
      <c r="AA1297" s="28">
        <f t="shared" si="463"/>
        <v>0.76523341198680583</v>
      </c>
      <c r="AB1297" s="28">
        <f t="shared" si="463"/>
        <v>0.76761119115957532</v>
      </c>
      <c r="AC1297" s="28">
        <f t="shared" si="463"/>
        <v>0.77016232439967147</v>
      </c>
      <c r="AD1297" s="28">
        <f t="shared" si="463"/>
        <v>0.77184151262759737</v>
      </c>
      <c r="AE1297" s="28">
        <f t="shared" si="463"/>
        <v>0.7736515769208151</v>
      </c>
      <c r="AF1297" s="28">
        <f t="shared" si="463"/>
        <v>0.77558124888408586</v>
      </c>
      <c r="AG1297" s="28">
        <f t="shared" si="463"/>
        <v>0.77765221756919434</v>
      </c>
      <c r="AH1297" s="28">
        <f t="shared" si="463"/>
        <v>0.7797906862662336</v>
      </c>
      <c r="AI1297" s="28">
        <f t="shared" si="463"/>
        <v>0.7811163537007122</v>
      </c>
      <c r="AJ1297" s="28">
        <f t="shared" si="463"/>
        <v>0.78254032699837495</v>
      </c>
      <c r="AK1297" s="28">
        <f t="shared" si="463"/>
        <v>0.78404012574492399</v>
      </c>
      <c r="AL1297" s="28">
        <f t="shared" si="463"/>
        <v>0.78562503827513464</v>
      </c>
      <c r="AM1297" s="28">
        <f t="shared" si="463"/>
        <v>0.78730345031212023</v>
      </c>
      <c r="AN1297" s="28">
        <f t="shared" si="463"/>
        <v>0.78821861780581803</v>
      </c>
      <c r="AO1297" s="28">
        <f t="shared" si="463"/>
        <v>0.78918935012210545</v>
      </c>
      <c r="AP1297" s="28">
        <f t="shared" si="463"/>
        <v>0.79023602178732166</v>
      </c>
      <c r="AQ1297" s="28">
        <f t="shared" si="463"/>
        <v>0.79135668556159844</v>
      </c>
      <c r="AR1297" s="28">
        <f t="shared" si="463"/>
        <v>0.79256558771735774</v>
      </c>
      <c r="AS1297" s="28">
        <f t="shared" si="463"/>
        <v>0.79298785766331426</v>
      </c>
      <c r="AT1297" s="28">
        <f t="shared" si="463"/>
        <v>0.79331656903659509</v>
      </c>
      <c r="AU1297" s="28">
        <f t="shared" si="463"/>
        <v>0.79369322526599873</v>
      </c>
      <c r="AV1297" s="28">
        <f t="shared" si="463"/>
        <v>0.79414770745075947</v>
      </c>
      <c r="AW1297" s="28">
        <f t="shared" si="463"/>
        <v>0.79464809471787612</v>
      </c>
      <c r="AY1297" s="85"/>
      <c r="AZ1297" s="85"/>
    </row>
    <row r="1298" spans="1:52" x14ac:dyDescent="0.25">
      <c r="A1298" s="102" t="str">
        <f t="shared" si="384"/>
        <v>FSFAGSPQNIBDDSCM U&amp;D</v>
      </c>
      <c r="B1298" s="102" t="s">
        <v>1376</v>
      </c>
      <c r="C1298" s="102" t="s">
        <v>1337</v>
      </c>
      <c r="D1298" t="s">
        <v>369</v>
      </c>
      <c r="E1298" t="s">
        <v>55</v>
      </c>
      <c r="F1298" t="s">
        <v>422</v>
      </c>
      <c r="G1298" t="s">
        <v>1171</v>
      </c>
      <c r="H1298" t="s">
        <v>1250</v>
      </c>
      <c r="I1298" t="s">
        <v>139</v>
      </c>
      <c r="J1298" t="s">
        <v>287</v>
      </c>
      <c r="K1298" s="28">
        <f t="shared" ref="K1298:AW1298" si="464">IFERROR(K1491-((K1491-K82)+(K1491-K235)+(K1491-K388)+(K1491-K540)+(K1491-K692)+(K1491-K843)+(K1491-K994)+(K1491-K1145)),0)</f>
        <v>1.1864531966682197</v>
      </c>
      <c r="L1298" s="28">
        <f t="shared" si="464"/>
        <v>1.1895369858002907</v>
      </c>
      <c r="M1298" s="28">
        <f t="shared" si="464"/>
        <v>1.1936955355791294</v>
      </c>
      <c r="N1298" s="28">
        <f t="shared" si="464"/>
        <v>1.1987605436321125</v>
      </c>
      <c r="O1298" s="28">
        <f t="shared" si="464"/>
        <v>1.2048272014586632</v>
      </c>
      <c r="P1298" s="28">
        <f t="shared" si="464"/>
        <v>1.2119993915556884</v>
      </c>
      <c r="Q1298" s="28">
        <f t="shared" si="464"/>
        <v>1.2196004975827131</v>
      </c>
      <c r="R1298" s="28">
        <f t="shared" si="464"/>
        <v>1.2275415805096901</v>
      </c>
      <c r="S1298" s="28">
        <f t="shared" si="464"/>
        <v>1.2352727016599383</v>
      </c>
      <c r="T1298" s="28">
        <f t="shared" si="464"/>
        <v>1.238818649509462</v>
      </c>
      <c r="U1298" s="28">
        <f t="shared" si="464"/>
        <v>1.2426425892940813</v>
      </c>
      <c r="V1298" s="28">
        <f t="shared" si="464"/>
        <v>1.2467871186221595</v>
      </c>
      <c r="W1298" s="28">
        <f t="shared" si="464"/>
        <v>1.2512829185286929</v>
      </c>
      <c r="X1298" s="28">
        <f t="shared" si="464"/>
        <v>1.2561904701944779</v>
      </c>
      <c r="Y1298" s="28">
        <f t="shared" si="464"/>
        <v>1.2593491386453628</v>
      </c>
      <c r="Z1298" s="28">
        <f t="shared" si="464"/>
        <v>1.2627961475551268</v>
      </c>
      <c r="AA1298" s="28">
        <f t="shared" si="464"/>
        <v>1.2664457529398805</v>
      </c>
      <c r="AB1298" s="28">
        <f t="shared" si="464"/>
        <v>1.2703809291718808</v>
      </c>
      <c r="AC1298" s="28">
        <f t="shared" si="464"/>
        <v>1.2746030028640307</v>
      </c>
      <c r="AD1298" s="28">
        <f t="shared" si="464"/>
        <v>1.2773820252725296</v>
      </c>
      <c r="AE1298" s="28">
        <f t="shared" si="464"/>
        <v>1.2803776449106503</v>
      </c>
      <c r="AF1298" s="28">
        <f t="shared" si="464"/>
        <v>1.2835712128131631</v>
      </c>
      <c r="AG1298" s="28">
        <f t="shared" si="464"/>
        <v>1.2869986239202102</v>
      </c>
      <c r="AH1298" s="28">
        <f t="shared" si="464"/>
        <v>1.2905377461759007</v>
      </c>
      <c r="AI1298" s="28">
        <f t="shared" si="464"/>
        <v>1.2927316988521784</v>
      </c>
      <c r="AJ1298" s="28">
        <f t="shared" si="464"/>
        <v>1.2950883457351767</v>
      </c>
      <c r="AK1298" s="28">
        <f t="shared" si="464"/>
        <v>1.2975704821958689</v>
      </c>
      <c r="AL1298" s="28">
        <f t="shared" si="464"/>
        <v>1.3001934802396349</v>
      </c>
      <c r="AM1298" s="28">
        <f t="shared" si="464"/>
        <v>1.3029712180678941</v>
      </c>
      <c r="AN1298" s="28">
        <f t="shared" si="464"/>
        <v>1.3044858016805112</v>
      </c>
      <c r="AO1298" s="28">
        <f t="shared" si="464"/>
        <v>1.3060923439458467</v>
      </c>
      <c r="AP1298" s="28">
        <f t="shared" si="464"/>
        <v>1.3078245642911324</v>
      </c>
      <c r="AQ1298" s="28">
        <f t="shared" si="464"/>
        <v>1.309679240073939</v>
      </c>
      <c r="AR1298" s="28">
        <f t="shared" si="464"/>
        <v>1.3116799485857458</v>
      </c>
      <c r="AS1298" s="28">
        <f t="shared" si="464"/>
        <v>1.3123787967688931</v>
      </c>
      <c r="AT1298" s="28">
        <f t="shared" si="464"/>
        <v>1.3129228074146826</v>
      </c>
      <c r="AU1298" s="28">
        <f t="shared" si="464"/>
        <v>1.3135461658234697</v>
      </c>
      <c r="AV1298" s="28">
        <f t="shared" si="464"/>
        <v>1.3142983246075228</v>
      </c>
      <c r="AW1298" s="28">
        <f t="shared" si="464"/>
        <v>1.3151264553704232</v>
      </c>
      <c r="AY1298" s="85"/>
      <c r="AZ1298" s="85"/>
    </row>
    <row r="1299" spans="1:52" x14ac:dyDescent="0.25">
      <c r="A1299" s="102" t="str">
        <f t="shared" si="384"/>
        <v>FSFAGSPQNIBDDSCM U&amp;D</v>
      </c>
      <c r="B1299" s="102" t="s">
        <v>1376</v>
      </c>
      <c r="C1299" s="102" t="s">
        <v>1337</v>
      </c>
      <c r="D1299" t="s">
        <v>369</v>
      </c>
      <c r="E1299" t="s">
        <v>55</v>
      </c>
      <c r="F1299" t="s">
        <v>422</v>
      </c>
      <c r="G1299" t="s">
        <v>1173</v>
      </c>
      <c r="H1299" t="s">
        <v>1251</v>
      </c>
      <c r="I1299" t="s">
        <v>139</v>
      </c>
      <c r="J1299" t="s">
        <v>287</v>
      </c>
      <c r="K1299" s="28">
        <f t="shared" ref="K1299:AW1299" si="465">IFERROR(K1492-((K1492-K83)+(K1492-K236)+(K1492-K389)+(K1492-K541)+(K1492-K693)+(K1492-K844)+(K1492-K995)+(K1492-K1146)),0)</f>
        <v>0.19181822763057532</v>
      </c>
      <c r="L1299" s="28">
        <f t="shared" si="465"/>
        <v>0.19311010534642395</v>
      </c>
      <c r="M1299" s="28">
        <f t="shared" si="465"/>
        <v>0.19389173119299405</v>
      </c>
      <c r="N1299" s="28">
        <f t="shared" si="465"/>
        <v>0.19286331841675533</v>
      </c>
      <c r="O1299" s="28">
        <f t="shared" si="465"/>
        <v>0.19181235815879408</v>
      </c>
      <c r="P1299" s="28">
        <f t="shared" si="465"/>
        <v>0.19246355732374573</v>
      </c>
      <c r="Q1299" s="28">
        <f t="shared" si="465"/>
        <v>0.19254768245204176</v>
      </c>
      <c r="R1299" s="28">
        <f t="shared" si="465"/>
        <v>0.1907519738898287</v>
      </c>
      <c r="S1299" s="28">
        <f t="shared" si="465"/>
        <v>0.18088699682644091</v>
      </c>
      <c r="T1299" s="28">
        <f t="shared" si="465"/>
        <v>0.1838972381660133</v>
      </c>
      <c r="U1299" s="28">
        <f t="shared" si="465"/>
        <v>0.18587548996919678</v>
      </c>
      <c r="V1299" s="28">
        <f t="shared" si="465"/>
        <v>0.18760159282395869</v>
      </c>
      <c r="W1299" s="28">
        <f t="shared" si="465"/>
        <v>0.1896732782375587</v>
      </c>
      <c r="X1299" s="28">
        <f t="shared" si="465"/>
        <v>0.1930022477976579</v>
      </c>
      <c r="Y1299" s="28">
        <f t="shared" si="465"/>
        <v>0.19680822491201644</v>
      </c>
      <c r="Z1299" s="28">
        <f t="shared" si="465"/>
        <v>0.20092114686502896</v>
      </c>
      <c r="AA1299" s="28">
        <f t="shared" si="465"/>
        <v>0.20449468327122119</v>
      </c>
      <c r="AB1299" s="28">
        <f t="shared" si="465"/>
        <v>0.20863723377024176</v>
      </c>
      <c r="AC1299" s="28">
        <f t="shared" si="465"/>
        <v>0.21348409201000912</v>
      </c>
      <c r="AD1299" s="28">
        <f t="shared" si="465"/>
        <v>0.21835511855598433</v>
      </c>
      <c r="AE1299" s="28">
        <f t="shared" si="465"/>
        <v>0.22343868148870985</v>
      </c>
      <c r="AF1299" s="28">
        <f t="shared" si="465"/>
        <v>0.22861834548683552</v>
      </c>
      <c r="AG1299" s="28">
        <f t="shared" si="465"/>
        <v>0.23439670920107816</v>
      </c>
      <c r="AH1299" s="28">
        <f t="shared" si="465"/>
        <v>0.23945118587989581</v>
      </c>
      <c r="AI1299" s="28">
        <f t="shared" si="465"/>
        <v>0.24500563890300198</v>
      </c>
      <c r="AJ1299" s="28">
        <f t="shared" si="465"/>
        <v>0.25065226424650994</v>
      </c>
      <c r="AK1299" s="28">
        <f t="shared" si="465"/>
        <v>0.25603495440723167</v>
      </c>
      <c r="AL1299" s="28">
        <f t="shared" si="465"/>
        <v>0.26139389266760604</v>
      </c>
      <c r="AM1299" s="28">
        <f t="shared" si="465"/>
        <v>0.26694586167829398</v>
      </c>
      <c r="AN1299" s="28">
        <f t="shared" si="465"/>
        <v>0.2729875481925238</v>
      </c>
      <c r="AO1299" s="28">
        <f t="shared" si="465"/>
        <v>0.27866949697835908</v>
      </c>
      <c r="AP1299" s="28">
        <f t="shared" si="465"/>
        <v>0.28442636508269281</v>
      </c>
      <c r="AQ1299" s="28">
        <f t="shared" si="465"/>
        <v>0.29026877942449542</v>
      </c>
      <c r="AR1299" s="28">
        <f t="shared" si="465"/>
        <v>0.2965076361345787</v>
      </c>
      <c r="AS1299" s="28">
        <f t="shared" si="465"/>
        <v>0.30314124222534444</v>
      </c>
      <c r="AT1299" s="28">
        <f t="shared" si="465"/>
        <v>0.30687944467675132</v>
      </c>
      <c r="AU1299" s="28">
        <f t="shared" si="465"/>
        <v>0.31041516575775774</v>
      </c>
      <c r="AV1299" s="28">
        <f t="shared" si="465"/>
        <v>0.31434593932944749</v>
      </c>
      <c r="AW1299" s="28">
        <f t="shared" si="465"/>
        <v>0.31810899011348942</v>
      </c>
      <c r="AY1299" s="85"/>
      <c r="AZ1299" s="85"/>
    </row>
    <row r="1300" spans="1:52" x14ac:dyDescent="0.25">
      <c r="A1300" s="102" t="str">
        <f t="shared" si="384"/>
        <v>FSFAGSPQNIBDDSCM U&amp;D</v>
      </c>
      <c r="B1300" s="102" t="s">
        <v>1376</v>
      </c>
      <c r="C1300" s="102" t="s">
        <v>1337</v>
      </c>
      <c r="D1300" t="s">
        <v>369</v>
      </c>
      <c r="E1300" t="s">
        <v>55</v>
      </c>
      <c r="F1300" t="s">
        <v>422</v>
      </c>
      <c r="G1300" t="s">
        <v>1175</v>
      </c>
      <c r="H1300" t="s">
        <v>1252</v>
      </c>
      <c r="I1300" t="s">
        <v>139</v>
      </c>
      <c r="J1300" t="s">
        <v>287</v>
      </c>
      <c r="K1300" s="28">
        <f t="shared" ref="K1300:AW1300" si="466">IFERROR(K1493-((K1493-K84)+(K1493-K237)+(K1493-K390)+(K1493-K542)+(K1493-K694)+(K1493-K845)+(K1493-K996)+(K1493-K1147)),0)</f>
        <v>3.4640571428571423E-2</v>
      </c>
      <c r="L1300" s="28">
        <f t="shared" si="466"/>
        <v>3.4640571428571423E-2</v>
      </c>
      <c r="M1300" s="28">
        <f t="shared" si="466"/>
        <v>3.4640571428571423E-2</v>
      </c>
      <c r="N1300" s="28">
        <f t="shared" si="466"/>
        <v>3.4640571428571423E-2</v>
      </c>
      <c r="O1300" s="28">
        <f t="shared" si="466"/>
        <v>3.4640571428571423E-2</v>
      </c>
      <c r="P1300" s="28">
        <f t="shared" si="466"/>
        <v>3.4640571428571423E-2</v>
      </c>
      <c r="Q1300" s="28">
        <f t="shared" si="466"/>
        <v>3.4640571428571423E-2</v>
      </c>
      <c r="R1300" s="28">
        <f t="shared" si="466"/>
        <v>3.4640571428571423E-2</v>
      </c>
      <c r="S1300" s="28">
        <f t="shared" si="466"/>
        <v>3.4640571428571423E-2</v>
      </c>
      <c r="T1300" s="28">
        <f t="shared" si="466"/>
        <v>3.4640571428571423E-2</v>
      </c>
      <c r="U1300" s="28">
        <f t="shared" si="466"/>
        <v>3.4640571428571423E-2</v>
      </c>
      <c r="V1300" s="28">
        <f t="shared" si="466"/>
        <v>3.4640571428571423E-2</v>
      </c>
      <c r="W1300" s="28">
        <f t="shared" si="466"/>
        <v>3.4640571428571423E-2</v>
      </c>
      <c r="X1300" s="28">
        <f t="shared" si="466"/>
        <v>3.4640571428571423E-2</v>
      </c>
      <c r="Y1300" s="28">
        <f t="shared" si="466"/>
        <v>3.4640571428571423E-2</v>
      </c>
      <c r="Z1300" s="28">
        <f t="shared" si="466"/>
        <v>3.4640571428571423E-2</v>
      </c>
      <c r="AA1300" s="28">
        <f t="shared" si="466"/>
        <v>3.4640571428571423E-2</v>
      </c>
      <c r="AB1300" s="28">
        <f t="shared" si="466"/>
        <v>3.4640571428571423E-2</v>
      </c>
      <c r="AC1300" s="28">
        <f t="shared" si="466"/>
        <v>3.4640571428571423E-2</v>
      </c>
      <c r="AD1300" s="28">
        <f t="shared" si="466"/>
        <v>3.4640571428571423E-2</v>
      </c>
      <c r="AE1300" s="28">
        <f t="shared" si="466"/>
        <v>3.4640571428571423E-2</v>
      </c>
      <c r="AF1300" s="28">
        <f t="shared" si="466"/>
        <v>3.4640571428571423E-2</v>
      </c>
      <c r="AG1300" s="28">
        <f t="shared" si="466"/>
        <v>3.4640571428571423E-2</v>
      </c>
      <c r="AH1300" s="28">
        <f t="shared" si="466"/>
        <v>3.4640571428571423E-2</v>
      </c>
      <c r="AI1300" s="28">
        <f t="shared" si="466"/>
        <v>3.4640571428571423E-2</v>
      </c>
      <c r="AJ1300" s="28">
        <f t="shared" si="466"/>
        <v>3.4640571428571423E-2</v>
      </c>
      <c r="AK1300" s="28">
        <f t="shared" si="466"/>
        <v>3.4640571428571423E-2</v>
      </c>
      <c r="AL1300" s="28">
        <f t="shared" si="466"/>
        <v>3.4640571428571423E-2</v>
      </c>
      <c r="AM1300" s="28">
        <f t="shared" si="466"/>
        <v>3.4640571428571423E-2</v>
      </c>
      <c r="AN1300" s="28">
        <f t="shared" si="466"/>
        <v>3.4640571428571423E-2</v>
      </c>
      <c r="AO1300" s="28">
        <f t="shared" si="466"/>
        <v>3.4640571428571423E-2</v>
      </c>
      <c r="AP1300" s="28">
        <f t="shared" si="466"/>
        <v>3.4640571428571423E-2</v>
      </c>
      <c r="AQ1300" s="28">
        <f t="shared" si="466"/>
        <v>3.4640571428571423E-2</v>
      </c>
      <c r="AR1300" s="28">
        <f t="shared" si="466"/>
        <v>3.4640571428571423E-2</v>
      </c>
      <c r="AS1300" s="28">
        <f t="shared" si="466"/>
        <v>3.4640571428571423E-2</v>
      </c>
      <c r="AT1300" s="28">
        <f t="shared" si="466"/>
        <v>3.4640571428571423E-2</v>
      </c>
      <c r="AU1300" s="28">
        <f t="shared" si="466"/>
        <v>3.4640571428571423E-2</v>
      </c>
      <c r="AV1300" s="28">
        <f t="shared" si="466"/>
        <v>3.4640571428571423E-2</v>
      </c>
      <c r="AW1300" s="28">
        <f t="shared" si="466"/>
        <v>3.4640571428571423E-2</v>
      </c>
      <c r="AY1300" s="85"/>
      <c r="AZ1300" s="85"/>
    </row>
    <row r="1301" spans="1:52" x14ac:dyDescent="0.25">
      <c r="A1301" s="102" t="str">
        <f t="shared" si="384"/>
        <v>FSFAGSPQNIBDDSCM U&amp;D</v>
      </c>
      <c r="B1301" s="102" t="s">
        <v>1376</v>
      </c>
      <c r="C1301" s="102" t="s">
        <v>1337</v>
      </c>
      <c r="D1301" t="s">
        <v>369</v>
      </c>
      <c r="E1301" t="s">
        <v>55</v>
      </c>
      <c r="F1301" t="s">
        <v>422</v>
      </c>
      <c r="G1301" t="s">
        <v>1177</v>
      </c>
      <c r="H1301" t="s">
        <v>1253</v>
      </c>
      <c r="I1301" t="s">
        <v>139</v>
      </c>
      <c r="J1301" t="s">
        <v>287</v>
      </c>
      <c r="K1301" s="28">
        <f t="shared" ref="K1301:AW1301" si="467">IFERROR(K1494-((K1494-K85)+(K1494-K238)+(K1494-K391)+(K1494-K543)+(K1494-K695)+(K1494-K846)+(K1494-K997)+(K1494-K1148)),0)</f>
        <v>0</v>
      </c>
      <c r="L1301" s="28">
        <f t="shared" si="467"/>
        <v>0</v>
      </c>
      <c r="M1301" s="28">
        <f t="shared" si="467"/>
        <v>0</v>
      </c>
      <c r="N1301" s="28">
        <f t="shared" si="467"/>
        <v>0</v>
      </c>
      <c r="O1301" s="28">
        <f t="shared" si="467"/>
        <v>0</v>
      </c>
      <c r="P1301" s="28">
        <f t="shared" si="467"/>
        <v>0</v>
      </c>
      <c r="Q1301" s="28">
        <f t="shared" si="467"/>
        <v>0</v>
      </c>
      <c r="R1301" s="28">
        <f t="shared" si="467"/>
        <v>0</v>
      </c>
      <c r="S1301" s="28">
        <f t="shared" si="467"/>
        <v>0</v>
      </c>
      <c r="T1301" s="28">
        <f t="shared" si="467"/>
        <v>0</v>
      </c>
      <c r="U1301" s="28">
        <f t="shared" si="467"/>
        <v>0</v>
      </c>
      <c r="V1301" s="28">
        <f t="shared" si="467"/>
        <v>0</v>
      </c>
      <c r="W1301" s="28">
        <f t="shared" si="467"/>
        <v>0</v>
      </c>
      <c r="X1301" s="28">
        <f t="shared" si="467"/>
        <v>0</v>
      </c>
      <c r="Y1301" s="28">
        <f t="shared" si="467"/>
        <v>0</v>
      </c>
      <c r="Z1301" s="28">
        <f t="shared" si="467"/>
        <v>0</v>
      </c>
      <c r="AA1301" s="28">
        <f t="shared" si="467"/>
        <v>0</v>
      </c>
      <c r="AB1301" s="28">
        <f t="shared" si="467"/>
        <v>0</v>
      </c>
      <c r="AC1301" s="28">
        <f t="shared" si="467"/>
        <v>0</v>
      </c>
      <c r="AD1301" s="28">
        <f t="shared" si="467"/>
        <v>0</v>
      </c>
      <c r="AE1301" s="28">
        <f t="shared" si="467"/>
        <v>0</v>
      </c>
      <c r="AF1301" s="28">
        <f t="shared" si="467"/>
        <v>0</v>
      </c>
      <c r="AG1301" s="28">
        <f t="shared" si="467"/>
        <v>0</v>
      </c>
      <c r="AH1301" s="28">
        <f t="shared" si="467"/>
        <v>0</v>
      </c>
      <c r="AI1301" s="28">
        <f t="shared" si="467"/>
        <v>0</v>
      </c>
      <c r="AJ1301" s="28">
        <f t="shared" si="467"/>
        <v>0</v>
      </c>
      <c r="AK1301" s="28">
        <f t="shared" si="467"/>
        <v>0</v>
      </c>
      <c r="AL1301" s="28">
        <f t="shared" si="467"/>
        <v>0</v>
      </c>
      <c r="AM1301" s="28">
        <f t="shared" si="467"/>
        <v>0</v>
      </c>
      <c r="AN1301" s="28">
        <f t="shared" si="467"/>
        <v>0</v>
      </c>
      <c r="AO1301" s="28">
        <f t="shared" si="467"/>
        <v>0</v>
      </c>
      <c r="AP1301" s="28">
        <f t="shared" si="467"/>
        <v>0</v>
      </c>
      <c r="AQ1301" s="28">
        <f t="shared" si="467"/>
        <v>0</v>
      </c>
      <c r="AR1301" s="28">
        <f t="shared" si="467"/>
        <v>0</v>
      </c>
      <c r="AS1301" s="28">
        <f t="shared" si="467"/>
        <v>0</v>
      </c>
      <c r="AT1301" s="28">
        <f t="shared" si="467"/>
        <v>0</v>
      </c>
      <c r="AU1301" s="28">
        <f t="shared" si="467"/>
        <v>0</v>
      </c>
      <c r="AV1301" s="28">
        <f t="shared" si="467"/>
        <v>0</v>
      </c>
      <c r="AW1301" s="28">
        <f t="shared" si="467"/>
        <v>0</v>
      </c>
      <c r="AY1301" s="85"/>
      <c r="AZ1301" s="85"/>
    </row>
    <row r="1302" spans="1:52" x14ac:dyDescent="0.25">
      <c r="A1302" s="102" t="str">
        <f t="shared" si="384"/>
        <v>FSFAGSPQNIBDDSCM U&amp;D</v>
      </c>
      <c r="B1302" s="102" t="s">
        <v>1376</v>
      </c>
      <c r="C1302" s="102" t="s">
        <v>1337</v>
      </c>
      <c r="D1302" t="s">
        <v>369</v>
      </c>
      <c r="E1302" t="s">
        <v>55</v>
      </c>
      <c r="F1302" t="s">
        <v>422</v>
      </c>
      <c r="G1302" t="s">
        <v>1179</v>
      </c>
      <c r="H1302" t="s">
        <v>1254</v>
      </c>
      <c r="I1302" t="s">
        <v>139</v>
      </c>
      <c r="J1302" t="s">
        <v>287</v>
      </c>
      <c r="K1302" s="28">
        <f t="shared" ref="K1302:AW1302" si="468">IFERROR(K1495-((K1495-K86)+(K1495-K239)+(K1495-K392)+(K1495-K544)+(K1495-K696)+(K1495-K847)+(K1495-K998)+(K1495-K1149)),0)</f>
        <v>0</v>
      </c>
      <c r="L1302" s="28">
        <f t="shared" si="468"/>
        <v>0</v>
      </c>
      <c r="M1302" s="28">
        <f t="shared" si="468"/>
        <v>0</v>
      </c>
      <c r="N1302" s="28">
        <f t="shared" si="468"/>
        <v>0</v>
      </c>
      <c r="O1302" s="28">
        <f t="shared" si="468"/>
        <v>0</v>
      </c>
      <c r="P1302" s="28">
        <f t="shared" si="468"/>
        <v>0</v>
      </c>
      <c r="Q1302" s="28">
        <f t="shared" si="468"/>
        <v>0</v>
      </c>
      <c r="R1302" s="28">
        <f t="shared" si="468"/>
        <v>0</v>
      </c>
      <c r="S1302" s="28">
        <f t="shared" si="468"/>
        <v>0</v>
      </c>
      <c r="T1302" s="28">
        <f t="shared" si="468"/>
        <v>0</v>
      </c>
      <c r="U1302" s="28">
        <f t="shared" si="468"/>
        <v>0</v>
      </c>
      <c r="V1302" s="28">
        <f t="shared" si="468"/>
        <v>0</v>
      </c>
      <c r="W1302" s="28">
        <f t="shared" si="468"/>
        <v>0</v>
      </c>
      <c r="X1302" s="28">
        <f t="shared" si="468"/>
        <v>0</v>
      </c>
      <c r="Y1302" s="28">
        <f t="shared" si="468"/>
        <v>0</v>
      </c>
      <c r="Z1302" s="28">
        <f t="shared" si="468"/>
        <v>0</v>
      </c>
      <c r="AA1302" s="28">
        <f t="shared" si="468"/>
        <v>0</v>
      </c>
      <c r="AB1302" s="28">
        <f t="shared" si="468"/>
        <v>0</v>
      </c>
      <c r="AC1302" s="28">
        <f t="shared" si="468"/>
        <v>0</v>
      </c>
      <c r="AD1302" s="28">
        <f t="shared" si="468"/>
        <v>0</v>
      </c>
      <c r="AE1302" s="28">
        <f t="shared" si="468"/>
        <v>0</v>
      </c>
      <c r="AF1302" s="28">
        <f t="shared" si="468"/>
        <v>0</v>
      </c>
      <c r="AG1302" s="28">
        <f t="shared" si="468"/>
        <v>0</v>
      </c>
      <c r="AH1302" s="28">
        <f t="shared" si="468"/>
        <v>0</v>
      </c>
      <c r="AI1302" s="28">
        <f t="shared" si="468"/>
        <v>0</v>
      </c>
      <c r="AJ1302" s="28">
        <f t="shared" si="468"/>
        <v>0</v>
      </c>
      <c r="AK1302" s="28">
        <f t="shared" si="468"/>
        <v>0</v>
      </c>
      <c r="AL1302" s="28">
        <f t="shared" si="468"/>
        <v>0</v>
      </c>
      <c r="AM1302" s="28">
        <f t="shared" si="468"/>
        <v>0</v>
      </c>
      <c r="AN1302" s="28">
        <f t="shared" si="468"/>
        <v>0</v>
      </c>
      <c r="AO1302" s="28">
        <f t="shared" si="468"/>
        <v>0</v>
      </c>
      <c r="AP1302" s="28">
        <f t="shared" si="468"/>
        <v>0</v>
      </c>
      <c r="AQ1302" s="28">
        <f t="shared" si="468"/>
        <v>0</v>
      </c>
      <c r="AR1302" s="28">
        <f t="shared" si="468"/>
        <v>0</v>
      </c>
      <c r="AS1302" s="28">
        <f t="shared" si="468"/>
        <v>0</v>
      </c>
      <c r="AT1302" s="28">
        <f t="shared" si="468"/>
        <v>0</v>
      </c>
      <c r="AU1302" s="28">
        <f t="shared" si="468"/>
        <v>0</v>
      </c>
      <c r="AV1302" s="28">
        <f t="shared" si="468"/>
        <v>0</v>
      </c>
      <c r="AW1302" s="28">
        <f t="shared" si="468"/>
        <v>0</v>
      </c>
      <c r="AY1302" s="85"/>
      <c r="AZ1302" s="85"/>
    </row>
    <row r="1303" spans="1:52" x14ac:dyDescent="0.25">
      <c r="A1303" s="102" t="str">
        <f t="shared" si="384"/>
        <v>FSFAGSPQNIBDDSCM U&amp;D</v>
      </c>
      <c r="B1303" s="102" t="s">
        <v>1376</v>
      </c>
      <c r="C1303" s="102" t="s">
        <v>1337</v>
      </c>
      <c r="D1303" t="s">
        <v>369</v>
      </c>
      <c r="E1303" t="s">
        <v>55</v>
      </c>
      <c r="F1303" t="s">
        <v>422</v>
      </c>
      <c r="G1303" t="s">
        <v>1181</v>
      </c>
      <c r="H1303" t="s">
        <v>1255</v>
      </c>
      <c r="I1303" t="s">
        <v>139</v>
      </c>
      <c r="J1303" t="s">
        <v>287</v>
      </c>
      <c r="K1303" s="28">
        <f t="shared" ref="K1303:AW1303" si="469">IFERROR(K1496-((K1496-K87)+(K1496-K240)+(K1496-K393)+(K1496-K545)+(K1496-K697)+(K1496-K848)+(K1496-K999)+(K1496-K1150)),0)</f>
        <v>0</v>
      </c>
      <c r="L1303" s="28">
        <f t="shared" si="469"/>
        <v>0</v>
      </c>
      <c r="M1303" s="28">
        <f t="shared" si="469"/>
        <v>0</v>
      </c>
      <c r="N1303" s="28">
        <f t="shared" si="469"/>
        <v>0</v>
      </c>
      <c r="O1303" s="28">
        <f t="shared" si="469"/>
        <v>0</v>
      </c>
      <c r="P1303" s="28">
        <f t="shared" si="469"/>
        <v>0</v>
      </c>
      <c r="Q1303" s="28">
        <f t="shared" si="469"/>
        <v>0</v>
      </c>
      <c r="R1303" s="28">
        <f t="shared" si="469"/>
        <v>0</v>
      </c>
      <c r="S1303" s="28">
        <f t="shared" si="469"/>
        <v>0</v>
      </c>
      <c r="T1303" s="28">
        <f t="shared" si="469"/>
        <v>0</v>
      </c>
      <c r="U1303" s="28">
        <f t="shared" si="469"/>
        <v>0</v>
      </c>
      <c r="V1303" s="28">
        <f t="shared" si="469"/>
        <v>0</v>
      </c>
      <c r="W1303" s="28">
        <f t="shared" si="469"/>
        <v>0</v>
      </c>
      <c r="X1303" s="28">
        <f t="shared" si="469"/>
        <v>0</v>
      </c>
      <c r="Y1303" s="28">
        <f t="shared" si="469"/>
        <v>0</v>
      </c>
      <c r="Z1303" s="28">
        <f t="shared" si="469"/>
        <v>0</v>
      </c>
      <c r="AA1303" s="28">
        <f t="shared" si="469"/>
        <v>0</v>
      </c>
      <c r="AB1303" s="28">
        <f t="shared" si="469"/>
        <v>0</v>
      </c>
      <c r="AC1303" s="28">
        <f t="shared" si="469"/>
        <v>0</v>
      </c>
      <c r="AD1303" s="28">
        <f t="shared" si="469"/>
        <v>0</v>
      </c>
      <c r="AE1303" s="28">
        <f t="shared" si="469"/>
        <v>0</v>
      </c>
      <c r="AF1303" s="28">
        <f t="shared" si="469"/>
        <v>0</v>
      </c>
      <c r="AG1303" s="28">
        <f t="shared" si="469"/>
        <v>0</v>
      </c>
      <c r="AH1303" s="28">
        <f t="shared" si="469"/>
        <v>0</v>
      </c>
      <c r="AI1303" s="28">
        <f t="shared" si="469"/>
        <v>0</v>
      </c>
      <c r="AJ1303" s="28">
        <f t="shared" si="469"/>
        <v>0</v>
      </c>
      <c r="AK1303" s="28">
        <f t="shared" si="469"/>
        <v>0</v>
      </c>
      <c r="AL1303" s="28">
        <f t="shared" si="469"/>
        <v>0</v>
      </c>
      <c r="AM1303" s="28">
        <f t="shared" si="469"/>
        <v>0</v>
      </c>
      <c r="AN1303" s="28">
        <f t="shared" si="469"/>
        <v>0</v>
      </c>
      <c r="AO1303" s="28">
        <f t="shared" si="469"/>
        <v>0</v>
      </c>
      <c r="AP1303" s="28">
        <f t="shared" si="469"/>
        <v>0</v>
      </c>
      <c r="AQ1303" s="28">
        <f t="shared" si="469"/>
        <v>0</v>
      </c>
      <c r="AR1303" s="28">
        <f t="shared" si="469"/>
        <v>0</v>
      </c>
      <c r="AS1303" s="28">
        <f t="shared" si="469"/>
        <v>0</v>
      </c>
      <c r="AT1303" s="28">
        <f t="shared" si="469"/>
        <v>0</v>
      </c>
      <c r="AU1303" s="28">
        <f t="shared" si="469"/>
        <v>0</v>
      </c>
      <c r="AV1303" s="28">
        <f t="shared" si="469"/>
        <v>0</v>
      </c>
      <c r="AW1303" s="28">
        <f t="shared" si="469"/>
        <v>0</v>
      </c>
      <c r="AY1303" s="85"/>
      <c r="AZ1303" s="85"/>
    </row>
    <row r="1304" spans="1:52" x14ac:dyDescent="0.25">
      <c r="A1304" s="102" t="str">
        <f t="shared" si="384"/>
        <v>FSFAGSPQNIBDDSCM U&amp;D</v>
      </c>
      <c r="B1304" s="102" t="s">
        <v>1376</v>
      </c>
      <c r="C1304" s="102" t="s">
        <v>1337</v>
      </c>
      <c r="D1304" t="s">
        <v>369</v>
      </c>
      <c r="E1304" t="s">
        <v>55</v>
      </c>
      <c r="F1304" t="s">
        <v>422</v>
      </c>
      <c r="G1304" t="s">
        <v>1183</v>
      </c>
      <c r="H1304" t="s">
        <v>1256</v>
      </c>
      <c r="I1304" t="s">
        <v>139</v>
      </c>
      <c r="J1304" t="s">
        <v>287</v>
      </c>
      <c r="K1304" s="28">
        <f t="shared" ref="K1304:AW1304" si="470">IFERROR(K1497-((K1497-K88)+(K1497-K241)+(K1497-K394)+(K1497-K546)+(K1497-K698)+(K1497-K849)+(K1497-K1000)+(K1497-K1151)),0)</f>
        <v>0</v>
      </c>
      <c r="L1304" s="28">
        <f t="shared" si="470"/>
        <v>0</v>
      </c>
      <c r="M1304" s="28">
        <f t="shared" si="470"/>
        <v>0</v>
      </c>
      <c r="N1304" s="28">
        <f t="shared" si="470"/>
        <v>0</v>
      </c>
      <c r="O1304" s="28">
        <f t="shared" si="470"/>
        <v>0</v>
      </c>
      <c r="P1304" s="28">
        <f t="shared" si="470"/>
        <v>0</v>
      </c>
      <c r="Q1304" s="28">
        <f t="shared" si="470"/>
        <v>0</v>
      </c>
      <c r="R1304" s="28">
        <f t="shared" si="470"/>
        <v>0</v>
      </c>
      <c r="S1304" s="28">
        <f t="shared" si="470"/>
        <v>0</v>
      </c>
      <c r="T1304" s="28">
        <f t="shared" si="470"/>
        <v>0</v>
      </c>
      <c r="U1304" s="28">
        <f t="shared" si="470"/>
        <v>0</v>
      </c>
      <c r="V1304" s="28">
        <f t="shared" si="470"/>
        <v>0</v>
      </c>
      <c r="W1304" s="28">
        <f t="shared" si="470"/>
        <v>0</v>
      </c>
      <c r="X1304" s="28">
        <f t="shared" si="470"/>
        <v>0</v>
      </c>
      <c r="Y1304" s="28">
        <f t="shared" si="470"/>
        <v>0</v>
      </c>
      <c r="Z1304" s="28">
        <f t="shared" si="470"/>
        <v>0</v>
      </c>
      <c r="AA1304" s="28">
        <f t="shared" si="470"/>
        <v>0</v>
      </c>
      <c r="AB1304" s="28">
        <f t="shared" si="470"/>
        <v>0</v>
      </c>
      <c r="AC1304" s="28">
        <f t="shared" si="470"/>
        <v>0</v>
      </c>
      <c r="AD1304" s="28">
        <f t="shared" si="470"/>
        <v>0</v>
      </c>
      <c r="AE1304" s="28">
        <f t="shared" si="470"/>
        <v>0</v>
      </c>
      <c r="AF1304" s="28">
        <f t="shared" si="470"/>
        <v>0</v>
      </c>
      <c r="AG1304" s="28">
        <f t="shared" si="470"/>
        <v>0</v>
      </c>
      <c r="AH1304" s="28">
        <f t="shared" si="470"/>
        <v>0</v>
      </c>
      <c r="AI1304" s="28">
        <f t="shared" si="470"/>
        <v>0</v>
      </c>
      <c r="AJ1304" s="28">
        <f t="shared" si="470"/>
        <v>0</v>
      </c>
      <c r="AK1304" s="28">
        <f t="shared" si="470"/>
        <v>0</v>
      </c>
      <c r="AL1304" s="28">
        <f t="shared" si="470"/>
        <v>0</v>
      </c>
      <c r="AM1304" s="28">
        <f t="shared" si="470"/>
        <v>0</v>
      </c>
      <c r="AN1304" s="28">
        <f t="shared" si="470"/>
        <v>0</v>
      </c>
      <c r="AO1304" s="28">
        <f t="shared" si="470"/>
        <v>0</v>
      </c>
      <c r="AP1304" s="28">
        <f t="shared" si="470"/>
        <v>0</v>
      </c>
      <c r="AQ1304" s="28">
        <f t="shared" si="470"/>
        <v>0</v>
      </c>
      <c r="AR1304" s="28">
        <f t="shared" si="470"/>
        <v>0</v>
      </c>
      <c r="AS1304" s="28">
        <f t="shared" si="470"/>
        <v>0</v>
      </c>
      <c r="AT1304" s="28">
        <f t="shared" si="470"/>
        <v>0</v>
      </c>
      <c r="AU1304" s="28">
        <f t="shared" si="470"/>
        <v>0</v>
      </c>
      <c r="AV1304" s="28">
        <f t="shared" si="470"/>
        <v>0</v>
      </c>
      <c r="AW1304" s="28">
        <f t="shared" si="470"/>
        <v>0</v>
      </c>
      <c r="AY1304" s="85"/>
      <c r="AZ1304" s="85"/>
    </row>
    <row r="1305" spans="1:52" x14ac:dyDescent="0.25">
      <c r="A1305" s="102" t="str">
        <f t="shared" si="384"/>
        <v>FSFAGSPQNIBDDSCM FSOM</v>
      </c>
      <c r="B1305" s="102" t="s">
        <v>1376</v>
      </c>
      <c r="C1305" s="102" t="s">
        <v>60</v>
      </c>
      <c r="D1305" t="s">
        <v>369</v>
      </c>
      <c r="E1305" t="s">
        <v>55</v>
      </c>
      <c r="F1305" t="s">
        <v>60</v>
      </c>
      <c r="G1305" t="s">
        <v>1267</v>
      </c>
      <c r="H1305" t="s">
        <v>1268</v>
      </c>
      <c r="J1305" t="s">
        <v>287</v>
      </c>
      <c r="K1305" s="28">
        <f t="shared" ref="K1305:AW1305" si="471">IFERROR(K1498-((K1498-K89)+(K1498-K242)+(K1498-K395)+(K1498-K547)+(K1498-K699)+(K1498-K850)+(K1498-K1001)+(K1498-K1152)),0)</f>
        <v>0</v>
      </c>
      <c r="L1305" s="28">
        <f t="shared" si="471"/>
        <v>0</v>
      </c>
      <c r="M1305" s="28">
        <f t="shared" si="471"/>
        <v>0</v>
      </c>
      <c r="N1305" s="28">
        <f t="shared" si="471"/>
        <v>0</v>
      </c>
      <c r="O1305" s="28">
        <f t="shared" si="471"/>
        <v>0</v>
      </c>
      <c r="P1305" s="28">
        <f t="shared" si="471"/>
        <v>0</v>
      </c>
      <c r="Q1305" s="28">
        <f t="shared" si="471"/>
        <v>0</v>
      </c>
      <c r="R1305" s="28">
        <f t="shared" si="471"/>
        <v>0</v>
      </c>
      <c r="S1305" s="28">
        <f t="shared" si="471"/>
        <v>0</v>
      </c>
      <c r="T1305" s="28">
        <f t="shared" si="471"/>
        <v>0</v>
      </c>
      <c r="U1305" s="28">
        <f t="shared" si="471"/>
        <v>0</v>
      </c>
      <c r="V1305" s="28">
        <f t="shared" si="471"/>
        <v>0</v>
      </c>
      <c r="W1305" s="28">
        <f t="shared" si="471"/>
        <v>0</v>
      </c>
      <c r="X1305" s="28">
        <f t="shared" si="471"/>
        <v>0</v>
      </c>
      <c r="Y1305" s="28">
        <f t="shared" si="471"/>
        <v>0</v>
      </c>
      <c r="Z1305" s="28">
        <f t="shared" si="471"/>
        <v>0</v>
      </c>
      <c r="AA1305" s="28">
        <f t="shared" si="471"/>
        <v>0</v>
      </c>
      <c r="AB1305" s="28">
        <f t="shared" si="471"/>
        <v>0</v>
      </c>
      <c r="AC1305" s="28">
        <f t="shared" si="471"/>
        <v>0</v>
      </c>
      <c r="AD1305" s="28">
        <f t="shared" si="471"/>
        <v>0</v>
      </c>
      <c r="AE1305" s="28">
        <f t="shared" si="471"/>
        <v>0</v>
      </c>
      <c r="AF1305" s="28">
        <f t="shared" si="471"/>
        <v>0</v>
      </c>
      <c r="AG1305" s="28">
        <f t="shared" si="471"/>
        <v>0</v>
      </c>
      <c r="AH1305" s="28">
        <f t="shared" si="471"/>
        <v>0</v>
      </c>
      <c r="AI1305" s="28">
        <f t="shared" si="471"/>
        <v>0</v>
      </c>
      <c r="AJ1305" s="28">
        <f t="shared" si="471"/>
        <v>0</v>
      </c>
      <c r="AK1305" s="28">
        <f t="shared" si="471"/>
        <v>0</v>
      </c>
      <c r="AL1305" s="28">
        <f t="shared" si="471"/>
        <v>0</v>
      </c>
      <c r="AM1305" s="28">
        <f t="shared" si="471"/>
        <v>0</v>
      </c>
      <c r="AN1305" s="28">
        <f t="shared" si="471"/>
        <v>0</v>
      </c>
      <c r="AO1305" s="28">
        <f t="shared" si="471"/>
        <v>0</v>
      </c>
      <c r="AP1305" s="28">
        <f t="shared" si="471"/>
        <v>0</v>
      </c>
      <c r="AQ1305" s="28">
        <f t="shared" si="471"/>
        <v>0</v>
      </c>
      <c r="AR1305" s="28">
        <f t="shared" si="471"/>
        <v>0</v>
      </c>
      <c r="AS1305" s="28">
        <f t="shared" si="471"/>
        <v>0</v>
      </c>
      <c r="AT1305" s="28">
        <f t="shared" si="471"/>
        <v>0</v>
      </c>
      <c r="AU1305" s="28">
        <f t="shared" si="471"/>
        <v>0</v>
      </c>
      <c r="AV1305" s="28">
        <f t="shared" si="471"/>
        <v>0</v>
      </c>
      <c r="AW1305" s="28">
        <f t="shared" si="471"/>
        <v>0</v>
      </c>
      <c r="AY1305" s="85"/>
      <c r="AZ1305" s="85"/>
    </row>
    <row r="1306" spans="1:52" x14ac:dyDescent="0.25">
      <c r="A1306" s="102" t="str">
        <f t="shared" si="384"/>
        <v>FSFAGSPQNIBDDSCM FSOM</v>
      </c>
      <c r="B1306" s="102" t="s">
        <v>1376</v>
      </c>
      <c r="C1306" s="102" t="s">
        <v>60</v>
      </c>
      <c r="D1306" t="s">
        <v>369</v>
      </c>
      <c r="E1306" t="s">
        <v>55</v>
      </c>
      <c r="F1306" t="s">
        <v>60</v>
      </c>
      <c r="G1306" t="s">
        <v>1269</v>
      </c>
      <c r="H1306" t="s">
        <v>1270</v>
      </c>
      <c r="J1306" t="s">
        <v>287</v>
      </c>
      <c r="K1306" s="28">
        <f t="shared" ref="K1306:AW1306" si="472">IFERROR(K1499-((K1499-K90)+(K1499-K243)+(K1499-K396)+(K1499-K548)+(K1499-K700)+(K1499-K851)+(K1499-K1002)+(K1499-K1153)),0)</f>
        <v>0</v>
      </c>
      <c r="L1306" s="28">
        <f t="shared" si="472"/>
        <v>0</v>
      </c>
      <c r="M1306" s="28">
        <f t="shared" si="472"/>
        <v>0</v>
      </c>
      <c r="N1306" s="28">
        <f t="shared" si="472"/>
        <v>0</v>
      </c>
      <c r="O1306" s="28">
        <f t="shared" si="472"/>
        <v>0</v>
      </c>
      <c r="P1306" s="28">
        <f t="shared" si="472"/>
        <v>0</v>
      </c>
      <c r="Q1306" s="28">
        <f t="shared" si="472"/>
        <v>0</v>
      </c>
      <c r="R1306" s="28">
        <f t="shared" si="472"/>
        <v>0</v>
      </c>
      <c r="S1306" s="28">
        <f t="shared" si="472"/>
        <v>0</v>
      </c>
      <c r="T1306" s="28">
        <f t="shared" si="472"/>
        <v>0</v>
      </c>
      <c r="U1306" s="28">
        <f t="shared" si="472"/>
        <v>0</v>
      </c>
      <c r="V1306" s="28">
        <f t="shared" si="472"/>
        <v>0</v>
      </c>
      <c r="W1306" s="28">
        <f t="shared" si="472"/>
        <v>0</v>
      </c>
      <c r="X1306" s="28">
        <f t="shared" si="472"/>
        <v>0</v>
      </c>
      <c r="Y1306" s="28">
        <f t="shared" si="472"/>
        <v>0</v>
      </c>
      <c r="Z1306" s="28">
        <f t="shared" si="472"/>
        <v>0</v>
      </c>
      <c r="AA1306" s="28">
        <f t="shared" si="472"/>
        <v>0</v>
      </c>
      <c r="AB1306" s="28">
        <f t="shared" si="472"/>
        <v>0</v>
      </c>
      <c r="AC1306" s="28">
        <f t="shared" si="472"/>
        <v>0</v>
      </c>
      <c r="AD1306" s="28">
        <f t="shared" si="472"/>
        <v>0</v>
      </c>
      <c r="AE1306" s="28">
        <f t="shared" si="472"/>
        <v>0</v>
      </c>
      <c r="AF1306" s="28">
        <f t="shared" si="472"/>
        <v>0</v>
      </c>
      <c r="AG1306" s="28">
        <f t="shared" si="472"/>
        <v>0</v>
      </c>
      <c r="AH1306" s="28">
        <f t="shared" si="472"/>
        <v>0</v>
      </c>
      <c r="AI1306" s="28">
        <f t="shared" si="472"/>
        <v>0</v>
      </c>
      <c r="AJ1306" s="28">
        <f t="shared" si="472"/>
        <v>0</v>
      </c>
      <c r="AK1306" s="28">
        <f t="shared" si="472"/>
        <v>0</v>
      </c>
      <c r="AL1306" s="28">
        <f t="shared" si="472"/>
        <v>0</v>
      </c>
      <c r="AM1306" s="28">
        <f t="shared" si="472"/>
        <v>0</v>
      </c>
      <c r="AN1306" s="28">
        <f t="shared" si="472"/>
        <v>0</v>
      </c>
      <c r="AO1306" s="28">
        <f t="shared" si="472"/>
        <v>0</v>
      </c>
      <c r="AP1306" s="28">
        <f t="shared" si="472"/>
        <v>0</v>
      </c>
      <c r="AQ1306" s="28">
        <f t="shared" si="472"/>
        <v>0</v>
      </c>
      <c r="AR1306" s="28">
        <f t="shared" si="472"/>
        <v>0</v>
      </c>
      <c r="AS1306" s="28">
        <f t="shared" si="472"/>
        <v>0</v>
      </c>
      <c r="AT1306" s="28">
        <f t="shared" si="472"/>
        <v>0</v>
      </c>
      <c r="AU1306" s="28">
        <f t="shared" si="472"/>
        <v>0</v>
      </c>
      <c r="AV1306" s="28">
        <f t="shared" si="472"/>
        <v>0</v>
      </c>
      <c r="AW1306" s="28">
        <f t="shared" si="472"/>
        <v>0</v>
      </c>
      <c r="AY1306" s="85"/>
      <c r="AZ1306" s="85"/>
    </row>
    <row r="1307" spans="1:52" x14ac:dyDescent="0.25">
      <c r="A1307" s="102" t="str">
        <f t="shared" si="384"/>
        <v>FSFAGSPQNIBDDSCM FSOM</v>
      </c>
      <c r="B1307" s="102" t="s">
        <v>1376</v>
      </c>
      <c r="C1307" s="102" t="s">
        <v>60</v>
      </c>
      <c r="D1307" t="s">
        <v>369</v>
      </c>
      <c r="E1307" t="s">
        <v>55</v>
      </c>
      <c r="F1307" t="s">
        <v>60</v>
      </c>
      <c r="G1307" t="s">
        <v>1271</v>
      </c>
      <c r="H1307" t="s">
        <v>1272</v>
      </c>
      <c r="J1307" t="s">
        <v>287</v>
      </c>
      <c r="K1307" s="28">
        <f t="shared" ref="K1307:AW1307" si="473">IFERROR(K1500-((K1500-K91)+(K1500-K244)+(K1500-K397)+(K1500-K549)+(K1500-K701)+(K1500-K852)+(K1500-K1003)+(K1500-K1154)),0)</f>
        <v>3.4398813895090996E-3</v>
      </c>
      <c r="L1307" s="28">
        <f t="shared" si="473"/>
        <v>3.4358310252377683E-3</v>
      </c>
      <c r="M1307" s="28">
        <f t="shared" si="473"/>
        <v>3.4317806609664363E-3</v>
      </c>
      <c r="N1307" s="28">
        <f t="shared" si="473"/>
        <v>3.4277302966951037E-3</v>
      </c>
      <c r="O1307" s="28">
        <f t="shared" si="473"/>
        <v>3.4236799324237725E-3</v>
      </c>
      <c r="P1307" s="28">
        <f t="shared" si="473"/>
        <v>3.4196295681524396E-3</v>
      </c>
      <c r="Q1307" s="28">
        <f t="shared" si="473"/>
        <v>3.4155792038811079E-3</v>
      </c>
      <c r="R1307" s="28">
        <f t="shared" si="473"/>
        <v>3.4115288396097763E-3</v>
      </c>
      <c r="S1307" s="28">
        <f t="shared" si="473"/>
        <v>3.4074784753384451E-3</v>
      </c>
      <c r="T1307" s="28">
        <f t="shared" si="473"/>
        <v>3.4034281110671134E-3</v>
      </c>
      <c r="U1307" s="28">
        <f t="shared" si="473"/>
        <v>3.39937774679578E-3</v>
      </c>
      <c r="V1307" s="28">
        <f t="shared" si="473"/>
        <v>3.3953273825244488E-3</v>
      </c>
      <c r="W1307" s="28">
        <f t="shared" si="473"/>
        <v>3.3912770182531172E-3</v>
      </c>
      <c r="X1307" s="28">
        <f t="shared" si="473"/>
        <v>3.387226653981786E-3</v>
      </c>
      <c r="Y1307" s="28">
        <f t="shared" si="473"/>
        <v>3.3831762897104547E-3</v>
      </c>
      <c r="Z1307" s="28">
        <f t="shared" si="473"/>
        <v>3.3791259254391218E-3</v>
      </c>
      <c r="AA1307" s="28">
        <f t="shared" si="473"/>
        <v>3.375075561167791E-3</v>
      </c>
      <c r="AB1307" s="28">
        <f t="shared" si="473"/>
        <v>3.3710251968964585E-3</v>
      </c>
      <c r="AC1307" s="28">
        <f t="shared" si="473"/>
        <v>3.3669748326251273E-3</v>
      </c>
      <c r="AD1307" s="28">
        <f t="shared" si="473"/>
        <v>3.3629244683537943E-3</v>
      </c>
      <c r="AE1307" s="28">
        <f t="shared" si="473"/>
        <v>3.358874104082464E-3</v>
      </c>
      <c r="AF1307" s="28">
        <f t="shared" si="473"/>
        <v>3.3548237398111319E-3</v>
      </c>
      <c r="AG1307" s="28">
        <f t="shared" si="473"/>
        <v>3.3507733755397998E-3</v>
      </c>
      <c r="AH1307" s="28">
        <f t="shared" si="473"/>
        <v>3.3467230112684673E-3</v>
      </c>
      <c r="AI1307" s="28">
        <f t="shared" si="473"/>
        <v>3.3426726469971361E-3</v>
      </c>
      <c r="AJ1307" s="28">
        <f t="shared" si="473"/>
        <v>3.3386222827258044E-3</v>
      </c>
      <c r="AK1307" s="28">
        <f t="shared" si="473"/>
        <v>3.3345719184544728E-3</v>
      </c>
      <c r="AL1307" s="28">
        <f t="shared" si="473"/>
        <v>3.3305215541831416E-3</v>
      </c>
      <c r="AM1307" s="28">
        <f t="shared" si="473"/>
        <v>3.3264711899118095E-3</v>
      </c>
      <c r="AN1307" s="28">
        <f t="shared" si="473"/>
        <v>3.3224208256404765E-3</v>
      </c>
      <c r="AO1307" s="28">
        <f t="shared" si="473"/>
        <v>3.3183704613691458E-3</v>
      </c>
      <c r="AP1307" s="28">
        <f t="shared" si="473"/>
        <v>3.3143200970978137E-3</v>
      </c>
      <c r="AQ1307" s="28">
        <f t="shared" si="473"/>
        <v>3.3102697328264833E-3</v>
      </c>
      <c r="AR1307" s="28">
        <f t="shared" si="473"/>
        <v>3.3062193685551499E-3</v>
      </c>
      <c r="AS1307" s="28">
        <f t="shared" si="473"/>
        <v>3.3021690042838187E-3</v>
      </c>
      <c r="AT1307" s="28">
        <f t="shared" si="473"/>
        <v>3.2981186400124866E-3</v>
      </c>
      <c r="AU1307" s="28">
        <f t="shared" si="473"/>
        <v>3.2940682757411541E-3</v>
      </c>
      <c r="AV1307" s="28">
        <f t="shared" si="473"/>
        <v>3.2900179114698229E-3</v>
      </c>
      <c r="AW1307" s="28">
        <f t="shared" si="473"/>
        <v>3.2859675471984908E-3</v>
      </c>
      <c r="AY1307" s="85"/>
      <c r="AZ1307" s="85"/>
    </row>
    <row r="1308" spans="1:52" x14ac:dyDescent="0.25">
      <c r="A1308" s="102" t="str">
        <f t="shared" si="384"/>
        <v>FSFAGSPQNIBDDSCM FSOM</v>
      </c>
      <c r="B1308" s="102" t="s">
        <v>1376</v>
      </c>
      <c r="C1308" s="102" t="s">
        <v>60</v>
      </c>
      <c r="D1308" t="s">
        <v>369</v>
      </c>
      <c r="E1308" t="s">
        <v>55</v>
      </c>
      <c r="F1308" t="s">
        <v>60</v>
      </c>
      <c r="G1308" t="s">
        <v>1273</v>
      </c>
      <c r="H1308" t="s">
        <v>1274</v>
      </c>
      <c r="J1308" t="s">
        <v>287</v>
      </c>
      <c r="K1308" s="28">
        <f t="shared" ref="K1308:AW1308" si="474">IFERROR(K1501-((K1501-K92)+(K1501-K245)+(K1501-K398)+(K1501-K550)+(K1501-K702)+(K1501-K853)+(K1501-K1004)+(K1501-K1155)),0)</f>
        <v>0.49020960547040615</v>
      </c>
      <c r="L1308" s="28">
        <f t="shared" si="474"/>
        <v>0.49134551154341793</v>
      </c>
      <c r="M1308" s="28">
        <f t="shared" si="474"/>
        <v>0.49248141761642988</v>
      </c>
      <c r="N1308" s="28">
        <f t="shared" si="474"/>
        <v>0.49361732368944172</v>
      </c>
      <c r="O1308" s="28">
        <f t="shared" si="474"/>
        <v>0.49475322976245356</v>
      </c>
      <c r="P1308" s="28">
        <f t="shared" si="474"/>
        <v>0.49588913583546534</v>
      </c>
      <c r="Q1308" s="28">
        <f t="shared" si="474"/>
        <v>0.49702504190847724</v>
      </c>
      <c r="R1308" s="28">
        <f t="shared" si="474"/>
        <v>0.49816094798148913</v>
      </c>
      <c r="S1308" s="28">
        <f t="shared" si="474"/>
        <v>0.49929685405450086</v>
      </c>
      <c r="T1308" s="28">
        <f t="shared" si="474"/>
        <v>0.50043276012751292</v>
      </c>
      <c r="U1308" s="28">
        <f t="shared" si="474"/>
        <v>0.50156866620052454</v>
      </c>
      <c r="V1308" s="28">
        <f t="shared" si="474"/>
        <v>0.50270457227353649</v>
      </c>
      <c r="W1308" s="28">
        <f t="shared" si="474"/>
        <v>0.50384047834654833</v>
      </c>
      <c r="X1308" s="28">
        <f t="shared" si="474"/>
        <v>0.50497638441956039</v>
      </c>
      <c r="Y1308" s="28">
        <f t="shared" si="474"/>
        <v>0.506112290492572</v>
      </c>
      <c r="Z1308" s="28">
        <f t="shared" si="474"/>
        <v>0.50724819656558406</v>
      </c>
      <c r="AA1308" s="28">
        <f t="shared" si="474"/>
        <v>0.50838410263859568</v>
      </c>
      <c r="AB1308" s="28">
        <f t="shared" si="474"/>
        <v>0.50952000871160763</v>
      </c>
      <c r="AC1308" s="28">
        <f t="shared" si="474"/>
        <v>0.51065591478461958</v>
      </c>
      <c r="AD1308" s="28">
        <f t="shared" si="474"/>
        <v>0.51179182085763142</v>
      </c>
      <c r="AE1308" s="28">
        <f t="shared" si="474"/>
        <v>0.51292772693064326</v>
      </c>
      <c r="AF1308" s="28">
        <f t="shared" si="474"/>
        <v>0.5140636330036551</v>
      </c>
      <c r="AG1308" s="28">
        <f t="shared" si="474"/>
        <v>0.51519953907666705</v>
      </c>
      <c r="AH1308" s="28">
        <f t="shared" si="474"/>
        <v>0.51633544514967877</v>
      </c>
      <c r="AI1308" s="28">
        <f t="shared" si="474"/>
        <v>0.51747135122269072</v>
      </c>
      <c r="AJ1308" s="28">
        <f t="shared" si="474"/>
        <v>0.51860725729570256</v>
      </c>
      <c r="AK1308" s="28">
        <f t="shared" si="474"/>
        <v>0.5197431633687144</v>
      </c>
      <c r="AL1308" s="28">
        <f t="shared" si="474"/>
        <v>0.52087906944172624</v>
      </c>
      <c r="AM1308" s="28">
        <f t="shared" si="474"/>
        <v>0.52201497551473808</v>
      </c>
      <c r="AN1308" s="28">
        <f t="shared" si="474"/>
        <v>0.52315088158774992</v>
      </c>
      <c r="AO1308" s="28">
        <f t="shared" si="474"/>
        <v>0.52428678766076187</v>
      </c>
      <c r="AP1308" s="28">
        <f t="shared" si="474"/>
        <v>0.52542269373377359</v>
      </c>
      <c r="AQ1308" s="28">
        <f t="shared" si="474"/>
        <v>0.52655859980678543</v>
      </c>
      <c r="AR1308" s="28">
        <f t="shared" si="474"/>
        <v>0.52769450587979749</v>
      </c>
      <c r="AS1308" s="28">
        <f t="shared" si="474"/>
        <v>0.52883041195280922</v>
      </c>
      <c r="AT1308" s="28">
        <f t="shared" si="474"/>
        <v>0.52996631802582106</v>
      </c>
      <c r="AU1308" s="28">
        <f t="shared" si="474"/>
        <v>0.53110222409883301</v>
      </c>
      <c r="AV1308" s="28">
        <f t="shared" si="474"/>
        <v>0.53223813017184474</v>
      </c>
      <c r="AW1308" s="28">
        <f t="shared" si="474"/>
        <v>0.5333740362448568</v>
      </c>
      <c r="AY1308" s="85"/>
      <c r="AZ1308" s="85"/>
    </row>
    <row r="1309" spans="1:52" x14ac:dyDescent="0.25">
      <c r="A1309" s="102" t="str">
        <f t="shared" si="384"/>
        <v>FSFAGSPQNIBDDSCM FSOM</v>
      </c>
      <c r="B1309" s="102" t="s">
        <v>1376</v>
      </c>
      <c r="C1309" s="102" t="s">
        <v>60</v>
      </c>
      <c r="D1309" t="s">
        <v>369</v>
      </c>
      <c r="E1309" t="s">
        <v>55</v>
      </c>
      <c r="F1309" t="s">
        <v>60</v>
      </c>
      <c r="G1309" t="s">
        <v>1275</v>
      </c>
      <c r="H1309" t="s">
        <v>1276</v>
      </c>
      <c r="J1309" t="s">
        <v>287</v>
      </c>
      <c r="K1309" s="28">
        <f t="shared" ref="K1309:AW1309" si="475">IFERROR(K1502-((K1502-K93)+(K1502-K246)+(K1502-K399)+(K1502-K551)+(K1502-K703)+(K1502-K854)+(K1502-K1005)+(K1502-K1156)),0)</f>
        <v>0.57597220909378744</v>
      </c>
      <c r="L1309" s="28">
        <f t="shared" si="475"/>
        <v>0.57597220909378744</v>
      </c>
      <c r="M1309" s="28">
        <f t="shared" si="475"/>
        <v>0.57597220909378744</v>
      </c>
      <c r="N1309" s="28">
        <f t="shared" si="475"/>
        <v>0.57597220909378744</v>
      </c>
      <c r="O1309" s="28">
        <f t="shared" si="475"/>
        <v>0.57597220909378744</v>
      </c>
      <c r="P1309" s="28">
        <f t="shared" si="475"/>
        <v>0.57597220909378744</v>
      </c>
      <c r="Q1309" s="28">
        <f t="shared" si="475"/>
        <v>0.57597220909378744</v>
      </c>
      <c r="R1309" s="28">
        <f t="shared" si="475"/>
        <v>0.57597220909378744</v>
      </c>
      <c r="S1309" s="28">
        <f t="shared" si="475"/>
        <v>0.57597220909378744</v>
      </c>
      <c r="T1309" s="28">
        <f t="shared" si="475"/>
        <v>0.57597220909378744</v>
      </c>
      <c r="U1309" s="28">
        <f t="shared" si="475"/>
        <v>0.57597220909378744</v>
      </c>
      <c r="V1309" s="28">
        <f t="shared" si="475"/>
        <v>0.57597220909378744</v>
      </c>
      <c r="W1309" s="28">
        <f t="shared" si="475"/>
        <v>0.57597220909378744</v>
      </c>
      <c r="X1309" s="28">
        <f t="shared" si="475"/>
        <v>0.57597220909378744</v>
      </c>
      <c r="Y1309" s="28">
        <f t="shared" si="475"/>
        <v>0.57597220909378744</v>
      </c>
      <c r="Z1309" s="28">
        <f t="shared" si="475"/>
        <v>0.57597220909378744</v>
      </c>
      <c r="AA1309" s="28">
        <f t="shared" si="475"/>
        <v>0.57597220909378744</v>
      </c>
      <c r="AB1309" s="28">
        <f t="shared" si="475"/>
        <v>0.57597220909378744</v>
      </c>
      <c r="AC1309" s="28">
        <f t="shared" si="475"/>
        <v>0.57597220909378744</v>
      </c>
      <c r="AD1309" s="28">
        <f t="shared" si="475"/>
        <v>0.57597220909378744</v>
      </c>
      <c r="AE1309" s="28">
        <f t="shared" si="475"/>
        <v>0.57597220909378744</v>
      </c>
      <c r="AF1309" s="28">
        <f t="shared" si="475"/>
        <v>0.57597220909378744</v>
      </c>
      <c r="AG1309" s="28">
        <f t="shared" si="475"/>
        <v>0.57597220909378744</v>
      </c>
      <c r="AH1309" s="28">
        <f t="shared" si="475"/>
        <v>0.57597220909378744</v>
      </c>
      <c r="AI1309" s="28">
        <f t="shared" si="475"/>
        <v>0.57597220909378744</v>
      </c>
      <c r="AJ1309" s="28">
        <f t="shared" si="475"/>
        <v>0.57597220909378744</v>
      </c>
      <c r="AK1309" s="28">
        <f t="shared" si="475"/>
        <v>0.57597220909378744</v>
      </c>
      <c r="AL1309" s="28">
        <f t="shared" si="475"/>
        <v>0.57597220909378744</v>
      </c>
      <c r="AM1309" s="28">
        <f t="shared" si="475"/>
        <v>0.57597220909378744</v>
      </c>
      <c r="AN1309" s="28">
        <f t="shared" si="475"/>
        <v>0.57597220909378744</v>
      </c>
      <c r="AO1309" s="28">
        <f t="shared" si="475"/>
        <v>0.57597220909378744</v>
      </c>
      <c r="AP1309" s="28">
        <f t="shared" si="475"/>
        <v>0.57597220909378744</v>
      </c>
      <c r="AQ1309" s="28">
        <f t="shared" si="475"/>
        <v>0.57597220909378744</v>
      </c>
      <c r="AR1309" s="28">
        <f t="shared" si="475"/>
        <v>0.57597220909378744</v>
      </c>
      <c r="AS1309" s="28">
        <f t="shared" si="475"/>
        <v>0.57597220909378744</v>
      </c>
      <c r="AT1309" s="28">
        <f t="shared" si="475"/>
        <v>0.57597220909378744</v>
      </c>
      <c r="AU1309" s="28">
        <f t="shared" si="475"/>
        <v>0.57597220909378744</v>
      </c>
      <c r="AV1309" s="28">
        <f t="shared" si="475"/>
        <v>0.57597220909378744</v>
      </c>
      <c r="AW1309" s="28">
        <f t="shared" si="475"/>
        <v>0.57597220909378744</v>
      </c>
      <c r="AY1309" s="85"/>
      <c r="AZ1309" s="85"/>
    </row>
    <row r="1310" spans="1:52" x14ac:dyDescent="0.25">
      <c r="A1310" s="102" t="str">
        <f t="shared" si="384"/>
        <v>FSFAGSPQNIBDDSCM FSOM</v>
      </c>
      <c r="B1310" s="102" t="s">
        <v>1376</v>
      </c>
      <c r="C1310" s="102" t="s">
        <v>60</v>
      </c>
      <c r="D1310" t="s">
        <v>369</v>
      </c>
      <c r="E1310" t="s">
        <v>55</v>
      </c>
      <c r="F1310" t="s">
        <v>60</v>
      </c>
      <c r="G1310" t="s">
        <v>1277</v>
      </c>
      <c r="H1310" t="s">
        <v>1278</v>
      </c>
      <c r="J1310" t="s">
        <v>287</v>
      </c>
      <c r="K1310" s="28">
        <f t="shared" ref="K1310:AW1310" si="476">IFERROR(K1503-((K1503-K94)+(K1503-K247)+(K1503-K400)+(K1503-K552)+(K1503-K704)+(K1503-K855)+(K1503-K1006)+(K1503-K1157)),0)</f>
        <v>0</v>
      </c>
      <c r="L1310" s="28">
        <f t="shared" si="476"/>
        <v>0</v>
      </c>
      <c r="M1310" s="28">
        <f t="shared" si="476"/>
        <v>0</v>
      </c>
      <c r="N1310" s="28">
        <f t="shared" si="476"/>
        <v>0</v>
      </c>
      <c r="O1310" s="28">
        <f t="shared" si="476"/>
        <v>0</v>
      </c>
      <c r="P1310" s="28">
        <f t="shared" si="476"/>
        <v>0</v>
      </c>
      <c r="Q1310" s="28">
        <f t="shared" si="476"/>
        <v>0</v>
      </c>
      <c r="R1310" s="28">
        <f t="shared" si="476"/>
        <v>0</v>
      </c>
      <c r="S1310" s="28">
        <f t="shared" si="476"/>
        <v>0</v>
      </c>
      <c r="T1310" s="28">
        <f t="shared" si="476"/>
        <v>0</v>
      </c>
      <c r="U1310" s="28">
        <f t="shared" si="476"/>
        <v>0</v>
      </c>
      <c r="V1310" s="28">
        <f t="shared" si="476"/>
        <v>0</v>
      </c>
      <c r="W1310" s="28">
        <f t="shared" si="476"/>
        <v>0</v>
      </c>
      <c r="X1310" s="28">
        <f t="shared" si="476"/>
        <v>0</v>
      </c>
      <c r="Y1310" s="28">
        <f t="shared" si="476"/>
        <v>0</v>
      </c>
      <c r="Z1310" s="28">
        <f t="shared" si="476"/>
        <v>0</v>
      </c>
      <c r="AA1310" s="28">
        <f t="shared" si="476"/>
        <v>0</v>
      </c>
      <c r="AB1310" s="28">
        <f t="shared" si="476"/>
        <v>0</v>
      </c>
      <c r="AC1310" s="28">
        <f t="shared" si="476"/>
        <v>0</v>
      </c>
      <c r="AD1310" s="28">
        <f t="shared" si="476"/>
        <v>0</v>
      </c>
      <c r="AE1310" s="28">
        <f t="shared" si="476"/>
        <v>0</v>
      </c>
      <c r="AF1310" s="28">
        <f t="shared" si="476"/>
        <v>0</v>
      </c>
      <c r="AG1310" s="28">
        <f t="shared" si="476"/>
        <v>0</v>
      </c>
      <c r="AH1310" s="28">
        <f t="shared" si="476"/>
        <v>0</v>
      </c>
      <c r="AI1310" s="28">
        <f t="shared" si="476"/>
        <v>0</v>
      </c>
      <c r="AJ1310" s="28">
        <f t="shared" si="476"/>
        <v>0</v>
      </c>
      <c r="AK1310" s="28">
        <f t="shared" si="476"/>
        <v>0</v>
      </c>
      <c r="AL1310" s="28">
        <f t="shared" si="476"/>
        <v>0</v>
      </c>
      <c r="AM1310" s="28">
        <f t="shared" si="476"/>
        <v>0</v>
      </c>
      <c r="AN1310" s="28">
        <f t="shared" si="476"/>
        <v>0</v>
      </c>
      <c r="AO1310" s="28">
        <f t="shared" si="476"/>
        <v>0</v>
      </c>
      <c r="AP1310" s="28">
        <f t="shared" si="476"/>
        <v>0</v>
      </c>
      <c r="AQ1310" s="28">
        <f t="shared" si="476"/>
        <v>0</v>
      </c>
      <c r="AR1310" s="28">
        <f t="shared" si="476"/>
        <v>0</v>
      </c>
      <c r="AS1310" s="28">
        <f t="shared" si="476"/>
        <v>0</v>
      </c>
      <c r="AT1310" s="28">
        <f t="shared" si="476"/>
        <v>0</v>
      </c>
      <c r="AU1310" s="28">
        <f t="shared" si="476"/>
        <v>0</v>
      </c>
      <c r="AV1310" s="28">
        <f t="shared" si="476"/>
        <v>0</v>
      </c>
      <c r="AW1310" s="28">
        <f t="shared" si="476"/>
        <v>0</v>
      </c>
      <c r="AY1310" s="85"/>
      <c r="AZ1310" s="85"/>
    </row>
    <row r="1311" spans="1:52" x14ac:dyDescent="0.25">
      <c r="A1311" s="102" t="str">
        <f t="shared" si="384"/>
        <v>FSFAGSPQNIBDDSCM FSOM</v>
      </c>
      <c r="B1311" s="102" t="s">
        <v>1376</v>
      </c>
      <c r="C1311" s="102" t="s">
        <v>60</v>
      </c>
      <c r="D1311" t="s">
        <v>369</v>
      </c>
      <c r="E1311" t="s">
        <v>55</v>
      </c>
      <c r="F1311" t="s">
        <v>60</v>
      </c>
      <c r="G1311" t="s">
        <v>1279</v>
      </c>
      <c r="H1311" t="s">
        <v>1280</v>
      </c>
      <c r="J1311" t="s">
        <v>287</v>
      </c>
      <c r="K1311" s="28">
        <f t="shared" ref="K1311:AW1311" si="477">IFERROR(K1504-((K1504-K95)+(K1504-K248)+(K1504-K401)+(K1504-K553)+(K1504-K705)+(K1504-K856)+(K1504-K1007)+(K1504-K1158)),0)</f>
        <v>0</v>
      </c>
      <c r="L1311" s="28">
        <f t="shared" si="477"/>
        <v>0</v>
      </c>
      <c r="M1311" s="28">
        <f t="shared" si="477"/>
        <v>0</v>
      </c>
      <c r="N1311" s="28">
        <f t="shared" si="477"/>
        <v>0</v>
      </c>
      <c r="O1311" s="28">
        <f t="shared" si="477"/>
        <v>0</v>
      </c>
      <c r="P1311" s="28">
        <f t="shared" si="477"/>
        <v>0</v>
      </c>
      <c r="Q1311" s="28">
        <f t="shared" si="477"/>
        <v>0</v>
      </c>
      <c r="R1311" s="28">
        <f t="shared" si="477"/>
        <v>0</v>
      </c>
      <c r="S1311" s="28">
        <f t="shared" si="477"/>
        <v>0</v>
      </c>
      <c r="T1311" s="28">
        <f t="shared" si="477"/>
        <v>0</v>
      </c>
      <c r="U1311" s="28">
        <f t="shared" si="477"/>
        <v>0</v>
      </c>
      <c r="V1311" s="28">
        <f t="shared" si="477"/>
        <v>0</v>
      </c>
      <c r="W1311" s="28">
        <f t="shared" si="477"/>
        <v>0</v>
      </c>
      <c r="X1311" s="28">
        <f t="shared" si="477"/>
        <v>0</v>
      </c>
      <c r="Y1311" s="28">
        <f t="shared" si="477"/>
        <v>0</v>
      </c>
      <c r="Z1311" s="28">
        <f t="shared" si="477"/>
        <v>0</v>
      </c>
      <c r="AA1311" s="28">
        <f t="shared" si="477"/>
        <v>0</v>
      </c>
      <c r="AB1311" s="28">
        <f t="shared" si="477"/>
        <v>0</v>
      </c>
      <c r="AC1311" s="28">
        <f t="shared" si="477"/>
        <v>0</v>
      </c>
      <c r="AD1311" s="28">
        <f t="shared" si="477"/>
        <v>0</v>
      </c>
      <c r="AE1311" s="28">
        <f t="shared" si="477"/>
        <v>0</v>
      </c>
      <c r="AF1311" s="28">
        <f t="shared" si="477"/>
        <v>0</v>
      </c>
      <c r="AG1311" s="28">
        <f t="shared" si="477"/>
        <v>0</v>
      </c>
      <c r="AH1311" s="28">
        <f t="shared" si="477"/>
        <v>0</v>
      </c>
      <c r="AI1311" s="28">
        <f t="shared" si="477"/>
        <v>0</v>
      </c>
      <c r="AJ1311" s="28">
        <f t="shared" si="477"/>
        <v>0</v>
      </c>
      <c r="AK1311" s="28">
        <f t="shared" si="477"/>
        <v>0</v>
      </c>
      <c r="AL1311" s="28">
        <f t="shared" si="477"/>
        <v>0</v>
      </c>
      <c r="AM1311" s="28">
        <f t="shared" si="477"/>
        <v>0</v>
      </c>
      <c r="AN1311" s="28">
        <f t="shared" si="477"/>
        <v>0</v>
      </c>
      <c r="AO1311" s="28">
        <f t="shared" si="477"/>
        <v>0</v>
      </c>
      <c r="AP1311" s="28">
        <f t="shared" si="477"/>
        <v>0</v>
      </c>
      <c r="AQ1311" s="28">
        <f t="shared" si="477"/>
        <v>0</v>
      </c>
      <c r="AR1311" s="28">
        <f t="shared" si="477"/>
        <v>0</v>
      </c>
      <c r="AS1311" s="28">
        <f t="shared" si="477"/>
        <v>0</v>
      </c>
      <c r="AT1311" s="28">
        <f t="shared" si="477"/>
        <v>0</v>
      </c>
      <c r="AU1311" s="28">
        <f t="shared" si="477"/>
        <v>0</v>
      </c>
      <c r="AV1311" s="28">
        <f t="shared" si="477"/>
        <v>0</v>
      </c>
      <c r="AW1311" s="28">
        <f t="shared" si="477"/>
        <v>0</v>
      </c>
      <c r="AY1311" s="85"/>
      <c r="AZ1311" s="85"/>
    </row>
    <row r="1312" spans="1:52" x14ac:dyDescent="0.25">
      <c r="A1312" s="102" t="str">
        <f t="shared" si="384"/>
        <v>FSFAGSPQNIBDDSCM FSOM</v>
      </c>
      <c r="B1312" s="102" t="s">
        <v>1376</v>
      </c>
      <c r="C1312" s="102" t="s">
        <v>60</v>
      </c>
      <c r="D1312" t="s">
        <v>369</v>
      </c>
      <c r="E1312" t="s">
        <v>55</v>
      </c>
      <c r="F1312" t="s">
        <v>60</v>
      </c>
      <c r="G1312" t="s">
        <v>1281</v>
      </c>
      <c r="H1312" t="s">
        <v>1282</v>
      </c>
      <c r="J1312" t="s">
        <v>287</v>
      </c>
      <c r="K1312" s="28">
        <f t="shared" ref="K1312:AW1312" si="478">IFERROR(K1505-((K1505-K96)+(K1505-K249)+(K1505-K402)+(K1505-K554)+(K1505-K706)+(K1505-K857)+(K1505-K1008)+(K1505-K1159)),0)</f>
        <v>0</v>
      </c>
      <c r="L1312" s="28">
        <f t="shared" si="478"/>
        <v>0</v>
      </c>
      <c r="M1312" s="28">
        <f t="shared" si="478"/>
        <v>0</v>
      </c>
      <c r="N1312" s="28">
        <f t="shared" si="478"/>
        <v>0</v>
      </c>
      <c r="O1312" s="28">
        <f t="shared" si="478"/>
        <v>0</v>
      </c>
      <c r="P1312" s="28">
        <f t="shared" si="478"/>
        <v>0</v>
      </c>
      <c r="Q1312" s="28">
        <f t="shared" si="478"/>
        <v>0</v>
      </c>
      <c r="R1312" s="28">
        <f t="shared" si="478"/>
        <v>0</v>
      </c>
      <c r="S1312" s="28">
        <f t="shared" si="478"/>
        <v>0</v>
      </c>
      <c r="T1312" s="28">
        <f t="shared" si="478"/>
        <v>0</v>
      </c>
      <c r="U1312" s="28">
        <f t="shared" si="478"/>
        <v>0</v>
      </c>
      <c r="V1312" s="28">
        <f t="shared" si="478"/>
        <v>0</v>
      </c>
      <c r="W1312" s="28">
        <f t="shared" si="478"/>
        <v>0</v>
      </c>
      <c r="X1312" s="28">
        <f t="shared" si="478"/>
        <v>0</v>
      </c>
      <c r="Y1312" s="28">
        <f t="shared" si="478"/>
        <v>0</v>
      </c>
      <c r="Z1312" s="28">
        <f t="shared" si="478"/>
        <v>0</v>
      </c>
      <c r="AA1312" s="28">
        <f t="shared" si="478"/>
        <v>0</v>
      </c>
      <c r="AB1312" s="28">
        <f t="shared" si="478"/>
        <v>0</v>
      </c>
      <c r="AC1312" s="28">
        <f t="shared" si="478"/>
        <v>0</v>
      </c>
      <c r="AD1312" s="28">
        <f t="shared" si="478"/>
        <v>0</v>
      </c>
      <c r="AE1312" s="28">
        <f t="shared" si="478"/>
        <v>0</v>
      </c>
      <c r="AF1312" s="28">
        <f t="shared" si="478"/>
        <v>0</v>
      </c>
      <c r="AG1312" s="28">
        <f t="shared" si="478"/>
        <v>0</v>
      </c>
      <c r="AH1312" s="28">
        <f t="shared" si="478"/>
        <v>0</v>
      </c>
      <c r="AI1312" s="28">
        <f t="shared" si="478"/>
        <v>0</v>
      </c>
      <c r="AJ1312" s="28">
        <f t="shared" si="478"/>
        <v>0</v>
      </c>
      <c r="AK1312" s="28">
        <f t="shared" si="478"/>
        <v>0</v>
      </c>
      <c r="AL1312" s="28">
        <f t="shared" si="478"/>
        <v>0</v>
      </c>
      <c r="AM1312" s="28">
        <f t="shared" si="478"/>
        <v>0</v>
      </c>
      <c r="AN1312" s="28">
        <f t="shared" si="478"/>
        <v>0</v>
      </c>
      <c r="AO1312" s="28">
        <f t="shared" si="478"/>
        <v>0</v>
      </c>
      <c r="AP1312" s="28">
        <f t="shared" si="478"/>
        <v>0</v>
      </c>
      <c r="AQ1312" s="28">
        <f t="shared" si="478"/>
        <v>0</v>
      </c>
      <c r="AR1312" s="28">
        <f t="shared" si="478"/>
        <v>0</v>
      </c>
      <c r="AS1312" s="28">
        <f t="shared" si="478"/>
        <v>0</v>
      </c>
      <c r="AT1312" s="28">
        <f t="shared" si="478"/>
        <v>0</v>
      </c>
      <c r="AU1312" s="28">
        <f t="shared" si="478"/>
        <v>0</v>
      </c>
      <c r="AV1312" s="28">
        <f t="shared" si="478"/>
        <v>0</v>
      </c>
      <c r="AW1312" s="28">
        <f t="shared" si="478"/>
        <v>0</v>
      </c>
      <c r="AY1312" s="85"/>
      <c r="AZ1312" s="85"/>
    </row>
    <row r="1313" spans="1:52" x14ac:dyDescent="0.25">
      <c r="A1313" s="102" t="str">
        <f t="shared" si="384"/>
        <v>FSFAGSPQNIBDDSCM FSOM</v>
      </c>
      <c r="B1313" s="102" t="s">
        <v>1376</v>
      </c>
      <c r="C1313" s="102" t="s">
        <v>60</v>
      </c>
      <c r="D1313" t="s">
        <v>369</v>
      </c>
      <c r="E1313" t="s">
        <v>55</v>
      </c>
      <c r="F1313" t="s">
        <v>60</v>
      </c>
      <c r="G1313" t="s">
        <v>1283</v>
      </c>
      <c r="H1313" t="s">
        <v>1284</v>
      </c>
      <c r="J1313" t="s">
        <v>287</v>
      </c>
      <c r="K1313" s="28">
        <f t="shared" ref="K1313:AW1313" si="479">IFERROR(K1506-((K1506-K97)+(K1506-K250)+(K1506-K403)+(K1506-K555)+(K1506-K707)+(K1506-K858)+(K1506-K1009)+(K1506-K1160)),0)</f>
        <v>5.604018730639919E-5</v>
      </c>
      <c r="L1313" s="28">
        <f t="shared" si="479"/>
        <v>5.604018730639919E-5</v>
      </c>
      <c r="M1313" s="28">
        <f t="shared" si="479"/>
        <v>5.604018730639919E-5</v>
      </c>
      <c r="N1313" s="28">
        <f t="shared" si="479"/>
        <v>5.604018730639919E-5</v>
      </c>
      <c r="O1313" s="28">
        <f t="shared" si="479"/>
        <v>5.604018730639919E-5</v>
      </c>
      <c r="P1313" s="28">
        <f t="shared" si="479"/>
        <v>5.604018730639919E-5</v>
      </c>
      <c r="Q1313" s="28">
        <f t="shared" si="479"/>
        <v>5.604018730639919E-5</v>
      </c>
      <c r="R1313" s="28">
        <f t="shared" si="479"/>
        <v>5.604018730639919E-5</v>
      </c>
      <c r="S1313" s="28">
        <f t="shared" si="479"/>
        <v>5.604018730639919E-5</v>
      </c>
      <c r="T1313" s="28">
        <f t="shared" si="479"/>
        <v>5.604018730639919E-5</v>
      </c>
      <c r="U1313" s="28">
        <f t="shared" si="479"/>
        <v>5.604018730639919E-5</v>
      </c>
      <c r="V1313" s="28">
        <f t="shared" si="479"/>
        <v>5.604018730639919E-5</v>
      </c>
      <c r="W1313" s="28">
        <f t="shared" si="479"/>
        <v>5.604018730639919E-5</v>
      </c>
      <c r="X1313" s="28">
        <f t="shared" si="479"/>
        <v>5.604018730639919E-5</v>
      </c>
      <c r="Y1313" s="28">
        <f t="shared" si="479"/>
        <v>5.604018730639919E-5</v>
      </c>
      <c r="Z1313" s="28">
        <f t="shared" si="479"/>
        <v>5.604018730639919E-5</v>
      </c>
      <c r="AA1313" s="28">
        <f t="shared" si="479"/>
        <v>5.604018730639919E-5</v>
      </c>
      <c r="AB1313" s="28">
        <f t="shared" si="479"/>
        <v>5.604018730639919E-5</v>
      </c>
      <c r="AC1313" s="28">
        <f t="shared" si="479"/>
        <v>5.604018730639919E-5</v>
      </c>
      <c r="AD1313" s="28">
        <f t="shared" si="479"/>
        <v>5.604018730639919E-5</v>
      </c>
      <c r="AE1313" s="28">
        <f t="shared" si="479"/>
        <v>5.604018730639919E-5</v>
      </c>
      <c r="AF1313" s="28">
        <f t="shared" si="479"/>
        <v>5.604018730639919E-5</v>
      </c>
      <c r="AG1313" s="28">
        <f t="shared" si="479"/>
        <v>5.604018730639919E-5</v>
      </c>
      <c r="AH1313" s="28">
        <f t="shared" si="479"/>
        <v>5.604018730639919E-5</v>
      </c>
      <c r="AI1313" s="28">
        <f t="shared" si="479"/>
        <v>5.604018730639919E-5</v>
      </c>
      <c r="AJ1313" s="28">
        <f t="shared" si="479"/>
        <v>5.604018730639919E-5</v>
      </c>
      <c r="AK1313" s="28">
        <f t="shared" si="479"/>
        <v>5.604018730639919E-5</v>
      </c>
      <c r="AL1313" s="28">
        <f t="shared" si="479"/>
        <v>5.604018730639919E-5</v>
      </c>
      <c r="AM1313" s="28">
        <f t="shared" si="479"/>
        <v>5.604018730639919E-5</v>
      </c>
      <c r="AN1313" s="28">
        <f t="shared" si="479"/>
        <v>5.604018730639919E-5</v>
      </c>
      <c r="AO1313" s="28">
        <f t="shared" si="479"/>
        <v>5.604018730639919E-5</v>
      </c>
      <c r="AP1313" s="28">
        <f t="shared" si="479"/>
        <v>5.604018730639919E-5</v>
      </c>
      <c r="AQ1313" s="28">
        <f t="shared" si="479"/>
        <v>5.604018730639919E-5</v>
      </c>
      <c r="AR1313" s="28">
        <f t="shared" si="479"/>
        <v>5.604018730639919E-5</v>
      </c>
      <c r="AS1313" s="28">
        <f t="shared" si="479"/>
        <v>5.604018730639919E-5</v>
      </c>
      <c r="AT1313" s="28">
        <f t="shared" si="479"/>
        <v>5.604018730639919E-5</v>
      </c>
      <c r="AU1313" s="28">
        <f t="shared" si="479"/>
        <v>5.604018730639919E-5</v>
      </c>
      <c r="AV1313" s="28">
        <f t="shared" si="479"/>
        <v>5.604018730639919E-5</v>
      </c>
      <c r="AW1313" s="28">
        <f t="shared" si="479"/>
        <v>5.604018730639919E-5</v>
      </c>
      <c r="AY1313" s="85"/>
      <c r="AZ1313" s="85"/>
    </row>
    <row r="1314" spans="1:52" x14ac:dyDescent="0.25">
      <c r="A1314" s="102" t="str">
        <f t="shared" si="384"/>
        <v>FSFAGSPQNIBDDSCM FSOM</v>
      </c>
      <c r="B1314" s="102" t="s">
        <v>1376</v>
      </c>
      <c r="C1314" s="102" t="s">
        <v>60</v>
      </c>
      <c r="D1314" t="s">
        <v>369</v>
      </c>
      <c r="E1314" t="s">
        <v>55</v>
      </c>
      <c r="F1314" t="s">
        <v>60</v>
      </c>
      <c r="G1314" t="s">
        <v>1285</v>
      </c>
      <c r="H1314" t="s">
        <v>1286</v>
      </c>
      <c r="J1314" t="s">
        <v>287</v>
      </c>
      <c r="K1314" s="28">
        <f t="shared" ref="K1314:AW1314" si="480">IFERROR(K1507-((K1507-K98)+(K1507-K251)+(K1507-K404)+(K1507-K556)+(K1507-K708)+(K1507-K859)+(K1507-K1010)+(K1507-K1161)),0)</f>
        <v>6.110857899094551E-2</v>
      </c>
      <c r="L1314" s="28">
        <f t="shared" si="480"/>
        <v>6.110857899094551E-2</v>
      </c>
      <c r="M1314" s="28">
        <f t="shared" si="480"/>
        <v>6.110857899094551E-2</v>
      </c>
      <c r="N1314" s="28">
        <f t="shared" si="480"/>
        <v>6.110857899094551E-2</v>
      </c>
      <c r="O1314" s="28">
        <f t="shared" si="480"/>
        <v>6.110857899094551E-2</v>
      </c>
      <c r="P1314" s="28">
        <f t="shared" si="480"/>
        <v>6.110857899094551E-2</v>
      </c>
      <c r="Q1314" s="28">
        <f t="shared" si="480"/>
        <v>6.110857899094551E-2</v>
      </c>
      <c r="R1314" s="28">
        <f t="shared" si="480"/>
        <v>6.110857899094551E-2</v>
      </c>
      <c r="S1314" s="28">
        <f t="shared" si="480"/>
        <v>6.110857899094551E-2</v>
      </c>
      <c r="T1314" s="28">
        <f t="shared" si="480"/>
        <v>6.110857899094551E-2</v>
      </c>
      <c r="U1314" s="28">
        <f t="shared" si="480"/>
        <v>6.110857899094551E-2</v>
      </c>
      <c r="V1314" s="28">
        <f t="shared" si="480"/>
        <v>6.110857899094551E-2</v>
      </c>
      <c r="W1314" s="28">
        <f t="shared" si="480"/>
        <v>6.110857899094551E-2</v>
      </c>
      <c r="X1314" s="28">
        <f t="shared" si="480"/>
        <v>6.110857899094551E-2</v>
      </c>
      <c r="Y1314" s="28">
        <f t="shared" si="480"/>
        <v>6.110857899094551E-2</v>
      </c>
      <c r="Z1314" s="28">
        <f t="shared" si="480"/>
        <v>6.110857899094551E-2</v>
      </c>
      <c r="AA1314" s="28">
        <f t="shared" si="480"/>
        <v>6.110857899094551E-2</v>
      </c>
      <c r="AB1314" s="28">
        <f t="shared" si="480"/>
        <v>6.110857899094551E-2</v>
      </c>
      <c r="AC1314" s="28">
        <f t="shared" si="480"/>
        <v>6.110857899094551E-2</v>
      </c>
      <c r="AD1314" s="28">
        <f t="shared" si="480"/>
        <v>6.110857899094551E-2</v>
      </c>
      <c r="AE1314" s="28">
        <f t="shared" si="480"/>
        <v>6.110857899094551E-2</v>
      </c>
      <c r="AF1314" s="28">
        <f t="shared" si="480"/>
        <v>6.110857899094551E-2</v>
      </c>
      <c r="AG1314" s="28">
        <f t="shared" si="480"/>
        <v>6.110857899094551E-2</v>
      </c>
      <c r="AH1314" s="28">
        <f t="shared" si="480"/>
        <v>6.110857899094551E-2</v>
      </c>
      <c r="AI1314" s="28">
        <f t="shared" si="480"/>
        <v>6.110857899094551E-2</v>
      </c>
      <c r="AJ1314" s="28">
        <f t="shared" si="480"/>
        <v>6.110857899094551E-2</v>
      </c>
      <c r="AK1314" s="28">
        <f t="shared" si="480"/>
        <v>6.110857899094551E-2</v>
      </c>
      <c r="AL1314" s="28">
        <f t="shared" si="480"/>
        <v>6.110857899094551E-2</v>
      </c>
      <c r="AM1314" s="28">
        <f t="shared" si="480"/>
        <v>6.110857899094551E-2</v>
      </c>
      <c r="AN1314" s="28">
        <f t="shared" si="480"/>
        <v>6.110857899094551E-2</v>
      </c>
      <c r="AO1314" s="28">
        <f t="shared" si="480"/>
        <v>6.110857899094551E-2</v>
      </c>
      <c r="AP1314" s="28">
        <f t="shared" si="480"/>
        <v>6.110857899094551E-2</v>
      </c>
      <c r="AQ1314" s="28">
        <f t="shared" si="480"/>
        <v>6.110857899094551E-2</v>
      </c>
      <c r="AR1314" s="28">
        <f t="shared" si="480"/>
        <v>6.110857899094551E-2</v>
      </c>
      <c r="AS1314" s="28">
        <f t="shared" si="480"/>
        <v>6.110857899094551E-2</v>
      </c>
      <c r="AT1314" s="28">
        <f t="shared" si="480"/>
        <v>6.110857899094551E-2</v>
      </c>
      <c r="AU1314" s="28">
        <f t="shared" si="480"/>
        <v>6.110857899094551E-2</v>
      </c>
      <c r="AV1314" s="28">
        <f t="shared" si="480"/>
        <v>6.110857899094551E-2</v>
      </c>
      <c r="AW1314" s="28">
        <f t="shared" si="480"/>
        <v>6.110857899094551E-2</v>
      </c>
      <c r="AY1314" s="85"/>
      <c r="AZ1314" s="85"/>
    </row>
    <row r="1315" spans="1:52" x14ac:dyDescent="0.25">
      <c r="A1315" s="102" t="str">
        <f t="shared" si="384"/>
        <v>FSFAGSPQNIBDDSCM FSOM</v>
      </c>
      <c r="B1315" s="102" t="s">
        <v>1376</v>
      </c>
      <c r="C1315" s="102" t="s">
        <v>60</v>
      </c>
      <c r="D1315" t="s">
        <v>369</v>
      </c>
      <c r="E1315" t="s">
        <v>55</v>
      </c>
      <c r="F1315" t="s">
        <v>60</v>
      </c>
      <c r="G1315" t="s">
        <v>1287</v>
      </c>
      <c r="H1315" t="s">
        <v>1288</v>
      </c>
      <c r="J1315" t="s">
        <v>287</v>
      </c>
      <c r="K1315" s="28">
        <f t="shared" ref="K1315:AW1315" si="481">IFERROR(K1508-((K1508-K99)+(K1508-K252)+(K1508-K405)+(K1508-K557)+(K1508-K709)+(K1508-K860)+(K1508-K1011)+(K1508-K1162)),0)</f>
        <v>0</v>
      </c>
      <c r="L1315" s="28">
        <f t="shared" si="481"/>
        <v>0</v>
      </c>
      <c r="M1315" s="28">
        <f t="shared" si="481"/>
        <v>0</v>
      </c>
      <c r="N1315" s="28">
        <f t="shared" si="481"/>
        <v>0</v>
      </c>
      <c r="O1315" s="28">
        <f t="shared" si="481"/>
        <v>0</v>
      </c>
      <c r="P1315" s="28">
        <f t="shared" si="481"/>
        <v>0</v>
      </c>
      <c r="Q1315" s="28">
        <f t="shared" si="481"/>
        <v>0</v>
      </c>
      <c r="R1315" s="28">
        <f t="shared" si="481"/>
        <v>0</v>
      </c>
      <c r="S1315" s="28">
        <f t="shared" si="481"/>
        <v>0</v>
      </c>
      <c r="T1315" s="28">
        <f t="shared" si="481"/>
        <v>0</v>
      </c>
      <c r="U1315" s="28">
        <f t="shared" si="481"/>
        <v>0</v>
      </c>
      <c r="V1315" s="28">
        <f t="shared" si="481"/>
        <v>0</v>
      </c>
      <c r="W1315" s="28">
        <f t="shared" si="481"/>
        <v>0</v>
      </c>
      <c r="X1315" s="28">
        <f t="shared" si="481"/>
        <v>0</v>
      </c>
      <c r="Y1315" s="28">
        <f t="shared" si="481"/>
        <v>0</v>
      </c>
      <c r="Z1315" s="28">
        <f t="shared" si="481"/>
        <v>0</v>
      </c>
      <c r="AA1315" s="28">
        <f t="shared" si="481"/>
        <v>0</v>
      </c>
      <c r="AB1315" s="28">
        <f t="shared" si="481"/>
        <v>0</v>
      </c>
      <c r="AC1315" s="28">
        <f t="shared" si="481"/>
        <v>0</v>
      </c>
      <c r="AD1315" s="28">
        <f t="shared" si="481"/>
        <v>0</v>
      </c>
      <c r="AE1315" s="28">
        <f t="shared" si="481"/>
        <v>0</v>
      </c>
      <c r="AF1315" s="28">
        <f t="shared" si="481"/>
        <v>0</v>
      </c>
      <c r="AG1315" s="28">
        <f t="shared" si="481"/>
        <v>0</v>
      </c>
      <c r="AH1315" s="28">
        <f t="shared" si="481"/>
        <v>0</v>
      </c>
      <c r="AI1315" s="28">
        <f t="shared" si="481"/>
        <v>0</v>
      </c>
      <c r="AJ1315" s="28">
        <f t="shared" si="481"/>
        <v>0</v>
      </c>
      <c r="AK1315" s="28">
        <f t="shared" si="481"/>
        <v>0</v>
      </c>
      <c r="AL1315" s="28">
        <f t="shared" si="481"/>
        <v>0</v>
      </c>
      <c r="AM1315" s="28">
        <f t="shared" si="481"/>
        <v>0</v>
      </c>
      <c r="AN1315" s="28">
        <f t="shared" si="481"/>
        <v>0</v>
      </c>
      <c r="AO1315" s="28">
        <f t="shared" si="481"/>
        <v>0</v>
      </c>
      <c r="AP1315" s="28">
        <f t="shared" si="481"/>
        <v>0</v>
      </c>
      <c r="AQ1315" s="28">
        <f t="shared" si="481"/>
        <v>0</v>
      </c>
      <c r="AR1315" s="28">
        <f t="shared" si="481"/>
        <v>0</v>
      </c>
      <c r="AS1315" s="28">
        <f t="shared" si="481"/>
        <v>0</v>
      </c>
      <c r="AT1315" s="28">
        <f t="shared" si="481"/>
        <v>0</v>
      </c>
      <c r="AU1315" s="28">
        <f t="shared" si="481"/>
        <v>0</v>
      </c>
      <c r="AV1315" s="28">
        <f t="shared" si="481"/>
        <v>0</v>
      </c>
      <c r="AW1315" s="28">
        <f t="shared" si="481"/>
        <v>0</v>
      </c>
      <c r="AY1315" s="85"/>
      <c r="AZ1315" s="85"/>
    </row>
    <row r="1316" spans="1:52" x14ac:dyDescent="0.25">
      <c r="A1316" s="102" t="str">
        <f t="shared" si="384"/>
        <v>FSFAGSPQNIBDDSCM FSOM</v>
      </c>
      <c r="B1316" s="102" t="s">
        <v>1376</v>
      </c>
      <c r="C1316" s="102" t="s">
        <v>60</v>
      </c>
      <c r="D1316" t="s">
        <v>369</v>
      </c>
      <c r="E1316" t="s">
        <v>55</v>
      </c>
      <c r="F1316" t="s">
        <v>60</v>
      </c>
      <c r="G1316" t="s">
        <v>1289</v>
      </c>
      <c r="H1316" t="s">
        <v>1290</v>
      </c>
      <c r="J1316" t="s">
        <v>287</v>
      </c>
      <c r="K1316" s="28">
        <f t="shared" ref="K1316:AW1316" si="482">IFERROR(K1509-((K1509-K100)+(K1509-K253)+(K1509-K406)+(K1509-K558)+(K1509-K710)+(K1509-K861)+(K1509-K1012)+(K1509-K1163)),0)</f>
        <v>3.1961717215001131</v>
      </c>
      <c r="L1316" s="28">
        <f t="shared" si="482"/>
        <v>3.1961717215001131</v>
      </c>
      <c r="M1316" s="28">
        <f t="shared" si="482"/>
        <v>3.1961717215001131</v>
      </c>
      <c r="N1316" s="28">
        <f t="shared" si="482"/>
        <v>3.1961717215001131</v>
      </c>
      <c r="O1316" s="28">
        <f t="shared" si="482"/>
        <v>3.1961717215001131</v>
      </c>
      <c r="P1316" s="28">
        <f t="shared" si="482"/>
        <v>3.1961717215001131</v>
      </c>
      <c r="Q1316" s="28">
        <f t="shared" si="482"/>
        <v>3.1961717215001131</v>
      </c>
      <c r="R1316" s="28">
        <f t="shared" si="482"/>
        <v>3.1961717215001131</v>
      </c>
      <c r="S1316" s="28">
        <f t="shared" si="482"/>
        <v>3.1961717215001131</v>
      </c>
      <c r="T1316" s="28">
        <f t="shared" si="482"/>
        <v>3.1961717215001131</v>
      </c>
      <c r="U1316" s="28">
        <f t="shared" si="482"/>
        <v>3.1961717215001131</v>
      </c>
      <c r="V1316" s="28">
        <f t="shared" si="482"/>
        <v>3.1961717215001131</v>
      </c>
      <c r="W1316" s="28">
        <f t="shared" si="482"/>
        <v>3.1961717215001131</v>
      </c>
      <c r="X1316" s="28">
        <f t="shared" si="482"/>
        <v>3.1961717215001131</v>
      </c>
      <c r="Y1316" s="28">
        <f t="shared" si="482"/>
        <v>3.1961717215001131</v>
      </c>
      <c r="Z1316" s="28">
        <f t="shared" si="482"/>
        <v>3.1961717215001131</v>
      </c>
      <c r="AA1316" s="28">
        <f t="shared" si="482"/>
        <v>3.1961717215001131</v>
      </c>
      <c r="AB1316" s="28">
        <f t="shared" si="482"/>
        <v>3.1961717215001131</v>
      </c>
      <c r="AC1316" s="28">
        <f t="shared" si="482"/>
        <v>3.1961717215001131</v>
      </c>
      <c r="AD1316" s="28">
        <f t="shared" si="482"/>
        <v>3.1961717215001131</v>
      </c>
      <c r="AE1316" s="28">
        <f t="shared" si="482"/>
        <v>3.1961717215001131</v>
      </c>
      <c r="AF1316" s="28">
        <f t="shared" si="482"/>
        <v>3.1961717215001131</v>
      </c>
      <c r="AG1316" s="28">
        <f t="shared" si="482"/>
        <v>3.1961717215001131</v>
      </c>
      <c r="AH1316" s="28">
        <f t="shared" si="482"/>
        <v>3.1961717215001131</v>
      </c>
      <c r="AI1316" s="28">
        <f t="shared" si="482"/>
        <v>3.1961717215001131</v>
      </c>
      <c r="AJ1316" s="28">
        <f t="shared" si="482"/>
        <v>3.1961717215001131</v>
      </c>
      <c r="AK1316" s="28">
        <f t="shared" si="482"/>
        <v>3.1961717215001131</v>
      </c>
      <c r="AL1316" s="28">
        <f t="shared" si="482"/>
        <v>3.1961717215001131</v>
      </c>
      <c r="AM1316" s="28">
        <f t="shared" si="482"/>
        <v>3.1961717215001131</v>
      </c>
      <c r="AN1316" s="28">
        <f t="shared" si="482"/>
        <v>3.1961717215001131</v>
      </c>
      <c r="AO1316" s="28">
        <f t="shared" si="482"/>
        <v>3.1961717215001131</v>
      </c>
      <c r="AP1316" s="28">
        <f t="shared" si="482"/>
        <v>3.1961717215001131</v>
      </c>
      <c r="AQ1316" s="28">
        <f t="shared" si="482"/>
        <v>3.1961717215001131</v>
      </c>
      <c r="AR1316" s="28">
        <f t="shared" si="482"/>
        <v>3.1961717215001131</v>
      </c>
      <c r="AS1316" s="28">
        <f t="shared" si="482"/>
        <v>3.1961717215001131</v>
      </c>
      <c r="AT1316" s="28">
        <f t="shared" si="482"/>
        <v>3.1961717215001131</v>
      </c>
      <c r="AU1316" s="28">
        <f t="shared" si="482"/>
        <v>3.1961717215001131</v>
      </c>
      <c r="AV1316" s="28">
        <f t="shared" si="482"/>
        <v>3.1961717215001131</v>
      </c>
      <c r="AW1316" s="28">
        <f t="shared" si="482"/>
        <v>3.1961717215001131</v>
      </c>
      <c r="AY1316" s="85"/>
      <c r="AZ1316" s="85"/>
    </row>
    <row r="1317" spans="1:52" x14ac:dyDescent="0.25">
      <c r="A1317" s="102" t="str">
        <f t="shared" si="384"/>
        <v>FSFAGSPQNIBDDSCM Volatilisation</v>
      </c>
      <c r="B1317" s="102" t="s">
        <v>1376</v>
      </c>
      <c r="C1317" s="102" t="s">
        <v>62</v>
      </c>
      <c r="D1317" t="s">
        <v>369</v>
      </c>
      <c r="E1317" t="s">
        <v>61</v>
      </c>
      <c r="F1317" t="s">
        <v>62</v>
      </c>
      <c r="G1317" t="s">
        <v>435</v>
      </c>
      <c r="H1317" t="s">
        <v>1185</v>
      </c>
      <c r="I1317" t="s">
        <v>139</v>
      </c>
      <c r="J1317" t="s">
        <v>287</v>
      </c>
      <c r="K1317" s="28">
        <f t="shared" ref="K1317:AW1317" si="483">IFERROR(K1510-((K1510-K101)+(K1510-K254)+(K1510-K407)+(K1510-K559)+(K1510-K711)+(K1510-K862)+(K1510-K1013)+(K1510-K1164)),0)</f>
        <v>0.66064812063358536</v>
      </c>
      <c r="L1317" s="28">
        <f t="shared" si="483"/>
        <v>0.66056660352543128</v>
      </c>
      <c r="M1317" s="28">
        <f t="shared" si="483"/>
        <v>0.66042995522505377</v>
      </c>
      <c r="N1317" s="28">
        <f t="shared" si="483"/>
        <v>0.66031365898338112</v>
      </c>
      <c r="O1317" s="28">
        <f t="shared" si="483"/>
        <v>0.66027560568732091</v>
      </c>
      <c r="P1317" s="28">
        <f t="shared" si="483"/>
        <v>0.66023708971175277</v>
      </c>
      <c r="Q1317" s="28">
        <f t="shared" si="483"/>
        <v>0.66011966991986881</v>
      </c>
      <c r="R1317" s="28">
        <f t="shared" si="483"/>
        <v>0.66002765167075472</v>
      </c>
      <c r="S1317" s="28">
        <f t="shared" si="483"/>
        <v>0.66002145648060517</v>
      </c>
      <c r="T1317" s="28">
        <f t="shared" si="483"/>
        <v>0.64884713357569712</v>
      </c>
      <c r="U1317" s="28">
        <f t="shared" si="483"/>
        <v>0.63708803698567296</v>
      </c>
      <c r="V1317" s="28">
        <f t="shared" si="483"/>
        <v>0.62538460566482112</v>
      </c>
      <c r="W1317" s="28">
        <f t="shared" si="483"/>
        <v>0.61369820845996637</v>
      </c>
      <c r="X1317" s="28">
        <f t="shared" si="483"/>
        <v>0.6020021273988051</v>
      </c>
      <c r="Y1317" s="28">
        <f t="shared" si="483"/>
        <v>0.5902596122009317</v>
      </c>
      <c r="Z1317" s="28">
        <f t="shared" si="483"/>
        <v>0.5785156981443339</v>
      </c>
      <c r="AA1317" s="28">
        <f t="shared" si="483"/>
        <v>0.5667705411124212</v>
      </c>
      <c r="AB1317" s="28">
        <f t="shared" si="483"/>
        <v>0.55505648633992311</v>
      </c>
      <c r="AC1317" s="28">
        <f t="shared" si="483"/>
        <v>0.54333166304000646</v>
      </c>
      <c r="AD1317" s="28">
        <f t="shared" si="483"/>
        <v>0.53159379976462073</v>
      </c>
      <c r="AE1317" s="28">
        <f t="shared" si="483"/>
        <v>0.51987392259821752</v>
      </c>
      <c r="AF1317" s="28">
        <f t="shared" si="483"/>
        <v>0.5081596249755701</v>
      </c>
      <c r="AG1317" s="28">
        <f t="shared" si="483"/>
        <v>0.49645485717820759</v>
      </c>
      <c r="AH1317" s="28">
        <f t="shared" si="483"/>
        <v>0.48474557390037626</v>
      </c>
      <c r="AI1317" s="28">
        <f t="shared" si="483"/>
        <v>0.47306898681441428</v>
      </c>
      <c r="AJ1317" s="28">
        <f t="shared" si="483"/>
        <v>0.46139615258641831</v>
      </c>
      <c r="AK1317" s="28">
        <f t="shared" si="483"/>
        <v>0.44973293431913319</v>
      </c>
      <c r="AL1317" s="28">
        <f t="shared" si="483"/>
        <v>0.4380874487369647</v>
      </c>
      <c r="AM1317" s="28">
        <f t="shared" si="483"/>
        <v>0.42645319482134658</v>
      </c>
      <c r="AN1317" s="28">
        <f t="shared" si="483"/>
        <v>0.42630265119364436</v>
      </c>
      <c r="AO1317" s="28">
        <f t="shared" si="483"/>
        <v>0.42614899499211401</v>
      </c>
      <c r="AP1317" s="28">
        <f t="shared" si="483"/>
        <v>0.42600556212534957</v>
      </c>
      <c r="AQ1317" s="28">
        <f t="shared" si="483"/>
        <v>0.4258630576999537</v>
      </c>
      <c r="AR1317" s="28">
        <f t="shared" si="483"/>
        <v>0.42572126751954814</v>
      </c>
      <c r="AS1317" s="28">
        <f t="shared" si="483"/>
        <v>0.42557426056629877</v>
      </c>
      <c r="AT1317" s="28">
        <f t="shared" si="483"/>
        <v>0.4254272279998963</v>
      </c>
      <c r="AU1317" s="28">
        <f t="shared" si="483"/>
        <v>0.42533600661556659</v>
      </c>
      <c r="AV1317" s="28">
        <f t="shared" si="483"/>
        <v>0.42524929028242858</v>
      </c>
      <c r="AW1317" s="28">
        <f t="shared" si="483"/>
        <v>0.42515620439195606</v>
      </c>
      <c r="AY1317" s="85"/>
      <c r="AZ1317" s="85"/>
    </row>
    <row r="1318" spans="1:52" x14ac:dyDescent="0.25">
      <c r="A1318" s="102" t="str">
        <f t="shared" si="384"/>
        <v>FSFAGSPQNIBDDSCM Volatilisation</v>
      </c>
      <c r="B1318" s="102" t="s">
        <v>1376</v>
      </c>
      <c r="C1318" s="102" t="s">
        <v>62</v>
      </c>
      <c r="D1318" t="s">
        <v>369</v>
      </c>
      <c r="E1318" t="s">
        <v>61</v>
      </c>
      <c r="F1318" t="s">
        <v>62</v>
      </c>
      <c r="G1318" t="s">
        <v>436</v>
      </c>
      <c r="H1318" t="s">
        <v>1186</v>
      </c>
      <c r="I1318" t="s">
        <v>139</v>
      </c>
      <c r="J1318" t="s">
        <v>287</v>
      </c>
      <c r="K1318" s="28">
        <f t="shared" ref="K1318:AW1318" si="484">IFERROR(K1511-((K1511-K102)+(K1511-K255)+(K1511-K408)+(K1511-K560)+(K1511-K712)+(K1511-K863)+(K1511-K1014)+(K1511-K1165)),0)</f>
        <v>8.720555192363328E-3</v>
      </c>
      <c r="L1318" s="28">
        <f t="shared" si="484"/>
        <v>8.7194791665356954E-3</v>
      </c>
      <c r="M1318" s="28">
        <f t="shared" si="484"/>
        <v>8.7176754089707108E-3</v>
      </c>
      <c r="N1318" s="28">
        <f t="shared" si="484"/>
        <v>8.7161402985806314E-3</v>
      </c>
      <c r="O1318" s="28">
        <f t="shared" si="484"/>
        <v>8.7156379950726372E-3</v>
      </c>
      <c r="P1318" s="28">
        <f t="shared" si="484"/>
        <v>8.7151295841951387E-3</v>
      </c>
      <c r="Q1318" s="28">
        <f t="shared" si="484"/>
        <v>8.7135796429422714E-3</v>
      </c>
      <c r="R1318" s="28">
        <f t="shared" si="484"/>
        <v>8.7123650020539626E-3</v>
      </c>
      <c r="S1318" s="28">
        <f t="shared" si="484"/>
        <v>8.7122832255439892E-3</v>
      </c>
      <c r="T1318" s="28">
        <f t="shared" si="484"/>
        <v>8.5647821631992041E-3</v>
      </c>
      <c r="U1318" s="28">
        <f t="shared" si="484"/>
        <v>8.4095620882108837E-3</v>
      </c>
      <c r="V1318" s="28">
        <f t="shared" si="484"/>
        <v>8.2550767947756412E-3</v>
      </c>
      <c r="W1318" s="28">
        <f t="shared" si="484"/>
        <v>8.1008163516715567E-3</v>
      </c>
      <c r="X1318" s="28">
        <f t="shared" si="484"/>
        <v>7.9464280816642311E-3</v>
      </c>
      <c r="Y1318" s="28">
        <f t="shared" si="484"/>
        <v>7.7914268810522977E-3</v>
      </c>
      <c r="Z1318" s="28">
        <f t="shared" si="484"/>
        <v>7.6364072155052096E-3</v>
      </c>
      <c r="AA1318" s="28">
        <f t="shared" si="484"/>
        <v>7.4813711426839589E-3</v>
      </c>
      <c r="AB1318" s="28">
        <f t="shared" si="484"/>
        <v>7.3267456196869874E-3</v>
      </c>
      <c r="AC1318" s="28">
        <f t="shared" si="484"/>
        <v>7.1719779521280842E-3</v>
      </c>
      <c r="AD1318" s="28">
        <f t="shared" si="484"/>
        <v>7.0170381568929931E-3</v>
      </c>
      <c r="AE1318" s="28">
        <f t="shared" si="484"/>
        <v>6.8623357782964722E-3</v>
      </c>
      <c r="AF1318" s="28">
        <f t="shared" si="484"/>
        <v>6.7077070496775262E-3</v>
      </c>
      <c r="AG1318" s="28">
        <f t="shared" si="484"/>
        <v>6.5532041147523395E-3</v>
      </c>
      <c r="AH1318" s="28">
        <f t="shared" si="484"/>
        <v>6.3986415754849679E-3</v>
      </c>
      <c r="AI1318" s="28">
        <f t="shared" si="484"/>
        <v>6.2445106259502699E-3</v>
      </c>
      <c r="AJ1318" s="28">
        <f t="shared" si="484"/>
        <v>6.0904292141407239E-3</v>
      </c>
      <c r="AK1318" s="28">
        <f t="shared" si="484"/>
        <v>5.9364747330125601E-3</v>
      </c>
      <c r="AL1318" s="28">
        <f t="shared" si="484"/>
        <v>5.7827543233279349E-3</v>
      </c>
      <c r="AM1318" s="28">
        <f t="shared" si="484"/>
        <v>5.6291821716417762E-3</v>
      </c>
      <c r="AN1318" s="28">
        <f t="shared" si="484"/>
        <v>5.6271949957561072E-3</v>
      </c>
      <c r="AO1318" s="28">
        <f t="shared" si="484"/>
        <v>5.6251667338959067E-3</v>
      </c>
      <c r="AP1318" s="28">
        <f t="shared" si="484"/>
        <v>5.6232734200546159E-3</v>
      </c>
      <c r="AQ1318" s="28">
        <f t="shared" si="484"/>
        <v>5.6213923616393905E-3</v>
      </c>
      <c r="AR1318" s="28">
        <f t="shared" si="484"/>
        <v>5.6195207312580379E-3</v>
      </c>
      <c r="AS1318" s="28">
        <f t="shared" si="484"/>
        <v>5.6175802394751433E-3</v>
      </c>
      <c r="AT1318" s="28">
        <f t="shared" si="484"/>
        <v>5.6156394095986306E-3</v>
      </c>
      <c r="AU1318" s="28">
        <f t="shared" si="484"/>
        <v>5.6144352873254795E-3</v>
      </c>
      <c r="AV1318" s="28">
        <f t="shared" si="484"/>
        <v>5.6132906317280587E-3</v>
      </c>
      <c r="AW1318" s="28">
        <f t="shared" si="484"/>
        <v>5.612061897973821E-3</v>
      </c>
      <c r="AY1318" s="85"/>
      <c r="AZ1318" s="85"/>
    </row>
    <row r="1319" spans="1:52" x14ac:dyDescent="0.25">
      <c r="A1319" s="102" t="str">
        <f t="shared" si="384"/>
        <v>FSFAGSPQNIBDDSCM Volatilisation</v>
      </c>
      <c r="B1319" s="102" t="s">
        <v>1376</v>
      </c>
      <c r="C1319" s="102" t="s">
        <v>62</v>
      </c>
      <c r="D1319" t="s">
        <v>369</v>
      </c>
      <c r="E1319" t="s">
        <v>61</v>
      </c>
      <c r="F1319" t="s">
        <v>62</v>
      </c>
      <c r="G1319" t="s">
        <v>437</v>
      </c>
      <c r="H1319" t="s">
        <v>1187</v>
      </c>
      <c r="I1319" t="s">
        <v>139</v>
      </c>
      <c r="J1319" t="s">
        <v>287</v>
      </c>
      <c r="K1319" s="28">
        <f t="shared" ref="K1319:AW1319" si="485">IFERROR(K1512-((K1512-K103)+(K1512-K256)+(K1512-K409)+(K1512-K561)+(K1512-K713)+(K1512-K864)+(K1512-K1015)+(K1512-K1166)),0)</f>
        <v>1.2055794850635657</v>
      </c>
      <c r="L1319" s="28">
        <f t="shared" si="485"/>
        <v>1.2104278424184183</v>
      </c>
      <c r="M1319" s="28">
        <f t="shared" si="485"/>
        <v>1.2110410080270342</v>
      </c>
      <c r="N1319" s="28">
        <f t="shared" si="485"/>
        <v>1.1943250378730979</v>
      </c>
      <c r="O1319" s="28">
        <f t="shared" si="485"/>
        <v>1.1785336367211481</v>
      </c>
      <c r="P1319" s="28">
        <f t="shared" si="485"/>
        <v>1.1807984846872714</v>
      </c>
      <c r="Q1319" s="28">
        <f t="shared" si="485"/>
        <v>1.1777806975328993</v>
      </c>
      <c r="R1319" s="28">
        <f t="shared" si="485"/>
        <v>1.156598727295993</v>
      </c>
      <c r="S1319" s="28">
        <f t="shared" si="485"/>
        <v>1.0565661190304909</v>
      </c>
      <c r="T1319" s="28">
        <f t="shared" si="485"/>
        <v>1.0259306410437412</v>
      </c>
      <c r="U1319" s="28">
        <f t="shared" si="485"/>
        <v>0.98441080819033577</v>
      </c>
      <c r="V1319" s="28">
        <f t="shared" si="485"/>
        <v>0.9400634102387746</v>
      </c>
      <c r="W1319" s="28">
        <f t="shared" si="485"/>
        <v>0.8978908762635438</v>
      </c>
      <c r="X1319" s="28">
        <f t="shared" si="485"/>
        <v>0.8639854217577454</v>
      </c>
      <c r="Y1319" s="28">
        <f t="shared" si="485"/>
        <v>0.82987942386329561</v>
      </c>
      <c r="Z1319" s="28">
        <f t="shared" si="485"/>
        <v>0.79532755202664429</v>
      </c>
      <c r="AA1319" s="28">
        <f t="shared" si="485"/>
        <v>0.7550318239759084</v>
      </c>
      <c r="AB1319" s="28">
        <f t="shared" si="485"/>
        <v>0.71574041568000313</v>
      </c>
      <c r="AC1319" s="28">
        <f t="shared" si="485"/>
        <v>0.6773958487574423</v>
      </c>
      <c r="AD1319" s="28">
        <f t="shared" si="485"/>
        <v>0.65989619879147066</v>
      </c>
      <c r="AE1319" s="28">
        <f t="shared" si="485"/>
        <v>0.64141564627881875</v>
      </c>
      <c r="AF1319" s="28">
        <f t="shared" si="485"/>
        <v>0.62136533782364012</v>
      </c>
      <c r="AG1319" s="28">
        <f t="shared" si="485"/>
        <v>0.60163109393819636</v>
      </c>
      <c r="AH1319" s="28">
        <f t="shared" si="485"/>
        <v>0.57714521138651875</v>
      </c>
      <c r="AI1319" s="28">
        <f t="shared" si="485"/>
        <v>0.55187124014725253</v>
      </c>
      <c r="AJ1319" s="28">
        <f t="shared" si="485"/>
        <v>0.52498208526455059</v>
      </c>
      <c r="AK1319" s="28">
        <f t="shared" si="485"/>
        <v>0.49550100115204954</v>
      </c>
      <c r="AL1319" s="28">
        <f t="shared" si="485"/>
        <v>0.46429290870538642</v>
      </c>
      <c r="AM1319" s="28">
        <f t="shared" si="485"/>
        <v>0.43192829623836526</v>
      </c>
      <c r="AN1319" s="28">
        <f t="shared" si="485"/>
        <v>0.42895187057122608</v>
      </c>
      <c r="AO1319" s="28">
        <f t="shared" si="485"/>
        <v>0.42465554146765627</v>
      </c>
      <c r="AP1319" s="28">
        <f t="shared" si="485"/>
        <v>0.42003097495386865</v>
      </c>
      <c r="AQ1319" s="28">
        <f t="shared" si="485"/>
        <v>0.41510920185970956</v>
      </c>
      <c r="AR1319" s="28">
        <f t="shared" si="485"/>
        <v>0.41047466946439015</v>
      </c>
      <c r="AS1319" s="28">
        <f t="shared" si="485"/>
        <v>0.40562393358448423</v>
      </c>
      <c r="AT1319" s="28">
        <f t="shared" si="485"/>
        <v>0.39535138947092996</v>
      </c>
      <c r="AU1319" s="28">
        <f t="shared" si="485"/>
        <v>0.38470462627883806</v>
      </c>
      <c r="AV1319" s="28">
        <f t="shared" si="485"/>
        <v>0.37467222859546667</v>
      </c>
      <c r="AW1319" s="28">
        <f t="shared" si="485"/>
        <v>0.36434581187241899</v>
      </c>
      <c r="AY1319" s="85"/>
      <c r="AZ1319" s="85"/>
    </row>
    <row r="1320" spans="1:52" x14ac:dyDescent="0.25">
      <c r="A1320" s="102" t="str">
        <f t="shared" si="384"/>
        <v>FSFAGSPQNIBDDSCM Volatilisation</v>
      </c>
      <c r="B1320" s="102" t="s">
        <v>1376</v>
      </c>
      <c r="C1320" s="102"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8">
        <f t="shared" ref="K1320:AW1320" si="489">IFERROR(K1513-((K1513-K104)+(K1513-K257)+(K1513-K410)+(K1513-K562)+(K1513-K714)+(K1513-K865)+(K1513-K1016)+(K1513-K1167)),0)</f>
        <v>4.4098974147867755</v>
      </c>
      <c r="L1320" s="28">
        <f t="shared" si="489"/>
        <v>4.4002705988392581</v>
      </c>
      <c r="M1320" s="28">
        <f t="shared" si="489"/>
        <v>4.3810790490560496</v>
      </c>
      <c r="N1320" s="28">
        <f t="shared" si="489"/>
        <v>4.3210884872533324</v>
      </c>
      <c r="O1320" s="28">
        <f t="shared" si="489"/>
        <v>4.2648964492483783</v>
      </c>
      <c r="P1320" s="28">
        <f t="shared" si="489"/>
        <v>4.2527084614653266</v>
      </c>
      <c r="Q1320" s="28">
        <f t="shared" si="489"/>
        <v>4.2283311412429541</v>
      </c>
      <c r="R1320" s="28">
        <f t="shared" si="489"/>
        <v>4.1624951000433894</v>
      </c>
      <c r="S1320" s="28">
        <f t="shared" si="489"/>
        <v>3.918294133105289</v>
      </c>
      <c r="T1320" s="28">
        <f t="shared" si="489"/>
        <v>3.8460959382527489</v>
      </c>
      <c r="U1320" s="28">
        <f t="shared" si="489"/>
        <v>3.7507675395771933</v>
      </c>
      <c r="V1320" s="28">
        <f t="shared" si="489"/>
        <v>3.6508152686759834</v>
      </c>
      <c r="W1320" s="28">
        <f t="shared" si="489"/>
        <v>3.5573852415258722</v>
      </c>
      <c r="X1320" s="28">
        <f t="shared" si="489"/>
        <v>3.4835911251441969</v>
      </c>
      <c r="Y1320" s="28">
        <f t="shared" si="489"/>
        <v>3.4084700431466057</v>
      </c>
      <c r="Z1320" s="28">
        <f t="shared" si="489"/>
        <v>3.3336548046201706</v>
      </c>
      <c r="AA1320" s="28">
        <f t="shared" si="489"/>
        <v>3.2479526419402864</v>
      </c>
      <c r="AB1320" s="28">
        <f t="shared" si="489"/>
        <v>3.1658401115284898</v>
      </c>
      <c r="AC1320" s="28">
        <f t="shared" si="489"/>
        <v>3.0871224488337914</v>
      </c>
      <c r="AD1320" s="28">
        <f t="shared" si="489"/>
        <v>3.0572716703253482</v>
      </c>
      <c r="AE1320" s="28">
        <f t="shared" si="489"/>
        <v>3.0265987228209514</v>
      </c>
      <c r="AF1320" s="28">
        <f t="shared" si="489"/>
        <v>2.9939714882046697</v>
      </c>
      <c r="AG1320" s="28">
        <f t="shared" si="489"/>
        <v>2.9633969327347085</v>
      </c>
      <c r="AH1320" s="28">
        <f t="shared" si="489"/>
        <v>2.9244566977208031</v>
      </c>
      <c r="AI1320" s="28">
        <f t="shared" si="489"/>
        <v>2.883818746818914</v>
      </c>
      <c r="AJ1320" s="28">
        <f t="shared" si="489"/>
        <v>2.8415085400072861</v>
      </c>
      <c r="AK1320" s="28">
        <f t="shared" si="489"/>
        <v>2.7955538523916648</v>
      </c>
      <c r="AL1320" s="28">
        <f t="shared" si="489"/>
        <v>2.7478439218926809</v>
      </c>
      <c r="AM1320" s="28">
        <f t="shared" si="489"/>
        <v>2.6996941197816646</v>
      </c>
      <c r="AN1320" s="28">
        <f t="shared" si="489"/>
        <v>2.6792598183525982</v>
      </c>
      <c r="AO1320" s="28">
        <f t="shared" si="489"/>
        <v>2.6558257267936494</v>
      </c>
      <c r="AP1320" s="28">
        <f t="shared" si="489"/>
        <v>2.6315791468463852</v>
      </c>
      <c r="AQ1320" s="28">
        <f t="shared" si="489"/>
        <v>2.6066099737653765</v>
      </c>
      <c r="AR1320" s="28">
        <f t="shared" si="489"/>
        <v>2.5820895701925304</v>
      </c>
      <c r="AS1320" s="28">
        <f t="shared" si="489"/>
        <v>2.5554703705011468</v>
      </c>
      <c r="AT1320" s="28">
        <f t="shared" si="489"/>
        <v>2.518615218952208</v>
      </c>
      <c r="AU1320" s="28">
        <f t="shared" si="489"/>
        <v>2.4814861986669197</v>
      </c>
      <c r="AV1320" s="28">
        <f t="shared" si="489"/>
        <v>2.4458942587311814</v>
      </c>
      <c r="AW1320" s="28">
        <f t="shared" si="489"/>
        <v>2.4102164493146487</v>
      </c>
      <c r="AY1320" s="85"/>
      <c r="AZ1320" s="85"/>
    </row>
    <row r="1321" spans="1:52" x14ac:dyDescent="0.25">
      <c r="A1321" s="102" t="str">
        <f t="shared" si="384"/>
        <v>FSFAGSPQNIBDDSCM Leaching</v>
      </c>
      <c r="B1321" s="102" t="s">
        <v>1376</v>
      </c>
      <c r="C1321" s="102" t="s">
        <v>1191</v>
      </c>
      <c r="D1321" t="s">
        <v>369</v>
      </c>
      <c r="E1321" t="s">
        <v>61</v>
      </c>
      <c r="F1321" t="s">
        <v>63</v>
      </c>
      <c r="G1321" t="s">
        <v>435</v>
      </c>
      <c r="H1321" t="s">
        <v>1188</v>
      </c>
      <c r="I1321" t="s">
        <v>139</v>
      </c>
      <c r="J1321" t="s">
        <v>287</v>
      </c>
      <c r="K1321" s="28">
        <f t="shared" ref="K1321:AW1321" si="490">IFERROR(K1514-((K1514-K105)+(K1514-K258)+(K1514-K411)+(K1514-K563)+(K1514-K715)+(K1514-K866)+(K1514-K1017)+(K1514-K1168)),0)</f>
        <v>2.2792360161858692E-4</v>
      </c>
      <c r="L1321" s="28">
        <f t="shared" si="490"/>
        <v>2.278954782162738E-4</v>
      </c>
      <c r="M1321" s="28">
        <f t="shared" si="490"/>
        <v>2.2784833455264354E-4</v>
      </c>
      <c r="N1321" s="28">
        <f t="shared" si="490"/>
        <v>2.2780821234926642E-4</v>
      </c>
      <c r="O1321" s="28">
        <f t="shared" si="490"/>
        <v>2.2779508396212562E-4</v>
      </c>
      <c r="P1321" s="28">
        <f t="shared" si="490"/>
        <v>2.2778179595055463E-4</v>
      </c>
      <c r="Q1321" s="28">
        <f t="shared" si="490"/>
        <v>2.2774128612235473E-4</v>
      </c>
      <c r="R1321" s="28">
        <f t="shared" si="490"/>
        <v>2.2770953982641034E-4</v>
      </c>
      <c r="S1321" s="28">
        <f t="shared" si="490"/>
        <v>2.2770740248580869E-4</v>
      </c>
      <c r="T1321" s="28">
        <f t="shared" si="490"/>
        <v>2.2385226108361547E-4</v>
      </c>
      <c r="U1321" s="28">
        <f t="shared" si="490"/>
        <v>2.197953727600572E-4</v>
      </c>
      <c r="V1321" s="28">
        <f t="shared" si="490"/>
        <v>2.1575768895436327E-4</v>
      </c>
      <c r="W1321" s="28">
        <f t="shared" si="490"/>
        <v>2.1172588191868834E-4</v>
      </c>
      <c r="X1321" s="28">
        <f t="shared" si="490"/>
        <v>2.0769073395258774E-4</v>
      </c>
      <c r="Y1321" s="28">
        <f t="shared" si="490"/>
        <v>2.0363956620932143E-4</v>
      </c>
      <c r="Z1321" s="28">
        <f t="shared" si="490"/>
        <v>1.9958791585979513E-4</v>
      </c>
      <c r="AA1321" s="28">
        <f t="shared" si="490"/>
        <v>1.9553583668378521E-4</v>
      </c>
      <c r="AB1321" s="28">
        <f t="shared" si="490"/>
        <v>1.914944877872735E-4</v>
      </c>
      <c r="AC1321" s="28">
        <f t="shared" si="490"/>
        <v>1.8744942374880217E-4</v>
      </c>
      <c r="AD1321" s="28">
        <f t="shared" si="490"/>
        <v>1.833998609187941E-4</v>
      </c>
      <c r="AE1321" s="28">
        <f t="shared" si="490"/>
        <v>1.7935650329638502E-4</v>
      </c>
      <c r="AF1321" s="28">
        <f t="shared" si="490"/>
        <v>1.7531507061657167E-4</v>
      </c>
      <c r="AG1321" s="28">
        <f t="shared" si="490"/>
        <v>1.7127692572648157E-4</v>
      </c>
      <c r="AH1321" s="28">
        <f t="shared" si="490"/>
        <v>1.6723722299562976E-4</v>
      </c>
      <c r="AI1321" s="28">
        <f t="shared" si="490"/>
        <v>1.6320880045097292E-4</v>
      </c>
      <c r="AJ1321" s="28">
        <f t="shared" si="490"/>
        <v>1.5918167264231429E-4</v>
      </c>
      <c r="AK1321" s="28">
        <f t="shared" si="490"/>
        <v>1.5515786234010092E-4</v>
      </c>
      <c r="AL1321" s="28">
        <f t="shared" si="490"/>
        <v>1.5114016981425282E-4</v>
      </c>
      <c r="AM1321" s="28">
        <f t="shared" si="490"/>
        <v>1.4712635221336454E-4</v>
      </c>
      <c r="AN1321" s="28">
        <f t="shared" si="490"/>
        <v>1.4707441466180727E-4</v>
      </c>
      <c r="AO1321" s="28">
        <f t="shared" si="490"/>
        <v>1.4702140327227931E-4</v>
      </c>
      <c r="AP1321" s="28">
        <f t="shared" si="490"/>
        <v>1.469719189332456E-4</v>
      </c>
      <c r="AQ1321" s="28">
        <f t="shared" si="490"/>
        <v>1.4692275490648399E-4</v>
      </c>
      <c r="AR1321" s="28">
        <f t="shared" si="490"/>
        <v>1.4687383729424411E-4</v>
      </c>
      <c r="AS1321" s="28">
        <f t="shared" si="490"/>
        <v>1.4682311989537298E-4</v>
      </c>
      <c r="AT1321" s="28">
        <f t="shared" si="490"/>
        <v>1.4677239365996415E-4</v>
      </c>
      <c r="AU1321" s="28">
        <f t="shared" si="490"/>
        <v>1.4674092228237045E-4</v>
      </c>
      <c r="AV1321" s="28">
        <f t="shared" si="490"/>
        <v>1.4671100514743784E-4</v>
      </c>
      <c r="AW1321" s="28">
        <f t="shared" si="490"/>
        <v>1.4667889051522481E-4</v>
      </c>
      <c r="AY1321" s="85"/>
      <c r="AZ1321" s="85"/>
    </row>
    <row r="1322" spans="1:52" x14ac:dyDescent="0.25">
      <c r="A1322" s="102" t="str">
        <f t="shared" si="384"/>
        <v>FSFAGSPQNIBDDSCM Leaching</v>
      </c>
      <c r="B1322" s="102" t="s">
        <v>1376</v>
      </c>
      <c r="C1322" s="102" t="s">
        <v>1191</v>
      </c>
      <c r="D1322" t="s">
        <v>369</v>
      </c>
      <c r="E1322" t="s">
        <v>61</v>
      </c>
      <c r="F1322" t="s">
        <v>63</v>
      </c>
      <c r="G1322" t="s">
        <v>436</v>
      </c>
      <c r="H1322" t="s">
        <v>1189</v>
      </c>
      <c r="I1322" t="s">
        <v>139</v>
      </c>
      <c r="J1322" t="s">
        <v>287</v>
      </c>
      <c r="K1322" s="28">
        <f t="shared" ref="K1322:AW1322" si="491">IFERROR(K1515-((K1515-K106)+(K1515-K259)+(K1515-K412)+(K1515-K564)+(K1515-K716)+(K1515-K867)+(K1515-K1018)+(K1515-K1169)),0)</f>
        <v>1.2297683404285713E-6</v>
      </c>
      <c r="L1322" s="28">
        <f t="shared" si="491"/>
        <v>1.3061473778571428E-6</v>
      </c>
      <c r="M1322" s="28">
        <f t="shared" si="491"/>
        <v>1.2434940964285714E-6</v>
      </c>
      <c r="N1322" s="28">
        <f t="shared" si="491"/>
        <v>1.4615246532857147E-6</v>
      </c>
      <c r="O1322" s="28">
        <f t="shared" si="491"/>
        <v>1.3420397288571429E-6</v>
      </c>
      <c r="P1322" s="28">
        <f t="shared" si="491"/>
        <v>1.3292478681428569E-6</v>
      </c>
      <c r="Q1322" s="28">
        <f t="shared" si="491"/>
        <v>1.4852298497142859E-6</v>
      </c>
      <c r="R1322" s="28">
        <f t="shared" si="491"/>
        <v>1.4559964225714286E-6</v>
      </c>
      <c r="S1322" s="28">
        <f t="shared" si="491"/>
        <v>1.4867934981428574E-6</v>
      </c>
      <c r="T1322" s="28">
        <f t="shared" si="491"/>
        <v>1.4516185597821008E-6</v>
      </c>
      <c r="U1322" s="28">
        <f t="shared" si="491"/>
        <v>1.4356534638729817E-6</v>
      </c>
      <c r="V1322" s="28">
        <f t="shared" si="491"/>
        <v>1.3373730426481254E-6</v>
      </c>
      <c r="W1322" s="28">
        <f t="shared" si="491"/>
        <v>1.60185181489938E-6</v>
      </c>
      <c r="X1322" s="28">
        <f t="shared" si="491"/>
        <v>1.3743364952577954E-6</v>
      </c>
      <c r="Y1322" s="28">
        <f t="shared" si="491"/>
        <v>1.3722316621601884E-6</v>
      </c>
      <c r="Z1322" s="28">
        <f t="shared" si="491"/>
        <v>1.0586520652407797E-6</v>
      </c>
      <c r="AA1322" s="28">
        <f t="shared" si="491"/>
        <v>1.3239304867623383E-6</v>
      </c>
      <c r="AB1322" s="28">
        <f t="shared" si="491"/>
        <v>1.3362509824359313E-6</v>
      </c>
      <c r="AC1322" s="28">
        <f t="shared" si="491"/>
        <v>1.2551434897516771E-6</v>
      </c>
      <c r="AD1322" s="28">
        <f t="shared" si="491"/>
        <v>1.335122246087785E-6</v>
      </c>
      <c r="AE1322" s="28">
        <f t="shared" si="491"/>
        <v>1.098697930383087E-6</v>
      </c>
      <c r="AF1322" s="28">
        <f t="shared" si="491"/>
        <v>1.1584838266822973E-6</v>
      </c>
      <c r="AG1322" s="28">
        <f t="shared" si="491"/>
        <v>1.1374682357161566E-6</v>
      </c>
      <c r="AH1322" s="28">
        <f t="shared" si="491"/>
        <v>1.1112444086478428E-6</v>
      </c>
      <c r="AI1322" s="28">
        <f t="shared" si="491"/>
        <v>1.0848964202232839E-6</v>
      </c>
      <c r="AJ1322" s="28">
        <f t="shared" si="491"/>
        <v>1.0586185940557862E-6</v>
      </c>
      <c r="AK1322" s="28">
        <f t="shared" si="491"/>
        <v>1.032537779252117E-6</v>
      </c>
      <c r="AL1322" s="28">
        <f t="shared" si="491"/>
        <v>1.0064653174573646E-6</v>
      </c>
      <c r="AM1322" s="28">
        <f t="shared" si="491"/>
        <v>9.8022806746466154E-7</v>
      </c>
      <c r="AN1322" s="28">
        <f t="shared" si="491"/>
        <v>9.8020311997926976E-7</v>
      </c>
      <c r="AO1322" s="28">
        <f t="shared" si="491"/>
        <v>9.803774078540835E-7</v>
      </c>
      <c r="AP1322" s="28">
        <f t="shared" si="491"/>
        <v>9.8142479097402962E-7</v>
      </c>
      <c r="AQ1322" s="28">
        <f t="shared" si="491"/>
        <v>9.8112282190650684E-7</v>
      </c>
      <c r="AR1322" s="28">
        <f t="shared" si="491"/>
        <v>9.8093614139618264E-7</v>
      </c>
      <c r="AS1322" s="28">
        <f t="shared" si="491"/>
        <v>9.8078399497095657E-7</v>
      </c>
      <c r="AT1322" s="28">
        <f t="shared" si="491"/>
        <v>9.8059496627288451E-7</v>
      </c>
      <c r="AU1322" s="28">
        <f t="shared" si="491"/>
        <v>9.8020493212772182E-7</v>
      </c>
      <c r="AV1322" s="28">
        <f t="shared" si="491"/>
        <v>9.7978572663517203E-7</v>
      </c>
      <c r="AW1322" s="28">
        <f t="shared" si="491"/>
        <v>9.7934965201412004E-7</v>
      </c>
      <c r="AY1322" s="85"/>
      <c r="AZ1322" s="85"/>
    </row>
    <row r="1323" spans="1:52" x14ac:dyDescent="0.25">
      <c r="A1323" s="102" t="str">
        <f t="shared" si="384"/>
        <v>FSFAGSPQNIBDDSCM Leaching</v>
      </c>
      <c r="B1323" s="102" t="s">
        <v>1376</v>
      </c>
      <c r="C1323" s="102" t="s">
        <v>1191</v>
      </c>
      <c r="D1323" t="s">
        <v>369</v>
      </c>
      <c r="E1323" t="s">
        <v>61</v>
      </c>
      <c r="F1323" t="s">
        <v>63</v>
      </c>
      <c r="G1323" t="s">
        <v>437</v>
      </c>
      <c r="H1323" t="s">
        <v>1190</v>
      </c>
      <c r="I1323" t="s">
        <v>139</v>
      </c>
      <c r="J1323" t="s">
        <v>287</v>
      </c>
      <c r="K1323" s="28">
        <f t="shared" ref="K1323:AW1323" si="492">IFERROR(K1516-((K1516-K107)+(K1516-K260)+(K1516-K413)+(K1516-K565)+(K1516-K717)+(K1516-K868)+(K1516-K1019)+(K1516-K1170)),0)</f>
        <v>0.20796246117346504</v>
      </c>
      <c r="L1323" s="28">
        <f t="shared" si="492"/>
        <v>0.20879880281717714</v>
      </c>
      <c r="M1323" s="28">
        <f t="shared" si="492"/>
        <v>0.20890457388466335</v>
      </c>
      <c r="N1323" s="28">
        <f t="shared" si="492"/>
        <v>0.20602106903310935</v>
      </c>
      <c r="O1323" s="28">
        <f t="shared" si="492"/>
        <v>0.20329705233439804</v>
      </c>
      <c r="P1323" s="28">
        <f t="shared" si="492"/>
        <v>0.2036877386085543</v>
      </c>
      <c r="Q1323" s="28">
        <f t="shared" si="492"/>
        <v>0.20316717032442505</v>
      </c>
      <c r="R1323" s="28">
        <f t="shared" si="492"/>
        <v>0.19951328045855879</v>
      </c>
      <c r="S1323" s="28">
        <f t="shared" si="492"/>
        <v>0.18225765553275966</v>
      </c>
      <c r="T1323" s="28">
        <f t="shared" si="492"/>
        <v>0.17697303558004543</v>
      </c>
      <c r="U1323" s="28">
        <f t="shared" si="492"/>
        <v>0.16981086441283288</v>
      </c>
      <c r="V1323" s="28">
        <f t="shared" si="492"/>
        <v>0.16216093826618869</v>
      </c>
      <c r="W1323" s="28">
        <f t="shared" si="492"/>
        <v>0.15488617615546138</v>
      </c>
      <c r="X1323" s="28">
        <f t="shared" si="492"/>
        <v>0.14903748525321098</v>
      </c>
      <c r="Y1323" s="28">
        <f t="shared" si="492"/>
        <v>0.1431542006164184</v>
      </c>
      <c r="Z1323" s="28">
        <f t="shared" si="492"/>
        <v>0.1371940027245962</v>
      </c>
      <c r="AA1323" s="28">
        <f t="shared" si="492"/>
        <v>0.1302429896358443</v>
      </c>
      <c r="AB1323" s="28">
        <f t="shared" si="492"/>
        <v>0.12346522170480051</v>
      </c>
      <c r="AC1323" s="28">
        <f t="shared" si="492"/>
        <v>0.11685078391065873</v>
      </c>
      <c r="AD1323" s="28">
        <f t="shared" si="492"/>
        <v>0.11383209429152885</v>
      </c>
      <c r="AE1323" s="28">
        <f t="shared" si="492"/>
        <v>0.11064419898309627</v>
      </c>
      <c r="AF1323" s="28">
        <f t="shared" si="492"/>
        <v>0.10718552077457799</v>
      </c>
      <c r="AG1323" s="28">
        <f t="shared" si="492"/>
        <v>0.10378136370433899</v>
      </c>
      <c r="AH1323" s="28">
        <f t="shared" si="492"/>
        <v>9.9557548964174458E-2</v>
      </c>
      <c r="AI1323" s="28">
        <f t="shared" si="492"/>
        <v>9.5197788925401233E-2</v>
      </c>
      <c r="AJ1323" s="28">
        <f t="shared" si="492"/>
        <v>9.0559409708135141E-2</v>
      </c>
      <c r="AK1323" s="28">
        <f t="shared" si="492"/>
        <v>8.5473922698728527E-2</v>
      </c>
      <c r="AL1323" s="28">
        <f t="shared" si="492"/>
        <v>8.0090526751679131E-2</v>
      </c>
      <c r="AM1323" s="28">
        <f t="shared" si="492"/>
        <v>7.4507631101117938E-2</v>
      </c>
      <c r="AN1323" s="28">
        <f t="shared" si="492"/>
        <v>7.3994197673536516E-2</v>
      </c>
      <c r="AO1323" s="28">
        <f t="shared" si="492"/>
        <v>7.3253080903170648E-2</v>
      </c>
      <c r="AP1323" s="28">
        <f t="shared" si="492"/>
        <v>7.2455343179542331E-2</v>
      </c>
      <c r="AQ1323" s="28">
        <f t="shared" si="492"/>
        <v>7.1606337320799907E-2</v>
      </c>
      <c r="AR1323" s="28">
        <f t="shared" si="492"/>
        <v>7.0806880482607026E-2</v>
      </c>
      <c r="AS1323" s="28">
        <f t="shared" si="492"/>
        <v>6.9970128543323629E-2</v>
      </c>
      <c r="AT1323" s="28">
        <f t="shared" si="492"/>
        <v>6.8198114683735211E-2</v>
      </c>
      <c r="AU1323" s="28">
        <f t="shared" si="492"/>
        <v>6.6361548033099627E-2</v>
      </c>
      <c r="AV1323" s="28">
        <f t="shared" si="492"/>
        <v>6.4630959432718016E-2</v>
      </c>
      <c r="AW1323" s="28">
        <f t="shared" si="492"/>
        <v>6.2849652547992185E-2</v>
      </c>
      <c r="AY1323" s="85"/>
      <c r="AZ1323" s="85"/>
    </row>
    <row r="1324" spans="1:52" x14ac:dyDescent="0.25">
      <c r="A1324" s="102" t="str">
        <f t="shared" si="384"/>
        <v>FSFAGSPQNIBDDSCM Leaching</v>
      </c>
      <c r="B1324" s="102" t="s">
        <v>1376</v>
      </c>
      <c r="C1324" s="102" t="s">
        <v>1191</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8">
        <f t="shared" ref="K1324:AW1324" si="497">IFERROR(K1517-((K1517-K108)+(K1517-K261)+(K1517-K414)+(K1517-K566)+(K1517-K718)+(K1517-K869)+(K1517-K1020)+(K1517-K1171)),0)</f>
        <v>0</v>
      </c>
      <c r="L1324" s="28">
        <f t="shared" si="497"/>
        <v>0</v>
      </c>
      <c r="M1324" s="28">
        <f t="shared" si="497"/>
        <v>0</v>
      </c>
      <c r="N1324" s="28">
        <f t="shared" si="497"/>
        <v>0</v>
      </c>
      <c r="O1324" s="28">
        <f t="shared" si="497"/>
        <v>0</v>
      </c>
      <c r="P1324" s="28">
        <f t="shared" si="497"/>
        <v>0</v>
      </c>
      <c r="Q1324" s="28">
        <f t="shared" si="497"/>
        <v>0</v>
      </c>
      <c r="R1324" s="28">
        <f t="shared" si="497"/>
        <v>0</v>
      </c>
      <c r="S1324" s="28">
        <f t="shared" si="497"/>
        <v>0</v>
      </c>
      <c r="T1324" s="28">
        <f t="shared" si="497"/>
        <v>0</v>
      </c>
      <c r="U1324" s="28">
        <f t="shared" si="497"/>
        <v>0</v>
      </c>
      <c r="V1324" s="28">
        <f t="shared" si="497"/>
        <v>0</v>
      </c>
      <c r="W1324" s="28">
        <f t="shared" si="497"/>
        <v>0</v>
      </c>
      <c r="X1324" s="28">
        <f t="shared" si="497"/>
        <v>0</v>
      </c>
      <c r="Y1324" s="28">
        <f t="shared" si="497"/>
        <v>0</v>
      </c>
      <c r="Z1324" s="28">
        <f t="shared" si="497"/>
        <v>0</v>
      </c>
      <c r="AA1324" s="28">
        <f t="shared" si="497"/>
        <v>0</v>
      </c>
      <c r="AB1324" s="28">
        <f t="shared" si="497"/>
        <v>0</v>
      </c>
      <c r="AC1324" s="28">
        <f t="shared" si="497"/>
        <v>0</v>
      </c>
      <c r="AD1324" s="28">
        <f t="shared" si="497"/>
        <v>0</v>
      </c>
      <c r="AE1324" s="28">
        <f t="shared" si="497"/>
        <v>0</v>
      </c>
      <c r="AF1324" s="28">
        <f t="shared" si="497"/>
        <v>0</v>
      </c>
      <c r="AG1324" s="28">
        <f t="shared" si="497"/>
        <v>0</v>
      </c>
      <c r="AH1324" s="28">
        <f t="shared" si="497"/>
        <v>0</v>
      </c>
      <c r="AI1324" s="28">
        <f t="shared" si="497"/>
        <v>0</v>
      </c>
      <c r="AJ1324" s="28">
        <f t="shared" si="497"/>
        <v>0</v>
      </c>
      <c r="AK1324" s="28">
        <f t="shared" si="497"/>
        <v>0</v>
      </c>
      <c r="AL1324" s="28">
        <f t="shared" si="497"/>
        <v>0</v>
      </c>
      <c r="AM1324" s="28">
        <f t="shared" si="497"/>
        <v>0</v>
      </c>
      <c r="AN1324" s="28">
        <f t="shared" si="497"/>
        <v>0</v>
      </c>
      <c r="AO1324" s="28">
        <f t="shared" si="497"/>
        <v>0</v>
      </c>
      <c r="AP1324" s="28">
        <f t="shared" si="497"/>
        <v>0</v>
      </c>
      <c r="AQ1324" s="28">
        <f t="shared" si="497"/>
        <v>0</v>
      </c>
      <c r="AR1324" s="28">
        <f t="shared" si="497"/>
        <v>0</v>
      </c>
      <c r="AS1324" s="28">
        <f t="shared" si="497"/>
        <v>0</v>
      </c>
      <c r="AT1324" s="28">
        <f t="shared" si="497"/>
        <v>0</v>
      </c>
      <c r="AU1324" s="28">
        <f t="shared" si="497"/>
        <v>0</v>
      </c>
      <c r="AV1324" s="28">
        <f t="shared" si="497"/>
        <v>0</v>
      </c>
      <c r="AW1324" s="28">
        <f t="shared" si="497"/>
        <v>0</v>
      </c>
      <c r="AY1324" s="85"/>
      <c r="AZ1324" s="85"/>
    </row>
    <row r="1325" spans="1:52" x14ac:dyDescent="0.25">
      <c r="A1325" s="102" t="str">
        <f t="shared" si="384"/>
        <v>FSFAGSPQNIBDDSCM Leaching</v>
      </c>
      <c r="B1325" s="102" t="s">
        <v>1376</v>
      </c>
      <c r="C1325" s="102" t="s">
        <v>1191</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8">
        <f t="shared" ref="K1325:AW1325" si="500">IFERROR(K1518-((K1518-K109)+(K1518-K262)+(K1518-K415)+(K1518-K567)+(K1518-K719)+(K1518-K870)+(K1518-K1021)+(K1518-K1172)),0)</f>
        <v>0.10175116378121943</v>
      </c>
      <c r="L1325" s="28">
        <f t="shared" si="500"/>
        <v>0.10196112149474701</v>
      </c>
      <c r="M1325" s="28">
        <f t="shared" si="500"/>
        <v>0.10231307662851437</v>
      </c>
      <c r="N1325" s="28">
        <f t="shared" si="500"/>
        <v>0.10261261243819185</v>
      </c>
      <c r="O1325" s="28">
        <f t="shared" si="500"/>
        <v>0.10271062355774604</v>
      </c>
      <c r="P1325" s="28">
        <f t="shared" si="500"/>
        <v>0.10280982636740998</v>
      </c>
      <c r="Q1325" s="28">
        <f t="shared" si="500"/>
        <v>0.10311225602401949</v>
      </c>
      <c r="R1325" s="28">
        <f t="shared" si="500"/>
        <v>0.10334926076602191</v>
      </c>
      <c r="S1325" s="28">
        <f t="shared" si="500"/>
        <v>0.1033652172687505</v>
      </c>
      <c r="T1325" s="28">
        <f t="shared" si="500"/>
        <v>0.10237939394800614</v>
      </c>
      <c r="U1325" s="28">
        <f t="shared" si="500"/>
        <v>0.10291860215695282</v>
      </c>
      <c r="V1325" s="28">
        <f t="shared" si="500"/>
        <v>0.10332641119306983</v>
      </c>
      <c r="W1325" s="28">
        <f t="shared" si="500"/>
        <v>0.10370239203239459</v>
      </c>
      <c r="X1325" s="28">
        <f t="shared" si="500"/>
        <v>0.1041201277615169</v>
      </c>
      <c r="Y1325" s="28">
        <f t="shared" si="500"/>
        <v>0.1046878275069046</v>
      </c>
      <c r="Z1325" s="28">
        <f t="shared" si="500"/>
        <v>0.10528227646052629</v>
      </c>
      <c r="AA1325" s="28">
        <f t="shared" si="500"/>
        <v>0.1059046407105468</v>
      </c>
      <c r="AB1325" s="28">
        <f t="shared" si="500"/>
        <v>0.10645777636830578</v>
      </c>
      <c r="AC1325" s="28">
        <f t="shared" si="500"/>
        <v>0.10706799743750575</v>
      </c>
      <c r="AD1325" s="28">
        <f t="shared" si="500"/>
        <v>0.10774626043627387</v>
      </c>
      <c r="AE1325" s="28">
        <f t="shared" si="500"/>
        <v>0.10839593316449521</v>
      </c>
      <c r="AF1325" s="28">
        <f t="shared" si="500"/>
        <v>0.10905643789090745</v>
      </c>
      <c r="AG1325" s="28">
        <f t="shared" si="500"/>
        <v>0.10971505173574356</v>
      </c>
      <c r="AH1325" s="28">
        <f t="shared" si="500"/>
        <v>0.11042069158828928</v>
      </c>
      <c r="AI1325" s="28">
        <f t="shared" si="500"/>
        <v>0.11104367058067952</v>
      </c>
      <c r="AJ1325" s="28">
        <f t="shared" si="500"/>
        <v>0.11168392829219058</v>
      </c>
      <c r="AK1325" s="28">
        <f t="shared" si="500"/>
        <v>0.11232074350166987</v>
      </c>
      <c r="AL1325" s="28">
        <f t="shared" si="500"/>
        <v>0.11292252611061948</v>
      </c>
      <c r="AM1325" s="28">
        <f t="shared" si="500"/>
        <v>0.11351220687490285</v>
      </c>
      <c r="AN1325" s="28">
        <f t="shared" si="500"/>
        <v>0.11410873660154547</v>
      </c>
      <c r="AO1325" s="28">
        <f t="shared" si="500"/>
        <v>0.11471759991442693</v>
      </c>
      <c r="AP1325" s="28">
        <f t="shared" si="500"/>
        <v>0.11528595322242488</v>
      </c>
      <c r="AQ1325" s="28">
        <f t="shared" si="500"/>
        <v>0.1158506275777887</v>
      </c>
      <c r="AR1325" s="28">
        <f t="shared" si="500"/>
        <v>0.1164124717345221</v>
      </c>
      <c r="AS1325" s="28">
        <f t="shared" si="500"/>
        <v>0.11699498737450693</v>
      </c>
      <c r="AT1325" s="28">
        <f t="shared" si="500"/>
        <v>0.11757760450671237</v>
      </c>
      <c r="AU1325" s="28">
        <f t="shared" si="500"/>
        <v>0.11793906960682159</v>
      </c>
      <c r="AV1325" s="28">
        <f t="shared" si="500"/>
        <v>0.11828268342357233</v>
      </c>
      <c r="AW1325" s="28">
        <f t="shared" si="500"/>
        <v>0.11865153663672662</v>
      </c>
      <c r="AY1325" s="85"/>
      <c r="AZ1325" s="85"/>
    </row>
    <row r="1326" spans="1:52" x14ac:dyDescent="0.25">
      <c r="A1326" s="102" t="str">
        <f t="shared" si="384"/>
        <v>FSFAGSPQNIBDDSCM Leaching</v>
      </c>
      <c r="B1326" s="102" t="s">
        <v>1376</v>
      </c>
      <c r="C1326" s="102" t="s">
        <v>1191</v>
      </c>
      <c r="D1326" t="s">
        <v>369</v>
      </c>
      <c r="E1326" t="s">
        <v>61</v>
      </c>
      <c r="F1326" t="s">
        <v>63</v>
      </c>
      <c r="G1326" t="s">
        <v>1194</v>
      </c>
      <c r="H1326" t="s">
        <v>1195</v>
      </c>
      <c r="I1326" t="s">
        <v>139</v>
      </c>
      <c r="J1326" t="s">
        <v>287</v>
      </c>
      <c r="K1326" s="28">
        <f t="shared" ref="K1326:AW1326" si="501">IFERROR(K1519-((K1519-K110)+(K1519-K263)+(K1519-K416)+(K1519-K568)+(K1519-K720)+(K1519-K871)+(K1519-K1022)+(K1519-K1173)),0)</f>
        <v>0</v>
      </c>
      <c r="L1326" s="28">
        <f t="shared" si="501"/>
        <v>0</v>
      </c>
      <c r="M1326" s="28">
        <f t="shared" si="501"/>
        <v>0</v>
      </c>
      <c r="N1326" s="28">
        <f t="shared" si="501"/>
        <v>0</v>
      </c>
      <c r="O1326" s="28">
        <f t="shared" si="501"/>
        <v>0</v>
      </c>
      <c r="P1326" s="28">
        <f t="shared" si="501"/>
        <v>0</v>
      </c>
      <c r="Q1326" s="28">
        <f t="shared" si="501"/>
        <v>0</v>
      </c>
      <c r="R1326" s="28">
        <f t="shared" si="501"/>
        <v>0</v>
      </c>
      <c r="S1326" s="28">
        <f t="shared" si="501"/>
        <v>0</v>
      </c>
      <c r="T1326" s="28">
        <f t="shared" si="501"/>
        <v>0</v>
      </c>
      <c r="U1326" s="28">
        <f t="shared" si="501"/>
        <v>0</v>
      </c>
      <c r="V1326" s="28">
        <f t="shared" si="501"/>
        <v>0</v>
      </c>
      <c r="W1326" s="28">
        <f t="shared" si="501"/>
        <v>0</v>
      </c>
      <c r="X1326" s="28">
        <f t="shared" si="501"/>
        <v>0</v>
      </c>
      <c r="Y1326" s="28">
        <f t="shared" si="501"/>
        <v>0</v>
      </c>
      <c r="Z1326" s="28">
        <f t="shared" si="501"/>
        <v>0</v>
      </c>
      <c r="AA1326" s="28">
        <f t="shared" si="501"/>
        <v>0</v>
      </c>
      <c r="AB1326" s="28">
        <f t="shared" si="501"/>
        <v>0</v>
      </c>
      <c r="AC1326" s="28">
        <f t="shared" si="501"/>
        <v>0</v>
      </c>
      <c r="AD1326" s="28">
        <f t="shared" si="501"/>
        <v>0</v>
      </c>
      <c r="AE1326" s="28">
        <f t="shared" si="501"/>
        <v>0</v>
      </c>
      <c r="AF1326" s="28">
        <f t="shared" si="501"/>
        <v>0</v>
      </c>
      <c r="AG1326" s="28">
        <f t="shared" si="501"/>
        <v>0</v>
      </c>
      <c r="AH1326" s="28">
        <f t="shared" si="501"/>
        <v>0</v>
      </c>
      <c r="AI1326" s="28">
        <f t="shared" si="501"/>
        <v>0</v>
      </c>
      <c r="AJ1326" s="28">
        <f t="shared" si="501"/>
        <v>0</v>
      </c>
      <c r="AK1326" s="28">
        <f t="shared" si="501"/>
        <v>0</v>
      </c>
      <c r="AL1326" s="28">
        <f t="shared" si="501"/>
        <v>0</v>
      </c>
      <c r="AM1326" s="28">
        <f t="shared" si="501"/>
        <v>0</v>
      </c>
      <c r="AN1326" s="28">
        <f t="shared" si="501"/>
        <v>0</v>
      </c>
      <c r="AO1326" s="28">
        <f t="shared" si="501"/>
        <v>0</v>
      </c>
      <c r="AP1326" s="28">
        <f t="shared" si="501"/>
        <v>0</v>
      </c>
      <c r="AQ1326" s="28">
        <f t="shared" si="501"/>
        <v>0</v>
      </c>
      <c r="AR1326" s="28">
        <f t="shared" si="501"/>
        <v>0</v>
      </c>
      <c r="AS1326" s="28">
        <f t="shared" si="501"/>
        <v>0</v>
      </c>
      <c r="AT1326" s="28">
        <f t="shared" si="501"/>
        <v>0</v>
      </c>
      <c r="AU1326" s="28">
        <f t="shared" si="501"/>
        <v>0</v>
      </c>
      <c r="AV1326" s="28">
        <f t="shared" si="501"/>
        <v>0</v>
      </c>
      <c r="AW1326" s="28">
        <f t="shared" si="501"/>
        <v>0</v>
      </c>
      <c r="AY1326" s="85"/>
      <c r="AZ1326" s="85"/>
    </row>
    <row r="1327" spans="1:52" x14ac:dyDescent="0.25">
      <c r="A1327" s="102" t="str">
        <f t="shared" si="384"/>
        <v>FSFAGSPQNIBDDSCM Leaching</v>
      </c>
      <c r="B1327" s="102" t="s">
        <v>1376</v>
      </c>
      <c r="C1327" s="102" t="s">
        <v>1191</v>
      </c>
      <c r="D1327" t="s">
        <v>369</v>
      </c>
      <c r="E1327" t="s">
        <v>61</v>
      </c>
      <c r="F1327" t="s">
        <v>63</v>
      </c>
      <c r="G1327" t="s">
        <v>1196</v>
      </c>
      <c r="H1327" t="s">
        <v>1197</v>
      </c>
      <c r="I1327" t="s">
        <v>139</v>
      </c>
      <c r="J1327" t="s">
        <v>287</v>
      </c>
      <c r="K1327" s="28">
        <f t="shared" ref="K1327:AW1327" si="502">IFERROR(K1520-((K1520-K111)+(K1520-K264)+(K1520-K417)+(K1520-K569)+(K1520-K721)+(K1520-K872)+(K1520-K1023)+(K1520-K1174)),0)</f>
        <v>0</v>
      </c>
      <c r="L1327" s="28">
        <f t="shared" si="502"/>
        <v>0</v>
      </c>
      <c r="M1327" s="28">
        <f t="shared" si="502"/>
        <v>0</v>
      </c>
      <c r="N1327" s="28">
        <f t="shared" si="502"/>
        <v>0</v>
      </c>
      <c r="O1327" s="28">
        <f t="shared" si="502"/>
        <v>0</v>
      </c>
      <c r="P1327" s="28">
        <f t="shared" si="502"/>
        <v>0</v>
      </c>
      <c r="Q1327" s="28">
        <f t="shared" si="502"/>
        <v>0</v>
      </c>
      <c r="R1327" s="28">
        <f t="shared" si="502"/>
        <v>0</v>
      </c>
      <c r="S1327" s="28">
        <f t="shared" si="502"/>
        <v>0</v>
      </c>
      <c r="T1327" s="28">
        <f t="shared" si="502"/>
        <v>0</v>
      </c>
      <c r="U1327" s="28">
        <f t="shared" si="502"/>
        <v>0</v>
      </c>
      <c r="V1327" s="28">
        <f t="shared" si="502"/>
        <v>0</v>
      </c>
      <c r="W1327" s="28">
        <f t="shared" si="502"/>
        <v>0</v>
      </c>
      <c r="X1327" s="28">
        <f t="shared" si="502"/>
        <v>0</v>
      </c>
      <c r="Y1327" s="28">
        <f t="shared" si="502"/>
        <v>0</v>
      </c>
      <c r="Z1327" s="28">
        <f t="shared" si="502"/>
        <v>0</v>
      </c>
      <c r="AA1327" s="28">
        <f t="shared" si="502"/>
        <v>0</v>
      </c>
      <c r="AB1327" s="28">
        <f t="shared" si="502"/>
        <v>0</v>
      </c>
      <c r="AC1327" s="28">
        <f t="shared" si="502"/>
        <v>0</v>
      </c>
      <c r="AD1327" s="28">
        <f t="shared" si="502"/>
        <v>0</v>
      </c>
      <c r="AE1327" s="28">
        <f t="shared" si="502"/>
        <v>0</v>
      </c>
      <c r="AF1327" s="28">
        <f t="shared" si="502"/>
        <v>0</v>
      </c>
      <c r="AG1327" s="28">
        <f t="shared" si="502"/>
        <v>0</v>
      </c>
      <c r="AH1327" s="28">
        <f t="shared" si="502"/>
        <v>0</v>
      </c>
      <c r="AI1327" s="28">
        <f t="shared" si="502"/>
        <v>0</v>
      </c>
      <c r="AJ1327" s="28">
        <f t="shared" si="502"/>
        <v>0</v>
      </c>
      <c r="AK1327" s="28">
        <f t="shared" si="502"/>
        <v>0</v>
      </c>
      <c r="AL1327" s="28">
        <f t="shared" si="502"/>
        <v>0</v>
      </c>
      <c r="AM1327" s="28">
        <f t="shared" si="502"/>
        <v>0</v>
      </c>
      <c r="AN1327" s="28">
        <f t="shared" si="502"/>
        <v>0</v>
      </c>
      <c r="AO1327" s="28">
        <f t="shared" si="502"/>
        <v>0</v>
      </c>
      <c r="AP1327" s="28">
        <f t="shared" si="502"/>
        <v>0</v>
      </c>
      <c r="AQ1327" s="28">
        <f t="shared" si="502"/>
        <v>0</v>
      </c>
      <c r="AR1327" s="28">
        <f t="shared" si="502"/>
        <v>0</v>
      </c>
      <c r="AS1327" s="28">
        <f t="shared" si="502"/>
        <v>0</v>
      </c>
      <c r="AT1327" s="28">
        <f t="shared" si="502"/>
        <v>0</v>
      </c>
      <c r="AU1327" s="28">
        <f t="shared" si="502"/>
        <v>0</v>
      </c>
      <c r="AV1327" s="28">
        <f t="shared" si="502"/>
        <v>0</v>
      </c>
      <c r="AW1327" s="28">
        <f t="shared" si="502"/>
        <v>0</v>
      </c>
      <c r="AY1327" s="85"/>
      <c r="AZ1327" s="85"/>
    </row>
    <row r="1328" spans="1:52" x14ac:dyDescent="0.25">
      <c r="A1328" s="102" t="str">
        <f t="shared" si="384"/>
        <v>FSFAGSPQNIBDDSCM Leaching</v>
      </c>
      <c r="B1328" s="102" t="s">
        <v>1376</v>
      </c>
      <c r="C1328" s="102" t="s">
        <v>1191</v>
      </c>
      <c r="D1328" t="s">
        <v>369</v>
      </c>
      <c r="E1328" t="s">
        <v>61</v>
      </c>
      <c r="F1328" t="s">
        <v>63</v>
      </c>
      <c r="G1328" t="s">
        <v>1198</v>
      </c>
      <c r="H1328" t="s">
        <v>1199</v>
      </c>
      <c r="I1328" t="s">
        <v>139</v>
      </c>
      <c r="J1328" t="s">
        <v>287</v>
      </c>
      <c r="K1328" s="28">
        <f t="shared" ref="K1328:AW1328" si="503">IFERROR(K1521-((K1521-K112)+(K1521-K265)+(K1521-K418)+(K1521-K570)+(K1521-K722)+(K1521-K873)+(K1521-K1024)+(K1521-K1175)),0)</f>
        <v>1.1867590793806392E-4</v>
      </c>
      <c r="L1328" s="28">
        <f t="shared" si="503"/>
        <v>1.1853617037070301E-4</v>
      </c>
      <c r="M1328" s="28">
        <f t="shared" si="503"/>
        <v>1.1839643280334203E-4</v>
      </c>
      <c r="N1328" s="28">
        <f t="shared" si="503"/>
        <v>1.1825669523598106E-4</v>
      </c>
      <c r="O1328" s="28">
        <f t="shared" si="503"/>
        <v>1.1811695766862012E-4</v>
      </c>
      <c r="P1328" s="28">
        <f t="shared" si="503"/>
        <v>1.1797722010125916E-4</v>
      </c>
      <c r="Q1328" s="28">
        <f t="shared" si="503"/>
        <v>1.178374825338982E-4</v>
      </c>
      <c r="R1328" s="28">
        <f t="shared" si="503"/>
        <v>1.1769774496653728E-4</v>
      </c>
      <c r="S1328" s="28">
        <f t="shared" si="503"/>
        <v>1.1755800739917633E-4</v>
      </c>
      <c r="T1328" s="28">
        <f t="shared" si="503"/>
        <v>1.174182698318154E-4</v>
      </c>
      <c r="U1328" s="28">
        <f t="shared" si="503"/>
        <v>1.1727853226445441E-4</v>
      </c>
      <c r="V1328" s="28">
        <f t="shared" si="503"/>
        <v>1.1713879469709348E-4</v>
      </c>
      <c r="W1328" s="28">
        <f t="shared" si="503"/>
        <v>1.1699905712973254E-4</v>
      </c>
      <c r="X1328" s="28">
        <f t="shared" si="503"/>
        <v>1.168593195623716E-4</v>
      </c>
      <c r="Y1328" s="28">
        <f t="shared" si="503"/>
        <v>1.1671958199501069E-4</v>
      </c>
      <c r="Z1328" s="28">
        <f t="shared" si="503"/>
        <v>1.1657984442764968E-4</v>
      </c>
      <c r="AA1328" s="28">
        <f t="shared" si="503"/>
        <v>1.1644010686028878E-4</v>
      </c>
      <c r="AB1328" s="28">
        <f t="shared" si="503"/>
        <v>1.1630036929292779E-4</v>
      </c>
      <c r="AC1328" s="28">
        <f t="shared" si="503"/>
        <v>1.1616063172556689E-4</v>
      </c>
      <c r="AD1328" s="28">
        <f t="shared" si="503"/>
        <v>1.1602089415820588E-4</v>
      </c>
      <c r="AE1328" s="28">
        <f t="shared" si="503"/>
        <v>1.1588115659084502E-4</v>
      </c>
      <c r="AF1328" s="28">
        <f t="shared" si="503"/>
        <v>1.1574141902348403E-4</v>
      </c>
      <c r="AG1328" s="28">
        <f t="shared" si="503"/>
        <v>1.1560168145612309E-4</v>
      </c>
      <c r="AH1328" s="28">
        <f t="shared" si="503"/>
        <v>1.154619438887621E-4</v>
      </c>
      <c r="AI1328" s="28">
        <f t="shared" si="503"/>
        <v>1.1532220632140118E-4</v>
      </c>
      <c r="AJ1328" s="28">
        <f t="shared" si="503"/>
        <v>1.1518246875404022E-4</v>
      </c>
      <c r="AK1328" s="28">
        <f t="shared" si="503"/>
        <v>1.1504273118667928E-4</v>
      </c>
      <c r="AL1328" s="28">
        <f t="shared" si="503"/>
        <v>1.1490299361931835E-4</v>
      </c>
      <c r="AM1328" s="28">
        <f t="shared" si="503"/>
        <v>1.1476325605195744E-4</v>
      </c>
      <c r="AN1328" s="28">
        <f t="shared" si="503"/>
        <v>1.1462351848459642E-4</v>
      </c>
      <c r="AO1328" s="28">
        <f t="shared" si="503"/>
        <v>1.1448378091723552E-4</v>
      </c>
      <c r="AP1328" s="28">
        <f t="shared" si="503"/>
        <v>1.1434404334987458E-4</v>
      </c>
      <c r="AQ1328" s="28">
        <f t="shared" si="503"/>
        <v>1.1420430578251366E-4</v>
      </c>
      <c r="AR1328" s="28">
        <f t="shared" si="503"/>
        <v>1.1406456821515268E-4</v>
      </c>
      <c r="AS1328" s="28">
        <f t="shared" si="503"/>
        <v>1.1392483064779174E-4</v>
      </c>
      <c r="AT1328" s="28">
        <f t="shared" si="503"/>
        <v>1.1378509308043078E-4</v>
      </c>
      <c r="AU1328" s="28">
        <f t="shared" si="503"/>
        <v>1.136453555130698E-4</v>
      </c>
      <c r="AV1328" s="28">
        <f t="shared" si="503"/>
        <v>1.1350561794570888E-4</v>
      </c>
      <c r="AW1328" s="28">
        <f t="shared" si="503"/>
        <v>1.1336588037834792E-4</v>
      </c>
      <c r="AY1328" s="85"/>
      <c r="AZ1328" s="85"/>
    </row>
    <row r="1329" spans="1:52" x14ac:dyDescent="0.25">
      <c r="A1329" s="102" t="str">
        <f t="shared" si="384"/>
        <v>FSFAGSPQNIBDDSCM Leaching</v>
      </c>
      <c r="B1329" s="102" t="s">
        <v>1376</v>
      </c>
      <c r="C1329" s="102" t="s">
        <v>1191</v>
      </c>
      <c r="D1329" t="s">
        <v>369</v>
      </c>
      <c r="E1329" t="s">
        <v>61</v>
      </c>
      <c r="F1329" t="s">
        <v>63</v>
      </c>
      <c r="G1329" t="s">
        <v>1200</v>
      </c>
      <c r="H1329" t="s">
        <v>1201</v>
      </c>
      <c r="I1329" t="s">
        <v>139</v>
      </c>
      <c r="J1329" t="s">
        <v>287</v>
      </c>
      <c r="K1329" s="28">
        <f t="shared" ref="K1329:AW1329" si="504">IFERROR(K1522-((K1522-K113)+(K1522-K266)+(K1522-K419)+(K1522-K571)+(K1522-K723)+(K1522-K874)+(K1522-K1025)+(K1522-K1176)),0)</f>
        <v>1.6912231388729011E-2</v>
      </c>
      <c r="L1329" s="28">
        <f t="shared" si="504"/>
        <v>1.6951420148247919E-2</v>
      </c>
      <c r="M1329" s="28">
        <f t="shared" si="504"/>
        <v>1.6990608907766828E-2</v>
      </c>
      <c r="N1329" s="28">
        <f t="shared" si="504"/>
        <v>1.702979766728574E-2</v>
      </c>
      <c r="O1329" s="28">
        <f t="shared" si="504"/>
        <v>1.7068986426804648E-2</v>
      </c>
      <c r="P1329" s="28">
        <f t="shared" si="504"/>
        <v>1.7108175186323554E-2</v>
      </c>
      <c r="Q1329" s="28">
        <f t="shared" si="504"/>
        <v>1.7147363945842466E-2</v>
      </c>
      <c r="R1329" s="28">
        <f t="shared" si="504"/>
        <v>1.7186552705361371E-2</v>
      </c>
      <c r="S1329" s="28">
        <f t="shared" si="504"/>
        <v>1.7225741464880276E-2</v>
      </c>
      <c r="T1329" s="28">
        <f t="shared" si="504"/>
        <v>1.7264930224399191E-2</v>
      </c>
      <c r="U1329" s="28">
        <f t="shared" si="504"/>
        <v>1.7304118983918097E-2</v>
      </c>
      <c r="V1329" s="28">
        <f t="shared" si="504"/>
        <v>1.7343307743437009E-2</v>
      </c>
      <c r="W1329" s="28">
        <f t="shared" si="504"/>
        <v>1.7382496502955917E-2</v>
      </c>
      <c r="X1329" s="28">
        <f t="shared" si="504"/>
        <v>1.7421685262474829E-2</v>
      </c>
      <c r="Y1329" s="28">
        <f t="shared" si="504"/>
        <v>1.7460874021993734E-2</v>
      </c>
      <c r="Z1329" s="28">
        <f t="shared" si="504"/>
        <v>1.750006278151265E-2</v>
      </c>
      <c r="AA1329" s="28">
        <f t="shared" si="504"/>
        <v>1.7539251541031548E-2</v>
      </c>
      <c r="AB1329" s="28">
        <f t="shared" si="504"/>
        <v>1.7578440300550464E-2</v>
      </c>
      <c r="AC1329" s="28">
        <f t="shared" si="504"/>
        <v>1.7617629060069376E-2</v>
      </c>
      <c r="AD1329" s="28">
        <f t="shared" si="504"/>
        <v>1.7656817819588281E-2</v>
      </c>
      <c r="AE1329" s="28">
        <f t="shared" si="504"/>
        <v>1.769600657910719E-2</v>
      </c>
      <c r="AF1329" s="28">
        <f t="shared" si="504"/>
        <v>1.7735195338626102E-2</v>
      </c>
      <c r="AG1329" s="28">
        <f t="shared" si="504"/>
        <v>1.777438409814501E-2</v>
      </c>
      <c r="AH1329" s="28">
        <f t="shared" si="504"/>
        <v>1.7813572857663919E-2</v>
      </c>
      <c r="AI1329" s="28">
        <f t="shared" si="504"/>
        <v>1.7852761617182831E-2</v>
      </c>
      <c r="AJ1329" s="28">
        <f t="shared" si="504"/>
        <v>1.7891950376701736E-2</v>
      </c>
      <c r="AK1329" s="28">
        <f t="shared" si="504"/>
        <v>1.7931139136220645E-2</v>
      </c>
      <c r="AL1329" s="28">
        <f t="shared" si="504"/>
        <v>1.7970327895739557E-2</v>
      </c>
      <c r="AM1329" s="28">
        <f t="shared" si="504"/>
        <v>1.8009516655258465E-2</v>
      </c>
      <c r="AN1329" s="28">
        <f t="shared" si="504"/>
        <v>1.8048705414777374E-2</v>
      </c>
      <c r="AO1329" s="28">
        <f t="shared" si="504"/>
        <v>1.8087894174296286E-2</v>
      </c>
      <c r="AP1329" s="28">
        <f t="shared" si="504"/>
        <v>1.8127082933815188E-2</v>
      </c>
      <c r="AQ1329" s="28">
        <f t="shared" si="504"/>
        <v>1.8166271693334096E-2</v>
      </c>
      <c r="AR1329" s="28">
        <f t="shared" si="504"/>
        <v>1.8205460452853015E-2</v>
      </c>
      <c r="AS1329" s="28">
        <f t="shared" si="504"/>
        <v>1.8244649212371917E-2</v>
      </c>
      <c r="AT1329" s="28">
        <f t="shared" si="504"/>
        <v>1.8283837971890825E-2</v>
      </c>
      <c r="AU1329" s="28">
        <f t="shared" si="504"/>
        <v>1.8323026731409734E-2</v>
      </c>
      <c r="AV1329" s="28">
        <f t="shared" si="504"/>
        <v>1.8362215490928643E-2</v>
      </c>
      <c r="AW1329" s="28">
        <f t="shared" si="504"/>
        <v>1.8401404250447555E-2</v>
      </c>
      <c r="AY1329" s="85"/>
      <c r="AZ1329" s="85"/>
    </row>
    <row r="1330" spans="1:52" x14ac:dyDescent="0.25">
      <c r="A1330" s="102" t="str">
        <f t="shared" si="384"/>
        <v>FSFAGSPQNIBDDSCM Leaching</v>
      </c>
      <c r="B1330" s="102" t="s">
        <v>1376</v>
      </c>
      <c r="C1330" s="102" t="s">
        <v>1191</v>
      </c>
      <c r="D1330" t="s">
        <v>369</v>
      </c>
      <c r="E1330" t="s">
        <v>61</v>
      </c>
      <c r="F1330" t="s">
        <v>63</v>
      </c>
      <c r="G1330" t="s">
        <v>1202</v>
      </c>
      <c r="H1330" t="s">
        <v>1203</v>
      </c>
      <c r="I1330" t="s">
        <v>139</v>
      </c>
      <c r="J1330" t="s">
        <v>287</v>
      </c>
      <c r="K1330" s="28">
        <f t="shared" ref="K1330:AW1330" si="505">IFERROR(K1523-((K1523-K114)+(K1523-K267)+(K1523-K420)+(K1523-K572)+(K1523-K724)+(K1523-K875)+(K1523-K1026)+(K1523-K1177)),0)</f>
        <v>1.9871041213735664E-2</v>
      </c>
      <c r="L1330" s="28">
        <f t="shared" si="505"/>
        <v>1.9871041213735664E-2</v>
      </c>
      <c r="M1330" s="28">
        <f t="shared" si="505"/>
        <v>1.9871041213735664E-2</v>
      </c>
      <c r="N1330" s="28">
        <f t="shared" si="505"/>
        <v>1.9871041213735664E-2</v>
      </c>
      <c r="O1330" s="28">
        <f t="shared" si="505"/>
        <v>1.9871041213735664E-2</v>
      </c>
      <c r="P1330" s="28">
        <f t="shared" si="505"/>
        <v>1.9871041213735664E-2</v>
      </c>
      <c r="Q1330" s="28">
        <f t="shared" si="505"/>
        <v>1.9871041213735664E-2</v>
      </c>
      <c r="R1330" s="28">
        <f t="shared" si="505"/>
        <v>1.9871041213735664E-2</v>
      </c>
      <c r="S1330" s="28">
        <f t="shared" si="505"/>
        <v>1.9871041213735664E-2</v>
      </c>
      <c r="T1330" s="28">
        <f t="shared" si="505"/>
        <v>1.9871041213735664E-2</v>
      </c>
      <c r="U1330" s="28">
        <f t="shared" si="505"/>
        <v>1.9871041213735664E-2</v>
      </c>
      <c r="V1330" s="28">
        <f t="shared" si="505"/>
        <v>1.9871041213735664E-2</v>
      </c>
      <c r="W1330" s="28">
        <f t="shared" si="505"/>
        <v>1.9871041213735664E-2</v>
      </c>
      <c r="X1330" s="28">
        <f t="shared" si="505"/>
        <v>1.9871041213735664E-2</v>
      </c>
      <c r="Y1330" s="28">
        <f t="shared" si="505"/>
        <v>1.9871041213735664E-2</v>
      </c>
      <c r="Z1330" s="28">
        <f t="shared" si="505"/>
        <v>1.9871041213735664E-2</v>
      </c>
      <c r="AA1330" s="28">
        <f t="shared" si="505"/>
        <v>1.9871041213735664E-2</v>
      </c>
      <c r="AB1330" s="28">
        <f t="shared" si="505"/>
        <v>1.9871041213735664E-2</v>
      </c>
      <c r="AC1330" s="28">
        <f t="shared" si="505"/>
        <v>1.9871041213735664E-2</v>
      </c>
      <c r="AD1330" s="28">
        <f t="shared" si="505"/>
        <v>1.9871041213735664E-2</v>
      </c>
      <c r="AE1330" s="28">
        <f t="shared" si="505"/>
        <v>1.9871041213735664E-2</v>
      </c>
      <c r="AF1330" s="28">
        <f t="shared" si="505"/>
        <v>1.9871041213735664E-2</v>
      </c>
      <c r="AG1330" s="28">
        <f t="shared" si="505"/>
        <v>1.9871041213735664E-2</v>
      </c>
      <c r="AH1330" s="28">
        <f t="shared" si="505"/>
        <v>1.9871041213735664E-2</v>
      </c>
      <c r="AI1330" s="28">
        <f t="shared" si="505"/>
        <v>1.9871041213735664E-2</v>
      </c>
      <c r="AJ1330" s="28">
        <f t="shared" si="505"/>
        <v>1.9871041213735664E-2</v>
      </c>
      <c r="AK1330" s="28">
        <f t="shared" si="505"/>
        <v>1.9871041213735664E-2</v>
      </c>
      <c r="AL1330" s="28">
        <f t="shared" si="505"/>
        <v>1.9871041213735664E-2</v>
      </c>
      <c r="AM1330" s="28">
        <f t="shared" si="505"/>
        <v>1.9871041213735664E-2</v>
      </c>
      <c r="AN1330" s="28">
        <f t="shared" si="505"/>
        <v>1.9871041213735664E-2</v>
      </c>
      <c r="AO1330" s="28">
        <f t="shared" si="505"/>
        <v>1.9871041213735664E-2</v>
      </c>
      <c r="AP1330" s="28">
        <f t="shared" si="505"/>
        <v>1.9871041213735664E-2</v>
      </c>
      <c r="AQ1330" s="28">
        <f t="shared" si="505"/>
        <v>1.9871041213735664E-2</v>
      </c>
      <c r="AR1330" s="28">
        <f t="shared" si="505"/>
        <v>1.9871041213735664E-2</v>
      </c>
      <c r="AS1330" s="28">
        <f t="shared" si="505"/>
        <v>1.9871041213735664E-2</v>
      </c>
      <c r="AT1330" s="28">
        <f t="shared" si="505"/>
        <v>1.9871041213735664E-2</v>
      </c>
      <c r="AU1330" s="28">
        <f t="shared" si="505"/>
        <v>1.9871041213735664E-2</v>
      </c>
      <c r="AV1330" s="28">
        <f t="shared" si="505"/>
        <v>1.9871041213735664E-2</v>
      </c>
      <c r="AW1330" s="28">
        <f t="shared" si="505"/>
        <v>1.9871041213735664E-2</v>
      </c>
      <c r="AY1330" s="85"/>
      <c r="AZ1330" s="85"/>
    </row>
    <row r="1331" spans="1:52" x14ac:dyDescent="0.25">
      <c r="A1331" s="102" t="str">
        <f t="shared" si="384"/>
        <v>FSFAGSPQNIBDDSCM Leaching</v>
      </c>
      <c r="B1331" s="102" t="s">
        <v>1376</v>
      </c>
      <c r="C1331" s="102" t="s">
        <v>1191</v>
      </c>
      <c r="D1331" t="s">
        <v>369</v>
      </c>
      <c r="E1331" t="s">
        <v>61</v>
      </c>
      <c r="F1331" t="s">
        <v>63</v>
      </c>
      <c r="G1331" t="s">
        <v>1204</v>
      </c>
      <c r="H1331" t="s">
        <v>1205</v>
      </c>
      <c r="I1331" t="s">
        <v>139</v>
      </c>
      <c r="J1331" t="s">
        <v>287</v>
      </c>
      <c r="K1331" s="28">
        <f t="shared" ref="K1331:AW1331" si="506">IFERROR(K1524-((K1524-K115)+(K1524-K268)+(K1524-K421)+(K1524-K573)+(K1524-K725)+(K1524-K876)+(K1524-K1027)+(K1524-K1178)),0)</f>
        <v>0</v>
      </c>
      <c r="L1331" s="28">
        <f t="shared" si="506"/>
        <v>0</v>
      </c>
      <c r="M1331" s="28">
        <f t="shared" si="506"/>
        <v>0</v>
      </c>
      <c r="N1331" s="28">
        <f t="shared" si="506"/>
        <v>0</v>
      </c>
      <c r="O1331" s="28">
        <f t="shared" si="506"/>
        <v>0</v>
      </c>
      <c r="P1331" s="28">
        <f t="shared" si="506"/>
        <v>0</v>
      </c>
      <c r="Q1331" s="28">
        <f t="shared" si="506"/>
        <v>0</v>
      </c>
      <c r="R1331" s="28">
        <f t="shared" si="506"/>
        <v>0</v>
      </c>
      <c r="S1331" s="28">
        <f t="shared" si="506"/>
        <v>0</v>
      </c>
      <c r="T1331" s="28">
        <f t="shared" si="506"/>
        <v>0</v>
      </c>
      <c r="U1331" s="28">
        <f t="shared" si="506"/>
        <v>0</v>
      </c>
      <c r="V1331" s="28">
        <f t="shared" si="506"/>
        <v>0</v>
      </c>
      <c r="W1331" s="28">
        <f t="shared" si="506"/>
        <v>0</v>
      </c>
      <c r="X1331" s="28">
        <f t="shared" si="506"/>
        <v>0</v>
      </c>
      <c r="Y1331" s="28">
        <f t="shared" si="506"/>
        <v>0</v>
      </c>
      <c r="Z1331" s="28">
        <f t="shared" si="506"/>
        <v>0</v>
      </c>
      <c r="AA1331" s="28">
        <f t="shared" si="506"/>
        <v>0</v>
      </c>
      <c r="AB1331" s="28">
        <f t="shared" si="506"/>
        <v>0</v>
      </c>
      <c r="AC1331" s="28">
        <f t="shared" si="506"/>
        <v>0</v>
      </c>
      <c r="AD1331" s="28">
        <f t="shared" si="506"/>
        <v>0</v>
      </c>
      <c r="AE1331" s="28">
        <f t="shared" si="506"/>
        <v>0</v>
      </c>
      <c r="AF1331" s="28">
        <f t="shared" si="506"/>
        <v>0</v>
      </c>
      <c r="AG1331" s="28">
        <f t="shared" si="506"/>
        <v>0</v>
      </c>
      <c r="AH1331" s="28">
        <f t="shared" si="506"/>
        <v>0</v>
      </c>
      <c r="AI1331" s="28">
        <f t="shared" si="506"/>
        <v>0</v>
      </c>
      <c r="AJ1331" s="28">
        <f t="shared" si="506"/>
        <v>0</v>
      </c>
      <c r="AK1331" s="28">
        <f t="shared" si="506"/>
        <v>0</v>
      </c>
      <c r="AL1331" s="28">
        <f t="shared" si="506"/>
        <v>0</v>
      </c>
      <c r="AM1331" s="28">
        <f t="shared" si="506"/>
        <v>0</v>
      </c>
      <c r="AN1331" s="28">
        <f t="shared" si="506"/>
        <v>0</v>
      </c>
      <c r="AO1331" s="28">
        <f t="shared" si="506"/>
        <v>0</v>
      </c>
      <c r="AP1331" s="28">
        <f t="shared" si="506"/>
        <v>0</v>
      </c>
      <c r="AQ1331" s="28">
        <f t="shared" si="506"/>
        <v>0</v>
      </c>
      <c r="AR1331" s="28">
        <f t="shared" si="506"/>
        <v>0</v>
      </c>
      <c r="AS1331" s="28">
        <f t="shared" si="506"/>
        <v>0</v>
      </c>
      <c r="AT1331" s="28">
        <f t="shared" si="506"/>
        <v>0</v>
      </c>
      <c r="AU1331" s="28">
        <f t="shared" si="506"/>
        <v>0</v>
      </c>
      <c r="AV1331" s="28">
        <f t="shared" si="506"/>
        <v>0</v>
      </c>
      <c r="AW1331" s="28">
        <f t="shared" si="506"/>
        <v>0</v>
      </c>
      <c r="AY1331" s="85"/>
      <c r="AZ1331" s="85"/>
    </row>
    <row r="1332" spans="1:52" x14ac:dyDescent="0.25">
      <c r="A1332" s="102" t="str">
        <f t="shared" si="384"/>
        <v>FSFAGSPQNIBDDSCM Leaching</v>
      </c>
      <c r="B1332" s="102" t="s">
        <v>1376</v>
      </c>
      <c r="C1332" s="102" t="s">
        <v>1191</v>
      </c>
      <c r="D1332" t="s">
        <v>369</v>
      </c>
      <c r="E1332" t="s">
        <v>61</v>
      </c>
      <c r="F1332" t="s">
        <v>63</v>
      </c>
      <c r="G1332" t="s">
        <v>1206</v>
      </c>
      <c r="H1332" t="s">
        <v>1207</v>
      </c>
      <c r="I1332" t="s">
        <v>139</v>
      </c>
      <c r="J1332" t="s">
        <v>287</v>
      </c>
      <c r="K1332" s="28">
        <f t="shared" ref="K1332:AW1332" si="507">IFERROR(K1525-((K1525-K116)+(K1525-K269)+(K1525-K422)+(K1525-K574)+(K1525-K726)+(K1525-K877)+(K1525-K1028)+(K1525-K1179)),0)</f>
        <v>0</v>
      </c>
      <c r="L1332" s="28">
        <f t="shared" si="507"/>
        <v>0</v>
      </c>
      <c r="M1332" s="28">
        <f t="shared" si="507"/>
        <v>0</v>
      </c>
      <c r="N1332" s="28">
        <f t="shared" si="507"/>
        <v>0</v>
      </c>
      <c r="O1332" s="28">
        <f t="shared" si="507"/>
        <v>0</v>
      </c>
      <c r="P1332" s="28">
        <f t="shared" si="507"/>
        <v>0</v>
      </c>
      <c r="Q1332" s="28">
        <f t="shared" si="507"/>
        <v>0</v>
      </c>
      <c r="R1332" s="28">
        <f t="shared" si="507"/>
        <v>0</v>
      </c>
      <c r="S1332" s="28">
        <f t="shared" si="507"/>
        <v>0</v>
      </c>
      <c r="T1332" s="28">
        <f t="shared" si="507"/>
        <v>0</v>
      </c>
      <c r="U1332" s="28">
        <f t="shared" si="507"/>
        <v>0</v>
      </c>
      <c r="V1332" s="28">
        <f t="shared" si="507"/>
        <v>0</v>
      </c>
      <c r="W1332" s="28">
        <f t="shared" si="507"/>
        <v>0</v>
      </c>
      <c r="X1332" s="28">
        <f t="shared" si="507"/>
        <v>0</v>
      </c>
      <c r="Y1332" s="28">
        <f t="shared" si="507"/>
        <v>0</v>
      </c>
      <c r="Z1332" s="28">
        <f t="shared" si="507"/>
        <v>0</v>
      </c>
      <c r="AA1332" s="28">
        <f t="shared" si="507"/>
        <v>0</v>
      </c>
      <c r="AB1332" s="28">
        <f t="shared" si="507"/>
        <v>0</v>
      </c>
      <c r="AC1332" s="28">
        <f t="shared" si="507"/>
        <v>0</v>
      </c>
      <c r="AD1332" s="28">
        <f t="shared" si="507"/>
        <v>0</v>
      </c>
      <c r="AE1332" s="28">
        <f t="shared" si="507"/>
        <v>0</v>
      </c>
      <c r="AF1332" s="28">
        <f t="shared" si="507"/>
        <v>0</v>
      </c>
      <c r="AG1332" s="28">
        <f t="shared" si="507"/>
        <v>0</v>
      </c>
      <c r="AH1332" s="28">
        <f t="shared" si="507"/>
        <v>0</v>
      </c>
      <c r="AI1332" s="28">
        <f t="shared" si="507"/>
        <v>0</v>
      </c>
      <c r="AJ1332" s="28">
        <f t="shared" si="507"/>
        <v>0</v>
      </c>
      <c r="AK1332" s="28">
        <f t="shared" si="507"/>
        <v>0</v>
      </c>
      <c r="AL1332" s="28">
        <f t="shared" si="507"/>
        <v>0</v>
      </c>
      <c r="AM1332" s="28">
        <f t="shared" si="507"/>
        <v>0</v>
      </c>
      <c r="AN1332" s="28">
        <f t="shared" si="507"/>
        <v>0</v>
      </c>
      <c r="AO1332" s="28">
        <f t="shared" si="507"/>
        <v>0</v>
      </c>
      <c r="AP1332" s="28">
        <f t="shared" si="507"/>
        <v>0</v>
      </c>
      <c r="AQ1332" s="28">
        <f t="shared" si="507"/>
        <v>0</v>
      </c>
      <c r="AR1332" s="28">
        <f t="shared" si="507"/>
        <v>0</v>
      </c>
      <c r="AS1332" s="28">
        <f t="shared" si="507"/>
        <v>0</v>
      </c>
      <c r="AT1332" s="28">
        <f t="shared" si="507"/>
        <v>0</v>
      </c>
      <c r="AU1332" s="28">
        <f t="shared" si="507"/>
        <v>0</v>
      </c>
      <c r="AV1332" s="28">
        <f t="shared" si="507"/>
        <v>0</v>
      </c>
      <c r="AW1332" s="28">
        <f t="shared" si="507"/>
        <v>0</v>
      </c>
      <c r="AY1332" s="85"/>
      <c r="AZ1332" s="85"/>
    </row>
    <row r="1333" spans="1:52" x14ac:dyDescent="0.25">
      <c r="A1333" s="102" t="str">
        <f t="shared" si="384"/>
        <v>FSFAGSPQNIBDDSCM Leaching</v>
      </c>
      <c r="B1333" s="102" t="s">
        <v>1376</v>
      </c>
      <c r="C1333" s="102" t="s">
        <v>1191</v>
      </c>
      <c r="D1333" t="s">
        <v>369</v>
      </c>
      <c r="E1333" t="s">
        <v>61</v>
      </c>
      <c r="F1333" t="s">
        <v>63</v>
      </c>
      <c r="G1333" t="s">
        <v>1208</v>
      </c>
      <c r="H1333" t="s">
        <v>1209</v>
      </c>
      <c r="I1333" t="s">
        <v>139</v>
      </c>
      <c r="J1333" t="s">
        <v>287</v>
      </c>
      <c r="K1333" s="28">
        <f t="shared" ref="K1333:AW1333" si="508">IFERROR(K1526-((K1526-K117)+(K1526-K270)+(K1526-K423)+(K1526-K575)+(K1526-K727)+(K1526-K878)+(K1526-K1029)+(K1526-K1180)),0)</f>
        <v>0</v>
      </c>
      <c r="L1333" s="28">
        <f t="shared" si="508"/>
        <v>0</v>
      </c>
      <c r="M1333" s="28">
        <f t="shared" si="508"/>
        <v>0</v>
      </c>
      <c r="N1333" s="28">
        <f t="shared" si="508"/>
        <v>0</v>
      </c>
      <c r="O1333" s="28">
        <f t="shared" si="508"/>
        <v>0</v>
      </c>
      <c r="P1333" s="28">
        <f t="shared" si="508"/>
        <v>0</v>
      </c>
      <c r="Q1333" s="28">
        <f t="shared" si="508"/>
        <v>0</v>
      </c>
      <c r="R1333" s="28">
        <f t="shared" si="508"/>
        <v>0</v>
      </c>
      <c r="S1333" s="28">
        <f t="shared" si="508"/>
        <v>0</v>
      </c>
      <c r="T1333" s="28">
        <f t="shared" si="508"/>
        <v>0</v>
      </c>
      <c r="U1333" s="28">
        <f t="shared" si="508"/>
        <v>0</v>
      </c>
      <c r="V1333" s="28">
        <f t="shared" si="508"/>
        <v>0</v>
      </c>
      <c r="W1333" s="28">
        <f t="shared" si="508"/>
        <v>0</v>
      </c>
      <c r="X1333" s="28">
        <f t="shared" si="508"/>
        <v>0</v>
      </c>
      <c r="Y1333" s="28">
        <f t="shared" si="508"/>
        <v>0</v>
      </c>
      <c r="Z1333" s="28">
        <f t="shared" si="508"/>
        <v>0</v>
      </c>
      <c r="AA1333" s="28">
        <f t="shared" si="508"/>
        <v>0</v>
      </c>
      <c r="AB1333" s="28">
        <f t="shared" si="508"/>
        <v>0</v>
      </c>
      <c r="AC1333" s="28">
        <f t="shared" si="508"/>
        <v>0</v>
      </c>
      <c r="AD1333" s="28">
        <f t="shared" si="508"/>
        <v>0</v>
      </c>
      <c r="AE1333" s="28">
        <f t="shared" si="508"/>
        <v>0</v>
      </c>
      <c r="AF1333" s="28">
        <f t="shared" si="508"/>
        <v>0</v>
      </c>
      <c r="AG1333" s="28">
        <f t="shared" si="508"/>
        <v>0</v>
      </c>
      <c r="AH1333" s="28">
        <f t="shared" si="508"/>
        <v>0</v>
      </c>
      <c r="AI1333" s="28">
        <f t="shared" si="508"/>
        <v>0</v>
      </c>
      <c r="AJ1333" s="28">
        <f t="shared" si="508"/>
        <v>0</v>
      </c>
      <c r="AK1333" s="28">
        <f t="shared" si="508"/>
        <v>0</v>
      </c>
      <c r="AL1333" s="28">
        <f t="shared" si="508"/>
        <v>0</v>
      </c>
      <c r="AM1333" s="28">
        <f t="shared" si="508"/>
        <v>0</v>
      </c>
      <c r="AN1333" s="28">
        <f t="shared" si="508"/>
        <v>0</v>
      </c>
      <c r="AO1333" s="28">
        <f t="shared" si="508"/>
        <v>0</v>
      </c>
      <c r="AP1333" s="28">
        <f t="shared" si="508"/>
        <v>0</v>
      </c>
      <c r="AQ1333" s="28">
        <f t="shared" si="508"/>
        <v>0</v>
      </c>
      <c r="AR1333" s="28">
        <f t="shared" si="508"/>
        <v>0</v>
      </c>
      <c r="AS1333" s="28">
        <f t="shared" si="508"/>
        <v>0</v>
      </c>
      <c r="AT1333" s="28">
        <f t="shared" si="508"/>
        <v>0</v>
      </c>
      <c r="AU1333" s="28">
        <f t="shared" si="508"/>
        <v>0</v>
      </c>
      <c r="AV1333" s="28">
        <f t="shared" si="508"/>
        <v>0</v>
      </c>
      <c r="AW1333" s="28">
        <f t="shared" si="508"/>
        <v>0</v>
      </c>
      <c r="AY1333" s="85"/>
      <c r="AZ1333" s="85"/>
    </row>
    <row r="1334" spans="1:52" x14ac:dyDescent="0.25">
      <c r="A1334" s="102" t="str">
        <f t="shared" si="384"/>
        <v>FSFAGSPQNIBDDSCM Leaching</v>
      </c>
      <c r="B1334" s="102" t="s">
        <v>1376</v>
      </c>
      <c r="C1334" s="102" t="s">
        <v>1191</v>
      </c>
      <c r="D1334" t="s">
        <v>369</v>
      </c>
      <c r="E1334" t="s">
        <v>61</v>
      </c>
      <c r="F1334" t="s">
        <v>63</v>
      </c>
      <c r="G1334" t="s">
        <v>1210</v>
      </c>
      <c r="H1334" t="s">
        <v>1211</v>
      </c>
      <c r="I1334" t="s">
        <v>139</v>
      </c>
      <c r="J1334" t="s">
        <v>287</v>
      </c>
      <c r="K1334" s="28">
        <f t="shared" ref="K1334:AW1334" si="509">IFERROR(K1527-((K1527-K118)+(K1527-K271)+(K1527-K424)+(K1527-K576)+(K1527-K728)+(K1527-K879)+(K1527-K1030)+(K1527-K1181)),0)</f>
        <v>1.9333864620707719E-6</v>
      </c>
      <c r="L1334" s="28">
        <f t="shared" si="509"/>
        <v>1.9333864620707719E-6</v>
      </c>
      <c r="M1334" s="28">
        <f t="shared" si="509"/>
        <v>1.9333864620707719E-6</v>
      </c>
      <c r="N1334" s="28">
        <f t="shared" si="509"/>
        <v>1.9333864620707719E-6</v>
      </c>
      <c r="O1334" s="28">
        <f t="shared" si="509"/>
        <v>1.9333864620707719E-6</v>
      </c>
      <c r="P1334" s="28">
        <f t="shared" si="509"/>
        <v>1.9333864620707719E-6</v>
      </c>
      <c r="Q1334" s="28">
        <f t="shared" si="509"/>
        <v>1.9333864620707719E-6</v>
      </c>
      <c r="R1334" s="28">
        <f t="shared" si="509"/>
        <v>1.9333864620707719E-6</v>
      </c>
      <c r="S1334" s="28">
        <f t="shared" si="509"/>
        <v>1.9333864620707719E-6</v>
      </c>
      <c r="T1334" s="28">
        <f t="shared" si="509"/>
        <v>1.9333864620707719E-6</v>
      </c>
      <c r="U1334" s="28">
        <f t="shared" si="509"/>
        <v>1.9333864620707719E-6</v>
      </c>
      <c r="V1334" s="28">
        <f t="shared" si="509"/>
        <v>1.9333864620707719E-6</v>
      </c>
      <c r="W1334" s="28">
        <f t="shared" si="509"/>
        <v>1.9333864620707719E-6</v>
      </c>
      <c r="X1334" s="28">
        <f t="shared" si="509"/>
        <v>1.9333864620707719E-6</v>
      </c>
      <c r="Y1334" s="28">
        <f t="shared" si="509"/>
        <v>1.9333864620707719E-6</v>
      </c>
      <c r="Z1334" s="28">
        <f t="shared" si="509"/>
        <v>1.9333864620707719E-6</v>
      </c>
      <c r="AA1334" s="28">
        <f t="shared" si="509"/>
        <v>1.9333864620707719E-6</v>
      </c>
      <c r="AB1334" s="28">
        <f t="shared" si="509"/>
        <v>1.9333864620707719E-6</v>
      </c>
      <c r="AC1334" s="28">
        <f t="shared" si="509"/>
        <v>1.9333864620707719E-6</v>
      </c>
      <c r="AD1334" s="28">
        <f t="shared" si="509"/>
        <v>1.9333864620707719E-6</v>
      </c>
      <c r="AE1334" s="28">
        <f t="shared" si="509"/>
        <v>1.9333864620707719E-6</v>
      </c>
      <c r="AF1334" s="28">
        <f t="shared" si="509"/>
        <v>1.9333864620707719E-6</v>
      </c>
      <c r="AG1334" s="28">
        <f t="shared" si="509"/>
        <v>1.9333864620707719E-6</v>
      </c>
      <c r="AH1334" s="28">
        <f t="shared" si="509"/>
        <v>1.9333864620707719E-6</v>
      </c>
      <c r="AI1334" s="28">
        <f t="shared" si="509"/>
        <v>1.9333864620707719E-6</v>
      </c>
      <c r="AJ1334" s="28">
        <f t="shared" si="509"/>
        <v>1.9333864620707719E-6</v>
      </c>
      <c r="AK1334" s="28">
        <f t="shared" si="509"/>
        <v>1.9333864620707719E-6</v>
      </c>
      <c r="AL1334" s="28">
        <f t="shared" si="509"/>
        <v>1.9333864620707719E-6</v>
      </c>
      <c r="AM1334" s="28">
        <f t="shared" si="509"/>
        <v>1.9333864620707719E-6</v>
      </c>
      <c r="AN1334" s="28">
        <f t="shared" si="509"/>
        <v>1.9333864620707719E-6</v>
      </c>
      <c r="AO1334" s="28">
        <f t="shared" si="509"/>
        <v>1.9333864620707719E-6</v>
      </c>
      <c r="AP1334" s="28">
        <f t="shared" si="509"/>
        <v>1.9333864620707719E-6</v>
      </c>
      <c r="AQ1334" s="28">
        <f t="shared" si="509"/>
        <v>1.9333864620707719E-6</v>
      </c>
      <c r="AR1334" s="28">
        <f t="shared" si="509"/>
        <v>1.9333864620707719E-6</v>
      </c>
      <c r="AS1334" s="28">
        <f t="shared" si="509"/>
        <v>1.9333864620707719E-6</v>
      </c>
      <c r="AT1334" s="28">
        <f t="shared" si="509"/>
        <v>1.9333864620707719E-6</v>
      </c>
      <c r="AU1334" s="28">
        <f t="shared" si="509"/>
        <v>1.9333864620707719E-6</v>
      </c>
      <c r="AV1334" s="28">
        <f t="shared" si="509"/>
        <v>1.9333864620707719E-6</v>
      </c>
      <c r="AW1334" s="28">
        <f t="shared" si="509"/>
        <v>1.9333864620707719E-6</v>
      </c>
      <c r="AY1334" s="85"/>
      <c r="AZ1334" s="85"/>
    </row>
    <row r="1335" spans="1:52" x14ac:dyDescent="0.25">
      <c r="A1335" s="102" t="str">
        <f t="shared" si="384"/>
        <v>FSFAGSPQNIBDDSCM Leaching</v>
      </c>
      <c r="B1335" s="102" t="s">
        <v>1376</v>
      </c>
      <c r="C1335" s="102" t="s">
        <v>1191</v>
      </c>
      <c r="D1335" t="s">
        <v>369</v>
      </c>
      <c r="E1335" t="s">
        <v>61</v>
      </c>
      <c r="F1335" t="s">
        <v>63</v>
      </c>
      <c r="G1335" t="s">
        <v>1212</v>
      </c>
      <c r="H1335" t="s">
        <v>1213</v>
      </c>
      <c r="I1335" t="s">
        <v>139</v>
      </c>
      <c r="J1335" t="s">
        <v>287</v>
      </c>
      <c r="K1335" s="28">
        <f t="shared" ref="K1335:AW1335" si="510">IFERROR(K1528-((K1528-K119)+(K1528-K272)+(K1528-K425)+(K1528-K577)+(K1528-K729)+(K1528-K880)+(K1528-K1031)+(K1528-K1182)),0)</f>
        <v>2.1082459751876198E-3</v>
      </c>
      <c r="L1335" s="28">
        <f t="shared" si="510"/>
        <v>2.1082459751876198E-3</v>
      </c>
      <c r="M1335" s="28">
        <f t="shared" si="510"/>
        <v>2.1082459751876198E-3</v>
      </c>
      <c r="N1335" s="28">
        <f t="shared" si="510"/>
        <v>2.1082459751876198E-3</v>
      </c>
      <c r="O1335" s="28">
        <f t="shared" si="510"/>
        <v>2.1082459751876198E-3</v>
      </c>
      <c r="P1335" s="28">
        <f t="shared" si="510"/>
        <v>2.1082459751876198E-3</v>
      </c>
      <c r="Q1335" s="28">
        <f t="shared" si="510"/>
        <v>2.1082459751876198E-3</v>
      </c>
      <c r="R1335" s="28">
        <f t="shared" si="510"/>
        <v>2.1082459751876198E-3</v>
      </c>
      <c r="S1335" s="28">
        <f t="shared" si="510"/>
        <v>2.1082459751876198E-3</v>
      </c>
      <c r="T1335" s="28">
        <f t="shared" si="510"/>
        <v>2.1082459751876198E-3</v>
      </c>
      <c r="U1335" s="28">
        <f t="shared" si="510"/>
        <v>2.1082459751876198E-3</v>
      </c>
      <c r="V1335" s="28">
        <f t="shared" si="510"/>
        <v>2.1082459751876198E-3</v>
      </c>
      <c r="W1335" s="28">
        <f t="shared" si="510"/>
        <v>2.1082459751876198E-3</v>
      </c>
      <c r="X1335" s="28">
        <f t="shared" si="510"/>
        <v>2.1082459751876198E-3</v>
      </c>
      <c r="Y1335" s="28">
        <f t="shared" si="510"/>
        <v>2.1082459751876198E-3</v>
      </c>
      <c r="Z1335" s="28">
        <f t="shared" si="510"/>
        <v>2.1082459751876198E-3</v>
      </c>
      <c r="AA1335" s="28">
        <f t="shared" si="510"/>
        <v>2.1082459751876198E-3</v>
      </c>
      <c r="AB1335" s="28">
        <f t="shared" si="510"/>
        <v>2.1082459751876198E-3</v>
      </c>
      <c r="AC1335" s="28">
        <f t="shared" si="510"/>
        <v>2.1082459751876198E-3</v>
      </c>
      <c r="AD1335" s="28">
        <f t="shared" si="510"/>
        <v>2.1082459751876198E-3</v>
      </c>
      <c r="AE1335" s="28">
        <f t="shared" si="510"/>
        <v>2.1082459751876198E-3</v>
      </c>
      <c r="AF1335" s="28">
        <f t="shared" si="510"/>
        <v>2.1082459751876198E-3</v>
      </c>
      <c r="AG1335" s="28">
        <f t="shared" si="510"/>
        <v>2.1082459751876198E-3</v>
      </c>
      <c r="AH1335" s="28">
        <f t="shared" si="510"/>
        <v>2.1082459751876198E-3</v>
      </c>
      <c r="AI1335" s="28">
        <f t="shared" si="510"/>
        <v>2.1082459751876198E-3</v>
      </c>
      <c r="AJ1335" s="28">
        <f t="shared" si="510"/>
        <v>2.1082459751876198E-3</v>
      </c>
      <c r="AK1335" s="28">
        <f t="shared" si="510"/>
        <v>2.1082459751876198E-3</v>
      </c>
      <c r="AL1335" s="28">
        <f t="shared" si="510"/>
        <v>2.1082459751876198E-3</v>
      </c>
      <c r="AM1335" s="28">
        <f t="shared" si="510"/>
        <v>2.1082459751876198E-3</v>
      </c>
      <c r="AN1335" s="28">
        <f t="shared" si="510"/>
        <v>2.1082459751876198E-3</v>
      </c>
      <c r="AO1335" s="28">
        <f t="shared" si="510"/>
        <v>2.1082459751876198E-3</v>
      </c>
      <c r="AP1335" s="28">
        <f t="shared" si="510"/>
        <v>2.1082459751876198E-3</v>
      </c>
      <c r="AQ1335" s="28">
        <f t="shared" si="510"/>
        <v>2.1082459751876198E-3</v>
      </c>
      <c r="AR1335" s="28">
        <f t="shared" si="510"/>
        <v>2.1082459751876198E-3</v>
      </c>
      <c r="AS1335" s="28">
        <f t="shared" si="510"/>
        <v>2.1082459751876198E-3</v>
      </c>
      <c r="AT1335" s="28">
        <f t="shared" si="510"/>
        <v>2.1082459751876198E-3</v>
      </c>
      <c r="AU1335" s="28">
        <f t="shared" si="510"/>
        <v>2.1082459751876198E-3</v>
      </c>
      <c r="AV1335" s="28">
        <f t="shared" si="510"/>
        <v>2.1082459751876198E-3</v>
      </c>
      <c r="AW1335" s="28">
        <f t="shared" si="510"/>
        <v>2.1082459751876198E-3</v>
      </c>
      <c r="AY1335" s="85"/>
      <c r="AZ1335" s="85"/>
    </row>
    <row r="1336" spans="1:52" x14ac:dyDescent="0.25">
      <c r="A1336" s="102" t="str">
        <f t="shared" si="384"/>
        <v>FSFAGSPQNIBDDSCM Leaching</v>
      </c>
      <c r="B1336" s="102" t="s">
        <v>1376</v>
      </c>
      <c r="C1336" s="102" t="s">
        <v>1191</v>
      </c>
      <c r="D1336" t="s">
        <v>369</v>
      </c>
      <c r="E1336" t="s">
        <v>61</v>
      </c>
      <c r="F1336" t="s">
        <v>63</v>
      </c>
      <c r="G1336" t="s">
        <v>1214</v>
      </c>
      <c r="H1336" t="s">
        <v>1215</v>
      </c>
      <c r="I1336" t="s">
        <v>139</v>
      </c>
      <c r="J1336" t="s">
        <v>287</v>
      </c>
      <c r="K1336" s="28">
        <f t="shared" ref="K1336:AW1336" si="511">IFERROR(K1529-((K1529-K120)+(K1529-K273)+(K1529-K426)+(K1529-K578)+(K1529-K730)+(K1529-K881)+(K1529-K1032)+(K1529-K1183)),0)</f>
        <v>0</v>
      </c>
      <c r="L1336" s="28">
        <f t="shared" si="511"/>
        <v>0</v>
      </c>
      <c r="M1336" s="28">
        <f t="shared" si="511"/>
        <v>0</v>
      </c>
      <c r="N1336" s="28">
        <f t="shared" si="511"/>
        <v>0</v>
      </c>
      <c r="O1336" s="28">
        <f t="shared" si="511"/>
        <v>0</v>
      </c>
      <c r="P1336" s="28">
        <f t="shared" si="511"/>
        <v>0</v>
      </c>
      <c r="Q1336" s="28">
        <f t="shared" si="511"/>
        <v>0</v>
      </c>
      <c r="R1336" s="28">
        <f t="shared" si="511"/>
        <v>0</v>
      </c>
      <c r="S1336" s="28">
        <f t="shared" si="511"/>
        <v>0</v>
      </c>
      <c r="T1336" s="28">
        <f t="shared" si="511"/>
        <v>0</v>
      </c>
      <c r="U1336" s="28">
        <f t="shared" si="511"/>
        <v>0</v>
      </c>
      <c r="V1336" s="28">
        <f t="shared" si="511"/>
        <v>0</v>
      </c>
      <c r="W1336" s="28">
        <f t="shared" si="511"/>
        <v>0</v>
      </c>
      <c r="X1336" s="28">
        <f t="shared" si="511"/>
        <v>0</v>
      </c>
      <c r="Y1336" s="28">
        <f t="shared" si="511"/>
        <v>0</v>
      </c>
      <c r="Z1336" s="28">
        <f t="shared" si="511"/>
        <v>0</v>
      </c>
      <c r="AA1336" s="28">
        <f t="shared" si="511"/>
        <v>0</v>
      </c>
      <c r="AB1336" s="28">
        <f t="shared" si="511"/>
        <v>0</v>
      </c>
      <c r="AC1336" s="28">
        <f t="shared" si="511"/>
        <v>0</v>
      </c>
      <c r="AD1336" s="28">
        <f t="shared" si="511"/>
        <v>0</v>
      </c>
      <c r="AE1336" s="28">
        <f t="shared" si="511"/>
        <v>0</v>
      </c>
      <c r="AF1336" s="28">
        <f t="shared" si="511"/>
        <v>0</v>
      </c>
      <c r="AG1336" s="28">
        <f t="shared" si="511"/>
        <v>0</v>
      </c>
      <c r="AH1336" s="28">
        <f t="shared" si="511"/>
        <v>0</v>
      </c>
      <c r="AI1336" s="28">
        <f t="shared" si="511"/>
        <v>0</v>
      </c>
      <c r="AJ1336" s="28">
        <f t="shared" si="511"/>
        <v>0</v>
      </c>
      <c r="AK1336" s="28">
        <f t="shared" si="511"/>
        <v>0</v>
      </c>
      <c r="AL1336" s="28">
        <f t="shared" si="511"/>
        <v>0</v>
      </c>
      <c r="AM1336" s="28">
        <f t="shared" si="511"/>
        <v>0</v>
      </c>
      <c r="AN1336" s="28">
        <f t="shared" si="511"/>
        <v>0</v>
      </c>
      <c r="AO1336" s="28">
        <f t="shared" si="511"/>
        <v>0</v>
      </c>
      <c r="AP1336" s="28">
        <f t="shared" si="511"/>
        <v>0</v>
      </c>
      <c r="AQ1336" s="28">
        <f t="shared" si="511"/>
        <v>0</v>
      </c>
      <c r="AR1336" s="28">
        <f t="shared" si="511"/>
        <v>0</v>
      </c>
      <c r="AS1336" s="28">
        <f t="shared" si="511"/>
        <v>0</v>
      </c>
      <c r="AT1336" s="28">
        <f t="shared" si="511"/>
        <v>0</v>
      </c>
      <c r="AU1336" s="28">
        <f t="shared" si="511"/>
        <v>0</v>
      </c>
      <c r="AV1336" s="28">
        <f t="shared" si="511"/>
        <v>0</v>
      </c>
      <c r="AW1336" s="28">
        <f t="shared" si="511"/>
        <v>0</v>
      </c>
      <c r="AY1336" s="85"/>
      <c r="AZ1336" s="85"/>
    </row>
    <row r="1337" spans="1:52" x14ac:dyDescent="0.25">
      <c r="A1337" s="102"/>
      <c r="B1337" s="102" t="s">
        <v>1376</v>
      </c>
      <c r="C1337" s="102"/>
      <c r="D1337" t="s">
        <v>369</v>
      </c>
      <c r="E1337" t="s">
        <v>61</v>
      </c>
      <c r="F1337" t="s">
        <v>63</v>
      </c>
      <c r="G1337" t="s">
        <v>1216</v>
      </c>
      <c r="H1337" t="s">
        <v>1217</v>
      </c>
      <c r="I1337" t="s">
        <v>139</v>
      </c>
      <c r="J1337" t="s">
        <v>287</v>
      </c>
      <c r="K1337" s="28">
        <f t="shared" ref="K1337:AW1337" si="512">IFERROR(K1530-((K1530-K121)+(K1530-K274)+(K1530-K427)+(K1530-K579)+(K1530-K731)+(K1530-K882)+(K1530-K1033)+(K1530-K1184)),0)</f>
        <v>0.11026792439175388</v>
      </c>
      <c r="L1337" s="28">
        <f t="shared" si="512"/>
        <v>0.11026792439175388</v>
      </c>
      <c r="M1337" s="28">
        <f t="shared" si="512"/>
        <v>0.11026792439175388</v>
      </c>
      <c r="N1337" s="28">
        <f t="shared" si="512"/>
        <v>0.11026792439175388</v>
      </c>
      <c r="O1337" s="28">
        <f t="shared" si="512"/>
        <v>0.11026792439175388</v>
      </c>
      <c r="P1337" s="28">
        <f t="shared" si="512"/>
        <v>0.11026792439175388</v>
      </c>
      <c r="Q1337" s="28">
        <f t="shared" si="512"/>
        <v>0.11026792439175388</v>
      </c>
      <c r="R1337" s="28">
        <f t="shared" si="512"/>
        <v>0.11026792439175388</v>
      </c>
      <c r="S1337" s="28">
        <f t="shared" si="512"/>
        <v>0.11026792439175388</v>
      </c>
      <c r="T1337" s="28">
        <f t="shared" si="512"/>
        <v>0.11026792439175388</v>
      </c>
      <c r="U1337" s="28">
        <f t="shared" si="512"/>
        <v>0.11026792439175388</v>
      </c>
      <c r="V1337" s="28">
        <f t="shared" si="512"/>
        <v>0.11026792439175388</v>
      </c>
      <c r="W1337" s="28">
        <f t="shared" si="512"/>
        <v>0.11026792439175388</v>
      </c>
      <c r="X1337" s="28">
        <f t="shared" si="512"/>
        <v>0.11026792439175388</v>
      </c>
      <c r="Y1337" s="28">
        <f t="shared" si="512"/>
        <v>0.11026792439175388</v>
      </c>
      <c r="Z1337" s="28">
        <f t="shared" si="512"/>
        <v>0.11026792439175388</v>
      </c>
      <c r="AA1337" s="28">
        <f t="shared" si="512"/>
        <v>0.11026792439175388</v>
      </c>
      <c r="AB1337" s="28">
        <f t="shared" si="512"/>
        <v>0.11026792439175388</v>
      </c>
      <c r="AC1337" s="28">
        <f t="shared" si="512"/>
        <v>0.11026792439175388</v>
      </c>
      <c r="AD1337" s="28">
        <f t="shared" si="512"/>
        <v>0.11026792439175388</v>
      </c>
      <c r="AE1337" s="28">
        <f t="shared" si="512"/>
        <v>0.11026792439175388</v>
      </c>
      <c r="AF1337" s="28">
        <f t="shared" si="512"/>
        <v>0.11026792439175388</v>
      </c>
      <c r="AG1337" s="28">
        <f t="shared" si="512"/>
        <v>0.11026792439175388</v>
      </c>
      <c r="AH1337" s="28">
        <f t="shared" si="512"/>
        <v>0.11026792439175388</v>
      </c>
      <c r="AI1337" s="28">
        <f t="shared" si="512"/>
        <v>0.11026792439175388</v>
      </c>
      <c r="AJ1337" s="28">
        <f t="shared" si="512"/>
        <v>0.11026792439175388</v>
      </c>
      <c r="AK1337" s="28">
        <f t="shared" si="512"/>
        <v>0.11026792439175388</v>
      </c>
      <c r="AL1337" s="28">
        <f t="shared" si="512"/>
        <v>0.11026792439175388</v>
      </c>
      <c r="AM1337" s="28">
        <f t="shared" si="512"/>
        <v>0.11026792439175388</v>
      </c>
      <c r="AN1337" s="28">
        <f t="shared" si="512"/>
        <v>0.11026792439175388</v>
      </c>
      <c r="AO1337" s="28">
        <f t="shared" si="512"/>
        <v>0.11026792439175388</v>
      </c>
      <c r="AP1337" s="28">
        <f t="shared" si="512"/>
        <v>0.11026792439175388</v>
      </c>
      <c r="AQ1337" s="28">
        <f t="shared" si="512"/>
        <v>0.11026792439175388</v>
      </c>
      <c r="AR1337" s="28">
        <f t="shared" si="512"/>
        <v>0.11026792439175388</v>
      </c>
      <c r="AS1337" s="28">
        <f t="shared" si="512"/>
        <v>0.11026792439175388</v>
      </c>
      <c r="AT1337" s="28">
        <f t="shared" si="512"/>
        <v>0.11026792439175388</v>
      </c>
      <c r="AU1337" s="28">
        <f t="shared" si="512"/>
        <v>0.11026792439175388</v>
      </c>
      <c r="AV1337" s="28">
        <f t="shared" si="512"/>
        <v>0.11026792439175388</v>
      </c>
      <c r="AW1337" s="28">
        <f t="shared" si="512"/>
        <v>0.11026792439175388</v>
      </c>
      <c r="AY1337" s="85"/>
      <c r="AZ1337" s="85"/>
    </row>
    <row r="1338" spans="1:52" x14ac:dyDescent="0.25">
      <c r="A1338" s="102" t="str">
        <f t="shared" si="384"/>
        <v>FSFAGSPQNIBDDSCM MM Volatilisation</v>
      </c>
      <c r="B1338" s="102" t="s">
        <v>1376</v>
      </c>
      <c r="C1338" s="102" t="s">
        <v>1333</v>
      </c>
      <c r="D1338" t="s">
        <v>369</v>
      </c>
      <c r="E1338" t="s">
        <v>64</v>
      </c>
      <c r="F1338" t="s">
        <v>62</v>
      </c>
      <c r="G1338" t="s">
        <v>1153</v>
      </c>
      <c r="H1338" t="s">
        <v>1291</v>
      </c>
      <c r="I1338" t="s">
        <v>139</v>
      </c>
      <c r="J1338" t="s">
        <v>287</v>
      </c>
      <c r="K1338" s="28">
        <f t="shared" ref="K1338:AW1338" si="513">IFERROR(K1531-((K1531-K122)+(K1531-K275)+(K1531-K428)+(K1531-K580)+(K1531-K732)+(K1531-K883)+(K1531-K1034)+(K1531-K1185)),0)</f>
        <v>0.39650006889927725</v>
      </c>
      <c r="L1338" s="28">
        <f t="shared" si="513"/>
        <v>0.39917725962597483</v>
      </c>
      <c r="M1338" s="28">
        <f t="shared" si="513"/>
        <v>0.40151912336157097</v>
      </c>
      <c r="N1338" s="28">
        <f t="shared" si="513"/>
        <v>0.40182204834461305</v>
      </c>
      <c r="O1338" s="28">
        <f t="shared" si="513"/>
        <v>0.40234380692675509</v>
      </c>
      <c r="P1338" s="28">
        <f t="shared" si="513"/>
        <v>0.40533756143141658</v>
      </c>
      <c r="Q1338" s="28">
        <f t="shared" si="513"/>
        <v>0.40773146882804268</v>
      </c>
      <c r="R1338" s="28">
        <f t="shared" si="513"/>
        <v>0.4077524587520438</v>
      </c>
      <c r="S1338" s="28">
        <f t="shared" si="513"/>
        <v>0.39694956601748077</v>
      </c>
      <c r="T1338" s="28">
        <f t="shared" si="513"/>
        <v>0.39895103662037767</v>
      </c>
      <c r="U1338" s="28">
        <f t="shared" si="513"/>
        <v>0.39962103597720156</v>
      </c>
      <c r="V1338" s="28">
        <f t="shared" si="513"/>
        <v>0.40000988578474178</v>
      </c>
      <c r="W1338" s="28">
        <f t="shared" si="513"/>
        <v>0.40091467918989721</v>
      </c>
      <c r="X1338" s="28">
        <f t="shared" si="513"/>
        <v>0.4035462063403682</v>
      </c>
      <c r="Y1338" s="28">
        <f t="shared" si="513"/>
        <v>0.40632104683369308</v>
      </c>
      <c r="Z1338" s="28">
        <f t="shared" si="513"/>
        <v>0.40951751485912397</v>
      </c>
      <c r="AA1338" s="28">
        <f t="shared" si="513"/>
        <v>0.4120080443193006</v>
      </c>
      <c r="AB1338" s="28">
        <f t="shared" si="513"/>
        <v>0.41525810405264468</v>
      </c>
      <c r="AC1338" s="28">
        <f t="shared" si="513"/>
        <v>0.41943474469279085</v>
      </c>
      <c r="AD1338" s="28">
        <f t="shared" si="513"/>
        <v>0.42620625279695551</v>
      </c>
      <c r="AE1338" s="28">
        <f t="shared" si="513"/>
        <v>0.43334145344127523</v>
      </c>
      <c r="AF1338" s="28">
        <f t="shared" si="513"/>
        <v>0.44068817193895266</v>
      </c>
      <c r="AG1338" s="28">
        <f t="shared" si="513"/>
        <v>0.44891500283530644</v>
      </c>
      <c r="AH1338" s="28">
        <f t="shared" si="513"/>
        <v>0.45626704552795189</v>
      </c>
      <c r="AI1338" s="28">
        <f t="shared" si="513"/>
        <v>0.46390833619214594</v>
      </c>
      <c r="AJ1338" s="28">
        <f t="shared" si="513"/>
        <v>0.47174096520429626</v>
      </c>
      <c r="AK1338" s="28">
        <f t="shared" si="513"/>
        <v>0.47928869121393003</v>
      </c>
      <c r="AL1338" s="28">
        <f t="shared" si="513"/>
        <v>0.48687190668729791</v>
      </c>
      <c r="AM1338" s="28">
        <f t="shared" si="513"/>
        <v>0.49478208335629759</v>
      </c>
      <c r="AN1338" s="28">
        <f t="shared" si="513"/>
        <v>0.50295147983229815</v>
      </c>
      <c r="AO1338" s="28">
        <f t="shared" si="513"/>
        <v>0.51068809173958318</v>
      </c>
      <c r="AP1338" s="28">
        <f t="shared" si="513"/>
        <v>0.51857696070436687</v>
      </c>
      <c r="AQ1338" s="28">
        <f t="shared" si="513"/>
        <v>0.52663290530093965</v>
      </c>
      <c r="AR1338" s="28">
        <f t="shared" si="513"/>
        <v>0.53527710445507126</v>
      </c>
      <c r="AS1338" s="28">
        <f t="shared" si="513"/>
        <v>0.54399410418658811</v>
      </c>
      <c r="AT1338" s="28">
        <f t="shared" si="513"/>
        <v>0.54882643531448905</v>
      </c>
      <c r="AU1338" s="28">
        <f t="shared" si="513"/>
        <v>0.55341675008793989</v>
      </c>
      <c r="AV1338" s="28">
        <f t="shared" si="513"/>
        <v>0.55857379174975119</v>
      </c>
      <c r="AW1338" s="28">
        <f t="shared" si="513"/>
        <v>0.56353522802828149</v>
      </c>
      <c r="AY1338" s="85"/>
      <c r="AZ1338" s="85"/>
    </row>
    <row r="1339" spans="1:52" x14ac:dyDescent="0.25">
      <c r="A1339" s="102" t="str">
        <f t="shared" ref="A1339:A1369" si="514">B1339&amp;" "&amp;C1339</f>
        <v>FSFAGSPQNIBDDSCM MM Volatilisation</v>
      </c>
      <c r="B1339" s="102" t="s">
        <v>1376</v>
      </c>
      <c r="C1339" s="102" t="s">
        <v>1333</v>
      </c>
      <c r="D1339" t="s">
        <v>369</v>
      </c>
      <c r="E1339" t="s">
        <v>64</v>
      </c>
      <c r="F1339" t="s">
        <v>62</v>
      </c>
      <c r="G1339" t="s">
        <v>1155</v>
      </c>
      <c r="H1339" t="s">
        <v>1292</v>
      </c>
      <c r="I1339" t="s">
        <v>139</v>
      </c>
      <c r="J1339" t="s">
        <v>287</v>
      </c>
      <c r="K1339" s="28">
        <f t="shared" ref="K1339:AW1339" si="515">IFERROR(K1532-((K1532-K123)+(K1532-K276)+(K1532-K429)+(K1532-K581)+(K1532-K733)+(K1532-K884)+(K1532-K1035)+(K1532-K1186)),0)</f>
        <v>3.1281584559645491E-2</v>
      </c>
      <c r="L1339" s="28">
        <f t="shared" si="515"/>
        <v>3.1492799574896264E-2</v>
      </c>
      <c r="M1339" s="28">
        <f t="shared" si="515"/>
        <v>3.1677559211068809E-2</v>
      </c>
      <c r="N1339" s="28">
        <f t="shared" si="515"/>
        <v>3.1701458257287304E-2</v>
      </c>
      <c r="O1339" s="28">
        <f t="shared" si="515"/>
        <v>3.1742622021148185E-2</v>
      </c>
      <c r="P1339" s="28">
        <f t="shared" si="515"/>
        <v>3.1978812105423256E-2</v>
      </c>
      <c r="Q1339" s="28">
        <f t="shared" si="515"/>
        <v>3.2167677688381177E-2</v>
      </c>
      <c r="R1339" s="28">
        <f t="shared" si="515"/>
        <v>3.2169333673169188E-2</v>
      </c>
      <c r="S1339" s="28">
        <f t="shared" si="515"/>
        <v>3.1317047307865033E-2</v>
      </c>
      <c r="T1339" s="28">
        <f t="shared" si="515"/>
        <v>3.1474951875402626E-2</v>
      </c>
      <c r="U1339" s="28">
        <f t="shared" si="515"/>
        <v>3.1527810987365894E-2</v>
      </c>
      <c r="V1339" s="28">
        <f t="shared" si="515"/>
        <v>3.1558489010119685E-2</v>
      </c>
      <c r="W1339" s="28">
        <f t="shared" si="515"/>
        <v>3.1629872027759381E-2</v>
      </c>
      <c r="X1339" s="28">
        <f t="shared" si="515"/>
        <v>3.1837484448375065E-2</v>
      </c>
      <c r="Y1339" s="28">
        <f t="shared" si="515"/>
        <v>3.2056403470942803E-2</v>
      </c>
      <c r="Z1339" s="28">
        <f t="shared" si="515"/>
        <v>3.2308586491004564E-2</v>
      </c>
      <c r="AA1339" s="28">
        <f t="shared" si="515"/>
        <v>3.2505075001392686E-2</v>
      </c>
      <c r="AB1339" s="28">
        <f t="shared" si="515"/>
        <v>3.2761486100272783E-2</v>
      </c>
      <c r="AC1339" s="28">
        <f t="shared" si="515"/>
        <v>3.3090999125888865E-2</v>
      </c>
      <c r="AD1339" s="28">
        <f t="shared" si="515"/>
        <v>3.36252323328207E-2</v>
      </c>
      <c r="AE1339" s="28">
        <f t="shared" si="515"/>
        <v>3.4188158798192946E-2</v>
      </c>
      <c r="AF1339" s="28">
        <f t="shared" si="515"/>
        <v>3.4767772810768038E-2</v>
      </c>
      <c r="AG1339" s="28">
        <f t="shared" si="515"/>
        <v>3.5416822650927243E-2</v>
      </c>
      <c r="AH1339" s="28">
        <f t="shared" si="515"/>
        <v>3.5996856711992022E-2</v>
      </c>
      <c r="AI1339" s="28">
        <f t="shared" si="515"/>
        <v>3.6599710781400868E-2</v>
      </c>
      <c r="AJ1339" s="28">
        <f t="shared" si="515"/>
        <v>3.7217660350610533E-2</v>
      </c>
      <c r="AK1339" s="28">
        <f t="shared" si="515"/>
        <v>3.7813132704647812E-2</v>
      </c>
      <c r="AL1339" s="28">
        <f t="shared" si="515"/>
        <v>3.841140497411475E-2</v>
      </c>
      <c r="AM1339" s="28">
        <f t="shared" si="515"/>
        <v>3.9035472609310819E-2</v>
      </c>
      <c r="AN1339" s="28">
        <f t="shared" si="515"/>
        <v>3.9679991202648569E-2</v>
      </c>
      <c r="AO1339" s="28">
        <f t="shared" si="515"/>
        <v>4.0290365572203529E-2</v>
      </c>
      <c r="AP1339" s="28">
        <f t="shared" si="515"/>
        <v>4.0912752151572661E-2</v>
      </c>
      <c r="AQ1339" s="28">
        <f t="shared" si="515"/>
        <v>4.154832004139699E-2</v>
      </c>
      <c r="AR1339" s="28">
        <f t="shared" si="515"/>
        <v>4.2230297846699898E-2</v>
      </c>
      <c r="AS1339" s="28">
        <f t="shared" si="515"/>
        <v>4.2918019200607435E-2</v>
      </c>
      <c r="AT1339" s="28">
        <f t="shared" si="515"/>
        <v>4.3299262450368498E-2</v>
      </c>
      <c r="AU1339" s="28">
        <f t="shared" si="515"/>
        <v>4.3661411995864735E-2</v>
      </c>
      <c r="AV1339" s="28">
        <f t="shared" si="515"/>
        <v>4.4068273047035297E-2</v>
      </c>
      <c r="AW1339" s="28">
        <f t="shared" si="515"/>
        <v>4.4459701953756509E-2</v>
      </c>
      <c r="AY1339" s="85"/>
      <c r="AZ1339" s="85"/>
    </row>
    <row r="1340" spans="1:52" x14ac:dyDescent="0.25">
      <c r="A1340" s="102" t="str">
        <f t="shared" si="514"/>
        <v>FSFAGSPQNIBDDSCM MM Volatilisation</v>
      </c>
      <c r="B1340" s="102" t="s">
        <v>1376</v>
      </c>
      <c r="C1340" s="102" t="s">
        <v>1333</v>
      </c>
      <c r="D1340" t="s">
        <v>369</v>
      </c>
      <c r="E1340" t="s">
        <v>64</v>
      </c>
      <c r="F1340" t="s">
        <v>62</v>
      </c>
      <c r="G1340" t="s">
        <v>1157</v>
      </c>
      <c r="H1340" t="s">
        <v>1293</v>
      </c>
      <c r="I1340" t="s">
        <v>139</v>
      </c>
      <c r="J1340" t="s">
        <v>287</v>
      </c>
      <c r="K1340" s="28">
        <f t="shared" ref="K1340:AW1340" si="516">IFERROR(K1533-((K1533-K124)+(K1533-K277)+(K1533-K430)+(K1533-K582)+(K1533-K734)+(K1533-K885)+(K1533-K1036)+(K1533-K1187)),0)</f>
        <v>2.8996787363609876E-4</v>
      </c>
      <c r="L1340" s="28">
        <f t="shared" si="516"/>
        <v>2.9192575299913116E-4</v>
      </c>
      <c r="M1340" s="28">
        <f t="shared" si="516"/>
        <v>2.9363840149788538E-4</v>
      </c>
      <c r="N1340" s="28">
        <f t="shared" si="516"/>
        <v>2.9385993617112721E-4</v>
      </c>
      <c r="O1340" s="28">
        <f t="shared" si="516"/>
        <v>2.9424150792478436E-4</v>
      </c>
      <c r="P1340" s="28">
        <f t="shared" si="516"/>
        <v>2.964308962654098E-4</v>
      </c>
      <c r="Q1340" s="28">
        <f t="shared" si="516"/>
        <v>2.9818160526127053E-4</v>
      </c>
      <c r="R1340" s="28">
        <f t="shared" si="516"/>
        <v>2.9819695558301769E-4</v>
      </c>
      <c r="S1340" s="28">
        <f t="shared" si="516"/>
        <v>2.9029659923741555E-4</v>
      </c>
      <c r="T1340" s="28">
        <f t="shared" si="516"/>
        <v>2.9176031190833218E-4</v>
      </c>
      <c r="U1340" s="28">
        <f t="shared" si="516"/>
        <v>2.9225029489717523E-4</v>
      </c>
      <c r="V1340" s="28">
        <f t="shared" si="516"/>
        <v>2.9253466799241659E-4</v>
      </c>
      <c r="W1340" s="28">
        <f t="shared" si="516"/>
        <v>2.9319636023499598E-4</v>
      </c>
      <c r="X1340" s="28">
        <f t="shared" si="516"/>
        <v>2.9512084497558143E-4</v>
      </c>
      <c r="Y1340" s="28">
        <f t="shared" si="516"/>
        <v>2.9715013742882726E-4</v>
      </c>
      <c r="Z1340" s="28">
        <f t="shared" si="516"/>
        <v>2.9948777393681841E-4</v>
      </c>
      <c r="AA1340" s="28">
        <f t="shared" si="516"/>
        <v>3.0130914444452181E-4</v>
      </c>
      <c r="AB1340" s="28">
        <f t="shared" si="516"/>
        <v>3.0368597356509247E-4</v>
      </c>
      <c r="AC1340" s="28">
        <f t="shared" si="516"/>
        <v>3.0674042853335367E-4</v>
      </c>
      <c r="AD1340" s="28">
        <f t="shared" si="516"/>
        <v>3.1169255833178008E-4</v>
      </c>
      <c r="AE1340" s="28">
        <f t="shared" si="516"/>
        <v>3.1691066324798854E-4</v>
      </c>
      <c r="AF1340" s="28">
        <f t="shared" si="516"/>
        <v>3.2228345510370871E-4</v>
      </c>
      <c r="AG1340" s="28">
        <f t="shared" si="516"/>
        <v>3.2829988952300625E-4</v>
      </c>
      <c r="AH1340" s="28">
        <f t="shared" si="516"/>
        <v>3.3367657506151434E-4</v>
      </c>
      <c r="AI1340" s="28">
        <f t="shared" si="516"/>
        <v>3.3926479302042373E-4</v>
      </c>
      <c r="AJ1340" s="28">
        <f t="shared" si="516"/>
        <v>3.4499294027128994E-4</v>
      </c>
      <c r="AK1340" s="28">
        <f t="shared" si="516"/>
        <v>3.5051273265840626E-4</v>
      </c>
      <c r="AL1340" s="28">
        <f t="shared" si="516"/>
        <v>3.5605847915030773E-4</v>
      </c>
      <c r="AM1340" s="28">
        <f t="shared" si="516"/>
        <v>3.6184333844469131E-4</v>
      </c>
      <c r="AN1340" s="28">
        <f t="shared" si="516"/>
        <v>3.6781777000434364E-4</v>
      </c>
      <c r="AO1340" s="28">
        <f t="shared" si="516"/>
        <v>3.7347569816090345E-4</v>
      </c>
      <c r="AP1340" s="28">
        <f t="shared" si="516"/>
        <v>3.7924497473495929E-4</v>
      </c>
      <c r="AQ1340" s="28">
        <f t="shared" si="516"/>
        <v>3.8513643682545364E-4</v>
      </c>
      <c r="AR1340" s="28">
        <f t="shared" si="516"/>
        <v>3.9145810041297553E-4</v>
      </c>
      <c r="AS1340" s="28">
        <f t="shared" si="516"/>
        <v>3.9783300441652677E-4</v>
      </c>
      <c r="AT1340" s="28">
        <f t="shared" si="516"/>
        <v>4.013669780315955E-4</v>
      </c>
      <c r="AU1340" s="28">
        <f t="shared" si="516"/>
        <v>4.0472396058615853E-4</v>
      </c>
      <c r="AV1340" s="28">
        <f t="shared" si="516"/>
        <v>4.0849540105293959E-4</v>
      </c>
      <c r="AW1340" s="28">
        <f t="shared" si="516"/>
        <v>4.1212379166548157E-4</v>
      </c>
      <c r="AY1340" s="85"/>
      <c r="AZ1340" s="85"/>
    </row>
    <row r="1341" spans="1:52" x14ac:dyDescent="0.25">
      <c r="A1341" s="102" t="str">
        <f t="shared" si="514"/>
        <v>FSFAGSPQNIBDDSCM MM Volatilisation</v>
      </c>
      <c r="B1341" s="102" t="s">
        <v>1376</v>
      </c>
      <c r="C1341" s="102" t="s">
        <v>1333</v>
      </c>
      <c r="D1341" t="s">
        <v>369</v>
      </c>
      <c r="E1341" t="s">
        <v>64</v>
      </c>
      <c r="F1341" t="s">
        <v>62</v>
      </c>
      <c r="G1341" t="s">
        <v>1159</v>
      </c>
      <c r="H1341" t="s">
        <v>1294</v>
      </c>
      <c r="I1341" t="s">
        <v>139</v>
      </c>
      <c r="J1341" t="s">
        <v>287</v>
      </c>
      <c r="K1341" s="28">
        <f t="shared" ref="K1341:AW1341" si="517">IFERROR(K1534-((K1534-K125)+(K1534-K278)+(K1534-K431)+(K1534-K583)+(K1534-K735)+(K1534-K886)+(K1534-K1037)+(K1534-K1188)),0)</f>
        <v>3.2482696422712933E-3</v>
      </c>
      <c r="L1341" s="28">
        <f t="shared" si="517"/>
        <v>3.2317319962183351E-3</v>
      </c>
      <c r="M1341" s="28">
        <f t="shared" si="517"/>
        <v>3.2015477632972725E-3</v>
      </c>
      <c r="N1341" s="28">
        <f t="shared" si="517"/>
        <v>3.1189249893783613E-3</v>
      </c>
      <c r="O1341" s="28">
        <f t="shared" si="517"/>
        <v>3.0395993626659438E-3</v>
      </c>
      <c r="P1341" s="28">
        <f t="shared" si="517"/>
        <v>3.013633441305081E-3</v>
      </c>
      <c r="Q1341" s="28">
        <f t="shared" si="517"/>
        <v>2.9716957157217678E-3</v>
      </c>
      <c r="R1341" s="28">
        <f t="shared" si="517"/>
        <v>2.8774698147158886E-3</v>
      </c>
      <c r="S1341" s="28">
        <f t="shared" si="517"/>
        <v>2.5613322402579155E-3</v>
      </c>
      <c r="T1341" s="28">
        <f t="shared" si="517"/>
        <v>2.4909433616594812E-3</v>
      </c>
      <c r="U1341" s="28">
        <f t="shared" si="517"/>
        <v>2.3906057631500818E-3</v>
      </c>
      <c r="V1341" s="28">
        <f t="shared" si="517"/>
        <v>2.2831459010618179E-3</v>
      </c>
      <c r="W1341" s="28">
        <f t="shared" si="517"/>
        <v>2.182728666727426E-3</v>
      </c>
      <c r="X1341" s="28">
        <f t="shared" si="517"/>
        <v>2.1066275792220321E-3</v>
      </c>
      <c r="Y1341" s="28">
        <f t="shared" si="517"/>
        <v>2.0310778843094773E-3</v>
      </c>
      <c r="Z1341" s="28">
        <f t="shared" si="517"/>
        <v>1.9554766348175916E-3</v>
      </c>
      <c r="AA1341" s="28">
        <f t="shared" si="517"/>
        <v>1.8649034716101973E-3</v>
      </c>
      <c r="AB1341" s="28">
        <f t="shared" si="517"/>
        <v>1.7786246747007735E-3</v>
      </c>
      <c r="AC1341" s="28">
        <f t="shared" si="517"/>
        <v>1.6967131722592402E-3</v>
      </c>
      <c r="AD1341" s="28">
        <f t="shared" si="517"/>
        <v>1.6602103881044007E-3</v>
      </c>
      <c r="AE1341" s="28">
        <f t="shared" si="517"/>
        <v>1.622162809823443E-3</v>
      </c>
      <c r="AF1341" s="28">
        <f t="shared" si="517"/>
        <v>1.5809826948813954E-3</v>
      </c>
      <c r="AG1341" s="28">
        <f t="shared" si="517"/>
        <v>1.5423015961066118E-3</v>
      </c>
      <c r="AH1341" s="28">
        <f t="shared" si="517"/>
        <v>1.4914042262798577E-3</v>
      </c>
      <c r="AI1341" s="28">
        <f t="shared" si="517"/>
        <v>1.4399708069840894E-3</v>
      </c>
      <c r="AJ1341" s="28">
        <f t="shared" si="517"/>
        <v>1.3857001537539698E-3</v>
      </c>
      <c r="AK1341" s="28">
        <f t="shared" si="517"/>
        <v>1.3257162491344056E-3</v>
      </c>
      <c r="AL1341" s="28">
        <f t="shared" si="517"/>
        <v>1.2626704832682119E-3</v>
      </c>
      <c r="AM1341" s="28">
        <f t="shared" si="517"/>
        <v>1.1984356536719793E-3</v>
      </c>
      <c r="AN1341" s="28">
        <f t="shared" si="517"/>
        <v>1.1757394153550605E-3</v>
      </c>
      <c r="AO1341" s="28">
        <f t="shared" si="517"/>
        <v>1.1483627798168495E-3</v>
      </c>
      <c r="AP1341" s="28">
        <f t="shared" si="517"/>
        <v>1.1194822349868232E-3</v>
      </c>
      <c r="AQ1341" s="28">
        <f t="shared" si="517"/>
        <v>1.0892112533398505E-3</v>
      </c>
      <c r="AR1341" s="28">
        <f t="shared" si="517"/>
        <v>1.0593009738435813E-3</v>
      </c>
      <c r="AS1341" s="28">
        <f t="shared" si="517"/>
        <v>1.0282049356262635E-3</v>
      </c>
      <c r="AT1341" s="28">
        <f t="shared" si="517"/>
        <v>9.810481171436845E-4</v>
      </c>
      <c r="AU1341" s="28">
        <f t="shared" si="517"/>
        <v>9.3287187854949969E-4</v>
      </c>
      <c r="AV1341" s="28">
        <f t="shared" si="517"/>
        <v>8.86474605466178E-4</v>
      </c>
      <c r="AW1341" s="28">
        <f t="shared" si="517"/>
        <v>8.393277185084775E-4</v>
      </c>
      <c r="AY1341" s="85"/>
      <c r="AZ1341" s="85"/>
    </row>
    <row r="1342" spans="1:52" x14ac:dyDescent="0.25">
      <c r="A1342" s="102" t="str">
        <f t="shared" si="514"/>
        <v>FSFAGSPQNIBDDSCM MM Volatilisation</v>
      </c>
      <c r="B1342" s="102" t="s">
        <v>1376</v>
      </c>
      <c r="C1342" s="102" t="s">
        <v>1333</v>
      </c>
      <c r="D1342" t="s">
        <v>369</v>
      </c>
      <c r="E1342" t="s">
        <v>64</v>
      </c>
      <c r="F1342" t="s">
        <v>62</v>
      </c>
      <c r="G1342" t="s">
        <v>1161</v>
      </c>
      <c r="H1342" t="s">
        <v>1295</v>
      </c>
      <c r="I1342" t="s">
        <v>139</v>
      </c>
      <c r="J1342" t="s">
        <v>287</v>
      </c>
      <c r="K1342" s="28">
        <f t="shared" ref="K1342:AW1342" si="518">IFERROR(K1535-((K1535-K126)+(K1535-K279)+(K1535-K432)+(K1535-K584)+(K1535-K736)+(K1535-K887)+(K1535-K1038)+(K1535-K1189)),0)</f>
        <v>1.6169907052996448E-2</v>
      </c>
      <c r="L1342" s="28">
        <f t="shared" si="518"/>
        <v>1.6087582545181053E-2</v>
      </c>
      <c r="M1342" s="28">
        <f t="shared" si="518"/>
        <v>1.5937325240661746E-2</v>
      </c>
      <c r="N1342" s="28">
        <f t="shared" si="518"/>
        <v>1.5526028543693155E-2</v>
      </c>
      <c r="O1342" s="28">
        <f t="shared" si="518"/>
        <v>1.5131145066604845E-2</v>
      </c>
      <c r="P1342" s="28">
        <f t="shared" si="518"/>
        <v>1.5001886544009729E-2</v>
      </c>
      <c r="Q1342" s="28">
        <f t="shared" si="518"/>
        <v>1.4793120277850224E-2</v>
      </c>
      <c r="R1342" s="28">
        <f t="shared" si="518"/>
        <v>1.4324063140036831E-2</v>
      </c>
      <c r="S1342" s="28">
        <f t="shared" si="518"/>
        <v>1.2750328272579596E-2</v>
      </c>
      <c r="T1342" s="28">
        <f t="shared" si="518"/>
        <v>1.2399931984756182E-2</v>
      </c>
      <c r="U1342" s="28">
        <f t="shared" si="518"/>
        <v>1.1900450777683922E-2</v>
      </c>
      <c r="V1342" s="28">
        <f t="shared" si="518"/>
        <v>1.136551489696681E-2</v>
      </c>
      <c r="W1342" s="28">
        <f t="shared" si="518"/>
        <v>1.086563726224843E-2</v>
      </c>
      <c r="X1342" s="28">
        <f t="shared" si="518"/>
        <v>1.0486805561954698E-2</v>
      </c>
      <c r="Y1342" s="28">
        <f t="shared" si="518"/>
        <v>1.0110718697514448E-2</v>
      </c>
      <c r="Z1342" s="28">
        <f t="shared" si="518"/>
        <v>9.7343751940485862E-3</v>
      </c>
      <c r="AA1342" s="28">
        <f t="shared" si="518"/>
        <v>9.2835014083565339E-3</v>
      </c>
      <c r="AB1342" s="28">
        <f t="shared" si="518"/>
        <v>8.8540050055596776E-3</v>
      </c>
      <c r="AC1342" s="28">
        <f t="shared" si="518"/>
        <v>8.4462490225542981E-3</v>
      </c>
      <c r="AD1342" s="28">
        <f t="shared" si="518"/>
        <v>8.2645379295839989E-3</v>
      </c>
      <c r="AE1342" s="28">
        <f t="shared" si="518"/>
        <v>8.0751368415744006E-3</v>
      </c>
      <c r="AF1342" s="28">
        <f t="shared" si="518"/>
        <v>7.870141966032293E-3</v>
      </c>
      <c r="AG1342" s="28">
        <f t="shared" si="518"/>
        <v>7.6775872089528685E-3</v>
      </c>
      <c r="AH1342" s="28">
        <f t="shared" si="518"/>
        <v>7.4242197764495914E-3</v>
      </c>
      <c r="AI1342" s="28">
        <f t="shared" si="518"/>
        <v>7.1681838862613645E-3</v>
      </c>
      <c r="AJ1342" s="28">
        <f t="shared" si="518"/>
        <v>6.8980242274028561E-3</v>
      </c>
      <c r="AK1342" s="28">
        <f t="shared" si="518"/>
        <v>6.5994239665895481E-3</v>
      </c>
      <c r="AL1342" s="28">
        <f t="shared" si="518"/>
        <v>6.2855817409088917E-3</v>
      </c>
      <c r="AM1342" s="28">
        <f t="shared" si="518"/>
        <v>5.9658203483756514E-3</v>
      </c>
      <c r="AN1342" s="28">
        <f t="shared" si="518"/>
        <v>5.8528383288840025E-3</v>
      </c>
      <c r="AO1342" s="28">
        <f t="shared" si="518"/>
        <v>5.7165572620920431E-3</v>
      </c>
      <c r="AP1342" s="28">
        <f t="shared" si="518"/>
        <v>5.5727897252274318E-3</v>
      </c>
      <c r="AQ1342" s="28">
        <f t="shared" si="518"/>
        <v>5.4221005849957593E-3</v>
      </c>
      <c r="AR1342" s="28">
        <f t="shared" si="518"/>
        <v>5.2732070223770987E-3</v>
      </c>
      <c r="AS1342" s="28">
        <f t="shared" si="518"/>
        <v>5.1184107452617242E-3</v>
      </c>
      <c r="AT1342" s="28">
        <f t="shared" si="518"/>
        <v>4.8836638012718404E-3</v>
      </c>
      <c r="AU1342" s="28">
        <f t="shared" si="518"/>
        <v>4.6438421774468407E-3</v>
      </c>
      <c r="AV1342" s="28">
        <f t="shared" si="518"/>
        <v>4.4128762553119968E-3</v>
      </c>
      <c r="AW1342" s="28">
        <f t="shared" si="518"/>
        <v>4.1781787505164696E-3</v>
      </c>
      <c r="AY1342" s="85"/>
      <c r="AZ1342" s="85"/>
    </row>
    <row r="1343" spans="1:52" x14ac:dyDescent="0.25">
      <c r="A1343" s="102" t="str">
        <f t="shared" si="514"/>
        <v>FSFAGSPQNIBDDSCM MM Volatilisation</v>
      </c>
      <c r="B1343" s="102" t="s">
        <v>1376</v>
      </c>
      <c r="C1343" s="102" t="s">
        <v>1333</v>
      </c>
      <c r="D1343" t="s">
        <v>369</v>
      </c>
      <c r="E1343" t="s">
        <v>64</v>
      </c>
      <c r="F1343" t="s">
        <v>62</v>
      </c>
      <c r="G1343" t="s">
        <v>1163</v>
      </c>
      <c r="H1343" t="s">
        <v>1296</v>
      </c>
      <c r="I1343" t="s">
        <v>139</v>
      </c>
      <c r="J1343" t="s">
        <v>287</v>
      </c>
      <c r="K1343" s="28">
        <f t="shared" ref="K1343:AW1343" si="519">IFERROR(K1536-((K1536-K127)+(K1536-K280)+(K1536-K433)+(K1536-K585)+(K1536-K737)+(K1536-K888)+(K1536-K1039)+(K1536-K1190)),0)</f>
        <v>0.15881310952891459</v>
      </c>
      <c r="L1343" s="28">
        <f t="shared" si="519"/>
        <v>0.16473779708525871</v>
      </c>
      <c r="M1343" s="28">
        <f t="shared" si="519"/>
        <v>0.17006036536738212</v>
      </c>
      <c r="N1343" s="28">
        <f t="shared" si="519"/>
        <v>0.1725581026820969</v>
      </c>
      <c r="O1343" s="28">
        <f t="shared" si="519"/>
        <v>0.17509405758016705</v>
      </c>
      <c r="P1343" s="28">
        <f t="shared" si="519"/>
        <v>0.18069182253517682</v>
      </c>
      <c r="Q1343" s="28">
        <f t="shared" si="519"/>
        <v>0.18541356320951116</v>
      </c>
      <c r="R1343" s="28">
        <f t="shared" si="519"/>
        <v>0.18679194415388084</v>
      </c>
      <c r="S1343" s="28">
        <f t="shared" si="519"/>
        <v>0.17296868678120739</v>
      </c>
      <c r="T1343" s="28">
        <f t="shared" si="519"/>
        <v>0.17607564676134654</v>
      </c>
      <c r="U1343" s="28">
        <f t="shared" si="519"/>
        <v>0.17702109509816139</v>
      </c>
      <c r="V1343" s="28">
        <f t="shared" si="519"/>
        <v>0.17727567512840314</v>
      </c>
      <c r="W1343" s="28">
        <f t="shared" si="519"/>
        <v>0.17791257352624884</v>
      </c>
      <c r="X1343" s="28">
        <f t="shared" si="519"/>
        <v>0.18049275310680274</v>
      </c>
      <c r="Y1343" s="28">
        <f t="shared" si="519"/>
        <v>0.18320493440072014</v>
      </c>
      <c r="Z1343" s="28">
        <f t="shared" si="519"/>
        <v>0.18603268443053966</v>
      </c>
      <c r="AA1343" s="28">
        <f t="shared" si="519"/>
        <v>0.18752328045563127</v>
      </c>
      <c r="AB1343" s="28">
        <f t="shared" si="519"/>
        <v>0.18951038062699382</v>
      </c>
      <c r="AC1343" s="28">
        <f t="shared" si="519"/>
        <v>0.19212628329397302</v>
      </c>
      <c r="AD1343" s="28">
        <f t="shared" si="519"/>
        <v>0.19584982875447393</v>
      </c>
      <c r="AE1343" s="28">
        <f t="shared" si="519"/>
        <v>0.19948612762996876</v>
      </c>
      <c r="AF1343" s="28">
        <f t="shared" si="519"/>
        <v>0.20282502955347542</v>
      </c>
      <c r="AG1343" s="28">
        <f t="shared" si="519"/>
        <v>0.20657798225298096</v>
      </c>
      <c r="AH1343" s="28">
        <f t="shared" si="519"/>
        <v>0.20876949329592359</v>
      </c>
      <c r="AI1343" s="28">
        <f t="shared" si="519"/>
        <v>0.21088282640146871</v>
      </c>
      <c r="AJ1343" s="28">
        <f t="shared" si="519"/>
        <v>0.2125706192174881</v>
      </c>
      <c r="AK1343" s="28">
        <f t="shared" si="519"/>
        <v>0.21333014657096516</v>
      </c>
      <c r="AL1343" s="28">
        <f t="shared" si="519"/>
        <v>0.21348226741715171</v>
      </c>
      <c r="AM1343" s="28">
        <f t="shared" si="519"/>
        <v>0.21328291477651695</v>
      </c>
      <c r="AN1343" s="28">
        <f t="shared" si="519"/>
        <v>0.21748896622562147</v>
      </c>
      <c r="AO1343" s="28">
        <f t="shared" si="519"/>
        <v>0.22096802438588392</v>
      </c>
      <c r="AP1343" s="28">
        <f t="shared" si="519"/>
        <v>0.22425379845152982</v>
      </c>
      <c r="AQ1343" s="28">
        <f t="shared" si="519"/>
        <v>0.22734669888166603</v>
      </c>
      <c r="AR1343" s="28">
        <f t="shared" si="519"/>
        <v>0.23059620753257182</v>
      </c>
      <c r="AS1343" s="28">
        <f t="shared" si="519"/>
        <v>0.23368274565029445</v>
      </c>
      <c r="AT1343" s="28">
        <f t="shared" si="519"/>
        <v>0.23315118296355164</v>
      </c>
      <c r="AU1343" s="28">
        <f t="shared" si="519"/>
        <v>0.23214937024754234</v>
      </c>
      <c r="AV1343" s="28">
        <f t="shared" si="519"/>
        <v>0.23133194536034829</v>
      </c>
      <c r="AW1343" s="28">
        <f t="shared" si="519"/>
        <v>0.23007095495273899</v>
      </c>
      <c r="AY1343" s="85"/>
      <c r="AZ1343" s="85"/>
    </row>
    <row r="1344" spans="1:52" x14ac:dyDescent="0.25">
      <c r="A1344" s="102" t="str">
        <f t="shared" si="514"/>
        <v>FSFAGSPQNIBDDSCM MM Volatilisation</v>
      </c>
      <c r="B1344" s="102" t="s">
        <v>1376</v>
      </c>
      <c r="C1344" s="102" t="s">
        <v>1333</v>
      </c>
      <c r="D1344" t="s">
        <v>369</v>
      </c>
      <c r="E1344" t="s">
        <v>64</v>
      </c>
      <c r="F1344" t="s">
        <v>62</v>
      </c>
      <c r="G1344" t="s">
        <v>1165</v>
      </c>
      <c r="H1344" t="s">
        <v>1297</v>
      </c>
      <c r="I1344" t="s">
        <v>139</v>
      </c>
      <c r="J1344" t="s">
        <v>287</v>
      </c>
      <c r="K1344" s="28">
        <f t="shared" ref="K1344:AW1344" si="520">IFERROR(K1537-((K1537-K128)+(K1537-K281)+(K1537-K434)+(K1537-K586)+(K1537-K738)+(K1537-K889)+(K1537-K1040)+(K1537-K1191)),0)</f>
        <v>1.1717139101759614E-4</v>
      </c>
      <c r="L1344" s="28">
        <f t="shared" si="520"/>
        <v>1.1723462618367247E-4</v>
      </c>
      <c r="M1344" s="28">
        <f t="shared" si="520"/>
        <v>1.1737999843906114E-4</v>
      </c>
      <c r="N1344" s="28">
        <f t="shared" si="520"/>
        <v>1.1759581709566441E-4</v>
      </c>
      <c r="O1344" s="28">
        <f t="shared" si="520"/>
        <v>1.178871134646596E-4</v>
      </c>
      <c r="P1344" s="28">
        <f t="shared" si="520"/>
        <v>1.182597418054167E-4</v>
      </c>
      <c r="Q1344" s="28">
        <f t="shared" si="520"/>
        <v>1.1867033947255795E-4</v>
      </c>
      <c r="R1344" s="28">
        <f t="shared" si="520"/>
        <v>1.1911252923744314E-4</v>
      </c>
      <c r="S1344" s="28">
        <f t="shared" si="520"/>
        <v>1.1955062486439893E-4</v>
      </c>
      <c r="T1344" s="28">
        <f t="shared" si="520"/>
        <v>1.1970596715789943E-4</v>
      </c>
      <c r="U1344" s="28">
        <f t="shared" si="520"/>
        <v>1.198855271443276E-4</v>
      </c>
      <c r="V1344" s="28">
        <f t="shared" si="520"/>
        <v>1.2009164524666266E-4</v>
      </c>
      <c r="W1344" s="28">
        <f t="shared" si="520"/>
        <v>1.2032597429168132E-4</v>
      </c>
      <c r="X1344" s="28">
        <f t="shared" si="520"/>
        <v>1.2059214919784283E-4</v>
      </c>
      <c r="Y1344" s="28">
        <f t="shared" si="520"/>
        <v>1.207504725360093E-4</v>
      </c>
      <c r="Z1344" s="28">
        <f t="shared" si="520"/>
        <v>1.2093171818839542E-4</v>
      </c>
      <c r="AA1344" s="28">
        <f t="shared" si="520"/>
        <v>1.2113015622987074E-4</v>
      </c>
      <c r="AB1344" s="28">
        <f t="shared" si="520"/>
        <v>1.2135099542970971E-4</v>
      </c>
      <c r="AC1344" s="28">
        <f t="shared" si="520"/>
        <v>1.2159419420930326E-4</v>
      </c>
      <c r="AD1344" s="28">
        <f t="shared" si="520"/>
        <v>1.2175905413504696E-4</v>
      </c>
      <c r="AE1344" s="28">
        <f t="shared" si="520"/>
        <v>1.2194110218668799E-4</v>
      </c>
      <c r="AF1344" s="28">
        <f t="shared" si="520"/>
        <v>1.2213902840641362E-4</v>
      </c>
      <c r="AG1344" s="28">
        <f t="shared" si="520"/>
        <v>1.2235510263892656E-4</v>
      </c>
      <c r="AH1344" s="28">
        <f t="shared" si="520"/>
        <v>1.2258124070371154E-4</v>
      </c>
      <c r="AI1344" s="28">
        <f t="shared" si="520"/>
        <v>1.2272146036616498E-4</v>
      </c>
      <c r="AJ1344" s="28">
        <f t="shared" si="520"/>
        <v>1.2287458537781656E-4</v>
      </c>
      <c r="AK1344" s="28">
        <f t="shared" si="520"/>
        <v>1.2303810668107219E-4</v>
      </c>
      <c r="AL1344" s="28">
        <f t="shared" si="520"/>
        <v>1.2321298360836374E-4</v>
      </c>
      <c r="AM1344" s="28">
        <f t="shared" si="520"/>
        <v>1.2340008970059463E-4</v>
      </c>
      <c r="AN1344" s="28">
        <f t="shared" si="520"/>
        <v>1.2350526160494435E-4</v>
      </c>
      <c r="AO1344" s="28">
        <f t="shared" si="520"/>
        <v>1.2361811130120494E-4</v>
      </c>
      <c r="AP1344" s="28">
        <f t="shared" si="520"/>
        <v>1.2374084326414255E-4</v>
      </c>
      <c r="AQ1344" s="28">
        <f t="shared" si="520"/>
        <v>1.2387321615070723E-4</v>
      </c>
      <c r="AR1344" s="28">
        <f t="shared" si="520"/>
        <v>1.2401678140322428E-4</v>
      </c>
      <c r="AS1344" s="28">
        <f t="shared" si="520"/>
        <v>1.2407463588584642E-4</v>
      </c>
      <c r="AT1344" s="28">
        <f t="shared" si="520"/>
        <v>1.2412319673902334E-4</v>
      </c>
      <c r="AU1344" s="28">
        <f t="shared" si="520"/>
        <v>1.2417808819569943E-4</v>
      </c>
      <c r="AV1344" s="28">
        <f t="shared" si="520"/>
        <v>1.2424261447905341E-4</v>
      </c>
      <c r="AW1344" s="28">
        <f t="shared" si="520"/>
        <v>1.243132159456129E-4</v>
      </c>
      <c r="AY1344" s="85"/>
      <c r="AZ1344" s="85"/>
    </row>
    <row r="1345" spans="1:52" x14ac:dyDescent="0.25">
      <c r="A1345" s="102" t="str">
        <f t="shared" si="514"/>
        <v>FSFAGSPQNIBDDSCM MM Volatilisation</v>
      </c>
      <c r="B1345" s="102" t="s">
        <v>1376</v>
      </c>
      <c r="C1345" s="102" t="s">
        <v>1333</v>
      </c>
      <c r="D1345" t="s">
        <v>369</v>
      </c>
      <c r="E1345" t="s">
        <v>64</v>
      </c>
      <c r="F1345" t="s">
        <v>62</v>
      </c>
      <c r="G1345" t="s">
        <v>1167</v>
      </c>
      <c r="H1345" t="s">
        <v>1298</v>
      </c>
      <c r="I1345" t="s">
        <v>139</v>
      </c>
      <c r="J1345" t="s">
        <v>287</v>
      </c>
      <c r="K1345" s="28">
        <f t="shared" ref="K1345:AW1345" si="521">IFERROR(K1538-((K1538-K129)+(K1538-K282)+(K1538-K435)+(K1538-K587)+(K1538-K739)+(K1538-K890)+(K1538-K1041)+(K1538-K1192)),0)</f>
        <v>8.0409045079441203E-4</v>
      </c>
      <c r="L1345" s="28">
        <f t="shared" si="521"/>
        <v>8.0452440308220838E-4</v>
      </c>
      <c r="M1345" s="28">
        <f t="shared" si="521"/>
        <v>8.055220223931452E-4</v>
      </c>
      <c r="N1345" s="28">
        <f t="shared" si="521"/>
        <v>8.0700308120255969E-4</v>
      </c>
      <c r="O1345" s="28">
        <f t="shared" si="521"/>
        <v>8.0900210695983646E-4</v>
      </c>
      <c r="P1345" s="28">
        <f t="shared" si="521"/>
        <v>8.1155927460883318E-4</v>
      </c>
      <c r="Q1345" s="28">
        <f t="shared" si="521"/>
        <v>8.1437700733692851E-4</v>
      </c>
      <c r="R1345" s="28">
        <f t="shared" si="521"/>
        <v>8.1741154131570351E-4</v>
      </c>
      <c r="S1345" s="28">
        <f t="shared" si="521"/>
        <v>8.2041797921074454E-4</v>
      </c>
      <c r="T1345" s="28">
        <f t="shared" si="521"/>
        <v>8.2148401805967706E-4</v>
      </c>
      <c r="U1345" s="28">
        <f t="shared" si="521"/>
        <v>8.227162511942139E-4</v>
      </c>
      <c r="V1345" s="28">
        <f t="shared" si="521"/>
        <v>8.2413073980260293E-4</v>
      </c>
      <c r="W1345" s="28">
        <f t="shared" si="521"/>
        <v>8.2573882643370729E-4</v>
      </c>
      <c r="X1345" s="28">
        <f t="shared" si="521"/>
        <v>8.2756545577067082E-4</v>
      </c>
      <c r="Y1345" s="28">
        <f t="shared" si="521"/>
        <v>8.2865195208390858E-4</v>
      </c>
      <c r="Z1345" s="28">
        <f t="shared" si="521"/>
        <v>8.298957531266886E-4</v>
      </c>
      <c r="AA1345" s="28">
        <f t="shared" si="521"/>
        <v>8.3125753720076083E-4</v>
      </c>
      <c r="AB1345" s="28">
        <f t="shared" si="521"/>
        <v>8.3277304956439683E-4</v>
      </c>
      <c r="AC1345" s="28">
        <f t="shared" si="521"/>
        <v>8.3444200488376019E-4</v>
      </c>
      <c r="AD1345" s="28">
        <f t="shared" si="521"/>
        <v>8.3557335862854325E-4</v>
      </c>
      <c r="AE1345" s="28">
        <f t="shared" si="521"/>
        <v>8.3682266614839933E-4</v>
      </c>
      <c r="AF1345" s="28">
        <f t="shared" si="521"/>
        <v>8.3818093783793915E-4</v>
      </c>
      <c r="AG1345" s="28">
        <f t="shared" si="521"/>
        <v>8.3966375054091657E-4</v>
      </c>
      <c r="AH1345" s="28">
        <f t="shared" si="521"/>
        <v>8.4121562644573879E-4</v>
      </c>
      <c r="AI1345" s="28">
        <f t="shared" si="521"/>
        <v>8.4217788600938494E-4</v>
      </c>
      <c r="AJ1345" s="28">
        <f t="shared" si="521"/>
        <v>8.4322870872794711E-4</v>
      </c>
      <c r="AK1345" s="28">
        <f t="shared" si="521"/>
        <v>8.4435087615557117E-4</v>
      </c>
      <c r="AL1345" s="28">
        <f t="shared" si="521"/>
        <v>8.4555097172564302E-4</v>
      </c>
      <c r="AM1345" s="28">
        <f t="shared" si="521"/>
        <v>8.4683499012588306E-4</v>
      </c>
      <c r="AN1345" s="28">
        <f t="shared" si="521"/>
        <v>8.4755673391713644E-4</v>
      </c>
      <c r="AO1345" s="28">
        <f t="shared" si="521"/>
        <v>8.4833116667201041E-4</v>
      </c>
      <c r="AP1345" s="28">
        <f t="shared" si="521"/>
        <v>8.4917341663207611E-4</v>
      </c>
      <c r="AQ1345" s="28">
        <f t="shared" si="521"/>
        <v>8.5008182757698647E-4</v>
      </c>
      <c r="AR1345" s="28">
        <f t="shared" si="521"/>
        <v>8.510670463032664E-4</v>
      </c>
      <c r="AS1345" s="28">
        <f t="shared" si="521"/>
        <v>8.514640735691213E-4</v>
      </c>
      <c r="AT1345" s="28">
        <f t="shared" si="521"/>
        <v>8.5179732316173007E-4</v>
      </c>
      <c r="AU1345" s="28">
        <f t="shared" si="521"/>
        <v>8.521740166170191E-4</v>
      </c>
      <c r="AV1345" s="28">
        <f t="shared" si="521"/>
        <v>8.5261682921674643E-4</v>
      </c>
      <c r="AW1345" s="28">
        <f t="shared" si="521"/>
        <v>8.5310133285350928E-4</v>
      </c>
      <c r="AY1345" s="85"/>
      <c r="AZ1345" s="85"/>
    </row>
    <row r="1346" spans="1:52" x14ac:dyDescent="0.25">
      <c r="A1346" s="102" t="str">
        <f t="shared" si="514"/>
        <v>FSFAGSPQNIBDDSCM MM Volatilisation</v>
      </c>
      <c r="B1346" s="102" t="s">
        <v>1376</v>
      </c>
      <c r="C1346" s="102" t="s">
        <v>1333</v>
      </c>
      <c r="D1346" t="s">
        <v>369</v>
      </c>
      <c r="E1346" t="s">
        <v>64</v>
      </c>
      <c r="F1346" t="s">
        <v>62</v>
      </c>
      <c r="G1346" t="s">
        <v>1169</v>
      </c>
      <c r="H1346" t="s">
        <v>1299</v>
      </c>
      <c r="I1346" t="s">
        <v>139</v>
      </c>
      <c r="J1346" t="s">
        <v>287</v>
      </c>
      <c r="K1346" s="28">
        <f t="shared" ref="K1346:AW1346" si="522">IFERROR(K1539-((K1539-K130)+(K1539-K283)+(K1539-K436)+(K1539-K588)+(K1539-K740)+(K1539-K891)+(K1539-K1042)+(K1539-K1193)),0)</f>
        <v>1.4482807028187922E-5</v>
      </c>
      <c r="L1346" s="28">
        <f t="shared" si="522"/>
        <v>1.4520450251739282E-5</v>
      </c>
      <c r="M1346" s="28">
        <f t="shared" si="522"/>
        <v>1.4571212872745464E-5</v>
      </c>
      <c r="N1346" s="28">
        <f t="shared" si="522"/>
        <v>1.4633040456364911E-5</v>
      </c>
      <c r="O1346" s="28">
        <f t="shared" si="522"/>
        <v>1.4707094987006923E-5</v>
      </c>
      <c r="P1346" s="28">
        <f t="shared" si="522"/>
        <v>1.4794644538423194E-5</v>
      </c>
      <c r="Q1346" s="28">
        <f t="shared" si="522"/>
        <v>1.4887429784482061E-5</v>
      </c>
      <c r="R1346" s="28">
        <f t="shared" si="522"/>
        <v>1.4984365063470914E-5</v>
      </c>
      <c r="S1346" s="28">
        <f t="shared" si="522"/>
        <v>1.5078737379247896E-5</v>
      </c>
      <c r="T1346" s="28">
        <f t="shared" si="522"/>
        <v>1.5122022085784052E-5</v>
      </c>
      <c r="U1346" s="28">
        <f t="shared" si="522"/>
        <v>1.5168700186651053E-5</v>
      </c>
      <c r="V1346" s="28">
        <f t="shared" si="522"/>
        <v>1.5219291662698976E-5</v>
      </c>
      <c r="W1346" s="28">
        <f t="shared" si="522"/>
        <v>1.5274171031448217E-5</v>
      </c>
      <c r="X1346" s="28">
        <f t="shared" si="522"/>
        <v>1.5334076575093776E-5</v>
      </c>
      <c r="Y1346" s="28">
        <f t="shared" si="522"/>
        <v>1.5372633836154438E-5</v>
      </c>
      <c r="Z1346" s="28">
        <f t="shared" si="522"/>
        <v>1.5414710813994563E-5</v>
      </c>
      <c r="AA1346" s="28">
        <f t="shared" si="522"/>
        <v>1.5459260848218299E-5</v>
      </c>
      <c r="AB1346" s="28">
        <f t="shared" si="522"/>
        <v>1.550729679110253E-5</v>
      </c>
      <c r="AC1346" s="28">
        <f t="shared" si="522"/>
        <v>1.5558834836357002E-5</v>
      </c>
      <c r="AD1346" s="28">
        <f t="shared" si="522"/>
        <v>1.5592757830860554E-5</v>
      </c>
      <c r="AE1346" s="28">
        <f t="shared" si="522"/>
        <v>1.5629324786279091E-5</v>
      </c>
      <c r="AF1346" s="28">
        <f t="shared" si="522"/>
        <v>1.5668308058264363E-5</v>
      </c>
      <c r="AG1346" s="28">
        <f t="shared" si="522"/>
        <v>1.5710145809478675E-5</v>
      </c>
      <c r="AH1346" s="28">
        <f t="shared" si="522"/>
        <v>1.5753347197297649E-5</v>
      </c>
      <c r="AI1346" s="28">
        <f t="shared" si="522"/>
        <v>1.5780128357590142E-5</v>
      </c>
      <c r="AJ1346" s="28">
        <f t="shared" si="522"/>
        <v>1.5808895494916665E-5</v>
      </c>
      <c r="AK1346" s="28">
        <f t="shared" si="522"/>
        <v>1.5839194459493418E-5</v>
      </c>
      <c r="AL1346" s="28">
        <f t="shared" si="522"/>
        <v>1.5871212894447166E-5</v>
      </c>
      <c r="AM1346" s="28">
        <f t="shared" si="522"/>
        <v>1.5905120208325659E-5</v>
      </c>
      <c r="AN1346" s="28">
        <f t="shared" si="522"/>
        <v>1.5923608440521578E-5</v>
      </c>
      <c r="AO1346" s="28">
        <f t="shared" si="522"/>
        <v>1.5943219194385969E-5</v>
      </c>
      <c r="AP1346" s="28">
        <f t="shared" si="522"/>
        <v>1.5964364076511548E-5</v>
      </c>
      <c r="AQ1346" s="28">
        <f t="shared" si="522"/>
        <v>1.5987003748719161E-5</v>
      </c>
      <c r="AR1346" s="28">
        <f t="shared" si="522"/>
        <v>1.6011426014492075E-5</v>
      </c>
      <c r="AS1346" s="28">
        <f t="shared" si="522"/>
        <v>1.6019956720470997E-5</v>
      </c>
      <c r="AT1346" s="28">
        <f t="shared" si="522"/>
        <v>1.6026597354274649E-5</v>
      </c>
      <c r="AU1346" s="28">
        <f t="shared" si="522"/>
        <v>1.6034206571030276E-5</v>
      </c>
      <c r="AV1346" s="28">
        <f t="shared" si="522"/>
        <v>1.6043388029308272E-5</v>
      </c>
      <c r="AW1346" s="28">
        <f t="shared" si="522"/>
        <v>1.6053496862987396E-5</v>
      </c>
      <c r="AY1346" s="85"/>
      <c r="AZ1346" s="85"/>
    </row>
    <row r="1347" spans="1:52" x14ac:dyDescent="0.25">
      <c r="A1347" s="102" t="str">
        <f t="shared" si="514"/>
        <v>FSFAGSPQNIBDDSCM MM Volatilisation</v>
      </c>
      <c r="B1347" s="102" t="s">
        <v>1376</v>
      </c>
      <c r="C1347" s="102" t="s">
        <v>1333</v>
      </c>
      <c r="D1347" t="s">
        <v>369</v>
      </c>
      <c r="E1347" t="s">
        <v>64</v>
      </c>
      <c r="F1347" t="s">
        <v>62</v>
      </c>
      <c r="G1347" t="s">
        <v>1171</v>
      </c>
      <c r="H1347" t="s">
        <v>1300</v>
      </c>
      <c r="I1347" t="s">
        <v>139</v>
      </c>
      <c r="J1347" t="s">
        <v>287</v>
      </c>
      <c r="K1347" s="28">
        <f t="shared" ref="K1347:AW1347" si="523">IFERROR(K1540-((K1540-K131)+(K1540-K284)+(K1540-K437)+(K1540-K589)+(K1540-K741)+(K1540-K892)+(K1540-K1043)+(K1540-K1194)),0)</f>
        <v>1.4734983248944019E-3</v>
      </c>
      <c r="L1347" s="28">
        <f t="shared" si="523"/>
        <v>1.4773281920422968E-3</v>
      </c>
      <c r="M1347" s="28">
        <f t="shared" si="523"/>
        <v>1.4824928425740808E-3</v>
      </c>
      <c r="N1347" s="28">
        <f t="shared" si="523"/>
        <v>1.4887832558011719E-3</v>
      </c>
      <c r="O1347" s="28">
        <f t="shared" si="523"/>
        <v>1.4963176534244689E-3</v>
      </c>
      <c r="P1347" s="28">
        <f t="shared" si="523"/>
        <v>1.5052250508030326E-3</v>
      </c>
      <c r="Q1347" s="28">
        <f t="shared" si="523"/>
        <v>1.5146651340946602E-3</v>
      </c>
      <c r="R1347" s="28">
        <f t="shared" si="523"/>
        <v>1.5245274467620346E-3</v>
      </c>
      <c r="S1347" s="28">
        <f t="shared" si="523"/>
        <v>1.5341290004486333E-3</v>
      </c>
      <c r="T1347" s="28">
        <f t="shared" si="523"/>
        <v>1.5385328389069129E-3</v>
      </c>
      <c r="U1347" s="28">
        <f t="shared" si="523"/>
        <v>1.5432819254136169E-3</v>
      </c>
      <c r="V1347" s="28">
        <f t="shared" si="523"/>
        <v>1.5484291634501014E-3</v>
      </c>
      <c r="W1347" s="28">
        <f t="shared" si="523"/>
        <v>1.5540126568824096E-3</v>
      </c>
      <c r="X1347" s="28">
        <f t="shared" si="523"/>
        <v>1.5601075194350781E-3</v>
      </c>
      <c r="Y1347" s="28">
        <f t="shared" si="523"/>
        <v>1.5640303818660153E-3</v>
      </c>
      <c r="Z1347" s="28">
        <f t="shared" si="523"/>
        <v>1.5683113445442707E-3</v>
      </c>
      <c r="AA1347" s="28">
        <f t="shared" si="523"/>
        <v>1.5728439189737231E-3</v>
      </c>
      <c r="AB1347" s="28">
        <f t="shared" si="523"/>
        <v>1.5777311539715299E-3</v>
      </c>
      <c r="AC1347" s="28">
        <f t="shared" si="523"/>
        <v>1.5829746971053286E-3</v>
      </c>
      <c r="AD1347" s="28">
        <f t="shared" si="523"/>
        <v>1.5864260636449165E-3</v>
      </c>
      <c r="AE1347" s="28">
        <f t="shared" si="523"/>
        <v>1.5901464299696787E-3</v>
      </c>
      <c r="AF1347" s="28">
        <f t="shared" si="523"/>
        <v>1.5941126352679608E-3</v>
      </c>
      <c r="AG1347" s="28">
        <f t="shared" si="523"/>
        <v>1.5983692587396162E-3</v>
      </c>
      <c r="AH1347" s="28">
        <f t="shared" si="523"/>
        <v>1.6027646202507156E-3</v>
      </c>
      <c r="AI1347" s="28">
        <f t="shared" si="523"/>
        <v>1.6054893679293186E-3</v>
      </c>
      <c r="AJ1347" s="28">
        <f t="shared" si="523"/>
        <v>1.6084161713162683E-3</v>
      </c>
      <c r="AK1347" s="28">
        <f t="shared" si="523"/>
        <v>1.6114988246626113E-3</v>
      </c>
      <c r="AL1347" s="28">
        <f t="shared" si="523"/>
        <v>1.6147564190072887E-3</v>
      </c>
      <c r="AM1347" s="28">
        <f t="shared" si="523"/>
        <v>1.6182061901810947E-3</v>
      </c>
      <c r="AN1347" s="28">
        <f t="shared" si="523"/>
        <v>1.6200872053128935E-3</v>
      </c>
      <c r="AO1347" s="28">
        <f t="shared" si="523"/>
        <v>1.6220824271585524E-3</v>
      </c>
      <c r="AP1347" s="28">
        <f t="shared" si="523"/>
        <v>1.6242337330712453E-3</v>
      </c>
      <c r="AQ1347" s="28">
        <f t="shared" si="523"/>
        <v>1.6265371207369889E-3</v>
      </c>
      <c r="AR1347" s="28">
        <f t="shared" si="523"/>
        <v>1.6290218716306845E-3</v>
      </c>
      <c r="AS1347" s="28">
        <f t="shared" si="523"/>
        <v>1.6298897959871744E-3</v>
      </c>
      <c r="AT1347" s="28">
        <f t="shared" si="523"/>
        <v>1.6305654221117833E-3</v>
      </c>
      <c r="AU1347" s="28">
        <f t="shared" si="523"/>
        <v>1.6313395930388258E-3</v>
      </c>
      <c r="AV1347" s="28">
        <f t="shared" si="523"/>
        <v>1.6322737257222465E-3</v>
      </c>
      <c r="AW1347" s="28">
        <f t="shared" si="523"/>
        <v>1.6333022107019772E-3</v>
      </c>
      <c r="AY1347" s="85"/>
      <c r="AZ1347" s="85"/>
    </row>
    <row r="1348" spans="1:52" x14ac:dyDescent="0.25">
      <c r="A1348" s="102" t="str">
        <f t="shared" si="514"/>
        <v>FSFAGSPQNIBDDSCM MM Volatilisation</v>
      </c>
      <c r="B1348" s="102" t="s">
        <v>1376</v>
      </c>
      <c r="C1348" s="102" t="s">
        <v>1333</v>
      </c>
      <c r="D1348" t="s">
        <v>369</v>
      </c>
      <c r="E1348" t="s">
        <v>64</v>
      </c>
      <c r="F1348" t="s">
        <v>62</v>
      </c>
      <c r="G1348" t="s">
        <v>1173</v>
      </c>
      <c r="H1348" t="s">
        <v>1301</v>
      </c>
      <c r="I1348" t="s">
        <v>139</v>
      </c>
      <c r="J1348" t="s">
        <v>287</v>
      </c>
      <c r="K1348" s="28">
        <f t="shared" ref="K1348:AW1348" si="524">IFERROR(K1541-((K1541-K132)+(K1541-K285)+(K1541-K438)+(K1541-K590)+(K1541-K742)+(K1541-K893)+(K1541-K1044)+(K1541-K1195)),0)</f>
        <v>0</v>
      </c>
      <c r="L1348" s="28">
        <f t="shared" si="524"/>
        <v>0</v>
      </c>
      <c r="M1348" s="28">
        <f t="shared" si="524"/>
        <v>0</v>
      </c>
      <c r="N1348" s="28">
        <f t="shared" si="524"/>
        <v>0</v>
      </c>
      <c r="O1348" s="28">
        <f t="shared" si="524"/>
        <v>0</v>
      </c>
      <c r="P1348" s="28">
        <f t="shared" si="524"/>
        <v>0</v>
      </c>
      <c r="Q1348" s="28">
        <f t="shared" si="524"/>
        <v>0</v>
      </c>
      <c r="R1348" s="28">
        <f t="shared" si="524"/>
        <v>0</v>
      </c>
      <c r="S1348" s="28">
        <f t="shared" si="524"/>
        <v>0</v>
      </c>
      <c r="T1348" s="28">
        <f t="shared" si="524"/>
        <v>0</v>
      </c>
      <c r="U1348" s="28">
        <f t="shared" si="524"/>
        <v>0</v>
      </c>
      <c r="V1348" s="28">
        <f t="shared" si="524"/>
        <v>0</v>
      </c>
      <c r="W1348" s="28">
        <f t="shared" si="524"/>
        <v>0</v>
      </c>
      <c r="X1348" s="28">
        <f t="shared" si="524"/>
        <v>0</v>
      </c>
      <c r="Y1348" s="28">
        <f t="shared" si="524"/>
        <v>0</v>
      </c>
      <c r="Z1348" s="28">
        <f t="shared" si="524"/>
        <v>0</v>
      </c>
      <c r="AA1348" s="28">
        <f t="shared" si="524"/>
        <v>0</v>
      </c>
      <c r="AB1348" s="28">
        <f t="shared" si="524"/>
        <v>0</v>
      </c>
      <c r="AC1348" s="28">
        <f t="shared" si="524"/>
        <v>0</v>
      </c>
      <c r="AD1348" s="28">
        <f t="shared" si="524"/>
        <v>0</v>
      </c>
      <c r="AE1348" s="28">
        <f t="shared" si="524"/>
        <v>0</v>
      </c>
      <c r="AF1348" s="28">
        <f t="shared" si="524"/>
        <v>0</v>
      </c>
      <c r="AG1348" s="28">
        <f t="shared" si="524"/>
        <v>0</v>
      </c>
      <c r="AH1348" s="28">
        <f t="shared" si="524"/>
        <v>0</v>
      </c>
      <c r="AI1348" s="28">
        <f t="shared" si="524"/>
        <v>0</v>
      </c>
      <c r="AJ1348" s="28">
        <f t="shared" si="524"/>
        <v>0</v>
      </c>
      <c r="AK1348" s="28">
        <f t="shared" si="524"/>
        <v>0</v>
      </c>
      <c r="AL1348" s="28">
        <f t="shared" si="524"/>
        <v>0</v>
      </c>
      <c r="AM1348" s="28">
        <f t="shared" si="524"/>
        <v>0</v>
      </c>
      <c r="AN1348" s="28">
        <f t="shared" si="524"/>
        <v>0</v>
      </c>
      <c r="AO1348" s="28">
        <f t="shared" si="524"/>
        <v>0</v>
      </c>
      <c r="AP1348" s="28">
        <f t="shared" si="524"/>
        <v>0</v>
      </c>
      <c r="AQ1348" s="28">
        <f t="shared" si="524"/>
        <v>0</v>
      </c>
      <c r="AR1348" s="28">
        <f t="shared" si="524"/>
        <v>0</v>
      </c>
      <c r="AS1348" s="28">
        <f t="shared" si="524"/>
        <v>0</v>
      </c>
      <c r="AT1348" s="28">
        <f t="shared" si="524"/>
        <v>0</v>
      </c>
      <c r="AU1348" s="28">
        <f t="shared" si="524"/>
        <v>0</v>
      </c>
      <c r="AV1348" s="28">
        <f t="shared" si="524"/>
        <v>0</v>
      </c>
      <c r="AW1348" s="28">
        <f t="shared" si="524"/>
        <v>0</v>
      </c>
      <c r="AY1348" s="85"/>
      <c r="AZ1348" s="85"/>
    </row>
    <row r="1349" spans="1:52" x14ac:dyDescent="0.25">
      <c r="A1349" s="102" t="str">
        <f t="shared" si="514"/>
        <v>FSFAGSPQNIBDDSCM MM Volatilisation</v>
      </c>
      <c r="B1349" s="102" t="s">
        <v>1376</v>
      </c>
      <c r="C1349" s="102" t="s">
        <v>1333</v>
      </c>
      <c r="D1349" t="s">
        <v>369</v>
      </c>
      <c r="E1349" t="s">
        <v>64</v>
      </c>
      <c r="F1349" t="s">
        <v>62</v>
      </c>
      <c r="G1349" t="s">
        <v>1175</v>
      </c>
      <c r="H1349" t="s">
        <v>1302</v>
      </c>
      <c r="I1349" t="s">
        <v>139</v>
      </c>
      <c r="J1349" t="s">
        <v>287</v>
      </c>
      <c r="K1349" s="28">
        <f t="shared" ref="K1349:AW1349" si="525">IFERROR(K1542-((K1542-K133)+(K1542-K286)+(K1542-K439)+(K1542-K591)+(K1542-K743)+(K1542-K894)+(K1542-K1045)+(K1542-K1196)),0)</f>
        <v>0</v>
      </c>
      <c r="L1349" s="28">
        <f t="shared" si="525"/>
        <v>0</v>
      </c>
      <c r="M1349" s="28">
        <f t="shared" si="525"/>
        <v>0</v>
      </c>
      <c r="N1349" s="28">
        <f t="shared" si="525"/>
        <v>0</v>
      </c>
      <c r="O1349" s="28">
        <f t="shared" si="525"/>
        <v>0</v>
      </c>
      <c r="P1349" s="28">
        <f t="shared" si="525"/>
        <v>0</v>
      </c>
      <c r="Q1349" s="28">
        <f t="shared" si="525"/>
        <v>0</v>
      </c>
      <c r="R1349" s="28">
        <f t="shared" si="525"/>
        <v>0</v>
      </c>
      <c r="S1349" s="28">
        <f t="shared" si="525"/>
        <v>0</v>
      </c>
      <c r="T1349" s="28">
        <f t="shared" si="525"/>
        <v>0</v>
      </c>
      <c r="U1349" s="28">
        <f t="shared" si="525"/>
        <v>0</v>
      </c>
      <c r="V1349" s="28">
        <f t="shared" si="525"/>
        <v>0</v>
      </c>
      <c r="W1349" s="28">
        <f t="shared" si="525"/>
        <v>0</v>
      </c>
      <c r="X1349" s="28">
        <f t="shared" si="525"/>
        <v>0</v>
      </c>
      <c r="Y1349" s="28">
        <f t="shared" si="525"/>
        <v>0</v>
      </c>
      <c r="Z1349" s="28">
        <f t="shared" si="525"/>
        <v>0</v>
      </c>
      <c r="AA1349" s="28">
        <f t="shared" si="525"/>
        <v>0</v>
      </c>
      <c r="AB1349" s="28">
        <f t="shared" si="525"/>
        <v>0</v>
      </c>
      <c r="AC1349" s="28">
        <f t="shared" si="525"/>
        <v>0</v>
      </c>
      <c r="AD1349" s="28">
        <f t="shared" si="525"/>
        <v>0</v>
      </c>
      <c r="AE1349" s="28">
        <f t="shared" si="525"/>
        <v>0</v>
      </c>
      <c r="AF1349" s="28">
        <f t="shared" si="525"/>
        <v>0</v>
      </c>
      <c r="AG1349" s="28">
        <f t="shared" si="525"/>
        <v>0</v>
      </c>
      <c r="AH1349" s="28">
        <f t="shared" si="525"/>
        <v>0</v>
      </c>
      <c r="AI1349" s="28">
        <f t="shared" si="525"/>
        <v>0</v>
      </c>
      <c r="AJ1349" s="28">
        <f t="shared" si="525"/>
        <v>0</v>
      </c>
      <c r="AK1349" s="28">
        <f t="shared" si="525"/>
        <v>0</v>
      </c>
      <c r="AL1349" s="28">
        <f t="shared" si="525"/>
        <v>0</v>
      </c>
      <c r="AM1349" s="28">
        <f t="shared" si="525"/>
        <v>0</v>
      </c>
      <c r="AN1349" s="28">
        <f t="shared" si="525"/>
        <v>0</v>
      </c>
      <c r="AO1349" s="28">
        <f t="shared" si="525"/>
        <v>0</v>
      </c>
      <c r="AP1349" s="28">
        <f t="shared" si="525"/>
        <v>0</v>
      </c>
      <c r="AQ1349" s="28">
        <f t="shared" si="525"/>
        <v>0</v>
      </c>
      <c r="AR1349" s="28">
        <f t="shared" si="525"/>
        <v>0</v>
      </c>
      <c r="AS1349" s="28">
        <f t="shared" si="525"/>
        <v>0</v>
      </c>
      <c r="AT1349" s="28">
        <f t="shared" si="525"/>
        <v>0</v>
      </c>
      <c r="AU1349" s="28">
        <f t="shared" si="525"/>
        <v>0</v>
      </c>
      <c r="AV1349" s="28">
        <f t="shared" si="525"/>
        <v>0</v>
      </c>
      <c r="AW1349" s="28">
        <f t="shared" si="525"/>
        <v>0</v>
      </c>
      <c r="AY1349" s="85"/>
      <c r="AZ1349" s="85"/>
    </row>
    <row r="1350" spans="1:52" x14ac:dyDescent="0.25">
      <c r="A1350" s="102" t="str">
        <f t="shared" si="514"/>
        <v>FSFAGSPQNIBDDSCM MM Volatilisation</v>
      </c>
      <c r="B1350" s="102" t="s">
        <v>1376</v>
      </c>
      <c r="C1350" s="102" t="s">
        <v>1333</v>
      </c>
      <c r="D1350" t="s">
        <v>369</v>
      </c>
      <c r="E1350" t="s">
        <v>64</v>
      </c>
      <c r="F1350" t="s">
        <v>62</v>
      </c>
      <c r="G1350" t="s">
        <v>1177</v>
      </c>
      <c r="H1350" t="s">
        <v>1303</v>
      </c>
      <c r="I1350" t="s">
        <v>139</v>
      </c>
      <c r="J1350" t="s">
        <v>287</v>
      </c>
      <c r="K1350" s="28">
        <f t="shared" ref="K1350:AW1350" si="526">IFERROR(K1543-((K1543-K134)+(K1543-K287)+(K1543-K440)+(K1543-K592)+(K1543-K744)+(K1543-K895)+(K1543-K1046)+(K1543-K1197)),0)</f>
        <v>0.13127680408912967</v>
      </c>
      <c r="L1350" s="28">
        <f t="shared" si="526"/>
        <v>0.13104478756679175</v>
      </c>
      <c r="M1350" s="28">
        <f t="shared" si="526"/>
        <v>0.13030955774266942</v>
      </c>
      <c r="N1350" s="28">
        <f t="shared" si="526"/>
        <v>0.12743411073001928</v>
      </c>
      <c r="O1350" s="28">
        <f t="shared" si="526"/>
        <v>0.1247149107669546</v>
      </c>
      <c r="P1350" s="28">
        <f t="shared" si="526"/>
        <v>0.1242760261027246</v>
      </c>
      <c r="Q1350" s="28">
        <f t="shared" si="526"/>
        <v>0.1232106270346093</v>
      </c>
      <c r="R1350" s="28">
        <f t="shared" si="526"/>
        <v>0.11992927074804736</v>
      </c>
      <c r="S1350" s="28">
        <f t="shared" si="526"/>
        <v>0.10697136059413564</v>
      </c>
      <c r="T1350" s="28">
        <f t="shared" si="526"/>
        <v>0.10925052559704228</v>
      </c>
      <c r="U1350" s="28">
        <f t="shared" si="526"/>
        <v>0.11028782514836863</v>
      </c>
      <c r="V1350" s="28">
        <f t="shared" si="526"/>
        <v>0.11103699523463217</v>
      </c>
      <c r="W1350" s="28">
        <f t="shared" si="526"/>
        <v>0.11219859335689175</v>
      </c>
      <c r="X1350" s="28">
        <f t="shared" si="526"/>
        <v>0.11480451373715195</v>
      </c>
      <c r="Y1350" s="28">
        <f t="shared" si="526"/>
        <v>0.11773903071810957</v>
      </c>
      <c r="Z1350" s="28">
        <f t="shared" si="526"/>
        <v>0.12096927354500421</v>
      </c>
      <c r="AA1350" s="28">
        <f t="shared" si="526"/>
        <v>0.12354640914849602</v>
      </c>
      <c r="AB1350" s="28">
        <f t="shared" si="526"/>
        <v>0.12670722430973341</v>
      </c>
      <c r="AC1350" s="28">
        <f t="shared" si="526"/>
        <v>0.13057945388048037</v>
      </c>
      <c r="AD1350" s="28">
        <f t="shared" si="526"/>
        <v>0.13425527969122258</v>
      </c>
      <c r="AE1350" s="28">
        <f t="shared" si="526"/>
        <v>0.13808078234219598</v>
      </c>
      <c r="AF1350" s="28">
        <f t="shared" si="526"/>
        <v>0.14192802306779076</v>
      </c>
      <c r="AG1350" s="28">
        <f t="shared" si="526"/>
        <v>0.1463168294100172</v>
      </c>
      <c r="AH1350" s="28">
        <f t="shared" si="526"/>
        <v>0.14987147721926491</v>
      </c>
      <c r="AI1350" s="28">
        <f t="shared" si="526"/>
        <v>0.15368071040323866</v>
      </c>
      <c r="AJ1350" s="28">
        <f t="shared" si="526"/>
        <v>0.15748989919729797</v>
      </c>
      <c r="AK1350" s="28">
        <f t="shared" si="526"/>
        <v>0.16094494337856555</v>
      </c>
      <c r="AL1350" s="28">
        <f t="shared" si="526"/>
        <v>0.16429165196320608</v>
      </c>
      <c r="AM1350" s="28">
        <f t="shared" si="526"/>
        <v>0.16774187084588035</v>
      </c>
      <c r="AN1350" s="28">
        <f t="shared" si="526"/>
        <v>0.17138968548667002</v>
      </c>
      <c r="AO1350" s="28">
        <f t="shared" si="526"/>
        <v>0.1745941208754225</v>
      </c>
      <c r="AP1350" s="28">
        <f t="shared" si="526"/>
        <v>0.1777744388622069</v>
      </c>
      <c r="AQ1350" s="28">
        <f t="shared" si="526"/>
        <v>0.1809391482484165</v>
      </c>
      <c r="AR1350" s="28">
        <f t="shared" si="526"/>
        <v>0.18436921398490858</v>
      </c>
      <c r="AS1350" s="28">
        <f t="shared" si="526"/>
        <v>0.18784860649552212</v>
      </c>
      <c r="AT1350" s="28">
        <f t="shared" si="526"/>
        <v>0.18864753020373984</v>
      </c>
      <c r="AU1350" s="28">
        <f t="shared" si="526"/>
        <v>0.18922133559281129</v>
      </c>
      <c r="AV1350" s="28">
        <f t="shared" si="526"/>
        <v>0.19009208773754074</v>
      </c>
      <c r="AW1350" s="28">
        <f t="shared" si="526"/>
        <v>0.19076764971562013</v>
      </c>
      <c r="AY1350" s="85"/>
      <c r="AZ1350" s="85"/>
    </row>
    <row r="1351" spans="1:52" x14ac:dyDescent="0.25">
      <c r="A1351" s="102" t="str">
        <f t="shared" si="514"/>
        <v>FSFAGSPQNIBDDSCM MM Volatilisation</v>
      </c>
      <c r="B1351" s="102" t="s">
        <v>1376</v>
      </c>
      <c r="C1351" s="102" t="s">
        <v>1333</v>
      </c>
      <c r="D1351" t="s">
        <v>369</v>
      </c>
      <c r="E1351" t="s">
        <v>64</v>
      </c>
      <c r="F1351" t="s">
        <v>62</v>
      </c>
      <c r="G1351" t="s">
        <v>1179</v>
      </c>
      <c r="H1351" t="s">
        <v>1304</v>
      </c>
      <c r="I1351" t="s">
        <v>139</v>
      </c>
      <c r="J1351" t="s">
        <v>287</v>
      </c>
      <c r="K1351" s="28">
        <f t="shared" ref="K1351:AW1351" si="527">IFERROR(K1544-((K1544-K135)+(K1544-K288)+(K1544-K441)+(K1544-K593)+(K1544-K745)+(K1544-K896)+(K1544-K1047)+(K1544-K1198)),0)</f>
        <v>1.2775290998949166E-2</v>
      </c>
      <c r="L1351" s="28">
        <f t="shared" si="527"/>
        <v>1.2752712154118219E-2</v>
      </c>
      <c r="M1351" s="28">
        <f t="shared" si="527"/>
        <v>1.2681162766399339E-2</v>
      </c>
      <c r="N1351" s="28">
        <f t="shared" si="527"/>
        <v>1.2401336695117745E-2</v>
      </c>
      <c r="O1351" s="28">
        <f t="shared" si="527"/>
        <v>1.2136715911167996E-2</v>
      </c>
      <c r="P1351" s="28">
        <f t="shared" si="527"/>
        <v>1.2094005553162118E-2</v>
      </c>
      <c r="Q1351" s="28">
        <f t="shared" si="527"/>
        <v>1.1990325522103915E-2</v>
      </c>
      <c r="R1351" s="28">
        <f t="shared" si="527"/>
        <v>1.1670998115233177E-2</v>
      </c>
      <c r="S1351" s="28">
        <f t="shared" si="527"/>
        <v>1.0409990322553617E-2</v>
      </c>
      <c r="T1351" s="28">
        <f t="shared" si="527"/>
        <v>1.063178880667107E-2</v>
      </c>
      <c r="U1351" s="28">
        <f t="shared" si="527"/>
        <v>1.0732734314243575E-2</v>
      </c>
      <c r="V1351" s="28">
        <f t="shared" si="527"/>
        <v>1.0805640308003347E-2</v>
      </c>
      <c r="W1351" s="28">
        <f t="shared" si="527"/>
        <v>1.0918682015094444E-2</v>
      </c>
      <c r="X1351" s="28">
        <f t="shared" si="527"/>
        <v>1.1172278919809715E-2</v>
      </c>
      <c r="Y1351" s="28">
        <f t="shared" si="527"/>
        <v>1.1457853425018103E-2</v>
      </c>
      <c r="Z1351" s="28">
        <f t="shared" si="527"/>
        <v>1.1772206690982962E-2</v>
      </c>
      <c r="AA1351" s="28">
        <f t="shared" si="527"/>
        <v>1.202300238567406E-2</v>
      </c>
      <c r="AB1351" s="28">
        <f t="shared" si="527"/>
        <v>1.2330599251387535E-2</v>
      </c>
      <c r="AC1351" s="28">
        <f t="shared" si="527"/>
        <v>1.2707427891635677E-2</v>
      </c>
      <c r="AD1351" s="28">
        <f t="shared" si="527"/>
        <v>1.3065143367111426E-2</v>
      </c>
      <c r="AE1351" s="28">
        <f t="shared" si="527"/>
        <v>1.3437424745550947E-2</v>
      </c>
      <c r="AF1351" s="28">
        <f t="shared" si="527"/>
        <v>1.3811821579428105E-2</v>
      </c>
      <c r="AG1351" s="28">
        <f t="shared" si="527"/>
        <v>1.4238921237657973E-2</v>
      </c>
      <c r="AH1351" s="28">
        <f t="shared" si="527"/>
        <v>1.458484419394113E-2</v>
      </c>
      <c r="AI1351" s="28">
        <f t="shared" si="527"/>
        <v>1.4955542298193264E-2</v>
      </c>
      <c r="AJ1351" s="28">
        <f t="shared" si="527"/>
        <v>1.5326236082610833E-2</v>
      </c>
      <c r="AK1351" s="28">
        <f t="shared" si="527"/>
        <v>1.5662466044455051E-2</v>
      </c>
      <c r="AL1351" s="28">
        <f t="shared" si="527"/>
        <v>1.5988153254424275E-2</v>
      </c>
      <c r="AM1351" s="28">
        <f t="shared" si="527"/>
        <v>1.6323913639071558E-2</v>
      </c>
      <c r="AN1351" s="28">
        <f t="shared" si="527"/>
        <v>1.6678903188593767E-2</v>
      </c>
      <c r="AO1351" s="28">
        <f t="shared" si="527"/>
        <v>1.699074498625705E-2</v>
      </c>
      <c r="AP1351" s="28">
        <f t="shared" si="527"/>
        <v>1.7300239782632326E-2</v>
      </c>
      <c r="AQ1351" s="28">
        <f t="shared" si="527"/>
        <v>1.7608215617483422E-2</v>
      </c>
      <c r="AR1351" s="28">
        <f t="shared" si="527"/>
        <v>1.794201478507635E-2</v>
      </c>
      <c r="AS1351" s="28">
        <f t="shared" si="527"/>
        <v>1.8280614221062561E-2</v>
      </c>
      <c r="AT1351" s="28">
        <f t="shared" si="527"/>
        <v>1.8358362022201223E-2</v>
      </c>
      <c r="AU1351" s="28">
        <f t="shared" si="527"/>
        <v>1.8414202281819184E-2</v>
      </c>
      <c r="AV1351" s="28">
        <f t="shared" si="527"/>
        <v>1.8498940115849072E-2</v>
      </c>
      <c r="AW1351" s="28">
        <f t="shared" si="527"/>
        <v>1.8564682886764862E-2</v>
      </c>
      <c r="AY1351" s="85"/>
      <c r="AZ1351" s="85"/>
    </row>
    <row r="1352" spans="1:52" x14ac:dyDescent="0.25">
      <c r="A1352" s="102" t="str">
        <f t="shared" si="514"/>
        <v>FSFAGSPQNIBDDSCM MM Volatilisation</v>
      </c>
      <c r="B1352" s="102" t="s">
        <v>1376</v>
      </c>
      <c r="C1352" s="102" t="s">
        <v>1333</v>
      </c>
      <c r="D1352" t="s">
        <v>369</v>
      </c>
      <c r="E1352" t="s">
        <v>64</v>
      </c>
      <c r="F1352" t="s">
        <v>62</v>
      </c>
      <c r="G1352" t="s">
        <v>1181</v>
      </c>
      <c r="H1352" t="s">
        <v>1305</v>
      </c>
      <c r="I1352" t="s">
        <v>139</v>
      </c>
      <c r="J1352" t="s">
        <v>287</v>
      </c>
      <c r="K1352" s="28">
        <f t="shared" ref="K1352:AW1352" si="528">IFERROR(K1545-((K1545-K136)+(K1545-K289)+(K1545-K442)+(K1545-K594)+(K1545-K746)+(K1545-K897)+(K1545-K1048)+(K1545-K1199)),0)</f>
        <v>6.4639922525530427E-2</v>
      </c>
      <c r="L1352" s="28">
        <f t="shared" si="528"/>
        <v>6.6092820241884495E-2</v>
      </c>
      <c r="M1352" s="28">
        <f t="shared" si="528"/>
        <v>6.7406950311631311E-2</v>
      </c>
      <c r="N1352" s="28">
        <f t="shared" si="528"/>
        <v>6.8085378535523336E-2</v>
      </c>
      <c r="O1352" s="28">
        <f t="shared" si="528"/>
        <v>6.8782509933711544E-2</v>
      </c>
      <c r="P1352" s="28">
        <f t="shared" si="528"/>
        <v>7.0170496606956442E-2</v>
      </c>
      <c r="Q1352" s="28">
        <f t="shared" si="528"/>
        <v>7.1357352719614867E-2</v>
      </c>
      <c r="R1352" s="28">
        <f t="shared" si="528"/>
        <v>7.1807853842609945E-2</v>
      </c>
      <c r="S1352" s="28">
        <f t="shared" si="528"/>
        <v>6.89560372793145E-2</v>
      </c>
      <c r="T1352" s="28">
        <f t="shared" si="528"/>
        <v>7.1008173280929857E-2</v>
      </c>
      <c r="U1352" s="28">
        <f t="shared" si="528"/>
        <v>7.2666722437194436E-2</v>
      </c>
      <c r="V1352" s="28">
        <f t="shared" si="528"/>
        <v>7.4247222856444403E-2</v>
      </c>
      <c r="W1352" s="28">
        <f t="shared" si="528"/>
        <v>7.600218438166105E-2</v>
      </c>
      <c r="X1352" s="28">
        <f t="shared" si="528"/>
        <v>7.8331736592242102E-2</v>
      </c>
      <c r="Y1352" s="28">
        <f t="shared" si="528"/>
        <v>8.0778487004079483E-2</v>
      </c>
      <c r="Z1352" s="28">
        <f t="shared" si="528"/>
        <v>8.3401229369706939E-2</v>
      </c>
      <c r="AA1352" s="28">
        <f t="shared" si="528"/>
        <v>8.5827271656106763E-2</v>
      </c>
      <c r="AB1352" s="28">
        <f t="shared" si="528"/>
        <v>8.8549064394725929E-2</v>
      </c>
      <c r="AC1352" s="28">
        <f t="shared" si="528"/>
        <v>9.1636240743728642E-2</v>
      </c>
      <c r="AD1352" s="28">
        <f t="shared" si="528"/>
        <v>9.4662173779080358E-2</v>
      </c>
      <c r="AE1352" s="28">
        <f t="shared" si="528"/>
        <v>9.7831321391472395E-2</v>
      </c>
      <c r="AF1352" s="28">
        <f t="shared" si="528"/>
        <v>0.1010924495137356</v>
      </c>
      <c r="AG1352" s="28">
        <f t="shared" si="528"/>
        <v>0.10468368456707709</v>
      </c>
      <c r="AH1352" s="28">
        <f t="shared" si="528"/>
        <v>0.10798542807128246</v>
      </c>
      <c r="AI1352" s="28">
        <f t="shared" si="528"/>
        <v>0.11143964262193619</v>
      </c>
      <c r="AJ1352" s="28">
        <f t="shared" si="528"/>
        <v>0.11498300476041527</v>
      </c>
      <c r="AK1352" s="28">
        <f t="shared" si="528"/>
        <v>0.11844428302751359</v>
      </c>
      <c r="AL1352" s="28">
        <f t="shared" si="528"/>
        <v>0.12193846206930534</v>
      </c>
      <c r="AM1352" s="28">
        <f t="shared" si="528"/>
        <v>0.12557241914152842</v>
      </c>
      <c r="AN1352" s="28">
        <f t="shared" si="528"/>
        <v>0.12935192234708767</v>
      </c>
      <c r="AO1352" s="28">
        <f t="shared" si="528"/>
        <v>0.13299431940651141</v>
      </c>
      <c r="AP1352" s="28">
        <f t="shared" si="528"/>
        <v>0.13671453058130023</v>
      </c>
      <c r="AQ1352" s="28">
        <f t="shared" si="528"/>
        <v>0.14051897664424154</v>
      </c>
      <c r="AR1352" s="28">
        <f t="shared" si="528"/>
        <v>0.14456662668799888</v>
      </c>
      <c r="AS1352" s="28">
        <f t="shared" si="528"/>
        <v>0.14869599338087189</v>
      </c>
      <c r="AT1352" s="28">
        <f t="shared" si="528"/>
        <v>0.15137911693275455</v>
      </c>
      <c r="AU1352" s="28">
        <f t="shared" si="528"/>
        <v>0.1539813872955596</v>
      </c>
      <c r="AV1352" s="28">
        <f t="shared" si="528"/>
        <v>0.15681091101615385</v>
      </c>
      <c r="AW1352" s="28">
        <f t="shared" si="528"/>
        <v>0.15957796848952543</v>
      </c>
      <c r="AY1352" s="85"/>
      <c r="AZ1352" s="85"/>
    </row>
    <row r="1353" spans="1:52" x14ac:dyDescent="0.25">
      <c r="A1353" s="102" t="str">
        <f t="shared" si="514"/>
        <v>FSFAGSPQNIBDDSCM MM Volatilisation</v>
      </c>
      <c r="B1353" s="102" t="s">
        <v>1376</v>
      </c>
      <c r="C1353" s="102" t="s">
        <v>1333</v>
      </c>
      <c r="D1353" t="s">
        <v>369</v>
      </c>
      <c r="E1353" t="s">
        <v>64</v>
      </c>
      <c r="F1353" t="s">
        <v>62</v>
      </c>
      <c r="G1353" t="s">
        <v>1183</v>
      </c>
      <c r="H1353" t="s">
        <v>1306</v>
      </c>
      <c r="I1353" t="s">
        <v>139</v>
      </c>
      <c r="J1353" t="s">
        <v>287</v>
      </c>
      <c r="K1353" s="28">
        <f t="shared" ref="K1353:AW1353" si="529">IFERROR(K1546-((K1546-K137)+(K1546-K290)+(K1546-K443)+(K1546-K595)+(K1546-K747)+(K1546-K898)+(K1546-K1049)+(K1546-K1200)),0)</f>
        <v>0.3124157271084777</v>
      </c>
      <c r="L1353" s="28">
        <f t="shared" si="529"/>
        <v>0.31821414255231495</v>
      </c>
      <c r="M1353" s="28">
        <f t="shared" si="529"/>
        <v>0.32201191440693633</v>
      </c>
      <c r="N1353" s="28">
        <f t="shared" si="529"/>
        <v>0.3178348082585094</v>
      </c>
      <c r="O1353" s="28">
        <f t="shared" si="529"/>
        <v>0.31378386599173785</v>
      </c>
      <c r="P1353" s="28">
        <f t="shared" si="529"/>
        <v>0.31779798966820449</v>
      </c>
      <c r="Q1353" s="28">
        <f t="shared" si="529"/>
        <v>0.31934474546532327</v>
      </c>
      <c r="R1353" s="28">
        <f t="shared" si="529"/>
        <v>0.3122534460886785</v>
      </c>
      <c r="S1353" s="28">
        <f t="shared" si="529"/>
        <v>0.26726842990845273</v>
      </c>
      <c r="T1353" s="28">
        <f t="shared" si="529"/>
        <v>0.28149752379629178</v>
      </c>
      <c r="U1353" s="28">
        <f t="shared" si="529"/>
        <v>0.29100109620111575</v>
      </c>
      <c r="V1353" s="28">
        <f t="shared" si="529"/>
        <v>0.29943868908565568</v>
      </c>
      <c r="W1353" s="28">
        <f t="shared" si="529"/>
        <v>0.30963619199798065</v>
      </c>
      <c r="X1353" s="28">
        <f t="shared" si="529"/>
        <v>0.32594152478003718</v>
      </c>
      <c r="Y1353" s="28">
        <f t="shared" si="529"/>
        <v>0.34417763201161744</v>
      </c>
      <c r="Z1353" s="28">
        <f t="shared" si="529"/>
        <v>0.36400688785449525</v>
      </c>
      <c r="AA1353" s="28">
        <f t="shared" si="529"/>
        <v>0.38140282158838484</v>
      </c>
      <c r="AB1353" s="28">
        <f t="shared" si="529"/>
        <v>0.40166079626580675</v>
      </c>
      <c r="AC1353" s="28">
        <f t="shared" si="529"/>
        <v>0.42545278577099055</v>
      </c>
      <c r="AD1353" s="28">
        <f t="shared" si="529"/>
        <v>0.44904228664877921</v>
      </c>
      <c r="AE1353" s="28">
        <f t="shared" si="529"/>
        <v>0.47378350482992165</v>
      </c>
      <c r="AF1353" s="28">
        <f t="shared" si="529"/>
        <v>0.49912777283301984</v>
      </c>
      <c r="AG1353" s="28">
        <f t="shared" si="529"/>
        <v>0.52750766269172011</v>
      </c>
      <c r="AH1353" s="28">
        <f t="shared" si="529"/>
        <v>0.55255847654057766</v>
      </c>
      <c r="AI1353" s="28">
        <f t="shared" si="529"/>
        <v>0.57952874869387505</v>
      </c>
      <c r="AJ1353" s="28">
        <f t="shared" si="529"/>
        <v>0.60705604694210669</v>
      </c>
      <c r="AK1353" s="28">
        <f t="shared" si="529"/>
        <v>0.63342452330576016</v>
      </c>
      <c r="AL1353" s="28">
        <f t="shared" si="529"/>
        <v>0.6598004513834399</v>
      </c>
      <c r="AM1353" s="28">
        <f t="shared" si="529"/>
        <v>0.68724062713814504</v>
      </c>
      <c r="AN1353" s="28">
        <f t="shared" si="529"/>
        <v>0.71643669359531958</v>
      </c>
      <c r="AO1353" s="28">
        <f t="shared" si="529"/>
        <v>0.74396899257921123</v>
      </c>
      <c r="AP1353" s="28">
        <f t="shared" si="529"/>
        <v>0.77195107982069755</v>
      </c>
      <c r="AQ1353" s="28">
        <f t="shared" si="529"/>
        <v>0.80043989002306049</v>
      </c>
      <c r="AR1353" s="28">
        <f t="shared" si="529"/>
        <v>0.83095100019093759</v>
      </c>
      <c r="AS1353" s="28">
        <f t="shared" si="529"/>
        <v>0.86256647353347826</v>
      </c>
      <c r="AT1353" s="28">
        <f t="shared" si="529"/>
        <v>0.88017139678430001</v>
      </c>
      <c r="AU1353" s="28">
        <f t="shared" si="529"/>
        <v>0.89684956854163267</v>
      </c>
      <c r="AV1353" s="28">
        <f t="shared" si="529"/>
        <v>0.91550117653650265</v>
      </c>
      <c r="AW1353" s="28">
        <f t="shared" si="529"/>
        <v>0.9333977526854218</v>
      </c>
      <c r="AY1353" s="85"/>
      <c r="AZ1353" s="85"/>
    </row>
    <row r="1354" spans="1:52" x14ac:dyDescent="0.25">
      <c r="A1354" s="102" t="str">
        <f t="shared" si="514"/>
        <v>FSFAGSPQNIBDDSCM MM Leaching</v>
      </c>
      <c r="B1354" s="102" t="s">
        <v>1376</v>
      </c>
      <c r="C1354" s="102" t="s">
        <v>1334</v>
      </c>
      <c r="D1354" t="s">
        <v>369</v>
      </c>
      <c r="E1354" t="s">
        <v>64</v>
      </c>
      <c r="F1354" t="s">
        <v>63</v>
      </c>
      <c r="G1354" t="s">
        <v>1153</v>
      </c>
      <c r="H1354" t="s">
        <v>1307</v>
      </c>
      <c r="I1354" t="s">
        <v>139</v>
      </c>
      <c r="J1354" t="s">
        <v>287</v>
      </c>
      <c r="K1354" s="28">
        <f t="shared" ref="K1354:AW1354" si="530">IFERROR(K1547-((K1547-K138)+(K1547-K291)+(K1547-K444)+(K1547-K596)+(K1547-K748)+(K1547-K899)+(K1547-K1050)+(K1547-K1201)),0)</f>
        <v>8.9301817319657029E-2</v>
      </c>
      <c r="L1354" s="28">
        <f t="shared" si="530"/>
        <v>8.9904788204048389E-2</v>
      </c>
      <c r="M1354" s="28">
        <f t="shared" si="530"/>
        <v>9.0432234991344826E-2</v>
      </c>
      <c r="N1354" s="28">
        <f t="shared" si="530"/>
        <v>9.0500461338876806E-2</v>
      </c>
      <c r="O1354" s="28">
        <f t="shared" si="530"/>
        <v>9.0617974533052939E-2</v>
      </c>
      <c r="P1354" s="28">
        <f t="shared" si="530"/>
        <v>9.1292243565634368E-2</v>
      </c>
      <c r="Q1354" s="28">
        <f t="shared" si="530"/>
        <v>9.1831411898207801E-2</v>
      </c>
      <c r="R1354" s="28">
        <f t="shared" si="530"/>
        <v>9.1836139358568436E-2</v>
      </c>
      <c r="S1354" s="28">
        <f t="shared" si="530"/>
        <v>8.9403055409342513E-2</v>
      </c>
      <c r="T1354" s="28">
        <f t="shared" si="530"/>
        <v>8.9853837076661641E-2</v>
      </c>
      <c r="U1354" s="28">
        <f t="shared" si="530"/>
        <v>9.0004737832703061E-2</v>
      </c>
      <c r="V1354" s="28">
        <f t="shared" si="530"/>
        <v>9.0092316618185078E-2</v>
      </c>
      <c r="W1354" s="28">
        <f t="shared" si="530"/>
        <v>9.0296098916643516E-2</v>
      </c>
      <c r="X1354" s="28">
        <f t="shared" si="530"/>
        <v>9.0888785211794637E-2</v>
      </c>
      <c r="Y1354" s="28">
        <f t="shared" si="530"/>
        <v>9.1513749286867813E-2</v>
      </c>
      <c r="Z1354" s="28">
        <f t="shared" si="530"/>
        <v>9.2233674517820691E-2</v>
      </c>
      <c r="AA1354" s="28">
        <f t="shared" si="530"/>
        <v>9.2794604576419068E-2</v>
      </c>
      <c r="AB1354" s="28">
        <f t="shared" si="530"/>
        <v>9.3526600011856906E-2</v>
      </c>
      <c r="AC1354" s="28">
        <f t="shared" si="530"/>
        <v>9.4467284840718646E-2</v>
      </c>
      <c r="AD1354" s="28">
        <f t="shared" si="530"/>
        <v>9.5992399278593599E-2</v>
      </c>
      <c r="AE1354" s="28">
        <f t="shared" si="530"/>
        <v>9.7599426450737645E-2</v>
      </c>
      <c r="AF1354" s="28">
        <f t="shared" si="530"/>
        <v>9.9254092779043387E-2</v>
      </c>
      <c r="AG1354" s="28">
        <f t="shared" si="530"/>
        <v>0.1011069826205645</v>
      </c>
      <c r="AH1354" s="28">
        <f t="shared" si="530"/>
        <v>0.10276284809188103</v>
      </c>
      <c r="AI1354" s="28">
        <f t="shared" si="530"/>
        <v>0.10448385950273555</v>
      </c>
      <c r="AJ1354" s="28">
        <f t="shared" si="530"/>
        <v>0.10624796513610275</v>
      </c>
      <c r="AK1354" s="28">
        <f t="shared" si="530"/>
        <v>0.10794790342656081</v>
      </c>
      <c r="AL1354" s="28">
        <f t="shared" si="530"/>
        <v>0.10965583483948149</v>
      </c>
      <c r="AM1354" s="28">
        <f t="shared" si="530"/>
        <v>0.11143740616132826</v>
      </c>
      <c r="AN1354" s="28">
        <f t="shared" si="530"/>
        <v>0.11327736032258968</v>
      </c>
      <c r="AO1354" s="28">
        <f t="shared" si="530"/>
        <v>0.11501984048188811</v>
      </c>
      <c r="AP1354" s="28">
        <f t="shared" si="530"/>
        <v>0.11679661277125378</v>
      </c>
      <c r="AQ1354" s="28">
        <f t="shared" si="530"/>
        <v>0.11861101470741885</v>
      </c>
      <c r="AR1354" s="28">
        <f t="shared" si="530"/>
        <v>0.12055790640879982</v>
      </c>
      <c r="AS1354" s="28">
        <f t="shared" si="530"/>
        <v>0.12252119463661891</v>
      </c>
      <c r="AT1354" s="28">
        <f t="shared" si="530"/>
        <v>0.12360955750326327</v>
      </c>
      <c r="AU1354" s="28">
        <f t="shared" si="530"/>
        <v>0.12464341218196845</v>
      </c>
      <c r="AV1354" s="28">
        <f t="shared" si="530"/>
        <v>0.12580490805174577</v>
      </c>
      <c r="AW1354" s="28">
        <f t="shared" si="530"/>
        <v>0.12692234865501834</v>
      </c>
      <c r="AY1354" s="85"/>
      <c r="AZ1354" s="85"/>
    </row>
    <row r="1355" spans="1:52" x14ac:dyDescent="0.25">
      <c r="A1355" s="102" t="str">
        <f t="shared" si="514"/>
        <v>FSFAGSPQNIBDDSCM MM Leaching</v>
      </c>
      <c r="B1355" s="102" t="s">
        <v>1376</v>
      </c>
      <c r="C1355" s="102" t="s">
        <v>1334</v>
      </c>
      <c r="D1355" t="s">
        <v>369</v>
      </c>
      <c r="E1355" t="s">
        <v>64</v>
      </c>
      <c r="F1355" t="s">
        <v>63</v>
      </c>
      <c r="G1355" t="s">
        <v>1155</v>
      </c>
      <c r="H1355" t="s">
        <v>1308</v>
      </c>
      <c r="I1355" t="s">
        <v>139</v>
      </c>
      <c r="J1355" t="s">
        <v>287</v>
      </c>
      <c r="K1355" s="28">
        <f t="shared" ref="K1355:AW1355" si="531">IFERROR(K1548-((K1548-K139)+(K1548-K292)+(K1548-K445)+(K1548-K597)+(K1548-K749)+(K1548-K900)+(K1548-K1051)+(K1548-K1202)),0)</f>
        <v>2.69668832410737E-2</v>
      </c>
      <c r="L1355" s="28">
        <f t="shared" si="531"/>
        <v>2.7148965150772641E-2</v>
      </c>
      <c r="M1355" s="28">
        <f t="shared" si="531"/>
        <v>2.730824069919725E-2</v>
      </c>
      <c r="N1355" s="28">
        <f t="shared" si="531"/>
        <v>2.7328843325247671E-2</v>
      </c>
      <c r="O1355" s="28">
        <f t="shared" si="531"/>
        <v>2.7364329328576024E-2</v>
      </c>
      <c r="P1355" s="28">
        <f t="shared" si="531"/>
        <v>2.756794147019246E-2</v>
      </c>
      <c r="Q1355" s="28">
        <f t="shared" si="531"/>
        <v>2.7730756627914813E-2</v>
      </c>
      <c r="R1355" s="28">
        <f t="shared" si="531"/>
        <v>2.7732184201007922E-2</v>
      </c>
      <c r="S1355" s="28">
        <f t="shared" si="531"/>
        <v>2.6997454575745719E-2</v>
      </c>
      <c r="T1355" s="28">
        <f t="shared" si="531"/>
        <v>2.7133579202933297E-2</v>
      </c>
      <c r="U1355" s="28">
        <f t="shared" si="531"/>
        <v>2.7179147402901629E-2</v>
      </c>
      <c r="V1355" s="28">
        <f t="shared" si="531"/>
        <v>2.7205593974241105E-2</v>
      </c>
      <c r="W1355" s="28">
        <f t="shared" si="531"/>
        <v>2.7267131058413264E-2</v>
      </c>
      <c r="X1355" s="28">
        <f t="shared" si="531"/>
        <v>2.7446107283081948E-2</v>
      </c>
      <c r="Y1355" s="28">
        <f t="shared" si="531"/>
        <v>2.7634830578398963E-2</v>
      </c>
      <c r="Z1355" s="28">
        <f t="shared" si="531"/>
        <v>2.7852229733624626E-2</v>
      </c>
      <c r="AA1355" s="28">
        <f t="shared" si="531"/>
        <v>2.8021616380510938E-2</v>
      </c>
      <c r="AB1355" s="28">
        <f t="shared" si="531"/>
        <v>2.8242660431269641E-2</v>
      </c>
      <c r="AC1355" s="28">
        <f t="shared" si="531"/>
        <v>2.8526723384386957E-2</v>
      </c>
      <c r="AD1355" s="28">
        <f t="shared" si="531"/>
        <v>2.8987269252431634E-2</v>
      </c>
      <c r="AE1355" s="28">
        <f t="shared" si="531"/>
        <v>2.9472550688097367E-2</v>
      </c>
      <c r="AF1355" s="28">
        <f t="shared" si="531"/>
        <v>2.9972217940317274E-2</v>
      </c>
      <c r="AG1355" s="28">
        <f t="shared" si="531"/>
        <v>3.0531743664592451E-2</v>
      </c>
      <c r="AH1355" s="28">
        <f t="shared" si="531"/>
        <v>3.1031773027579337E-2</v>
      </c>
      <c r="AI1355" s="28">
        <f t="shared" si="531"/>
        <v>3.1551474811552467E-2</v>
      </c>
      <c r="AJ1355" s="28">
        <f t="shared" si="531"/>
        <v>3.2084189957422883E-2</v>
      </c>
      <c r="AK1355" s="28">
        <f t="shared" si="531"/>
        <v>3.2597528193661907E-2</v>
      </c>
      <c r="AL1355" s="28">
        <f t="shared" si="531"/>
        <v>3.3113280150098928E-2</v>
      </c>
      <c r="AM1355" s="28">
        <f t="shared" si="531"/>
        <v>3.3651269490785195E-2</v>
      </c>
      <c r="AN1355" s="28">
        <f t="shared" si="531"/>
        <v>3.420688896780049E-2</v>
      </c>
      <c r="AO1355" s="28">
        <f t="shared" si="531"/>
        <v>3.4733073769140969E-2</v>
      </c>
      <c r="AP1355" s="28">
        <f t="shared" si="531"/>
        <v>3.5269613923769531E-2</v>
      </c>
      <c r="AQ1355" s="28">
        <f t="shared" si="531"/>
        <v>3.581751727706637E-2</v>
      </c>
      <c r="AR1355" s="28">
        <f t="shared" si="531"/>
        <v>3.6405429178189563E-2</v>
      </c>
      <c r="AS1355" s="28">
        <f t="shared" si="531"/>
        <v>3.6998292414316764E-2</v>
      </c>
      <c r="AT1355" s="28">
        <f t="shared" si="531"/>
        <v>3.7326950388248702E-2</v>
      </c>
      <c r="AU1355" s="28">
        <f t="shared" si="531"/>
        <v>3.7639148272297182E-2</v>
      </c>
      <c r="AV1355" s="28">
        <f t="shared" si="531"/>
        <v>3.7989890557789049E-2</v>
      </c>
      <c r="AW1355" s="28">
        <f t="shared" si="531"/>
        <v>3.8327329270479757E-2</v>
      </c>
      <c r="AY1355" s="85"/>
      <c r="AZ1355" s="85"/>
    </row>
    <row r="1356" spans="1:52" x14ac:dyDescent="0.25">
      <c r="A1356" s="102" t="str">
        <f t="shared" si="514"/>
        <v>FSFAGSPQNIBDDSCM MM Leaching</v>
      </c>
      <c r="B1356" s="102" t="s">
        <v>1376</v>
      </c>
      <c r="C1356" s="102" t="s">
        <v>1334</v>
      </c>
      <c r="D1356" t="s">
        <v>369</v>
      </c>
      <c r="E1356" t="s">
        <v>64</v>
      </c>
      <c r="F1356" t="s">
        <v>63</v>
      </c>
      <c r="G1356" t="s">
        <v>1157</v>
      </c>
      <c r="H1356" t="s">
        <v>1309</v>
      </c>
      <c r="I1356" t="s">
        <v>139</v>
      </c>
      <c r="J1356" t="s">
        <v>287</v>
      </c>
      <c r="K1356" s="28">
        <f t="shared" ref="K1356:AW1356" si="532">IFERROR(K1549-((K1549-K140)+(K1549-K293)+(K1549-K446)+(K1549-K598)+(K1549-K750)+(K1549-K901)+(K1549-K1052)+(K1549-K1203)),0)</f>
        <v>1.4498393681804938E-3</v>
      </c>
      <c r="L1356" s="28">
        <f t="shared" si="532"/>
        <v>1.4596287649956559E-3</v>
      </c>
      <c r="M1356" s="28">
        <f t="shared" si="532"/>
        <v>1.4681920074894272E-3</v>
      </c>
      <c r="N1356" s="28">
        <f t="shared" si="532"/>
        <v>1.4692996808556361E-3</v>
      </c>
      <c r="O1356" s="28">
        <f t="shared" si="532"/>
        <v>1.4712075396239221E-3</v>
      </c>
      <c r="P1356" s="28">
        <f t="shared" si="532"/>
        <v>1.4821544813270488E-3</v>
      </c>
      <c r="Q1356" s="28">
        <f t="shared" si="532"/>
        <v>1.4909080263063527E-3</v>
      </c>
      <c r="R1356" s="28">
        <f t="shared" si="532"/>
        <v>1.4909847779150886E-3</v>
      </c>
      <c r="S1356" s="28">
        <f t="shared" si="532"/>
        <v>1.451482996187078E-3</v>
      </c>
      <c r="T1356" s="28">
        <f t="shared" si="532"/>
        <v>1.4588015595416611E-3</v>
      </c>
      <c r="U1356" s="28">
        <f t="shared" si="532"/>
        <v>1.4612514744858764E-3</v>
      </c>
      <c r="V1356" s="28">
        <f t="shared" si="532"/>
        <v>1.4626733399620826E-3</v>
      </c>
      <c r="W1356" s="28">
        <f t="shared" si="532"/>
        <v>1.46598180117498E-3</v>
      </c>
      <c r="X1356" s="28">
        <f t="shared" si="532"/>
        <v>1.4756042248779075E-3</v>
      </c>
      <c r="Y1356" s="28">
        <f t="shared" si="532"/>
        <v>1.4857506871441366E-3</v>
      </c>
      <c r="Z1356" s="28">
        <f t="shared" si="532"/>
        <v>1.4974388696840919E-3</v>
      </c>
      <c r="AA1356" s="28">
        <f t="shared" si="532"/>
        <v>1.5065457222226094E-3</v>
      </c>
      <c r="AB1356" s="28">
        <f t="shared" si="532"/>
        <v>1.5184298678254621E-3</v>
      </c>
      <c r="AC1356" s="28">
        <f t="shared" si="532"/>
        <v>1.5337021426667682E-3</v>
      </c>
      <c r="AD1356" s="28">
        <f t="shared" si="532"/>
        <v>1.5584627916589006E-3</v>
      </c>
      <c r="AE1356" s="28">
        <f t="shared" si="532"/>
        <v>1.5845533162399429E-3</v>
      </c>
      <c r="AF1356" s="28">
        <f t="shared" si="532"/>
        <v>1.6114172755185435E-3</v>
      </c>
      <c r="AG1356" s="28">
        <f t="shared" si="532"/>
        <v>1.6414994476150312E-3</v>
      </c>
      <c r="AH1356" s="28">
        <f t="shared" si="532"/>
        <v>1.6683828753075722E-3</v>
      </c>
      <c r="AI1356" s="28">
        <f t="shared" si="532"/>
        <v>1.6963239651021182E-3</v>
      </c>
      <c r="AJ1356" s="28">
        <f t="shared" si="532"/>
        <v>1.7249647013564498E-3</v>
      </c>
      <c r="AK1356" s="28">
        <f t="shared" si="532"/>
        <v>1.7525636632920311E-3</v>
      </c>
      <c r="AL1356" s="28">
        <f t="shared" si="532"/>
        <v>1.7802923957515385E-3</v>
      </c>
      <c r="AM1356" s="28">
        <f t="shared" si="532"/>
        <v>1.8092166922234565E-3</v>
      </c>
      <c r="AN1356" s="28">
        <f t="shared" si="532"/>
        <v>1.8390888500217182E-3</v>
      </c>
      <c r="AO1356" s="28">
        <f t="shared" si="532"/>
        <v>1.8673784908045175E-3</v>
      </c>
      <c r="AP1356" s="28">
        <f t="shared" si="532"/>
        <v>1.8962248736747967E-3</v>
      </c>
      <c r="AQ1356" s="28">
        <f t="shared" si="532"/>
        <v>1.9256821841272681E-3</v>
      </c>
      <c r="AR1356" s="28">
        <f t="shared" si="532"/>
        <v>1.9572905020648779E-3</v>
      </c>
      <c r="AS1356" s="28">
        <f t="shared" si="532"/>
        <v>1.9891650220826341E-3</v>
      </c>
      <c r="AT1356" s="28">
        <f t="shared" si="532"/>
        <v>2.006834890157978E-3</v>
      </c>
      <c r="AU1356" s="28">
        <f t="shared" si="532"/>
        <v>2.0236198029307934E-3</v>
      </c>
      <c r="AV1356" s="28">
        <f t="shared" si="532"/>
        <v>2.042477005264698E-3</v>
      </c>
      <c r="AW1356" s="28">
        <f t="shared" si="532"/>
        <v>2.0606189583274076E-3</v>
      </c>
      <c r="AY1356" s="85"/>
      <c r="AZ1356" s="85"/>
    </row>
    <row r="1357" spans="1:52" x14ac:dyDescent="0.25">
      <c r="A1357" s="102" t="str">
        <f t="shared" si="514"/>
        <v>FSFAGSPQNIBDDSCM MM Leaching</v>
      </c>
      <c r="B1357" s="102" t="s">
        <v>1376</v>
      </c>
      <c r="C1357" s="102" t="s">
        <v>1334</v>
      </c>
      <c r="D1357" t="s">
        <v>369</v>
      </c>
      <c r="E1357" t="s">
        <v>64</v>
      </c>
      <c r="F1357" t="s">
        <v>63</v>
      </c>
      <c r="G1357" t="s">
        <v>1159</v>
      </c>
      <c r="H1357" t="s">
        <v>1310</v>
      </c>
      <c r="I1357" t="s">
        <v>139</v>
      </c>
      <c r="J1357" t="s">
        <v>287</v>
      </c>
      <c r="K1357" s="28">
        <f t="shared" ref="K1357:AW1357" si="533">IFERROR(K1550-((K1550-K141)+(K1550-K294)+(K1550-K447)+(K1550-K599)+(K1550-K751)+(K1550-K902)+(K1550-K1053)+(K1550-K1204)),0)</f>
        <v>3.0452527896293373E-2</v>
      </c>
      <c r="L1357" s="28">
        <f t="shared" si="533"/>
        <v>3.0297487464546878E-2</v>
      </c>
      <c r="M1357" s="28">
        <f t="shared" si="533"/>
        <v>3.0014510280911927E-2</v>
      </c>
      <c r="N1357" s="28">
        <f t="shared" si="533"/>
        <v>2.9239921775422131E-2</v>
      </c>
      <c r="O1357" s="28">
        <f t="shared" si="533"/>
        <v>2.8496244024993216E-2</v>
      </c>
      <c r="P1357" s="28">
        <f t="shared" si="533"/>
        <v>2.8252813512235145E-2</v>
      </c>
      <c r="Q1357" s="28">
        <f t="shared" si="533"/>
        <v>2.7859647334891578E-2</v>
      </c>
      <c r="R1357" s="28">
        <f t="shared" si="533"/>
        <v>2.6976279512961457E-2</v>
      </c>
      <c r="S1357" s="28">
        <f t="shared" si="533"/>
        <v>2.4012489752417959E-2</v>
      </c>
      <c r="T1357" s="28">
        <f t="shared" si="533"/>
        <v>2.3352594015557639E-2</v>
      </c>
      <c r="U1357" s="28">
        <f t="shared" si="533"/>
        <v>2.2411929029532013E-2</v>
      </c>
      <c r="V1357" s="28">
        <f t="shared" si="533"/>
        <v>2.1404492822454539E-2</v>
      </c>
      <c r="W1357" s="28">
        <f t="shared" si="533"/>
        <v>2.0463081250569622E-2</v>
      </c>
      <c r="X1357" s="28">
        <f t="shared" si="533"/>
        <v>1.9749633555206553E-2</v>
      </c>
      <c r="Y1357" s="28">
        <f t="shared" si="533"/>
        <v>1.9041355165401359E-2</v>
      </c>
      <c r="Z1357" s="28">
        <f t="shared" si="533"/>
        <v>1.8332593451414917E-2</v>
      </c>
      <c r="AA1357" s="28">
        <f t="shared" si="533"/>
        <v>1.7483470046345595E-2</v>
      </c>
      <c r="AB1357" s="28">
        <f t="shared" si="533"/>
        <v>1.6674606325319755E-2</v>
      </c>
      <c r="AC1357" s="28">
        <f t="shared" si="533"/>
        <v>1.5906685989930378E-2</v>
      </c>
      <c r="AD1357" s="28">
        <f t="shared" si="533"/>
        <v>1.5564472388478755E-2</v>
      </c>
      <c r="AE1357" s="28">
        <f t="shared" si="533"/>
        <v>1.5207776342094772E-2</v>
      </c>
      <c r="AF1357" s="28">
        <f t="shared" si="533"/>
        <v>1.4821712764513086E-2</v>
      </c>
      <c r="AG1357" s="28">
        <f t="shared" si="533"/>
        <v>1.445907746349949E-2</v>
      </c>
      <c r="AH1357" s="28">
        <f t="shared" si="533"/>
        <v>1.3981914621373659E-2</v>
      </c>
      <c r="AI1357" s="28">
        <f t="shared" si="533"/>
        <v>1.3499726315475843E-2</v>
      </c>
      <c r="AJ1357" s="28">
        <f t="shared" si="533"/>
        <v>1.2990938941443458E-2</v>
      </c>
      <c r="AK1357" s="28">
        <f t="shared" si="533"/>
        <v>1.2428589835635044E-2</v>
      </c>
      <c r="AL1357" s="28">
        <f t="shared" si="533"/>
        <v>1.183753578063948E-2</v>
      </c>
      <c r="AM1357" s="28">
        <f t="shared" si="533"/>
        <v>1.12353342531748E-2</v>
      </c>
      <c r="AN1357" s="28">
        <f t="shared" si="533"/>
        <v>1.1022557018953695E-2</v>
      </c>
      <c r="AO1357" s="28">
        <f t="shared" si="533"/>
        <v>1.0765901060782963E-2</v>
      </c>
      <c r="AP1357" s="28">
        <f t="shared" si="533"/>
        <v>1.0495145953001467E-2</v>
      </c>
      <c r="AQ1357" s="28">
        <f t="shared" si="533"/>
        <v>1.0211355500061102E-2</v>
      </c>
      <c r="AR1357" s="28">
        <f t="shared" si="533"/>
        <v>9.9309466297835755E-3</v>
      </c>
      <c r="AS1357" s="28">
        <f t="shared" si="533"/>
        <v>9.6394212714962166E-3</v>
      </c>
      <c r="AT1357" s="28">
        <f t="shared" si="533"/>
        <v>9.1973260982220265E-3</v>
      </c>
      <c r="AU1357" s="28">
        <f t="shared" si="533"/>
        <v>8.7456738614015497E-3</v>
      </c>
      <c r="AV1357" s="28">
        <f t="shared" si="533"/>
        <v>8.3106994262454117E-3</v>
      </c>
      <c r="AW1357" s="28">
        <f t="shared" si="533"/>
        <v>7.8686973610169741E-3</v>
      </c>
      <c r="AY1357" s="85"/>
      <c r="AZ1357" s="85"/>
    </row>
    <row r="1358" spans="1:52" x14ac:dyDescent="0.25">
      <c r="A1358" s="102" t="str">
        <f t="shared" si="514"/>
        <v>FSFAGSPQNIBDDSCM MM Leaching</v>
      </c>
      <c r="B1358" s="102" t="s">
        <v>1376</v>
      </c>
      <c r="C1358" s="102" t="s">
        <v>1334</v>
      </c>
      <c r="D1358" t="s">
        <v>369</v>
      </c>
      <c r="E1358" t="s">
        <v>64</v>
      </c>
      <c r="F1358" t="s">
        <v>63</v>
      </c>
      <c r="G1358" t="s">
        <v>1161</v>
      </c>
      <c r="H1358" t="s">
        <v>1311</v>
      </c>
      <c r="I1358" t="s">
        <v>139</v>
      </c>
      <c r="J1358" t="s">
        <v>287</v>
      </c>
      <c r="K1358" s="28">
        <f t="shared" ref="K1358:AW1358" si="534">IFERROR(K1551-((K1551-K142)+(K1551-K295)+(K1551-K448)+(K1551-K600)+(K1551-K752)+(K1551-K903)+(K1551-K1054)+(K1551-K1205)),0)</f>
        <v>4.0424767632491129E-2</v>
      </c>
      <c r="L1358" s="28">
        <f t="shared" si="534"/>
        <v>4.0218956362952633E-2</v>
      </c>
      <c r="M1358" s="28">
        <f t="shared" si="534"/>
        <v>3.9843313101654371E-2</v>
      </c>
      <c r="N1358" s="28">
        <f t="shared" si="534"/>
        <v>3.8815071359232893E-2</v>
      </c>
      <c r="O1358" s="28">
        <f t="shared" si="534"/>
        <v>3.7827862666512127E-2</v>
      </c>
      <c r="P1358" s="28">
        <f t="shared" si="534"/>
        <v>3.7504716360024323E-2</v>
      </c>
      <c r="Q1358" s="28">
        <f t="shared" si="534"/>
        <v>3.6982800694625562E-2</v>
      </c>
      <c r="R1358" s="28">
        <f t="shared" si="534"/>
        <v>3.5810157850092082E-2</v>
      </c>
      <c r="S1358" s="28">
        <f t="shared" si="534"/>
        <v>3.1875820681448994E-2</v>
      </c>
      <c r="T1358" s="28">
        <f t="shared" si="534"/>
        <v>3.0999829961890456E-2</v>
      </c>
      <c r="U1358" s="28">
        <f t="shared" si="534"/>
        <v>2.975112694420981E-2</v>
      </c>
      <c r="V1358" s="28">
        <f t="shared" si="534"/>
        <v>2.841378724241702E-2</v>
      </c>
      <c r="W1358" s="28">
        <f t="shared" si="534"/>
        <v>2.7164093155621072E-2</v>
      </c>
      <c r="X1358" s="28">
        <f t="shared" si="534"/>
        <v>2.6217013904886753E-2</v>
      </c>
      <c r="Y1358" s="28">
        <f t="shared" si="534"/>
        <v>2.527679674378612E-2</v>
      </c>
      <c r="Z1358" s="28">
        <f t="shared" si="534"/>
        <v>2.4335937985121472E-2</v>
      </c>
      <c r="AA1358" s="28">
        <f t="shared" si="534"/>
        <v>2.3208753520891322E-2</v>
      </c>
      <c r="AB1358" s="28">
        <f t="shared" si="534"/>
        <v>2.213501251389921E-2</v>
      </c>
      <c r="AC1358" s="28">
        <f t="shared" si="534"/>
        <v>2.1115622556385751E-2</v>
      </c>
      <c r="AD1358" s="28">
        <f t="shared" si="534"/>
        <v>2.0661344823959989E-2</v>
      </c>
      <c r="AE1358" s="28">
        <f t="shared" si="534"/>
        <v>2.0187842103936017E-2</v>
      </c>
      <c r="AF1358" s="28">
        <f t="shared" si="534"/>
        <v>1.9675354915080746E-2</v>
      </c>
      <c r="AG1358" s="28">
        <f t="shared" si="534"/>
        <v>1.9193968022382178E-2</v>
      </c>
      <c r="AH1358" s="28">
        <f t="shared" si="534"/>
        <v>1.856054944112398E-2</v>
      </c>
      <c r="AI1358" s="28">
        <f t="shared" si="534"/>
        <v>1.7920459715653418E-2</v>
      </c>
      <c r="AJ1358" s="28">
        <f t="shared" si="534"/>
        <v>1.7245060568507144E-2</v>
      </c>
      <c r="AK1358" s="28">
        <f t="shared" si="534"/>
        <v>1.6498559916473865E-2</v>
      </c>
      <c r="AL1358" s="28">
        <f t="shared" si="534"/>
        <v>1.5713954352272234E-2</v>
      </c>
      <c r="AM1358" s="28">
        <f t="shared" si="534"/>
        <v>1.4914550870939118E-2</v>
      </c>
      <c r="AN1358" s="28">
        <f t="shared" si="534"/>
        <v>1.4632095822209992E-2</v>
      </c>
      <c r="AO1358" s="28">
        <f t="shared" si="534"/>
        <v>1.4291393155230113E-2</v>
      </c>
      <c r="AP1358" s="28">
        <f t="shared" si="534"/>
        <v>1.3931974313068592E-2</v>
      </c>
      <c r="AQ1358" s="28">
        <f t="shared" si="534"/>
        <v>1.3555251462489412E-2</v>
      </c>
      <c r="AR1358" s="28">
        <f t="shared" si="534"/>
        <v>1.3183017555942762E-2</v>
      </c>
      <c r="AS1358" s="28">
        <f t="shared" si="534"/>
        <v>1.2796026863154328E-2</v>
      </c>
      <c r="AT1358" s="28">
        <f t="shared" si="534"/>
        <v>1.2209159503179599E-2</v>
      </c>
      <c r="AU1358" s="28">
        <f t="shared" si="534"/>
        <v>1.160960544361709E-2</v>
      </c>
      <c r="AV1358" s="28">
        <f t="shared" si="534"/>
        <v>1.1032190638280003E-2</v>
      </c>
      <c r="AW1358" s="28">
        <f t="shared" si="534"/>
        <v>1.0445446876291183E-2</v>
      </c>
      <c r="AY1358" s="85"/>
      <c r="AZ1358" s="85"/>
    </row>
    <row r="1359" spans="1:52" x14ac:dyDescent="0.25">
      <c r="A1359" s="102" t="str">
        <f t="shared" si="514"/>
        <v>FSFAGSPQNIBDDSCM MM Leaching</v>
      </c>
      <c r="B1359" s="102" t="s">
        <v>1376</v>
      </c>
      <c r="C1359" s="102" t="s">
        <v>1334</v>
      </c>
      <c r="D1359" t="s">
        <v>369</v>
      </c>
      <c r="E1359" t="s">
        <v>64</v>
      </c>
      <c r="F1359" t="s">
        <v>63</v>
      </c>
      <c r="G1359" t="s">
        <v>1163</v>
      </c>
      <c r="H1359" t="s">
        <v>1312</v>
      </c>
      <c r="I1359" t="s">
        <v>139</v>
      </c>
      <c r="J1359" t="s">
        <v>287</v>
      </c>
      <c r="K1359" s="28">
        <f t="shared" ref="K1359:AW1359" si="535">IFERROR(K1552-((K1552-K143)+(K1552-K296)+(K1552-K449)+(K1552-K601)+(K1552-K753)+(K1552-K904)+(K1552-K1055)+(K1552-K1206)),0)</f>
        <v>4.2088279910489731E-2</v>
      </c>
      <c r="L1359" s="28">
        <f t="shared" si="535"/>
        <v>4.3658426789379527E-2</v>
      </c>
      <c r="M1359" s="28">
        <f t="shared" si="535"/>
        <v>4.5069001422451092E-2</v>
      </c>
      <c r="N1359" s="28">
        <f t="shared" si="535"/>
        <v>4.5730945940485053E-2</v>
      </c>
      <c r="O1359" s="28">
        <f t="shared" si="535"/>
        <v>4.6403018793330496E-2</v>
      </c>
      <c r="P1359" s="28">
        <f t="shared" si="535"/>
        <v>4.788652540684897E-2</v>
      </c>
      <c r="Q1359" s="28">
        <f t="shared" si="535"/>
        <v>4.9137870108527694E-2</v>
      </c>
      <c r="R1359" s="28">
        <f t="shared" si="535"/>
        <v>4.9503165411805869E-2</v>
      </c>
      <c r="S1359" s="28">
        <f t="shared" si="535"/>
        <v>4.5839757980885354E-2</v>
      </c>
      <c r="T1359" s="28">
        <f t="shared" si="535"/>
        <v>4.666315726890808E-2</v>
      </c>
      <c r="U1359" s="28">
        <f t="shared" si="535"/>
        <v>4.6913717782198258E-2</v>
      </c>
      <c r="V1359" s="28">
        <f t="shared" si="535"/>
        <v>4.69811859880927E-2</v>
      </c>
      <c r="W1359" s="28">
        <f t="shared" si="535"/>
        <v>4.714997531614367E-2</v>
      </c>
      <c r="X1359" s="28">
        <f t="shared" si="535"/>
        <v>4.7833768491202161E-2</v>
      </c>
      <c r="Y1359" s="28">
        <f t="shared" si="535"/>
        <v>4.8552544452487675E-2</v>
      </c>
      <c r="Z1359" s="28">
        <f t="shared" si="535"/>
        <v>4.9301948170637731E-2</v>
      </c>
      <c r="AA1359" s="28">
        <f t="shared" si="535"/>
        <v>4.9696982452905783E-2</v>
      </c>
      <c r="AB1359" s="28">
        <f t="shared" si="535"/>
        <v>5.0223599106093766E-2</v>
      </c>
      <c r="AC1359" s="28">
        <f t="shared" si="535"/>
        <v>5.0916859530204889E-2</v>
      </c>
      <c r="AD1359" s="28">
        <f t="shared" si="535"/>
        <v>5.1903664864259902E-2</v>
      </c>
      <c r="AE1359" s="28">
        <f t="shared" si="535"/>
        <v>5.2867348311829224E-2</v>
      </c>
      <c r="AF1359" s="28">
        <f t="shared" si="535"/>
        <v>5.3752216312758533E-2</v>
      </c>
      <c r="AG1359" s="28">
        <f t="shared" si="535"/>
        <v>5.4746815084712269E-2</v>
      </c>
      <c r="AH1359" s="28">
        <f t="shared" si="535"/>
        <v>5.5327604230368463E-2</v>
      </c>
      <c r="AI1359" s="28">
        <f t="shared" si="535"/>
        <v>5.5887674841378604E-2</v>
      </c>
      <c r="AJ1359" s="28">
        <f t="shared" si="535"/>
        <v>5.6334969757284858E-2</v>
      </c>
      <c r="AK1359" s="28">
        <f t="shared" si="535"/>
        <v>5.6536257925167463E-2</v>
      </c>
      <c r="AL1359" s="28">
        <f t="shared" si="535"/>
        <v>5.6576572637054345E-2</v>
      </c>
      <c r="AM1359" s="28">
        <f t="shared" si="535"/>
        <v>5.6523740665154684E-2</v>
      </c>
      <c r="AN1359" s="28">
        <f t="shared" si="535"/>
        <v>5.7638418611030418E-2</v>
      </c>
      <c r="AO1359" s="28">
        <f t="shared" si="535"/>
        <v>5.8560430490958632E-2</v>
      </c>
      <c r="AP1359" s="28">
        <f t="shared" si="535"/>
        <v>5.9431218670900093E-2</v>
      </c>
      <c r="AQ1359" s="28">
        <f t="shared" si="535"/>
        <v>6.0250891929770151E-2</v>
      </c>
      <c r="AR1359" s="28">
        <f t="shared" si="535"/>
        <v>6.1112069134073826E-2</v>
      </c>
      <c r="AS1359" s="28">
        <f t="shared" si="535"/>
        <v>6.1930056267745892E-2</v>
      </c>
      <c r="AT1359" s="28">
        <f t="shared" si="535"/>
        <v>6.178918276419218E-2</v>
      </c>
      <c r="AU1359" s="28">
        <f t="shared" si="535"/>
        <v>6.1523684694578362E-2</v>
      </c>
      <c r="AV1359" s="28">
        <f t="shared" si="535"/>
        <v>6.1307052657336186E-2</v>
      </c>
      <c r="AW1359" s="28">
        <f t="shared" si="535"/>
        <v>6.0972867920337182E-2</v>
      </c>
      <c r="AY1359" s="85"/>
      <c r="AZ1359" s="85"/>
    </row>
    <row r="1360" spans="1:52" x14ac:dyDescent="0.25">
      <c r="A1360" s="102" t="str">
        <f t="shared" si="514"/>
        <v>FSFAGSPQNIBDDSCM MM Leaching</v>
      </c>
      <c r="B1360" s="102" t="s">
        <v>1376</v>
      </c>
      <c r="C1360" s="102" t="s">
        <v>1334</v>
      </c>
      <c r="D1360" t="s">
        <v>369</v>
      </c>
      <c r="E1360" t="s">
        <v>64</v>
      </c>
      <c r="F1360" t="s">
        <v>63</v>
      </c>
      <c r="G1360" t="s">
        <v>1165</v>
      </c>
      <c r="H1360" t="s">
        <v>1313</v>
      </c>
      <c r="I1360" t="s">
        <v>139</v>
      </c>
      <c r="J1360" t="s">
        <v>287</v>
      </c>
      <c r="K1360" s="28">
        <f t="shared" ref="K1360:AW1360" si="536">IFERROR(K1553-((K1553-K144)+(K1553-K297)+(K1553-K450)+(K1553-K602)+(K1553-K754)+(K1553-K905)+(K1553-K1056)+(K1553-K1207)),0)</f>
        <v>4.3939271631598543E-3</v>
      </c>
      <c r="L1360" s="28">
        <f t="shared" si="536"/>
        <v>4.3962984818877171E-3</v>
      </c>
      <c r="M1360" s="28">
        <f t="shared" si="536"/>
        <v>4.4017499414647923E-3</v>
      </c>
      <c r="N1360" s="28">
        <f t="shared" si="536"/>
        <v>4.4098431410874153E-3</v>
      </c>
      <c r="O1360" s="28">
        <f t="shared" si="536"/>
        <v>4.4207667549247352E-3</v>
      </c>
      <c r="P1360" s="28">
        <f t="shared" si="536"/>
        <v>4.4347403177031263E-3</v>
      </c>
      <c r="Q1360" s="28">
        <f t="shared" si="536"/>
        <v>4.4501377302209226E-3</v>
      </c>
      <c r="R1360" s="28">
        <f t="shared" si="536"/>
        <v>4.4667198464041179E-3</v>
      </c>
      <c r="S1360" s="28">
        <f t="shared" si="536"/>
        <v>4.4831484324149608E-3</v>
      </c>
      <c r="T1360" s="28">
        <f t="shared" si="536"/>
        <v>4.4889737684212288E-3</v>
      </c>
      <c r="U1360" s="28">
        <f t="shared" si="536"/>
        <v>4.4957072679122842E-3</v>
      </c>
      <c r="V1360" s="28">
        <f t="shared" si="536"/>
        <v>4.5034366967498501E-3</v>
      </c>
      <c r="W1360" s="28">
        <f t="shared" si="536"/>
        <v>4.5122240359380481E-3</v>
      </c>
      <c r="X1360" s="28">
        <f t="shared" si="536"/>
        <v>4.5222055949191058E-3</v>
      </c>
      <c r="Y1360" s="28">
        <f t="shared" si="536"/>
        <v>4.5281427201003489E-3</v>
      </c>
      <c r="Z1360" s="28">
        <f t="shared" si="536"/>
        <v>4.5349394320648275E-3</v>
      </c>
      <c r="AA1360" s="28">
        <f t="shared" si="536"/>
        <v>4.5423808586201519E-3</v>
      </c>
      <c r="AB1360" s="28">
        <f t="shared" si="536"/>
        <v>4.5506623286141138E-3</v>
      </c>
      <c r="AC1360" s="28">
        <f t="shared" si="536"/>
        <v>4.559782282848872E-3</v>
      </c>
      <c r="AD1360" s="28">
        <f t="shared" si="536"/>
        <v>4.5659645300642612E-3</v>
      </c>
      <c r="AE1360" s="28">
        <f t="shared" si="536"/>
        <v>4.5727913320007998E-3</v>
      </c>
      <c r="AF1360" s="28">
        <f t="shared" si="536"/>
        <v>4.5802135652405103E-3</v>
      </c>
      <c r="AG1360" s="28">
        <f t="shared" si="536"/>
        <v>4.5883163489597459E-3</v>
      </c>
      <c r="AH1360" s="28">
        <f t="shared" si="536"/>
        <v>4.5967965263891833E-3</v>
      </c>
      <c r="AI1360" s="28">
        <f t="shared" si="536"/>
        <v>4.6020547637311863E-3</v>
      </c>
      <c r="AJ1360" s="28">
        <f t="shared" si="536"/>
        <v>4.607796951668121E-3</v>
      </c>
      <c r="AK1360" s="28">
        <f t="shared" si="536"/>
        <v>4.6139290005402086E-3</v>
      </c>
      <c r="AL1360" s="28">
        <f t="shared" si="536"/>
        <v>4.6204868853136393E-3</v>
      </c>
      <c r="AM1360" s="28">
        <f t="shared" si="536"/>
        <v>4.6275033637722977E-3</v>
      </c>
      <c r="AN1360" s="28">
        <f t="shared" si="536"/>
        <v>4.6314473101854124E-3</v>
      </c>
      <c r="AO1360" s="28">
        <f t="shared" si="536"/>
        <v>4.6356791737951842E-3</v>
      </c>
      <c r="AP1360" s="28">
        <f t="shared" si="536"/>
        <v>4.6402816224053456E-3</v>
      </c>
      <c r="AQ1360" s="28">
        <f t="shared" si="536"/>
        <v>4.6452456056515212E-3</v>
      </c>
      <c r="AR1360" s="28">
        <f t="shared" si="536"/>
        <v>4.65062930262091E-3</v>
      </c>
      <c r="AS1360" s="28">
        <f t="shared" si="536"/>
        <v>4.65279884571924E-3</v>
      </c>
      <c r="AT1360" s="28">
        <f t="shared" si="536"/>
        <v>4.6546198777133755E-3</v>
      </c>
      <c r="AU1360" s="28">
        <f t="shared" si="536"/>
        <v>4.6566783073387283E-3</v>
      </c>
      <c r="AV1360" s="28">
        <f t="shared" si="536"/>
        <v>4.659098042964503E-3</v>
      </c>
      <c r="AW1360" s="28">
        <f t="shared" si="536"/>
        <v>4.6617455979604842E-3</v>
      </c>
      <c r="AY1360" s="85"/>
      <c r="AZ1360" s="85"/>
    </row>
    <row r="1361" spans="1:52" x14ac:dyDescent="0.25">
      <c r="A1361" s="102" t="str">
        <f t="shared" si="514"/>
        <v>FSFAGSPQNIBDDSCM MM Leaching</v>
      </c>
      <c r="B1361" s="102" t="s">
        <v>1376</v>
      </c>
      <c r="C1361" s="102" t="s">
        <v>1334</v>
      </c>
      <c r="D1361" t="s">
        <v>369</v>
      </c>
      <c r="E1361" t="s">
        <v>64</v>
      </c>
      <c r="F1361" t="s">
        <v>63</v>
      </c>
      <c r="G1361" t="s">
        <v>1167</v>
      </c>
      <c r="H1361" t="s">
        <v>1314</v>
      </c>
      <c r="I1361" t="s">
        <v>139</v>
      </c>
      <c r="J1361" t="s">
        <v>287</v>
      </c>
      <c r="K1361" s="28">
        <f t="shared" ref="K1361:AW1361" si="537">IFERROR(K1554-((K1554-K145)+(K1554-K298)+(K1554-K451)+(K1554-K603)+(K1554-K755)+(K1554-K906)+(K1554-K1057)+(K1554-K1208)),0)</f>
        <v>3.6549565945200539E-3</v>
      </c>
      <c r="L1361" s="28">
        <f t="shared" si="537"/>
        <v>3.6569291049191287E-3</v>
      </c>
      <c r="M1361" s="28">
        <f t="shared" si="537"/>
        <v>3.6614637381506597E-3</v>
      </c>
      <c r="N1361" s="28">
        <f t="shared" si="537"/>
        <v>3.6681958236479987E-3</v>
      </c>
      <c r="O1361" s="28">
        <f t="shared" si="537"/>
        <v>3.677282304362893E-3</v>
      </c>
      <c r="P1361" s="28">
        <f t="shared" si="537"/>
        <v>3.6889057936765148E-3</v>
      </c>
      <c r="Q1361" s="28">
        <f t="shared" si="537"/>
        <v>3.7017136697133114E-3</v>
      </c>
      <c r="R1361" s="28">
        <f t="shared" si="537"/>
        <v>3.7155070059804707E-3</v>
      </c>
      <c r="S1361" s="28">
        <f t="shared" si="537"/>
        <v>3.7291726327761108E-3</v>
      </c>
      <c r="T1361" s="28">
        <f t="shared" si="537"/>
        <v>3.7340182639076227E-3</v>
      </c>
      <c r="U1361" s="28">
        <f t="shared" si="537"/>
        <v>3.7396193236100628E-3</v>
      </c>
      <c r="V1361" s="28">
        <f t="shared" si="537"/>
        <v>3.7460488172845587E-3</v>
      </c>
      <c r="W1361" s="28">
        <f t="shared" si="537"/>
        <v>3.7533583019713958E-3</v>
      </c>
      <c r="X1361" s="28">
        <f t="shared" si="537"/>
        <v>3.7616611625939577E-3</v>
      </c>
      <c r="Y1361" s="28">
        <f t="shared" si="537"/>
        <v>3.766599782199584E-3</v>
      </c>
      <c r="Z1361" s="28">
        <f t="shared" si="537"/>
        <v>3.7722534233031305E-3</v>
      </c>
      <c r="AA1361" s="28">
        <f t="shared" si="537"/>
        <v>3.7784433509125497E-3</v>
      </c>
      <c r="AB1361" s="28">
        <f t="shared" si="537"/>
        <v>3.785332043474531E-3</v>
      </c>
      <c r="AC1361" s="28">
        <f t="shared" si="537"/>
        <v>3.7929182040170911E-3</v>
      </c>
      <c r="AD1361" s="28">
        <f t="shared" si="537"/>
        <v>3.7980607210388326E-3</v>
      </c>
      <c r="AE1361" s="28">
        <f t="shared" si="537"/>
        <v>3.8037393915836327E-3</v>
      </c>
      <c r="AF1361" s="28">
        <f t="shared" si="537"/>
        <v>3.8099133538088141E-3</v>
      </c>
      <c r="AG1361" s="28">
        <f t="shared" si="537"/>
        <v>3.8166534115496196E-3</v>
      </c>
      <c r="AH1361" s="28">
        <f t="shared" si="537"/>
        <v>3.8237073929351757E-3</v>
      </c>
      <c r="AI1361" s="28">
        <f t="shared" si="537"/>
        <v>3.8280813000426597E-3</v>
      </c>
      <c r="AJ1361" s="28">
        <f t="shared" si="537"/>
        <v>3.8328577669452142E-3</v>
      </c>
      <c r="AK1361" s="28">
        <f t="shared" si="537"/>
        <v>3.8379585279798688E-3</v>
      </c>
      <c r="AL1361" s="28">
        <f t="shared" si="537"/>
        <v>3.8434135078438316E-3</v>
      </c>
      <c r="AM1361" s="28">
        <f t="shared" si="537"/>
        <v>3.8492499551176498E-3</v>
      </c>
      <c r="AN1361" s="28">
        <f t="shared" si="537"/>
        <v>3.8525306087142564E-3</v>
      </c>
      <c r="AO1361" s="28">
        <f t="shared" si="537"/>
        <v>3.8560507576000471E-3</v>
      </c>
      <c r="AP1361" s="28">
        <f t="shared" si="537"/>
        <v>3.859879166509437E-3</v>
      </c>
      <c r="AQ1361" s="28">
        <f t="shared" si="537"/>
        <v>3.8640083071681199E-3</v>
      </c>
      <c r="AR1361" s="28">
        <f t="shared" si="537"/>
        <v>3.8684865741057564E-3</v>
      </c>
      <c r="AS1361" s="28">
        <f t="shared" si="537"/>
        <v>3.870291243496006E-3</v>
      </c>
      <c r="AT1361" s="28">
        <f t="shared" si="537"/>
        <v>3.8718060143715003E-3</v>
      </c>
      <c r="AU1361" s="28">
        <f t="shared" si="537"/>
        <v>3.8735182573500864E-3</v>
      </c>
      <c r="AV1361" s="28">
        <f t="shared" si="537"/>
        <v>3.8755310418943016E-3</v>
      </c>
      <c r="AW1361" s="28">
        <f t="shared" si="537"/>
        <v>3.8777333311523147E-3</v>
      </c>
      <c r="AY1361" s="85"/>
      <c r="AZ1361" s="85"/>
    </row>
    <row r="1362" spans="1:52" x14ac:dyDescent="0.25">
      <c r="A1362" s="102" t="str">
        <f t="shared" si="514"/>
        <v>FSFAGSPQNIBDDSCM MM Leaching</v>
      </c>
      <c r="B1362" s="102" t="s">
        <v>1376</v>
      </c>
      <c r="C1362" s="102" t="s">
        <v>1334</v>
      </c>
      <c r="D1362" t="s">
        <v>369</v>
      </c>
      <c r="E1362" t="s">
        <v>64</v>
      </c>
      <c r="F1362" t="s">
        <v>63</v>
      </c>
      <c r="G1362" t="s">
        <v>1169</v>
      </c>
      <c r="H1362" t="s">
        <v>1315</v>
      </c>
      <c r="I1362" t="s">
        <v>139</v>
      </c>
      <c r="J1362" t="s">
        <v>287</v>
      </c>
      <c r="K1362" s="28">
        <f t="shared" ref="K1362:AW1362" si="538">IFERROR(K1555-((K1555-K146)+(K1555-K299)+(K1555-K452)+(K1555-K604)+(K1555-K756)+(K1555-K907)+(K1555-K1058)+(K1555-K1209)),0)</f>
        <v>5.4310526355704706E-4</v>
      </c>
      <c r="L1362" s="28">
        <f t="shared" si="538"/>
        <v>5.4451688444022309E-4</v>
      </c>
      <c r="M1362" s="28">
        <f t="shared" si="538"/>
        <v>5.4642048272795488E-4</v>
      </c>
      <c r="N1362" s="28">
        <f t="shared" si="538"/>
        <v>5.4873901711368408E-4</v>
      </c>
      <c r="O1362" s="28">
        <f t="shared" si="538"/>
        <v>5.5151606201275956E-4</v>
      </c>
      <c r="P1362" s="28">
        <f t="shared" si="538"/>
        <v>5.5479917019086967E-4</v>
      </c>
      <c r="Q1362" s="28">
        <f t="shared" si="538"/>
        <v>5.5827861691807733E-4</v>
      </c>
      <c r="R1362" s="28">
        <f t="shared" si="538"/>
        <v>5.6191368988015911E-4</v>
      </c>
      <c r="S1362" s="28">
        <f t="shared" si="538"/>
        <v>5.6545265172179603E-4</v>
      </c>
      <c r="T1362" s="28">
        <f t="shared" si="538"/>
        <v>5.6707582821690196E-4</v>
      </c>
      <c r="U1362" s="28">
        <f t="shared" si="538"/>
        <v>5.688262569994144E-4</v>
      </c>
      <c r="V1362" s="28">
        <f t="shared" si="538"/>
        <v>5.7072343735121143E-4</v>
      </c>
      <c r="W1362" s="28">
        <f t="shared" si="538"/>
        <v>5.7278141367930822E-4</v>
      </c>
      <c r="X1362" s="28">
        <f t="shared" si="538"/>
        <v>5.7502787156601661E-4</v>
      </c>
      <c r="Y1362" s="28">
        <f t="shared" si="538"/>
        <v>5.7647376885579151E-4</v>
      </c>
      <c r="Z1362" s="28">
        <f t="shared" si="538"/>
        <v>5.7805165552479612E-4</v>
      </c>
      <c r="AA1362" s="28">
        <f t="shared" si="538"/>
        <v>5.7972228180818623E-4</v>
      </c>
      <c r="AB1362" s="28">
        <f t="shared" si="538"/>
        <v>5.8152362966634491E-4</v>
      </c>
      <c r="AC1362" s="28">
        <f t="shared" si="538"/>
        <v>5.8345630636338756E-4</v>
      </c>
      <c r="AD1362" s="28">
        <f t="shared" si="538"/>
        <v>5.8472841865727081E-4</v>
      </c>
      <c r="AE1362" s="28">
        <f t="shared" si="538"/>
        <v>5.8609967948546591E-4</v>
      </c>
      <c r="AF1362" s="28">
        <f t="shared" si="538"/>
        <v>5.8756155218491358E-4</v>
      </c>
      <c r="AG1362" s="28">
        <f t="shared" si="538"/>
        <v>5.8913046785545045E-4</v>
      </c>
      <c r="AH1362" s="28">
        <f t="shared" si="538"/>
        <v>5.907505198986619E-4</v>
      </c>
      <c r="AI1362" s="28">
        <f t="shared" si="538"/>
        <v>5.9175481340963034E-4</v>
      </c>
      <c r="AJ1362" s="28">
        <f t="shared" si="538"/>
        <v>5.9283358105937484E-4</v>
      </c>
      <c r="AK1362" s="28">
        <f t="shared" si="538"/>
        <v>5.9396979223100309E-4</v>
      </c>
      <c r="AL1362" s="28">
        <f t="shared" si="538"/>
        <v>5.951704835417687E-4</v>
      </c>
      <c r="AM1362" s="28">
        <f t="shared" si="538"/>
        <v>5.9644200781221212E-4</v>
      </c>
      <c r="AN1362" s="28">
        <f t="shared" si="538"/>
        <v>5.9713531651955909E-4</v>
      </c>
      <c r="AO1362" s="28">
        <f t="shared" si="538"/>
        <v>5.9787071978947392E-4</v>
      </c>
      <c r="AP1362" s="28">
        <f t="shared" si="538"/>
        <v>5.9866365286918302E-4</v>
      </c>
      <c r="AQ1362" s="28">
        <f t="shared" si="538"/>
        <v>5.995126405769686E-4</v>
      </c>
      <c r="AR1362" s="28">
        <f t="shared" si="538"/>
        <v>6.0042847554345289E-4</v>
      </c>
      <c r="AS1362" s="28">
        <f t="shared" si="538"/>
        <v>6.0074837701766222E-4</v>
      </c>
      <c r="AT1362" s="28">
        <f t="shared" si="538"/>
        <v>6.009974007852993E-4</v>
      </c>
      <c r="AU1362" s="28">
        <f t="shared" si="538"/>
        <v>6.0128274641363551E-4</v>
      </c>
      <c r="AV1362" s="28">
        <f t="shared" si="538"/>
        <v>6.0162705109906029E-4</v>
      </c>
      <c r="AW1362" s="28">
        <f t="shared" si="538"/>
        <v>6.0200613236202735E-4</v>
      </c>
      <c r="AY1362" s="85"/>
      <c r="AZ1362" s="85"/>
    </row>
    <row r="1363" spans="1:52" x14ac:dyDescent="0.25">
      <c r="A1363" s="102" t="str">
        <f t="shared" si="514"/>
        <v>FSFAGSPQNIBDDSCM MM Leaching</v>
      </c>
      <c r="B1363" s="102" t="s">
        <v>1376</v>
      </c>
      <c r="C1363" s="102" t="s">
        <v>1334</v>
      </c>
      <c r="D1363" t="s">
        <v>369</v>
      </c>
      <c r="E1363" t="s">
        <v>64</v>
      </c>
      <c r="F1363" t="s">
        <v>63</v>
      </c>
      <c r="G1363" t="s">
        <v>1171</v>
      </c>
      <c r="H1363" t="s">
        <v>1316</v>
      </c>
      <c r="I1363" t="s">
        <v>139</v>
      </c>
      <c r="J1363" t="s">
        <v>287</v>
      </c>
      <c r="K1363" s="28">
        <f t="shared" ref="K1363:AW1363" si="539">IFERROR(K1556-((K1556-K147)+(K1556-K300)+(K1556-K453)+(K1556-K605)+(K1556-K757)+(K1556-K908)+(K1556-K1059)+(K1556-K1210)),0)</f>
        <v>6.697719658610918E-3</v>
      </c>
      <c r="L1363" s="28">
        <f t="shared" si="539"/>
        <v>6.7151281456468035E-3</v>
      </c>
      <c r="M1363" s="28">
        <f t="shared" si="539"/>
        <v>6.7386038298821848E-3</v>
      </c>
      <c r="N1363" s="28">
        <f t="shared" si="539"/>
        <v>6.7671966172780547E-3</v>
      </c>
      <c r="O1363" s="28">
        <f t="shared" si="539"/>
        <v>6.801443879202132E-3</v>
      </c>
      <c r="P1363" s="28">
        <f t="shared" si="539"/>
        <v>6.8419320491046936E-3</v>
      </c>
      <c r="Q1363" s="28">
        <f t="shared" si="539"/>
        <v>6.8848415186120908E-3</v>
      </c>
      <c r="R1363" s="28">
        <f t="shared" si="539"/>
        <v>6.9296702125547019E-3</v>
      </c>
      <c r="S1363" s="28">
        <f t="shared" si="539"/>
        <v>6.9733136384028775E-3</v>
      </c>
      <c r="T1363" s="28">
        <f t="shared" si="539"/>
        <v>6.9933310859405127E-3</v>
      </c>
      <c r="U1363" s="28">
        <f t="shared" si="539"/>
        <v>7.0149178427891682E-3</v>
      </c>
      <c r="V1363" s="28">
        <f t="shared" si="539"/>
        <v>7.0383143793186411E-3</v>
      </c>
      <c r="W1363" s="28">
        <f t="shared" si="539"/>
        <v>7.0636938949200419E-3</v>
      </c>
      <c r="X1363" s="28">
        <f t="shared" si="539"/>
        <v>7.0913978156139906E-3</v>
      </c>
      <c r="Y1363" s="28">
        <f t="shared" si="539"/>
        <v>7.1092290084818878E-3</v>
      </c>
      <c r="Z1363" s="28">
        <f t="shared" si="539"/>
        <v>7.1286879297466866E-3</v>
      </c>
      <c r="AA1363" s="28">
        <f t="shared" si="539"/>
        <v>7.1492905407896492E-3</v>
      </c>
      <c r="AB1363" s="28">
        <f t="shared" si="539"/>
        <v>7.1715052453251351E-3</v>
      </c>
      <c r="AC1363" s="28">
        <f t="shared" si="539"/>
        <v>7.1953395322969481E-3</v>
      </c>
      <c r="AD1363" s="28">
        <f t="shared" si="539"/>
        <v>7.2110275620223471E-3</v>
      </c>
      <c r="AE1363" s="28">
        <f t="shared" si="539"/>
        <v>7.2279383180439954E-3</v>
      </c>
      <c r="AF1363" s="28">
        <f t="shared" si="539"/>
        <v>7.2459665239452764E-3</v>
      </c>
      <c r="AG1363" s="28">
        <f t="shared" si="539"/>
        <v>7.2653148124528005E-3</v>
      </c>
      <c r="AH1363" s="28">
        <f t="shared" si="539"/>
        <v>7.2852937284123434E-3</v>
      </c>
      <c r="AI1363" s="28">
        <f t="shared" si="539"/>
        <v>7.2976789451332669E-3</v>
      </c>
      <c r="AJ1363" s="28">
        <f t="shared" si="539"/>
        <v>7.3109825968921283E-3</v>
      </c>
      <c r="AK1363" s="28">
        <f t="shared" si="539"/>
        <v>7.3249946575573233E-3</v>
      </c>
      <c r="AL1363" s="28">
        <f t="shared" si="539"/>
        <v>7.3398019045785847E-3</v>
      </c>
      <c r="AM1363" s="28">
        <f t="shared" si="539"/>
        <v>7.3554826826413384E-3</v>
      </c>
      <c r="AN1363" s="28">
        <f t="shared" si="539"/>
        <v>7.3640327514222425E-3</v>
      </c>
      <c r="AO1363" s="28">
        <f t="shared" si="539"/>
        <v>7.3731019416297819E-3</v>
      </c>
      <c r="AP1363" s="28">
        <f t="shared" si="539"/>
        <v>7.3828806048692958E-3</v>
      </c>
      <c r="AQ1363" s="28">
        <f t="shared" si="539"/>
        <v>7.3933505488044948E-3</v>
      </c>
      <c r="AR1363" s="28">
        <f t="shared" si="539"/>
        <v>7.4046448710485676E-3</v>
      </c>
      <c r="AS1363" s="28">
        <f t="shared" si="539"/>
        <v>7.4085899817598836E-3</v>
      </c>
      <c r="AT1363" s="28">
        <f t="shared" si="539"/>
        <v>7.411661009599016E-3</v>
      </c>
      <c r="AU1363" s="28">
        <f t="shared" si="539"/>
        <v>7.4151799683582981E-3</v>
      </c>
      <c r="AV1363" s="28">
        <f t="shared" si="539"/>
        <v>7.4194260260102111E-3</v>
      </c>
      <c r="AW1363" s="28">
        <f t="shared" si="539"/>
        <v>7.4241009577362587E-3</v>
      </c>
      <c r="AY1363" s="85"/>
      <c r="AZ1363" s="85"/>
    </row>
    <row r="1364" spans="1:52" x14ac:dyDescent="0.25">
      <c r="A1364" s="102" t="str">
        <f t="shared" si="514"/>
        <v>FSFAGSPQNIBDDSCM MM Leaching</v>
      </c>
      <c r="B1364" s="102" t="s">
        <v>1376</v>
      </c>
      <c r="C1364" s="102" t="s">
        <v>1334</v>
      </c>
      <c r="D1364" t="s">
        <v>369</v>
      </c>
      <c r="E1364" t="s">
        <v>64</v>
      </c>
      <c r="F1364" t="s">
        <v>63</v>
      </c>
      <c r="G1364" t="s">
        <v>1173</v>
      </c>
      <c r="H1364" t="s">
        <v>1317</v>
      </c>
      <c r="I1364" t="s">
        <v>139</v>
      </c>
      <c r="J1364" t="s">
        <v>287</v>
      </c>
      <c r="K1364" s="28">
        <f t="shared" ref="K1364:AW1364" si="540">IFERROR(K1557-((K1557-K148)+(K1557-K301)+(K1557-K454)+(K1557-K606)+(K1557-K758)+(K1557-K909)+(K1557-K1060)+(K1557-K1211)),0)</f>
        <v>0</v>
      </c>
      <c r="L1364" s="28">
        <f t="shared" si="540"/>
        <v>0</v>
      </c>
      <c r="M1364" s="28">
        <f t="shared" si="540"/>
        <v>0</v>
      </c>
      <c r="N1364" s="28">
        <f t="shared" si="540"/>
        <v>0</v>
      </c>
      <c r="O1364" s="28">
        <f t="shared" si="540"/>
        <v>0</v>
      </c>
      <c r="P1364" s="28">
        <f t="shared" si="540"/>
        <v>0</v>
      </c>
      <c r="Q1364" s="28">
        <f t="shared" si="540"/>
        <v>0</v>
      </c>
      <c r="R1364" s="28">
        <f t="shared" si="540"/>
        <v>0</v>
      </c>
      <c r="S1364" s="28">
        <f t="shared" si="540"/>
        <v>0</v>
      </c>
      <c r="T1364" s="28">
        <f t="shared" si="540"/>
        <v>0</v>
      </c>
      <c r="U1364" s="28">
        <f t="shared" si="540"/>
        <v>0</v>
      </c>
      <c r="V1364" s="28">
        <f t="shared" si="540"/>
        <v>0</v>
      </c>
      <c r="W1364" s="28">
        <f t="shared" si="540"/>
        <v>0</v>
      </c>
      <c r="X1364" s="28">
        <f t="shared" si="540"/>
        <v>0</v>
      </c>
      <c r="Y1364" s="28">
        <f t="shared" si="540"/>
        <v>0</v>
      </c>
      <c r="Z1364" s="28">
        <f t="shared" si="540"/>
        <v>0</v>
      </c>
      <c r="AA1364" s="28">
        <f t="shared" si="540"/>
        <v>0</v>
      </c>
      <c r="AB1364" s="28">
        <f t="shared" si="540"/>
        <v>0</v>
      </c>
      <c r="AC1364" s="28">
        <f t="shared" si="540"/>
        <v>0</v>
      </c>
      <c r="AD1364" s="28">
        <f t="shared" si="540"/>
        <v>0</v>
      </c>
      <c r="AE1364" s="28">
        <f t="shared" si="540"/>
        <v>0</v>
      </c>
      <c r="AF1364" s="28">
        <f t="shared" si="540"/>
        <v>0</v>
      </c>
      <c r="AG1364" s="28">
        <f t="shared" si="540"/>
        <v>0</v>
      </c>
      <c r="AH1364" s="28">
        <f t="shared" si="540"/>
        <v>0</v>
      </c>
      <c r="AI1364" s="28">
        <f t="shared" si="540"/>
        <v>0</v>
      </c>
      <c r="AJ1364" s="28">
        <f t="shared" si="540"/>
        <v>0</v>
      </c>
      <c r="AK1364" s="28">
        <f t="shared" si="540"/>
        <v>0</v>
      </c>
      <c r="AL1364" s="28">
        <f t="shared" si="540"/>
        <v>0</v>
      </c>
      <c r="AM1364" s="28">
        <f t="shared" si="540"/>
        <v>0</v>
      </c>
      <c r="AN1364" s="28">
        <f t="shared" si="540"/>
        <v>0</v>
      </c>
      <c r="AO1364" s="28">
        <f t="shared" si="540"/>
        <v>0</v>
      </c>
      <c r="AP1364" s="28">
        <f t="shared" si="540"/>
        <v>0</v>
      </c>
      <c r="AQ1364" s="28">
        <f t="shared" si="540"/>
        <v>0</v>
      </c>
      <c r="AR1364" s="28">
        <f t="shared" si="540"/>
        <v>0</v>
      </c>
      <c r="AS1364" s="28">
        <f t="shared" si="540"/>
        <v>0</v>
      </c>
      <c r="AT1364" s="28">
        <f t="shared" si="540"/>
        <v>0</v>
      </c>
      <c r="AU1364" s="28">
        <f t="shared" si="540"/>
        <v>0</v>
      </c>
      <c r="AV1364" s="28">
        <f t="shared" si="540"/>
        <v>0</v>
      </c>
      <c r="AW1364" s="28">
        <f t="shared" si="540"/>
        <v>0</v>
      </c>
      <c r="AY1364" s="85"/>
      <c r="AZ1364" s="85"/>
    </row>
    <row r="1365" spans="1:52" x14ac:dyDescent="0.25">
      <c r="A1365" s="102" t="str">
        <f t="shared" si="514"/>
        <v>FSFAGSPQNIBDDSCM MM Leaching</v>
      </c>
      <c r="B1365" s="102" t="s">
        <v>1376</v>
      </c>
      <c r="C1365" s="102" t="s">
        <v>1334</v>
      </c>
      <c r="D1365" t="s">
        <v>369</v>
      </c>
      <c r="E1365" t="s">
        <v>64</v>
      </c>
      <c r="F1365" t="s">
        <v>63</v>
      </c>
      <c r="G1365" t="s">
        <v>1175</v>
      </c>
      <c r="H1365" t="s">
        <v>1318</v>
      </c>
      <c r="I1365" t="s">
        <v>139</v>
      </c>
      <c r="J1365" t="s">
        <v>287</v>
      </c>
      <c r="K1365" s="28">
        <f t="shared" ref="K1365:AW1365" si="541">IFERROR(K1558-((K1558-K149)+(K1558-K302)+(K1558-K455)+(K1558-K607)+(K1558-K759)+(K1558-K910)+(K1558-K1061)+(K1558-K1212)),0)</f>
        <v>0</v>
      </c>
      <c r="L1365" s="28">
        <f t="shared" si="541"/>
        <v>0</v>
      </c>
      <c r="M1365" s="28">
        <f t="shared" si="541"/>
        <v>0</v>
      </c>
      <c r="N1365" s="28">
        <f t="shared" si="541"/>
        <v>0</v>
      </c>
      <c r="O1365" s="28">
        <f t="shared" si="541"/>
        <v>0</v>
      </c>
      <c r="P1365" s="28">
        <f t="shared" si="541"/>
        <v>0</v>
      </c>
      <c r="Q1365" s="28">
        <f t="shared" si="541"/>
        <v>0</v>
      </c>
      <c r="R1365" s="28">
        <f t="shared" si="541"/>
        <v>0</v>
      </c>
      <c r="S1365" s="28">
        <f t="shared" si="541"/>
        <v>0</v>
      </c>
      <c r="T1365" s="28">
        <f t="shared" si="541"/>
        <v>0</v>
      </c>
      <c r="U1365" s="28">
        <f t="shared" si="541"/>
        <v>0</v>
      </c>
      <c r="V1365" s="28">
        <f t="shared" si="541"/>
        <v>0</v>
      </c>
      <c r="W1365" s="28">
        <f t="shared" si="541"/>
        <v>0</v>
      </c>
      <c r="X1365" s="28">
        <f t="shared" si="541"/>
        <v>0</v>
      </c>
      <c r="Y1365" s="28">
        <f t="shared" si="541"/>
        <v>0</v>
      </c>
      <c r="Z1365" s="28">
        <f t="shared" si="541"/>
        <v>0</v>
      </c>
      <c r="AA1365" s="28">
        <f t="shared" si="541"/>
        <v>0</v>
      </c>
      <c r="AB1365" s="28">
        <f t="shared" si="541"/>
        <v>0</v>
      </c>
      <c r="AC1365" s="28">
        <f t="shared" si="541"/>
        <v>0</v>
      </c>
      <c r="AD1365" s="28">
        <f t="shared" si="541"/>
        <v>0</v>
      </c>
      <c r="AE1365" s="28">
        <f t="shared" si="541"/>
        <v>0</v>
      </c>
      <c r="AF1365" s="28">
        <f t="shared" si="541"/>
        <v>0</v>
      </c>
      <c r="AG1365" s="28">
        <f t="shared" si="541"/>
        <v>0</v>
      </c>
      <c r="AH1365" s="28">
        <f t="shared" si="541"/>
        <v>0</v>
      </c>
      <c r="AI1365" s="28">
        <f t="shared" si="541"/>
        <v>0</v>
      </c>
      <c r="AJ1365" s="28">
        <f t="shared" si="541"/>
        <v>0</v>
      </c>
      <c r="AK1365" s="28">
        <f t="shared" si="541"/>
        <v>0</v>
      </c>
      <c r="AL1365" s="28">
        <f t="shared" si="541"/>
        <v>0</v>
      </c>
      <c r="AM1365" s="28">
        <f t="shared" si="541"/>
        <v>0</v>
      </c>
      <c r="AN1365" s="28">
        <f t="shared" si="541"/>
        <v>0</v>
      </c>
      <c r="AO1365" s="28">
        <f t="shared" si="541"/>
        <v>0</v>
      </c>
      <c r="AP1365" s="28">
        <f t="shared" si="541"/>
        <v>0</v>
      </c>
      <c r="AQ1365" s="28">
        <f t="shared" si="541"/>
        <v>0</v>
      </c>
      <c r="AR1365" s="28">
        <f t="shared" si="541"/>
        <v>0</v>
      </c>
      <c r="AS1365" s="28">
        <f t="shared" si="541"/>
        <v>0</v>
      </c>
      <c r="AT1365" s="28">
        <f t="shared" si="541"/>
        <v>0</v>
      </c>
      <c r="AU1365" s="28">
        <f t="shared" si="541"/>
        <v>0</v>
      </c>
      <c r="AV1365" s="28">
        <f t="shared" si="541"/>
        <v>0</v>
      </c>
      <c r="AW1365" s="28">
        <f t="shared" si="541"/>
        <v>0</v>
      </c>
      <c r="AY1365" s="85"/>
      <c r="AZ1365" s="85"/>
    </row>
    <row r="1366" spans="1:52" x14ac:dyDescent="0.25">
      <c r="A1366" s="102" t="str">
        <f t="shared" si="514"/>
        <v>FSFAGSPQNIBDDSCM MM Leaching</v>
      </c>
      <c r="B1366" s="102" t="s">
        <v>1376</v>
      </c>
      <c r="C1366" s="102" t="s">
        <v>1334</v>
      </c>
      <c r="D1366" t="s">
        <v>369</v>
      </c>
      <c r="E1366" t="s">
        <v>64</v>
      </c>
      <c r="F1366" t="s">
        <v>63</v>
      </c>
      <c r="G1366" t="s">
        <v>1177</v>
      </c>
      <c r="H1366" t="s">
        <v>1319</v>
      </c>
      <c r="I1366" t="s">
        <v>139</v>
      </c>
      <c r="J1366" t="s">
        <v>287</v>
      </c>
      <c r="K1366" s="28">
        <f t="shared" ref="K1366:AW1366" si="542">IFERROR(K1559-((K1559-K150)+(K1559-K303)+(K1559-K456)+(K1559-K608)+(K1559-K760)+(K1559-K911)+(K1559-K1062)+(K1559-K1213)),0)</f>
        <v>2.6982078121909357E-2</v>
      </c>
      <c r="L1366" s="28">
        <f t="shared" si="542"/>
        <v>2.6934390428910333E-2</v>
      </c>
      <c r="M1366" s="28">
        <f t="shared" si="542"/>
        <v>2.6783274405865188E-2</v>
      </c>
      <c r="N1366" s="28">
        <f t="shared" si="542"/>
        <v>2.6192267209513419E-2</v>
      </c>
      <c r="O1366" s="28">
        <f t="shared" si="542"/>
        <v>2.5633374369749509E-2</v>
      </c>
      <c r="P1366" s="28">
        <f t="shared" si="542"/>
        <v>2.5543167875320214E-2</v>
      </c>
      <c r="Q1366" s="28">
        <f t="shared" si="542"/>
        <v>2.5324190264718272E-2</v>
      </c>
      <c r="R1366" s="28">
        <f t="shared" si="542"/>
        <v>2.4649754195953832E-2</v>
      </c>
      <c r="S1366" s="28">
        <f t="shared" si="542"/>
        <v>2.1986440242697105E-2</v>
      </c>
      <c r="T1366" s="28">
        <f t="shared" si="542"/>
        <v>2.245489016108022E-2</v>
      </c>
      <c r="U1366" s="28">
        <f t="shared" si="542"/>
        <v>2.2668092316052747E-2</v>
      </c>
      <c r="V1366" s="28">
        <f t="shared" si="542"/>
        <v>2.2822073561516613E-2</v>
      </c>
      <c r="W1366" s="28">
        <f t="shared" si="542"/>
        <v>2.3060823518133412E-2</v>
      </c>
      <c r="X1366" s="28">
        <f t="shared" si="542"/>
        <v>2.3596433352388039E-2</v>
      </c>
      <c r="Y1366" s="28">
        <f t="shared" si="542"/>
        <v>2.4199581539759433E-2</v>
      </c>
      <c r="Z1366" s="28">
        <f t="shared" si="542"/>
        <v>2.4863511964580202E-2</v>
      </c>
      <c r="AA1366" s="28">
        <f t="shared" si="542"/>
        <v>2.5393205497772544E-2</v>
      </c>
      <c r="AB1366" s="28">
        <f t="shared" si="542"/>
        <v>2.6042866054343673E-2</v>
      </c>
      <c r="AC1366" s="28">
        <f t="shared" si="542"/>
        <v>2.6838747714541047E-2</v>
      </c>
      <c r="AD1366" s="28">
        <f t="shared" si="542"/>
        <v>2.7594261378026022E-2</v>
      </c>
      <c r="AE1366" s="28">
        <f t="shared" si="542"/>
        <v>2.8380538985104679E-2</v>
      </c>
      <c r="AF1366" s="28">
        <f t="shared" si="542"/>
        <v>2.9171284543941644E-2</v>
      </c>
      <c r="AG1366" s="28">
        <f t="shared" si="542"/>
        <v>3.0073341205128223E-2</v>
      </c>
      <c r="AH1366" s="28">
        <f t="shared" si="542"/>
        <v>3.0803948455590213E-2</v>
      </c>
      <c r="AI1366" s="28">
        <f t="shared" si="542"/>
        <v>3.1586882105351877E-2</v>
      </c>
      <c r="AJ1366" s="28">
        <f t="shared" si="542"/>
        <v>3.2369806631398594E-2</v>
      </c>
      <c r="AK1366" s="28">
        <f t="shared" si="542"/>
        <v>3.3079941774163915E-2</v>
      </c>
      <c r="AL1366" s="28">
        <f t="shared" si="542"/>
        <v>3.376781007739231E-2</v>
      </c>
      <c r="AM1366" s="28">
        <f t="shared" si="542"/>
        <v>3.4476953448728496E-2</v>
      </c>
      <c r="AN1366" s="28">
        <f t="shared" si="542"/>
        <v>3.5226709815018499E-2</v>
      </c>
      <c r="AO1366" s="28">
        <f t="shared" si="542"/>
        <v>3.5885335888343903E-2</v>
      </c>
      <c r="AP1366" s="28">
        <f t="shared" si="542"/>
        <v>3.6539004973048822E-2</v>
      </c>
      <c r="AQ1366" s="28">
        <f t="shared" si="542"/>
        <v>3.7189465932121774E-2</v>
      </c>
      <c r="AR1366" s="28">
        <f t="shared" si="542"/>
        <v>3.7894467111176056E-2</v>
      </c>
      <c r="AS1366" s="28">
        <f t="shared" si="542"/>
        <v>3.860960670639671E-2</v>
      </c>
      <c r="AT1366" s="28">
        <f t="shared" si="542"/>
        <v>3.8773814100522025E-2</v>
      </c>
      <c r="AU1366" s="28">
        <f t="shared" si="542"/>
        <v>3.8891751629106179E-2</v>
      </c>
      <c r="AV1366" s="28">
        <f t="shared" si="542"/>
        <v>3.9070722335751047E-2</v>
      </c>
      <c r="AW1366" s="28">
        <f t="shared" si="542"/>
        <v>3.9209574482519889E-2</v>
      </c>
      <c r="AY1366" s="85"/>
      <c r="AZ1366" s="85"/>
    </row>
    <row r="1367" spans="1:52" x14ac:dyDescent="0.25">
      <c r="A1367" s="102" t="str">
        <f t="shared" si="514"/>
        <v>FSFAGSPQNIBDDSCM MM Leaching</v>
      </c>
      <c r="B1367" s="102" t="s">
        <v>1376</v>
      </c>
      <c r="C1367" s="102" t="s">
        <v>1334</v>
      </c>
      <c r="D1367" t="s">
        <v>369</v>
      </c>
      <c r="E1367" t="s">
        <v>64</v>
      </c>
      <c r="F1367" t="s">
        <v>63</v>
      </c>
      <c r="G1367" t="s">
        <v>1179</v>
      </c>
      <c r="H1367" t="s">
        <v>1320</v>
      </c>
      <c r="I1367" t="s">
        <v>139</v>
      </c>
      <c r="J1367" t="s">
        <v>287</v>
      </c>
      <c r="K1367" s="28">
        <f t="shared" ref="K1367:AW1367" si="543">IFERROR(K1560-((K1560-K151)+(K1560-K304)+(K1560-K457)+(K1560-K609)+(K1560-K761)+(K1560-K912)+(K1560-K1063)+(K1560-K1214)),0)</f>
        <v>4.0326044819915296E-3</v>
      </c>
      <c r="L1367" s="28">
        <f t="shared" si="543"/>
        <v>4.0254773213757008E-3</v>
      </c>
      <c r="M1367" s="28">
        <f t="shared" si="543"/>
        <v>4.0028922873735296E-3</v>
      </c>
      <c r="N1367" s="28">
        <f t="shared" si="543"/>
        <v>3.9145633507316107E-3</v>
      </c>
      <c r="O1367" s="28">
        <f t="shared" si="543"/>
        <v>3.8310340628686856E-3</v>
      </c>
      <c r="P1367" s="28">
        <f t="shared" si="543"/>
        <v>3.8175522579425875E-3</v>
      </c>
      <c r="Q1367" s="28">
        <f t="shared" si="543"/>
        <v>3.7848249754115887E-3</v>
      </c>
      <c r="R1367" s="28">
        <f t="shared" si="543"/>
        <v>3.6840271828387553E-3</v>
      </c>
      <c r="S1367" s="28">
        <f t="shared" si="543"/>
        <v>3.2859817937353586E-3</v>
      </c>
      <c r="T1367" s="28">
        <f t="shared" si="543"/>
        <v>3.355993941499707E-3</v>
      </c>
      <c r="U1367" s="28">
        <f t="shared" si="543"/>
        <v>3.3878580537385016E-3</v>
      </c>
      <c r="V1367" s="28">
        <f t="shared" si="543"/>
        <v>3.4108713093444903E-3</v>
      </c>
      <c r="W1367" s="28">
        <f t="shared" si="543"/>
        <v>3.4465536663808218E-3</v>
      </c>
      <c r="X1367" s="28">
        <f t="shared" si="543"/>
        <v>3.5266031943843798E-3</v>
      </c>
      <c r="Y1367" s="28">
        <f t="shared" si="543"/>
        <v>3.6167466619375327E-3</v>
      </c>
      <c r="Z1367" s="28">
        <f t="shared" si="543"/>
        <v>3.7159743342749249E-3</v>
      </c>
      <c r="AA1367" s="28">
        <f t="shared" si="543"/>
        <v>3.7951396419425697E-3</v>
      </c>
      <c r="AB1367" s="28">
        <f t="shared" si="543"/>
        <v>3.8922346121804084E-3</v>
      </c>
      <c r="AC1367" s="28">
        <f t="shared" si="543"/>
        <v>4.0111830466021715E-3</v>
      </c>
      <c r="AD1367" s="28">
        <f t="shared" si="543"/>
        <v>4.1240982850730516E-3</v>
      </c>
      <c r="AE1367" s="28">
        <f t="shared" si="543"/>
        <v>4.2416113464491638E-3</v>
      </c>
      <c r="AF1367" s="28">
        <f t="shared" si="543"/>
        <v>4.3597921652235184E-3</v>
      </c>
      <c r="AG1367" s="28">
        <f t="shared" si="543"/>
        <v>4.4946089765334511E-3</v>
      </c>
      <c r="AH1367" s="28">
        <f t="shared" si="543"/>
        <v>4.6038018288955592E-3</v>
      </c>
      <c r="AI1367" s="28">
        <f t="shared" si="543"/>
        <v>4.720815119379186E-3</v>
      </c>
      <c r="AJ1367" s="28">
        <f t="shared" si="543"/>
        <v>4.8378270462786721E-3</v>
      </c>
      <c r="AK1367" s="28">
        <f t="shared" si="543"/>
        <v>4.943960241305256E-3</v>
      </c>
      <c r="AL1367" s="28">
        <f t="shared" si="543"/>
        <v>5.0467655474824083E-3</v>
      </c>
      <c r="AM1367" s="28">
        <f t="shared" si="543"/>
        <v>5.1527505173836986E-3</v>
      </c>
      <c r="AN1367" s="28">
        <f t="shared" si="543"/>
        <v>5.2648052994298516E-3</v>
      </c>
      <c r="AO1367" s="28">
        <f t="shared" si="543"/>
        <v>5.3632402103084113E-3</v>
      </c>
      <c r="AP1367" s="28">
        <f t="shared" si="543"/>
        <v>5.4609342748208091E-3</v>
      </c>
      <c r="AQ1367" s="28">
        <f t="shared" si="543"/>
        <v>5.55814886915512E-3</v>
      </c>
      <c r="AR1367" s="28">
        <f t="shared" si="543"/>
        <v>5.6635147680165233E-3</v>
      </c>
      <c r="AS1367" s="28">
        <f t="shared" si="543"/>
        <v>5.7703959031131843E-3</v>
      </c>
      <c r="AT1367" s="28">
        <f t="shared" si="543"/>
        <v>5.7949375070079617E-3</v>
      </c>
      <c r="AU1367" s="28">
        <f t="shared" si="543"/>
        <v>5.8125638515843393E-3</v>
      </c>
      <c r="AV1367" s="28">
        <f t="shared" si="543"/>
        <v>5.8393119052553878E-3</v>
      </c>
      <c r="AW1367" s="28">
        <f t="shared" si="543"/>
        <v>5.8600640425394137E-3</v>
      </c>
      <c r="AY1367" s="85"/>
      <c r="AZ1367" s="85"/>
    </row>
    <row r="1368" spans="1:52" x14ac:dyDescent="0.25">
      <c r="A1368" s="102" t="str">
        <f t="shared" si="514"/>
        <v>FSFAGSPQNIBDDSCM MM Leaching</v>
      </c>
      <c r="B1368" s="102" t="s">
        <v>1376</v>
      </c>
      <c r="C1368" s="102" t="s">
        <v>1334</v>
      </c>
      <c r="D1368" t="s">
        <v>369</v>
      </c>
      <c r="E1368" t="s">
        <v>64</v>
      </c>
      <c r="F1368" t="s">
        <v>63</v>
      </c>
      <c r="G1368" t="s">
        <v>1181</v>
      </c>
      <c r="H1368" t="s">
        <v>1321</v>
      </c>
      <c r="I1368" t="s">
        <v>139</v>
      </c>
      <c r="J1368" t="s">
        <v>287</v>
      </c>
      <c r="K1368" s="28">
        <f t="shared" ref="K1368:AW1368" si="544">IFERROR(K1561-((K1561-K152)+(K1561-K305)+(K1561-K458)+(K1561-K610)+(K1561-K762)+(K1561-K913)+(K1561-K1064)+(K1561-K1215)),0)</f>
        <v>1.677506639935911E-2</v>
      </c>
      <c r="L1368" s="28">
        <f t="shared" si="544"/>
        <v>1.7152115979727815E-2</v>
      </c>
      <c r="M1368" s="28">
        <f t="shared" si="544"/>
        <v>1.7493153195060028E-2</v>
      </c>
      <c r="N1368" s="28">
        <f t="shared" si="544"/>
        <v>1.7669215882921287E-2</v>
      </c>
      <c r="O1368" s="28">
        <f t="shared" si="544"/>
        <v>1.7850132335738296E-2</v>
      </c>
      <c r="P1368" s="28">
        <f t="shared" si="544"/>
        <v>1.8210336489694584E-2</v>
      </c>
      <c r="Q1368" s="28">
        <f t="shared" si="544"/>
        <v>1.8518344131387941E-2</v>
      </c>
      <c r="R1368" s="28">
        <f t="shared" si="544"/>
        <v>1.8635256187528534E-2</v>
      </c>
      <c r="S1368" s="28">
        <f t="shared" si="544"/>
        <v>1.7895165383905148E-2</v>
      </c>
      <c r="T1368" s="28">
        <f t="shared" si="544"/>
        <v>1.8427726629999096E-2</v>
      </c>
      <c r="U1368" s="28">
        <f t="shared" si="544"/>
        <v>1.8858145961209626E-2</v>
      </c>
      <c r="V1368" s="28">
        <f t="shared" si="544"/>
        <v>1.926831042987312E-2</v>
      </c>
      <c r="W1368" s="28">
        <f t="shared" si="544"/>
        <v>1.9723750272057364E-2</v>
      </c>
      <c r="X1368" s="28">
        <f t="shared" si="544"/>
        <v>2.0328305344007466E-2</v>
      </c>
      <c r="Y1368" s="28">
        <f t="shared" si="544"/>
        <v>2.0963275174069075E-2</v>
      </c>
      <c r="Z1368" s="28">
        <f t="shared" si="544"/>
        <v>2.1643917656498337E-2</v>
      </c>
      <c r="AA1368" s="28">
        <f t="shared" si="544"/>
        <v>2.2273513405564039E-2</v>
      </c>
      <c r="AB1368" s="28">
        <f t="shared" si="544"/>
        <v>2.2979861002091512E-2</v>
      </c>
      <c r="AC1368" s="28">
        <f t="shared" si="544"/>
        <v>2.3781031334877679E-2</v>
      </c>
      <c r="AD1368" s="28">
        <f t="shared" si="544"/>
        <v>2.4566308074155798E-2</v>
      </c>
      <c r="AE1368" s="28">
        <f t="shared" si="544"/>
        <v>2.5388751226160661E-2</v>
      </c>
      <c r="AF1368" s="28">
        <f t="shared" si="544"/>
        <v>2.6235064752699551E-2</v>
      </c>
      <c r="AG1368" s="28">
        <f t="shared" si="544"/>
        <v>2.7167046167926586E-2</v>
      </c>
      <c r="AH1368" s="28">
        <f t="shared" si="544"/>
        <v>2.8023900018498905E-2</v>
      </c>
      <c r="AI1368" s="28">
        <f t="shared" si="544"/>
        <v>2.8920322479741228E-2</v>
      </c>
      <c r="AJ1368" s="28">
        <f t="shared" si="544"/>
        <v>2.9839880128135453E-2</v>
      </c>
      <c r="AK1368" s="28">
        <f t="shared" si="544"/>
        <v>3.0738135733783801E-2</v>
      </c>
      <c r="AL1368" s="28">
        <f t="shared" si="544"/>
        <v>3.1644929602760906E-2</v>
      </c>
      <c r="AM1368" s="28">
        <f t="shared" si="544"/>
        <v>3.2587998047109448E-2</v>
      </c>
      <c r="AN1368" s="28">
        <f t="shared" si="544"/>
        <v>3.3568837979348017E-2</v>
      </c>
      <c r="AO1368" s="28">
        <f t="shared" si="544"/>
        <v>3.451409673179362E-2</v>
      </c>
      <c r="AP1368" s="28">
        <f t="shared" si="544"/>
        <v>3.5479549458814943E-2</v>
      </c>
      <c r="AQ1368" s="28">
        <f t="shared" si="544"/>
        <v>3.6466862450927735E-2</v>
      </c>
      <c r="AR1368" s="28">
        <f t="shared" si="544"/>
        <v>3.7517290662975496E-2</v>
      </c>
      <c r="AS1368" s="28">
        <f t="shared" si="544"/>
        <v>3.8588925617873325E-2</v>
      </c>
      <c r="AT1368" s="28">
        <f t="shared" si="544"/>
        <v>3.9285237958327314E-2</v>
      </c>
      <c r="AU1368" s="28">
        <f t="shared" si="544"/>
        <v>3.9960567637255945E-2</v>
      </c>
      <c r="AV1368" s="28">
        <f t="shared" si="544"/>
        <v>4.0694873101077993E-2</v>
      </c>
      <c r="AW1368" s="28">
        <f t="shared" si="544"/>
        <v>4.1412967601087917E-2</v>
      </c>
      <c r="AY1368" s="85"/>
      <c r="AZ1368" s="85"/>
    </row>
    <row r="1369" spans="1:52" x14ac:dyDescent="0.25">
      <c r="A1369" s="102" t="str">
        <f t="shared" si="514"/>
        <v>FSFAGSPQNIBDDSCM MM Leaching</v>
      </c>
      <c r="B1369" s="102" t="s">
        <v>1376</v>
      </c>
      <c r="C1369" s="102" t="s">
        <v>1334</v>
      </c>
      <c r="D1369" t="s">
        <v>369</v>
      </c>
      <c r="E1369" t="s">
        <v>64</v>
      </c>
      <c r="F1369" t="s">
        <v>63</v>
      </c>
      <c r="G1369" t="s">
        <v>1183</v>
      </c>
      <c r="H1369" t="s">
        <v>1322</v>
      </c>
      <c r="I1369" t="s">
        <v>139</v>
      </c>
      <c r="J1369" t="s">
        <v>287</v>
      </c>
      <c r="K1369" s="28">
        <f t="shared" ref="K1369:AW1369" si="545">IFERROR(K1562-((K1562-K153)+(K1562-K306)+(K1562-K459)+(K1562-K611)+(K1562-K763)+(K1562-K914)+(K1562-K1065)+(K1562-K1216)),0)</f>
        <v>7.810393177711944E-2</v>
      </c>
      <c r="L1369" s="28">
        <f t="shared" si="545"/>
        <v>7.9553535638078737E-2</v>
      </c>
      <c r="M1369" s="28">
        <f t="shared" si="545"/>
        <v>8.0502978601734096E-2</v>
      </c>
      <c r="N1369" s="28">
        <f t="shared" si="545"/>
        <v>7.9458702064627351E-2</v>
      </c>
      <c r="O1369" s="28">
        <f t="shared" si="545"/>
        <v>7.8445966497934463E-2</v>
      </c>
      <c r="P1369" s="28">
        <f t="shared" si="545"/>
        <v>7.944949741705111E-2</v>
      </c>
      <c r="Q1369" s="28">
        <f t="shared" si="545"/>
        <v>7.9836186366330816E-2</v>
      </c>
      <c r="R1369" s="28">
        <f t="shared" si="545"/>
        <v>7.8063361522169639E-2</v>
      </c>
      <c r="S1369" s="28">
        <f t="shared" si="545"/>
        <v>6.6817107477113183E-2</v>
      </c>
      <c r="T1369" s="28">
        <f t="shared" si="545"/>
        <v>7.0374380949072946E-2</v>
      </c>
      <c r="U1369" s="28">
        <f t="shared" si="545"/>
        <v>7.2750274050278937E-2</v>
      </c>
      <c r="V1369" s="28">
        <f t="shared" si="545"/>
        <v>7.4859672271413921E-2</v>
      </c>
      <c r="W1369" s="28">
        <f t="shared" si="545"/>
        <v>7.7409047999495176E-2</v>
      </c>
      <c r="X1369" s="28">
        <f t="shared" si="545"/>
        <v>8.1485381195009296E-2</v>
      </c>
      <c r="Y1369" s="28">
        <f t="shared" si="545"/>
        <v>8.6044408002904374E-2</v>
      </c>
      <c r="Z1369" s="28">
        <f t="shared" si="545"/>
        <v>9.1001721963623813E-2</v>
      </c>
      <c r="AA1369" s="28">
        <f t="shared" si="545"/>
        <v>9.5350705397096225E-2</v>
      </c>
      <c r="AB1369" s="28">
        <f t="shared" si="545"/>
        <v>0.10041519906645169</v>
      </c>
      <c r="AC1369" s="28">
        <f t="shared" si="545"/>
        <v>0.10636319644274764</v>
      </c>
      <c r="AD1369" s="28">
        <f t="shared" si="545"/>
        <v>0.1122605716621948</v>
      </c>
      <c r="AE1369" s="28">
        <f t="shared" si="545"/>
        <v>0.11844587620748041</v>
      </c>
      <c r="AF1369" s="28">
        <f t="shared" si="545"/>
        <v>0.12478194320825496</v>
      </c>
      <c r="AG1369" s="28">
        <f t="shared" si="545"/>
        <v>0.13187691567293003</v>
      </c>
      <c r="AH1369" s="28">
        <f t="shared" si="545"/>
        <v>0.13813961913514439</v>
      </c>
      <c r="AI1369" s="28">
        <f t="shared" si="545"/>
        <v>0.14488218717346876</v>
      </c>
      <c r="AJ1369" s="28">
        <f t="shared" si="545"/>
        <v>0.1517640117355267</v>
      </c>
      <c r="AK1369" s="28">
        <f t="shared" si="545"/>
        <v>0.15835613082644004</v>
      </c>
      <c r="AL1369" s="28">
        <f t="shared" si="545"/>
        <v>0.16495011284585995</v>
      </c>
      <c r="AM1369" s="28">
        <f t="shared" si="545"/>
        <v>0.17181015678453629</v>
      </c>
      <c r="AN1369" s="28">
        <f t="shared" si="545"/>
        <v>0.17910917339882992</v>
      </c>
      <c r="AO1369" s="28">
        <f t="shared" si="545"/>
        <v>0.18599224814480281</v>
      </c>
      <c r="AP1369" s="28">
        <f t="shared" si="545"/>
        <v>0.19298776995517442</v>
      </c>
      <c r="AQ1369" s="28">
        <f t="shared" si="545"/>
        <v>0.20010997250576512</v>
      </c>
      <c r="AR1369" s="28">
        <f t="shared" si="545"/>
        <v>0.20773775004773445</v>
      </c>
      <c r="AS1369" s="28">
        <f t="shared" si="545"/>
        <v>0.21564161838336957</v>
      </c>
      <c r="AT1369" s="28">
        <f t="shared" si="545"/>
        <v>0.220042849196075</v>
      </c>
      <c r="AU1369" s="28">
        <f t="shared" si="545"/>
        <v>0.2242123921354082</v>
      </c>
      <c r="AV1369" s="28">
        <f t="shared" si="545"/>
        <v>0.22887529413412566</v>
      </c>
      <c r="AW1369" s="28">
        <f t="shared" si="545"/>
        <v>0.23334943817135545</v>
      </c>
      <c r="AY1369" s="85"/>
      <c r="AZ1369" s="85"/>
    </row>
    <row r="1379" spans="1:49" x14ac:dyDescent="0.25">
      <c r="A1379" s="102" t="s">
        <v>961</v>
      </c>
      <c r="B1379" s="102"/>
      <c r="C1379" s="102"/>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8">
        <f>IF(('Activity data'!AD5*EF!$H4)*kgtoGg=0,"NO",('Activity data'!AD5*EF!$H4)*kgtoGg)</f>
        <v>72.319515891788683</v>
      </c>
      <c r="L1379" s="28">
        <f>IF(('Activity data'!AE5*EF!$H4)*kgtoGg=0,"NO",('Activity data'!AE5*EF!$H4)*kgtoGg)</f>
        <v>72.807821323468076</v>
      </c>
      <c r="M1379" s="28">
        <f>IF(('Activity data'!AF5*EF!$H4)*kgtoGg=0,"NO",('Activity data'!AF5*EF!$H4)*kgtoGg)</f>
        <v>73.234964885165326</v>
      </c>
      <c r="N1379" s="28">
        <f>IF(('Activity data'!AG5*EF!$H4)*kgtoGg=0,"NO",('Activity data'!AG5*EF!$H4)*kgtoGg)</f>
        <v>73.290216800217806</v>
      </c>
      <c r="O1379" s="28">
        <f>IF(('Activity data'!AH5*EF!$H4)*kgtoGg=0,"NO",('Activity data'!AH5*EF!$H4)*kgtoGg)</f>
        <v>73.385382806563399</v>
      </c>
      <c r="P1379" s="28">
        <f>IF(('Activity data'!AI5*EF!$H4)*kgtoGg=0,"NO",('Activity data'!AI5*EF!$H4)*kgtoGg)</f>
        <v>73.931427797367633</v>
      </c>
      <c r="Q1379" s="28">
        <f>IF(('Activity data'!AJ5*EF!$H4)*kgtoGg=0,"NO",('Activity data'!AJ5*EF!$H4)*kgtoGg)</f>
        <v>74.368063847632101</v>
      </c>
      <c r="R1379" s="28">
        <f>IF(('Activity data'!AK5*EF!$H4)*kgtoGg=0,"NO",('Activity data'!AK5*EF!$H4)*kgtoGg)</f>
        <v>74.371892298776103</v>
      </c>
      <c r="S1379" s="28">
        <f>IF(('Activity data'!AL5*EF!$H4)*kgtoGg=0,"NO",('Activity data'!AL5*EF!$H4)*kgtoGg)</f>
        <v>72.401501789227453</v>
      </c>
      <c r="T1379" s="28">
        <f>IF(('Activity data'!AM5*EF!$H4)*kgtoGg=0,"NO",('Activity data'!AM5*EF!$H4)*kgtoGg)</f>
        <v>73.35338653579106</v>
      </c>
      <c r="U1379" s="28">
        <f>IF(('Activity data'!AN5*EF!$H4)*kgtoGg=0,"NO",('Activity data'!AN5*EF!$H4)*kgtoGg)</f>
        <v>74.073946934208749</v>
      </c>
      <c r="V1379" s="28">
        <f>IF(('Activity data'!AO5*EF!$H4)*kgtoGg=0,"NO",('Activity data'!AO5*EF!$H4)*kgtoGg)</f>
        <v>74.753778618786441</v>
      </c>
      <c r="W1379" s="28">
        <f>IF(('Activity data'!AP5*EF!$H4)*kgtoGg=0,"NO",('Activity data'!AP5*EF!$H4)*kgtoGg)</f>
        <v>75.542063496412212</v>
      </c>
      <c r="X1379" s="28">
        <f>IF(('Activity data'!AQ5*EF!$H4)*kgtoGg=0,"NO",('Activity data'!AQ5*EF!$H4)*kgtoGg)</f>
        <v>76.67155635559341</v>
      </c>
      <c r="Y1379" s="28">
        <f>IF(('Activity data'!AR5*EF!$H4)*kgtoGg=0,"NO",('Activity data'!AR5*EF!$H4)*kgtoGg)</f>
        <v>77.847489846758435</v>
      </c>
      <c r="Z1379" s="28">
        <f>IF(('Activity data'!AS5*EF!$H4)*kgtoGg=0,"NO",('Activity data'!AS5*EF!$H4)*kgtoGg)</f>
        <v>79.124819066913304</v>
      </c>
      <c r="AA1379" s="28">
        <f>IF(('Activity data'!AT5*EF!$H4)*kgtoGg=0,"NO",('Activity data'!AT5*EF!$H4)*kgtoGg)</f>
        <v>80.286419447530889</v>
      </c>
      <c r="AB1379" s="28">
        <f>IF(('Activity data'!AU5*EF!$H4)*kgtoGg=0,"NO",('Activity data'!AU5*EF!$H4)*kgtoGg)</f>
        <v>81.617330077665642</v>
      </c>
      <c r="AC1379" s="28">
        <f>IF(('Activity data'!AV5*EF!$H4)*kgtoGg=0,"NO",('Activity data'!AV5*EF!$H4)*kgtoGg)</f>
        <v>83.15508639015107</v>
      </c>
      <c r="AD1379" s="28">
        <f>IF(('Activity data'!AW5*EF!$H4)*kgtoGg=0,"NO",('Activity data'!AW5*EF!$H4)*kgtoGg)</f>
        <v>84.635565323563185</v>
      </c>
      <c r="AE1379" s="28">
        <f>IF(('Activity data'!AX5*EF!$H4)*kgtoGg=0,"NO",('Activity data'!AX5*EF!$H4)*kgtoGg)</f>
        <v>86.193227498997032</v>
      </c>
      <c r="AF1379" s="28">
        <f>IF(('Activity data'!AY5*EF!$H4)*kgtoGg=0,"NO",('Activity data'!AY5*EF!$H4)*kgtoGg)</f>
        <v>87.798134594672661</v>
      </c>
      <c r="AG1379" s="28">
        <f>IF(('Activity data'!AZ5*EF!$H4)*kgtoGg=0,"NO",('Activity data'!AZ5*EF!$H4)*kgtoGg)</f>
        <v>89.583941656222265</v>
      </c>
      <c r="AH1379" s="28">
        <f>IF(('Activity data'!BA5*EF!$H4)*kgtoGg=0,"NO",('Activity data'!BA5*EF!$H4)*kgtoGg)</f>
        <v>91.200763160150927</v>
      </c>
      <c r="AI1379" s="28">
        <f>IF(('Activity data'!BB5*EF!$H4)*kgtoGg=0,"NO",('Activity data'!BB5*EF!$H4)*kgtoGg)</f>
        <v>92.880820410502608</v>
      </c>
      <c r="AJ1379" s="28">
        <f>IF(('Activity data'!BC5*EF!$H4)*kgtoGg=0,"NO",('Activity data'!BC5*EF!$H4)*kgtoGg)</f>
        <v>94.604791101897987</v>
      </c>
      <c r="AK1379" s="28">
        <f>IF(('Activity data'!BD5*EF!$H4)*kgtoGg=0,"NO",('Activity data'!BD5*EF!$H4)*kgtoGg)</f>
        <v>96.277227774537934</v>
      </c>
      <c r="AL1379" s="28">
        <f>IF(('Activity data'!BE5*EF!$H4)*kgtoGg=0,"NO",('Activity data'!BE5*EF!$H4)*kgtoGg)</f>
        <v>97.962340013130714</v>
      </c>
      <c r="AM1379" s="28">
        <f>IF(('Activity data'!BF5*EF!$H4)*kgtoGg=0,"NO",('Activity data'!BF5*EF!$H4)*kgtoGg)</f>
        <v>99.718934384145854</v>
      </c>
      <c r="AN1379" s="28">
        <f>IF(('Activity data'!BG5*EF!$H4)*kgtoGg=0,"NO",('Activity data'!BG5*EF!$H4)*kgtoGg)</f>
        <v>101.53369157216896</v>
      </c>
      <c r="AO1379" s="28">
        <f>IF(('Activity data'!BH5*EF!$H4)*kgtoGg=0,"NO",('Activity data'!BH5*EF!$H4)*kgtoGg)</f>
        <v>103.26697055041011</v>
      </c>
      <c r="AP1379" s="28">
        <f>IF(('Activity data'!BI5*EF!$H4)*kgtoGg=0,"NO",('Activity data'!BI5*EF!$H4)*kgtoGg)</f>
        <v>105.03686331998236</v>
      </c>
      <c r="AQ1379" s="28">
        <f>IF(('Activity data'!BJ5*EF!$H4)*kgtoGg=0,"NO",('Activity data'!BJ5*EF!$H4)*kgtoGg)</f>
        <v>106.8465596380065</v>
      </c>
      <c r="AR1379" s="28">
        <f>IF(('Activity data'!BK5*EF!$H4)*kgtoGg=0,"NO",('Activity data'!BK5*EF!$H4)*kgtoGg)</f>
        <v>108.78185329261875</v>
      </c>
      <c r="AS1379" s="28">
        <f>IF(('Activity data'!BL5*EF!$H4)*kgtoGg=0,"NO",('Activity data'!BL5*EF!$H4)*kgtoGg)</f>
        <v>110.73844641298153</v>
      </c>
      <c r="AT1379" s="28">
        <f>IF(('Activity data'!BM5*EF!$H4)*kgtoGg=0,"NO",('Activity data'!BM5*EF!$H4)*kgtoGg)</f>
        <v>111.90949092297359</v>
      </c>
      <c r="AU1379" s="28">
        <f>IF(('Activity data'!BN5*EF!$H4)*kgtoGg=0,"NO",('Activity data'!BN5*EF!$H4)*kgtoGg)</f>
        <v>113.03503781846446</v>
      </c>
      <c r="AV1379" s="28">
        <f>IF(('Activity data'!BO5*EF!$H4)*kgtoGg=0,"NO",('Activity data'!BO5*EF!$H4)*kgtoGg)</f>
        <v>114.28032069633981</v>
      </c>
      <c r="AW1379" s="28">
        <f>IF(('Activity data'!BP5*EF!$H4)*kgtoGg=0,"NO",('Activity data'!BP5*EF!$H4)*kgtoGg)</f>
        <v>115.48971420463774</v>
      </c>
    </row>
    <row r="1380" spans="1:49" x14ac:dyDescent="0.25">
      <c r="A1380" s="102" t="s">
        <v>961</v>
      </c>
      <c r="B1380" s="102"/>
      <c r="C1380" s="102"/>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8">
        <f>IF(('Activity data'!AD6*EF!$H5)*kgtoGg=0,"NO",('Activity data'!AD6*EF!$H5)*kgtoGg)</f>
        <v>57.842346035228502</v>
      </c>
      <c r="L1380" s="28">
        <f>IF(('Activity data'!AE6*EF!$H5)*kgtoGg=0,"NO",('Activity data'!AE6*EF!$H5)*kgtoGg)</f>
        <v>58.232900803215919</v>
      </c>
      <c r="M1380" s="28">
        <f>IF(('Activity data'!AF6*EF!$H5)*kgtoGg=0,"NO",('Activity data'!AF6*EF!$H5)*kgtoGg)</f>
        <v>58.574537295077718</v>
      </c>
      <c r="N1380" s="28">
        <f>IF(('Activity data'!AG6*EF!$H5)*kgtoGg=0,"NO",('Activity data'!AG6*EF!$H5)*kgtoGg)</f>
        <v>58.618728691413338</v>
      </c>
      <c r="O1380" s="28">
        <f>IF(('Activity data'!AH6*EF!$H5)*kgtoGg=0,"NO",('Activity data'!AH6*EF!$H5)*kgtoGg)</f>
        <v>58.6948440387294</v>
      </c>
      <c r="P1380" s="28">
        <f>IF(('Activity data'!AI6*EF!$H5)*kgtoGg=0,"NO",('Activity data'!AI6*EF!$H5)*kgtoGg)</f>
        <v>59.13157986196363</v>
      </c>
      <c r="Q1380" s="28">
        <f>IF(('Activity data'!AJ6*EF!$H5)*kgtoGg=0,"NO",('Activity data'!AJ6*EF!$H5)*kgtoGg)</f>
        <v>59.480808603326388</v>
      </c>
      <c r="R1380" s="28">
        <f>IF(('Activity data'!AK6*EF!$H5)*kgtoGg=0,"NO",('Activity data'!AK6*EF!$H5)*kgtoGg)</f>
        <v>59.483870661930055</v>
      </c>
      <c r="S1380" s="28">
        <f>IF(('Activity data'!AL6*EF!$H5)*kgtoGg=0,"NO",('Activity data'!AL6*EF!$H5)*kgtoGg)</f>
        <v>57.907919713248667</v>
      </c>
      <c r="T1380" s="28">
        <f>IF(('Activity data'!AM6*EF!$H5)*kgtoGg=0,"NO",('Activity data'!AM6*EF!$H5)*kgtoGg)</f>
        <v>58.669252891678312</v>
      </c>
      <c r="U1380" s="28">
        <f>IF(('Activity data'!AN6*EF!$H5)*kgtoGg=0,"NO",('Activity data'!AN6*EF!$H5)*kgtoGg)</f>
        <v>59.245569026964958</v>
      </c>
      <c r="V1380" s="28">
        <f>IF(('Activity data'!AO6*EF!$H5)*kgtoGg=0,"NO",('Activity data'!AO6*EF!$H5)*kgtoGg)</f>
        <v>59.78930966267238</v>
      </c>
      <c r="W1380" s="28">
        <f>IF(('Activity data'!AP6*EF!$H5)*kgtoGg=0,"NO",('Activity data'!AP6*EF!$H5)*kgtoGg)</f>
        <v>60.419792957585386</v>
      </c>
      <c r="X1380" s="28">
        <f>IF(('Activity data'!AQ6*EF!$H5)*kgtoGg=0,"NO",('Activity data'!AQ6*EF!$H5)*kgtoGg)</f>
        <v>61.323180044728431</v>
      </c>
      <c r="Y1380" s="28">
        <f>IF(('Activity data'!AR6*EF!$H5)*kgtoGg=0,"NO",('Activity data'!AR6*EF!$H5)*kgtoGg)</f>
        <v>62.263711118141018</v>
      </c>
      <c r="Z1380" s="28">
        <f>IF(('Activity data'!AS6*EF!$H5)*kgtoGg=0,"NO",('Activity data'!AS6*EF!$H5)*kgtoGg)</f>
        <v>63.285340174171438</v>
      </c>
      <c r="AA1380" s="28">
        <f>IF(('Activity data'!AT6*EF!$H5)*kgtoGg=0,"NO",('Activity data'!AT6*EF!$H5)*kgtoGg)</f>
        <v>64.214407388488411</v>
      </c>
      <c r="AB1380" s="28">
        <f>IF(('Activity data'!AU6*EF!$H5)*kgtoGg=0,"NO",('Activity data'!AU6*EF!$H5)*kgtoGg)</f>
        <v>65.278891743242767</v>
      </c>
      <c r="AC1380" s="28">
        <f>IF(('Activity data'!AV6*EF!$H5)*kgtoGg=0,"NO",('Activity data'!AV6*EF!$H5)*kgtoGg)</f>
        <v>66.508814699001078</v>
      </c>
      <c r="AD1380" s="28">
        <f>IF(('Activity data'!AW6*EF!$H5)*kgtoGg=0,"NO",('Activity data'!AW6*EF!$H5)*kgtoGg)</f>
        <v>67.692926258769063</v>
      </c>
      <c r="AE1380" s="28">
        <f>IF(('Activity data'!AX6*EF!$H5)*kgtoGg=0,"NO",('Activity data'!AX6*EF!$H5)*kgtoGg)</f>
        <v>68.938770253248308</v>
      </c>
      <c r="AF1380" s="28">
        <f>IF(('Activity data'!AY6*EF!$H5)*kgtoGg=0,"NO",('Activity data'!AY6*EF!$H5)*kgtoGg)</f>
        <v>70.222401517060504</v>
      </c>
      <c r="AG1380" s="28">
        <f>IF(('Activity data'!AZ6*EF!$H5)*kgtoGg=0,"NO",('Activity data'!AZ6*EF!$H5)*kgtoGg)</f>
        <v>71.650719568316063</v>
      </c>
      <c r="AH1380" s="28">
        <f>IF(('Activity data'!BA6*EF!$H5)*kgtoGg=0,"NO",('Activity data'!BA6*EF!$H5)*kgtoGg)</f>
        <v>72.943880173088047</v>
      </c>
      <c r="AI1380" s="28">
        <f>IF(('Activity data'!BB6*EF!$H5)*kgtoGg=0,"NO",('Activity data'!BB6*EF!$H5)*kgtoGg)</f>
        <v>74.287617774695377</v>
      </c>
      <c r="AJ1380" s="28">
        <f>IF(('Activity data'!BC6*EF!$H5)*kgtoGg=0,"NO",('Activity data'!BC6*EF!$H5)*kgtoGg)</f>
        <v>75.66647807342153</v>
      </c>
      <c r="AK1380" s="28">
        <f>IF(('Activity data'!BD6*EF!$H5)*kgtoGg=0,"NO",('Activity data'!BD6*EF!$H5)*kgtoGg)</f>
        <v>77.004120610818973</v>
      </c>
      <c r="AL1380" s="28">
        <f>IF(('Activity data'!BE6*EF!$H5)*kgtoGg=0,"NO",('Activity data'!BE6*EF!$H5)*kgtoGg)</f>
        <v>78.351901275705174</v>
      </c>
      <c r="AM1380" s="28">
        <f>IF(('Activity data'!BF6*EF!$H5)*kgtoGg=0,"NO",('Activity data'!BF6*EF!$H5)*kgtoGg)</f>
        <v>79.75685453346513</v>
      </c>
      <c r="AN1380" s="28">
        <f>IF(('Activity data'!BG6*EF!$H5)*kgtoGg=0,"NO",('Activity data'!BG6*EF!$H5)*kgtoGg)</f>
        <v>81.20832737513372</v>
      </c>
      <c r="AO1380" s="28">
        <f>IF(('Activity data'!BH6*EF!$H5)*kgtoGg=0,"NO",('Activity data'!BH6*EF!$H5)*kgtoGg)</f>
        <v>82.594632595774641</v>
      </c>
      <c r="AP1380" s="28">
        <f>IF(('Activity data'!BI6*EF!$H5)*kgtoGg=0,"NO",('Activity data'!BI6*EF!$H5)*kgtoGg)</f>
        <v>84.010222132851055</v>
      </c>
      <c r="AQ1380" s="28">
        <f>IF(('Activity data'!BJ6*EF!$H5)*kgtoGg=0,"NO",('Activity data'!BJ6*EF!$H5)*kgtoGg)</f>
        <v>85.457647206913492</v>
      </c>
      <c r="AR1380" s="28">
        <f>IF(('Activity data'!BK6*EF!$H5)*kgtoGg=0,"NO",('Activity data'!BK6*EF!$H5)*kgtoGg)</f>
        <v>87.005527110000244</v>
      </c>
      <c r="AS1380" s="28">
        <f>IF(('Activity data'!BL6*EF!$H5)*kgtoGg=0,"NO",('Activity data'!BL6*EF!$H5)*kgtoGg)</f>
        <v>88.570442678399701</v>
      </c>
      <c r="AT1380" s="28">
        <f>IF(('Activity data'!BM6*EF!$H5)*kgtoGg=0,"NO",('Activity data'!BM6*EF!$H5)*kgtoGg)</f>
        <v>89.50706346373471</v>
      </c>
      <c r="AU1380" s="28">
        <f>IF(('Activity data'!BN6*EF!$H5)*kgtoGg=0,"NO",('Activity data'!BN6*EF!$H5)*kgtoGg)</f>
        <v>90.407294503794148</v>
      </c>
      <c r="AV1380" s="28">
        <f>IF(('Activity data'!BO6*EF!$H5)*kgtoGg=0,"NO",('Activity data'!BO6*EF!$H5)*kgtoGg)</f>
        <v>91.403292364753156</v>
      </c>
      <c r="AW1380" s="28">
        <f>IF(('Activity data'!BP6*EF!$H5)*kgtoGg=0,"NO",('Activity data'!BP6*EF!$H5)*kgtoGg)</f>
        <v>92.370585313787814</v>
      </c>
    </row>
    <row r="1381" spans="1:49" x14ac:dyDescent="0.25">
      <c r="A1381" s="102" t="s">
        <v>961</v>
      </c>
      <c r="B1381" s="102"/>
      <c r="C1381" s="102"/>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8">
        <f>IF(('Activity data'!AD7*EF!$H6)*kgtoGg=0,"NO",('Activity data'!AD7*EF!$H6)*kgtoGg)</f>
        <v>26.152753652516633</v>
      </c>
      <c r="L1381" s="28">
        <f>IF(('Activity data'!AE7*EF!$H6)*kgtoGg=0,"NO",('Activity data'!AE7*EF!$H6)*kgtoGg)</f>
        <v>26.329338513524345</v>
      </c>
      <c r="M1381" s="28">
        <f>IF(('Activity data'!AF7*EF!$H6)*kgtoGg=0,"NO",('Activity data'!AF7*EF!$H6)*kgtoGg)</f>
        <v>26.483805536783215</v>
      </c>
      <c r="N1381" s="28">
        <f>IF(('Activity data'!AG7*EF!$H6)*kgtoGg=0,"NO",('Activity data'!AG7*EF!$H6)*kgtoGg)</f>
        <v>26.503786170024174</v>
      </c>
      <c r="O1381" s="28">
        <f>IF(('Activity data'!AH7*EF!$H6)*kgtoGg=0,"NO",('Activity data'!AH7*EF!$H6)*kgtoGg)</f>
        <v>26.538200851723289</v>
      </c>
      <c r="P1381" s="28">
        <f>IF(('Activity data'!AI7*EF!$H6)*kgtoGg=0,"NO",('Activity data'!AI7*EF!$H6)*kgtoGg)</f>
        <v>26.735665947439109</v>
      </c>
      <c r="Q1381" s="28">
        <f>IF(('Activity data'!AJ7*EF!$H6)*kgtoGg=0,"NO",('Activity data'!AJ7*EF!$H6)*kgtoGg)</f>
        <v>26.893565719271944</v>
      </c>
      <c r="R1381" s="28">
        <f>IF(('Activity data'!AK7*EF!$H6)*kgtoGg=0,"NO",('Activity data'!AK7*EF!$H6)*kgtoGg)</f>
        <v>26.894950193966014</v>
      </c>
      <c r="S1381" s="28">
        <f>IF(('Activity data'!AL7*EF!$H6)*kgtoGg=0,"NO",('Activity data'!AL7*EF!$H6)*kgtoGg)</f>
        <v>26.182402039293791</v>
      </c>
      <c r="T1381" s="28">
        <f>IF(('Activity data'!AM7*EF!$H6)*kgtoGg=0,"NO",('Activity data'!AM7*EF!$H6)*kgtoGg)</f>
        <v>26.526630107962227</v>
      </c>
      <c r="U1381" s="28">
        <f>IF(('Activity data'!AN7*EF!$H6)*kgtoGg=0,"NO",('Activity data'!AN7*EF!$H6)*kgtoGg)</f>
        <v>26.787204841617442</v>
      </c>
      <c r="V1381" s="28">
        <f>IF(('Activity data'!AO7*EF!$H6)*kgtoGg=0,"NO",('Activity data'!AO7*EF!$H6)*kgtoGg)</f>
        <v>27.033050936584925</v>
      </c>
      <c r="W1381" s="28">
        <f>IF(('Activity data'!AP7*EF!$H6)*kgtoGg=0,"NO",('Activity data'!AP7*EF!$H6)*kgtoGg)</f>
        <v>27.318116730490384</v>
      </c>
      <c r="X1381" s="28">
        <f>IF(('Activity data'!AQ7*EF!$H6)*kgtoGg=0,"NO",('Activity data'!AQ7*EF!$H6)*kgtoGg)</f>
        <v>27.72657284547105</v>
      </c>
      <c r="Y1381" s="28">
        <f>IF(('Activity data'!AR7*EF!$H6)*kgtoGg=0,"NO",('Activity data'!AR7*EF!$H6)*kgtoGg)</f>
        <v>28.151823188023119</v>
      </c>
      <c r="Z1381" s="28">
        <f>IF(('Activity data'!AS7*EF!$H6)*kgtoGg=0,"NO",('Activity data'!AS7*EF!$H6)*kgtoGg)</f>
        <v>28.61374105370485</v>
      </c>
      <c r="AA1381" s="28">
        <f>IF(('Activity data'!AT7*EF!$H6)*kgtoGg=0,"NO",('Activity data'!AT7*EF!$H6)*kgtoGg)</f>
        <v>29.033808143789049</v>
      </c>
      <c r="AB1381" s="28">
        <f>IF(('Activity data'!AU7*EF!$H6)*kgtoGg=0,"NO",('Activity data'!AU7*EF!$H6)*kgtoGg)</f>
        <v>29.515102541493693</v>
      </c>
      <c r="AC1381" s="28">
        <f>IF(('Activity data'!AV7*EF!$H6)*kgtoGg=0,"NO",('Activity data'!AV7*EF!$H6)*kgtoGg)</f>
        <v>30.071198106046545</v>
      </c>
      <c r="AD1381" s="28">
        <f>IF(('Activity data'!AW7*EF!$H6)*kgtoGg=0,"NO",('Activity data'!AW7*EF!$H6)*kgtoGg)</f>
        <v>30.606580573086323</v>
      </c>
      <c r="AE1381" s="28">
        <f>IF(('Activity data'!AX7*EF!$H6)*kgtoGg=0,"NO",('Activity data'!AX7*EF!$H6)*kgtoGg)</f>
        <v>31.169874652777334</v>
      </c>
      <c r="AF1381" s="28">
        <f>IF(('Activity data'!AY7*EF!$H6)*kgtoGg=0,"NO",('Activity data'!AY7*EF!$H6)*kgtoGg)</f>
        <v>31.750253813102248</v>
      </c>
      <c r="AG1381" s="28">
        <f>IF(('Activity data'!AZ7*EF!$H6)*kgtoGg=0,"NO",('Activity data'!AZ7*EF!$H6)*kgtoGg)</f>
        <v>32.396051445673713</v>
      </c>
      <c r="AH1381" s="28">
        <f>IF(('Activity data'!BA7*EF!$H6)*kgtoGg=0,"NO",('Activity data'!BA7*EF!$H6)*kgtoGg)</f>
        <v>32.980739188268778</v>
      </c>
      <c r="AI1381" s="28">
        <f>IF(('Activity data'!BB7*EF!$H6)*kgtoGg=0,"NO",('Activity data'!BB7*EF!$H6)*kgtoGg)</f>
        <v>33.588294740165949</v>
      </c>
      <c r="AJ1381" s="28">
        <f>IF(('Activity data'!BC7*EF!$H6)*kgtoGg=0,"NO",('Activity data'!BC7*EF!$H6)*kgtoGg)</f>
        <v>34.211730616917187</v>
      </c>
      <c r="AK1381" s="28">
        <f>IF(('Activity data'!BD7*EF!$H6)*kgtoGg=0,"NO",('Activity data'!BD7*EF!$H6)*kgtoGg)</f>
        <v>34.816530355405931</v>
      </c>
      <c r="AL1381" s="28">
        <f>IF(('Activity data'!BE7*EF!$H6)*kgtoGg=0,"NO",('Activity data'!BE7*EF!$H6)*kgtoGg)</f>
        <v>35.42591393201478</v>
      </c>
      <c r="AM1381" s="28">
        <f>IF(('Activity data'!BF7*EF!$H6)*kgtoGg=0,"NO",('Activity data'!BF7*EF!$H6)*kgtoGg)</f>
        <v>36.061147441062253</v>
      </c>
      <c r="AN1381" s="28">
        <f>IF(('Activity data'!BG7*EF!$H6)*kgtoGg=0,"NO",('Activity data'!BG7*EF!$H6)*kgtoGg)</f>
        <v>36.717414246671382</v>
      </c>
      <c r="AO1381" s="28">
        <f>IF(('Activity data'!BH7*EF!$H6)*kgtoGg=0,"NO",('Activity data'!BH7*EF!$H6)*kgtoGg)</f>
        <v>37.344216259517445</v>
      </c>
      <c r="AP1381" s="28">
        <f>IF(('Activity data'!BI7*EF!$H6)*kgtoGg=0,"NO",('Activity data'!BI7*EF!$H6)*kgtoGg)</f>
        <v>37.984258840323065</v>
      </c>
      <c r="AQ1381" s="28">
        <f>IF(('Activity data'!BJ7*EF!$H6)*kgtoGg=0,"NO",('Activity data'!BJ7*EF!$H6)*kgtoGg)</f>
        <v>38.638695494212854</v>
      </c>
      <c r="AR1381" s="28">
        <f>IF(('Activity data'!BK7*EF!$H6)*kgtoGg=0,"NO",('Activity data'!BK7*EF!$H6)*kgtoGg)</f>
        <v>39.338551647427231</v>
      </c>
      <c r="AS1381" s="28">
        <f>IF(('Activity data'!BL7*EF!$H6)*kgtoGg=0,"NO",('Activity data'!BL7*EF!$H6)*kgtoGg)</f>
        <v>40.046110281415082</v>
      </c>
      <c r="AT1381" s="28">
        <f>IF(('Activity data'!BM7*EF!$H6)*kgtoGg=0,"NO",('Activity data'!BM7*EF!$H6)*kgtoGg)</f>
        <v>40.469592632040602</v>
      </c>
      <c r="AU1381" s="28">
        <f>IF(('Activity data'!BN7*EF!$H6)*kgtoGg=0,"NO",('Activity data'!BN7*EF!$H6)*kgtoGg)</f>
        <v>40.876621776513481</v>
      </c>
      <c r="AV1381" s="28">
        <f>IF(('Activity data'!BO7*EF!$H6)*kgtoGg=0,"NO",('Activity data'!BO7*EF!$H6)*kgtoGg)</f>
        <v>41.326950791180863</v>
      </c>
      <c r="AW1381" s="28">
        <f>IF(('Activity data'!BP7*EF!$H6)*kgtoGg=0,"NO",('Activity data'!BP7*EF!$H6)*kgtoGg)</f>
        <v>41.764301208996081</v>
      </c>
    </row>
    <row r="1382" spans="1:49" x14ac:dyDescent="0.25">
      <c r="A1382" s="102" t="s">
        <v>961</v>
      </c>
      <c r="B1382" s="102"/>
      <c r="C1382" s="102"/>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8">
        <f>IF(('Activity data'!AD8*EF!$H7)*kgtoGg=0,"NO",('Activity data'!AD8*EF!$H7)*kgtoGg)</f>
        <v>465.52056336079949</v>
      </c>
      <c r="L1382" s="28">
        <f>IF(('Activity data'!AE8*EF!$H7)*kgtoGg=0,"NO",('Activity data'!AE8*EF!$H7)*kgtoGg)</f>
        <v>463.15049709319385</v>
      </c>
      <c r="M1382" s="28">
        <f>IF(('Activity data'!AF8*EF!$H7)*kgtoGg=0,"NO",('Activity data'!AF8*EF!$H7)*kgtoGg)</f>
        <v>458.82469207652616</v>
      </c>
      <c r="N1382" s="28">
        <f>IF(('Activity data'!AG8*EF!$H7)*kgtoGg=0,"NO",('Activity data'!AG8*EF!$H7)*kgtoGg)</f>
        <v>446.98374150991339</v>
      </c>
      <c r="O1382" s="28">
        <f>IF(('Activity data'!AH8*EF!$H7)*kgtoGg=0,"NO",('Activity data'!AH8*EF!$H7)*kgtoGg)</f>
        <v>435.61531631652565</v>
      </c>
      <c r="P1382" s="28">
        <f>IF(('Activity data'!AI8*EF!$H7)*kgtoGg=0,"NO",('Activity data'!AI8*EF!$H7)*kgtoGg)</f>
        <v>431.8940518676672</v>
      </c>
      <c r="Q1382" s="28">
        <f>IF(('Activity data'!AJ8*EF!$H7)*kgtoGg=0,"NO",('Activity data'!AJ8*EF!$H7)*kgtoGg)</f>
        <v>425.88381386723944</v>
      </c>
      <c r="R1382" s="28">
        <f>IF(('Activity data'!AK8*EF!$H7)*kgtoGg=0,"NO",('Activity data'!AK8*EF!$H7)*kgtoGg)</f>
        <v>412.37997971855566</v>
      </c>
      <c r="S1382" s="28">
        <f>IF(('Activity data'!AL8*EF!$H7)*kgtoGg=0,"NO",('Activity data'!AL8*EF!$H7)*kgtoGg)</f>
        <v>367.07322936568551</v>
      </c>
      <c r="T1382" s="28">
        <f>IF(('Activity data'!AM8*EF!$H7)*kgtoGg=0,"NO",('Activity data'!AM8*EF!$H7)*kgtoGg)</f>
        <v>376.04260475427378</v>
      </c>
      <c r="U1382" s="28">
        <f>IF(('Activity data'!AN8*EF!$H7)*kgtoGg=0,"NO",('Activity data'!AN8*EF!$H7)*kgtoGg)</f>
        <v>380.88720014756319</v>
      </c>
      <c r="V1382" s="28">
        <f>IF(('Activity data'!AO8*EF!$H7)*kgtoGg=0,"NO",('Activity data'!AO8*EF!$H7)*kgtoGg)</f>
        <v>384.73781572909445</v>
      </c>
      <c r="W1382" s="28">
        <f>IF(('Activity data'!AP8*EF!$H7)*kgtoGg=0,"NO",('Activity data'!AP8*EF!$H7)*kgtoGg)</f>
        <v>389.91279538090225</v>
      </c>
      <c r="X1382" s="28">
        <f>IF(('Activity data'!AQ8*EF!$H7)*kgtoGg=0,"NO",('Activity data'!AQ8*EF!$H7)*kgtoGg)</f>
        <v>399.84804761715691</v>
      </c>
      <c r="Y1382" s="28">
        <f>IF(('Activity data'!AR8*EF!$H7)*kgtoGg=0,"NO",('Activity data'!AR8*EF!$H7)*kgtoGg)</f>
        <v>410.72195142971174</v>
      </c>
      <c r="Z1382" s="28">
        <f>IF(('Activity data'!AS8*EF!$H7)*kgtoGg=0,"NO",('Activity data'!AS8*EF!$H7)*kgtoGg)</f>
        <v>422.57021057713075</v>
      </c>
      <c r="AA1382" s="28">
        <f>IF(('Activity data'!AT8*EF!$H7)*kgtoGg=0,"NO",('Activity data'!AT8*EF!$H7)*kgtoGg)</f>
        <v>432.23102816031104</v>
      </c>
      <c r="AB1382" s="28">
        <f>IF(('Activity data'!AU8*EF!$H7)*kgtoGg=0,"NO",('Activity data'!AU8*EF!$H7)*kgtoGg)</f>
        <v>443.82757951116929</v>
      </c>
      <c r="AC1382" s="28">
        <f>IF(('Activity data'!AV8*EF!$H7)*kgtoGg=0,"NO",('Activity data'!AV8*EF!$H7)*kgtoGg)</f>
        <v>457.79588984245851</v>
      </c>
      <c r="AD1382" s="28">
        <f>IF(('Activity data'!AW8*EF!$H7)*kgtoGg=0,"NO",('Activity data'!AW8*EF!$H7)*kgtoGg)</f>
        <v>466.99721608024504</v>
      </c>
      <c r="AE1382" s="28">
        <f>IF(('Activity data'!AX8*EF!$H7)*kgtoGg=0,"NO",('Activity data'!AX8*EF!$H7)*kgtoGg)</f>
        <v>476.39605277563965</v>
      </c>
      <c r="AF1382" s="28">
        <f>IF(('Activity data'!AY8*EF!$H7)*kgtoGg=0,"NO",('Activity data'!AY8*EF!$H7)*kgtoGg)</f>
        <v>485.55434160967809</v>
      </c>
      <c r="AG1382" s="28">
        <f>IF(('Activity data'!AZ8*EF!$H7)*kgtoGg=0,"NO",('Activity data'!AZ8*EF!$H7)*kgtoGg)</f>
        <v>496.149752250235</v>
      </c>
      <c r="AH1382" s="28">
        <f>IF(('Activity data'!BA8*EF!$H7)*kgtoGg=0,"NO",('Activity data'!BA8*EF!$H7)*kgtoGg)</f>
        <v>503.70010251464106</v>
      </c>
      <c r="AI1382" s="28">
        <f>IF(('Activity data'!BB8*EF!$H7)*kgtoGg=0,"NO",('Activity data'!BB8*EF!$H7)*kgtoGg)</f>
        <v>511.6542791142947</v>
      </c>
      <c r="AJ1382" s="28">
        <f>IF(('Activity data'!BC8*EF!$H7)*kgtoGg=0,"NO",('Activity data'!BC8*EF!$H7)*kgtoGg)</f>
        <v>519.26571108374344</v>
      </c>
      <c r="AK1382" s="28">
        <f>IF(('Activity data'!BD8*EF!$H7)*kgtoGg=0,"NO",('Activity data'!BD8*EF!$H7)*kgtoGg)</f>
        <v>525.41502165866484</v>
      </c>
      <c r="AL1382" s="28">
        <f>IF(('Activity data'!BE8*EF!$H7)*kgtoGg=0,"NO",('Activity data'!BE8*EF!$H7)*kgtoGg)</f>
        <v>530.88759799604804</v>
      </c>
      <c r="AM1382" s="28">
        <f>IF(('Activity data'!BF8*EF!$H7)*kgtoGg=0,"NO",('Activity data'!BF8*EF!$H7)*kgtoGg)</f>
        <v>536.33560316463638</v>
      </c>
      <c r="AN1382" s="28">
        <f>IF(('Activity data'!BG8*EF!$H7)*kgtoGg=0,"NO",('Activity data'!BG8*EF!$H7)*kgtoGg)</f>
        <v>544.72092714693053</v>
      </c>
      <c r="AO1382" s="28">
        <f>IF(('Activity data'!BH8*EF!$H7)*kgtoGg=0,"NO",('Activity data'!BH8*EF!$H7)*kgtoGg)</f>
        <v>551.54981511359176</v>
      </c>
      <c r="AP1382" s="28">
        <f>IF(('Activity data'!BI8*EF!$H7)*kgtoGg=0,"NO",('Activity data'!BI8*EF!$H7)*kgtoGg)</f>
        <v>558.10716361528034</v>
      </c>
      <c r="AQ1382" s="28">
        <f>IF(('Activity data'!BJ8*EF!$H7)*kgtoGg=0,"NO",('Activity data'!BJ8*EF!$H7)*kgtoGg)</f>
        <v>564.41449245205456</v>
      </c>
      <c r="AR1382" s="28">
        <f>IF(('Activity data'!BK8*EF!$H7)*kgtoGg=0,"NO",('Activity data'!BK8*EF!$H7)*kgtoGg)</f>
        <v>571.30711836389287</v>
      </c>
      <c r="AS1382" s="28">
        <f>IF(('Activity data'!BL8*EF!$H7)*kgtoGg=0,"NO",('Activity data'!BL8*EF!$H7)*kgtoGg)</f>
        <v>578.05837043678457</v>
      </c>
      <c r="AT1382" s="28">
        <f>IF(('Activity data'!BM8*EF!$H7)*kgtoGg=0,"NO",('Activity data'!BM8*EF!$H7)*kgtoGg)</f>
        <v>576.66741382248574</v>
      </c>
      <c r="AU1382" s="28">
        <f>IF(('Activity data'!BN8*EF!$H7)*kgtoGg=0,"NO",('Activity data'!BN8*EF!$H7)*kgtoGg)</f>
        <v>574.48483101134718</v>
      </c>
      <c r="AV1382" s="28">
        <f>IF(('Activity data'!BO8*EF!$H7)*kgtoGg=0,"NO",('Activity data'!BO8*EF!$H7)*kgtoGg)</f>
        <v>573.04217473429298</v>
      </c>
      <c r="AW1382" s="28">
        <f>IF(('Activity data'!BP8*EF!$H7)*kgtoGg=0,"NO",('Activity data'!BP8*EF!$H7)*kgtoGg)</f>
        <v>570.89539860553714</v>
      </c>
    </row>
    <row r="1383" spans="1:49" x14ac:dyDescent="0.25">
      <c r="A1383" s="102" t="s">
        <v>961</v>
      </c>
      <c r="B1383" s="102"/>
      <c r="C1383" s="102"/>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8">
        <f>IF(('Activity data'!AD9*EF!$H8)*kgtoGg=0,"NO",('Activity data'!AD9*EF!$H8)*kgtoGg)</f>
        <v>327.80986528142375</v>
      </c>
      <c r="L1383" s="28">
        <f>IF(('Activity data'!AE9*EF!$H8)*kgtoGg=0,"NO",('Activity data'!AE9*EF!$H8)*kgtoGg)</f>
        <v>326.14091407917653</v>
      </c>
      <c r="M1383" s="28">
        <f>IF(('Activity data'!AF9*EF!$H8)*kgtoGg=0,"NO",('Activity data'!AF9*EF!$H8)*kgtoGg)</f>
        <v>323.0947724662044</v>
      </c>
      <c r="N1383" s="28">
        <f>IF(('Activity data'!AG9*EF!$H8)*kgtoGg=0,"NO",('Activity data'!AG9*EF!$H8)*kgtoGg)</f>
        <v>314.75662219842133</v>
      </c>
      <c r="O1383" s="28">
        <f>IF(('Activity data'!AH9*EF!$H8)*kgtoGg=0,"NO",('Activity data'!AH9*EF!$H8)*kgtoGg)</f>
        <v>306.75121443683565</v>
      </c>
      <c r="P1383" s="28">
        <f>IF(('Activity data'!AI9*EF!$H8)*kgtoGg=0,"NO",('Activity data'!AI9*EF!$H8)*kgtoGg)</f>
        <v>304.13077767492297</v>
      </c>
      <c r="Q1383" s="28">
        <f>IF(('Activity data'!AJ9*EF!$H8)*kgtoGg=0,"NO",('Activity data'!AJ9*EF!$H8)*kgtoGg)</f>
        <v>299.89849350898703</v>
      </c>
      <c r="R1383" s="28">
        <f>IF(('Activity data'!AK9*EF!$H8)*kgtoGg=0,"NO",('Activity data'!AK9*EF!$H8)*kgtoGg)</f>
        <v>290.38937532717256</v>
      </c>
      <c r="S1383" s="28">
        <f>IF(('Activity data'!AL9*EF!$H8)*kgtoGg=0,"NO",('Activity data'!AL9*EF!$H8)*kgtoGg)</f>
        <v>258.48530728280883</v>
      </c>
      <c r="T1383" s="28">
        <f>IF(('Activity data'!AM9*EF!$H8)*kgtoGg=0,"NO",('Activity data'!AM9*EF!$H8)*kgtoGg)</f>
        <v>264.80135424014338</v>
      </c>
      <c r="U1383" s="28">
        <f>IF(('Activity data'!AN9*EF!$H8)*kgtoGg=0,"NO",('Activity data'!AN9*EF!$H8)*kgtoGg)</f>
        <v>268.21281720915158</v>
      </c>
      <c r="V1383" s="28">
        <f>IF(('Activity data'!AO9*EF!$H8)*kgtoGg=0,"NO",('Activity data'!AO9*EF!$H8)*kgtoGg)</f>
        <v>270.92434033912764</v>
      </c>
      <c r="W1383" s="28">
        <f>IF(('Activity data'!AP9*EF!$H8)*kgtoGg=0,"NO",('Activity data'!AP9*EF!$H8)*kgtoGg)</f>
        <v>274.56845300784875</v>
      </c>
      <c r="X1383" s="28">
        <f>IF(('Activity data'!AQ9*EF!$H8)*kgtoGg=0,"NO",('Activity data'!AQ9*EF!$H8)*kgtoGg)</f>
        <v>281.56465028341216</v>
      </c>
      <c r="Y1383" s="28">
        <f>IF(('Activity data'!AR9*EF!$H8)*kgtoGg=0,"NO",('Activity data'!AR9*EF!$H8)*kgtoGg)</f>
        <v>289.22182640930129</v>
      </c>
      <c r="Z1383" s="28">
        <f>IF(('Activity data'!AS9*EF!$H8)*kgtoGg=0,"NO",('Activity data'!AS9*EF!$H8)*kgtoGg)</f>
        <v>297.56512322715759</v>
      </c>
      <c r="AA1383" s="28">
        <f>IF(('Activity data'!AT9*EF!$H8)*kgtoGg=0,"NO",('Activity data'!AT9*EF!$H8)*kgtoGg)</f>
        <v>304.36806934749092</v>
      </c>
      <c r="AB1383" s="28">
        <f>IF(('Activity data'!AU9*EF!$H8)*kgtoGg=0,"NO",('Activity data'!AU9*EF!$H8)*kgtoGg)</f>
        <v>312.53411878816331</v>
      </c>
      <c r="AC1383" s="28">
        <f>IF(('Activity data'!AV9*EF!$H8)*kgtoGg=0,"NO",('Activity data'!AV9*EF!$H8)*kgtoGg)</f>
        <v>322.37031140412756</v>
      </c>
      <c r="AD1383" s="28">
        <f>IF(('Activity data'!AW9*EF!$H8)*kgtoGg=0,"NO",('Activity data'!AW9*EF!$H8)*kgtoGg)</f>
        <v>328.8496933086418</v>
      </c>
      <c r="AE1383" s="28">
        <f>IF(('Activity data'!AX9*EF!$H8)*kgtoGg=0,"NO",('Activity data'!AX9*EF!$H8)*kgtoGg)</f>
        <v>335.46815795535053</v>
      </c>
      <c r="AF1383" s="28">
        <f>IF(('Activity data'!AY9*EF!$H8)*kgtoGg=0,"NO",('Activity data'!AY9*EF!$H8)*kgtoGg)</f>
        <v>341.91723381833816</v>
      </c>
      <c r="AG1383" s="28">
        <f>IF(('Activity data'!AZ9*EF!$H8)*kgtoGg=0,"NO",('Activity data'!AZ9*EF!$H8)*kgtoGg)</f>
        <v>349.37830086467267</v>
      </c>
      <c r="AH1383" s="28">
        <f>IF(('Activity data'!BA9*EF!$H8)*kgtoGg=0,"NO",('Activity data'!BA9*EF!$H8)*kgtoGg)</f>
        <v>354.6950999446828</v>
      </c>
      <c r="AI1383" s="28">
        <f>IF(('Activity data'!BB9*EF!$H8)*kgtoGg=0,"NO",('Activity data'!BB9*EF!$H8)*kgtoGg)</f>
        <v>360.29626510209863</v>
      </c>
      <c r="AJ1383" s="28">
        <f>IF(('Activity data'!BC9*EF!$H8)*kgtoGg=0,"NO",('Activity data'!BC9*EF!$H8)*kgtoGg)</f>
        <v>365.65607664402177</v>
      </c>
      <c r="AK1383" s="28">
        <f>IF(('Activity data'!BD9*EF!$H8)*kgtoGg=0,"NO",('Activity data'!BD9*EF!$H8)*kgtoGg)</f>
        <v>369.98629281446455</v>
      </c>
      <c r="AL1383" s="28">
        <f>IF(('Activity data'!BE9*EF!$H8)*kgtoGg=0,"NO",('Activity data'!BE9*EF!$H8)*kgtoGg)</f>
        <v>373.83996685831022</v>
      </c>
      <c r="AM1383" s="28">
        <f>IF(('Activity data'!BF9*EF!$H8)*kgtoGg=0,"NO",('Activity data'!BF9*EF!$H8)*kgtoGg)</f>
        <v>377.67633839789198</v>
      </c>
      <c r="AN1383" s="28">
        <f>IF(('Activity data'!BG9*EF!$H8)*kgtoGg=0,"NO",('Activity data'!BG9*EF!$H8)*kgtoGg)</f>
        <v>383.58110854409597</v>
      </c>
      <c r="AO1383" s="28">
        <f>IF(('Activity data'!BH9*EF!$H8)*kgtoGg=0,"NO",('Activity data'!BH9*EF!$H8)*kgtoGg)</f>
        <v>388.38986893098826</v>
      </c>
      <c r="AP1383" s="28">
        <f>IF(('Activity data'!BI9*EF!$H8)*kgtoGg=0,"NO",('Activity data'!BI9*EF!$H8)*kgtoGg)</f>
        <v>393.00741689368874</v>
      </c>
      <c r="AQ1383" s="28">
        <f>IF(('Activity data'!BJ9*EF!$H8)*kgtoGg=0,"NO",('Activity data'!BJ9*EF!$H8)*kgtoGg)</f>
        <v>397.44890622627946</v>
      </c>
      <c r="AR1383" s="28">
        <f>IF(('Activity data'!BK9*EF!$H8)*kgtoGg=0,"NO",('Activity data'!BK9*EF!$H8)*kgtoGg)</f>
        <v>402.30254954395133</v>
      </c>
      <c r="AS1383" s="28">
        <f>IF(('Activity data'!BL9*EF!$H8)*kgtoGg=0,"NO",('Activity data'!BL9*EF!$H8)*kgtoGg)</f>
        <v>407.05664035471597</v>
      </c>
      <c r="AT1383" s="28">
        <f>IF(('Activity data'!BM9*EF!$H8)*kgtoGg=0,"NO",('Activity data'!BM9*EF!$H8)*kgtoGg)</f>
        <v>406.07715773626023</v>
      </c>
      <c r="AU1383" s="28">
        <f>IF(('Activity data'!BN9*EF!$H8)*kgtoGg=0,"NO",('Activity data'!BN9*EF!$H8)*kgtoGg)</f>
        <v>404.54022847126805</v>
      </c>
      <c r="AV1383" s="28">
        <f>IF(('Activity data'!BO9*EF!$H8)*kgtoGg=0,"NO",('Activity data'!BO9*EF!$H8)*kgtoGg)</f>
        <v>403.52434002927453</v>
      </c>
      <c r="AW1383" s="28">
        <f>IF(('Activity data'!BP9*EF!$H8)*kgtoGg=0,"NO",('Activity data'!BP9*EF!$H8)*kgtoGg)</f>
        <v>402.01262508272896</v>
      </c>
    </row>
    <row r="1384" spans="1:49" x14ac:dyDescent="0.25">
      <c r="A1384" s="102" t="s">
        <v>961</v>
      </c>
      <c r="B1384" s="102"/>
      <c r="C1384" s="102"/>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8">
        <f>IF(('Activity data'!AD10*EF!$H9)*kgtoGg=0,"NO",('Activity data'!AD10*EF!$H9)*kgtoGg)</f>
        <v>31.983141266454435</v>
      </c>
      <c r="L1384" s="28">
        <f>IF(('Activity data'!AE10*EF!$H9)*kgtoGg=0,"NO",('Activity data'!AE10*EF!$H9)*kgtoGg)</f>
        <v>33.176305480896438</v>
      </c>
      <c r="M1384" s="28">
        <f>IF(('Activity data'!AF10*EF!$H9)*kgtoGg=0,"NO",('Activity data'!AF10*EF!$H9)*kgtoGg)</f>
        <v>34.248209769984797</v>
      </c>
      <c r="N1384" s="28">
        <f>IF(('Activity data'!AG10*EF!$H9)*kgtoGg=0,"NO",('Activity data'!AG10*EF!$H9)*kgtoGg)</f>
        <v>34.751225456913808</v>
      </c>
      <c r="O1384" s="28">
        <f>IF(('Activity data'!AH10*EF!$H9)*kgtoGg=0,"NO",('Activity data'!AH10*EF!$H9)*kgtoGg)</f>
        <v>35.261937727399058</v>
      </c>
      <c r="P1384" s="28">
        <f>IF(('Activity data'!AI10*EF!$H9)*kgtoGg=0,"NO",('Activity data'!AI10*EF!$H9)*kgtoGg)</f>
        <v>36.389263474395328</v>
      </c>
      <c r="Q1384" s="28">
        <f>IF(('Activity data'!AJ10*EF!$H9)*kgtoGg=0,"NO",('Activity data'!AJ10*EF!$H9)*kgtoGg)</f>
        <v>37.34016796495505</v>
      </c>
      <c r="R1384" s="28">
        <f>IF(('Activity data'!AK10*EF!$H9)*kgtoGg=0,"NO",('Activity data'!AK10*EF!$H9)*kgtoGg)</f>
        <v>37.617758099633058</v>
      </c>
      <c r="S1384" s="28">
        <f>IF(('Activity data'!AL10*EF!$H9)*kgtoGg=0,"NO",('Activity data'!AL10*EF!$H9)*kgtoGg)</f>
        <v>34.833912391780601</v>
      </c>
      <c r="T1384" s="28">
        <f>IF(('Activity data'!AM10*EF!$H9)*kgtoGg=0,"NO",('Activity data'!AM10*EF!$H9)*kgtoGg)</f>
        <v>36.540465751152517</v>
      </c>
      <c r="U1384" s="28">
        <f>IF(('Activity data'!AN10*EF!$H9)*kgtoGg=0,"NO",('Activity data'!AN10*EF!$H9)*kgtoGg)</f>
        <v>37.886226913175705</v>
      </c>
      <c r="V1384" s="28">
        <f>IF(('Activity data'!AO10*EF!$H9)*kgtoGg=0,"NO",('Activity data'!AO10*EF!$H9)*kgtoGg)</f>
        <v>39.162499493928941</v>
      </c>
      <c r="W1384" s="28">
        <f>IF(('Activity data'!AP10*EF!$H9)*kgtoGg=0,"NO",('Activity data'!AP10*EF!$H9)*kgtoGg)</f>
        <v>40.604769600531014</v>
      </c>
      <c r="X1384" s="28">
        <f>IF(('Activity data'!AQ10*EF!$H9)*kgtoGg=0,"NO",('Activity data'!AQ10*EF!$H9)*kgtoGg)</f>
        <v>42.589435911948605</v>
      </c>
      <c r="Y1384" s="28">
        <f>IF(('Activity data'!AR10*EF!$H9)*kgtoGg=0,"NO",('Activity data'!AR10*EF!$H9)*kgtoGg)</f>
        <v>44.735714463964371</v>
      </c>
      <c r="Z1384" s="28">
        <f>IF(('Activity data'!AS10*EF!$H9)*kgtoGg=0,"NO",('Activity data'!AS10*EF!$H9)*kgtoGg)</f>
        <v>47.056021695269649</v>
      </c>
      <c r="AA1384" s="28">
        <f>IF(('Activity data'!AT10*EF!$H9)*kgtoGg=0,"NO",('Activity data'!AT10*EF!$H9)*kgtoGg)</f>
        <v>49.199405224000948</v>
      </c>
      <c r="AB1384" s="28">
        <f>IF(('Activity data'!AU10*EF!$H9)*kgtoGg=0,"NO",('Activity data'!AU10*EF!$H9)*kgtoGg)</f>
        <v>51.630970984411839</v>
      </c>
      <c r="AC1384" s="28">
        <f>IF(('Activity data'!AV10*EF!$H9)*kgtoGg=0,"NO",('Activity data'!AV10*EF!$H9)*kgtoGg)</f>
        <v>54.419025309229532</v>
      </c>
      <c r="AD1384" s="28">
        <f>IF(('Activity data'!AW10*EF!$H9)*kgtoGg=0,"NO",('Activity data'!AW10*EF!$H9)*kgtoGg)</f>
        <v>57.347688713152579</v>
      </c>
      <c r="AE1384" s="28">
        <f>IF(('Activity data'!AX10*EF!$H9)*kgtoGg=0,"NO",('Activity data'!AX10*EF!$H9)*kgtoGg)</f>
        <v>60.439332031947394</v>
      </c>
      <c r="AF1384" s="28">
        <f>IF(('Activity data'!AY10*EF!$H9)*kgtoGg=0,"NO",('Activity data'!AY10*EF!$H9)*kgtoGg)</f>
        <v>63.646606559627351</v>
      </c>
      <c r="AG1384" s="28">
        <f>IF(('Activity data'!AZ10*EF!$H9)*kgtoGg=0,"NO",('Activity data'!AZ10*EF!$H9)*kgtoGg)</f>
        <v>67.201805489878737</v>
      </c>
      <c r="AH1384" s="28">
        <f>IF(('Activity data'!BA10*EF!$H9)*kgtoGg=0,"NO",('Activity data'!BA10*EF!$H9)*kgtoGg)</f>
        <v>70.505749505379512</v>
      </c>
      <c r="AI1384" s="28">
        <f>IF(('Activity data'!BB10*EF!$H9)*kgtoGg=0,"NO",('Activity data'!BB10*EF!$H9)*kgtoGg)</f>
        <v>74.024544515923196</v>
      </c>
      <c r="AJ1384" s="28">
        <f>IF(('Activity data'!BC10*EF!$H9)*kgtoGg=0,"NO",('Activity data'!BC10*EF!$H9)*kgtoGg)</f>
        <v>77.661626466040673</v>
      </c>
      <c r="AK1384" s="28">
        <f>IF(('Activity data'!BD10*EF!$H9)*kgtoGg=0,"NO",('Activity data'!BD10*EF!$H9)*kgtoGg)</f>
        <v>81.248794021185191</v>
      </c>
      <c r="AL1384" s="28">
        <f>IF(('Activity data'!BE10*EF!$H9)*kgtoGg=0,"NO",('Activity data'!BE10*EF!$H9)*kgtoGg)</f>
        <v>84.899176335457057</v>
      </c>
      <c r="AM1384" s="28">
        <f>IF(('Activity data'!BF10*EF!$H9)*kgtoGg=0,"NO",('Activity data'!BF10*EF!$H9)*kgtoGg)</f>
        <v>88.7200879854786</v>
      </c>
      <c r="AN1384" s="28">
        <f>IF(('Activity data'!BG10*EF!$H9)*kgtoGg=0,"NO",('Activity data'!BG10*EF!$H9)*kgtoGg)</f>
        <v>92.640415904854649</v>
      </c>
      <c r="AO1384" s="28">
        <f>IF(('Activity data'!BH10*EF!$H9)*kgtoGg=0,"NO",('Activity data'!BH10*EF!$H9)*kgtoGg)</f>
        <v>96.448102767830918</v>
      </c>
      <c r="AP1384" s="28">
        <f>IF(('Activity data'!BI10*EF!$H9)*kgtoGg=0,"NO",('Activity data'!BI10*EF!$H9)*kgtoGg)</f>
        <v>100.35888492083421</v>
      </c>
      <c r="AQ1384" s="28">
        <f>IF(('Activity data'!BJ10*EF!$H9)*kgtoGg=0,"NO",('Activity data'!BJ10*EF!$H9)*kgtoGg)</f>
        <v>104.38012848298382</v>
      </c>
      <c r="AR1384" s="28">
        <f>IF(('Activity data'!BK10*EF!$H9)*kgtoGg=0,"NO",('Activity data'!BK10*EF!$H9)*kgtoGg)</f>
        <v>108.6746674258483</v>
      </c>
      <c r="AS1384" s="28">
        <f>IF(('Activity data'!BL10*EF!$H9)*kgtoGg=0,"NO",('Activity data'!BL10*EF!$H9)*kgtoGg)</f>
        <v>113.11818854540739</v>
      </c>
      <c r="AT1384" s="28">
        <f>IF(('Activity data'!BM10*EF!$H9)*kgtoGg=0,"NO",('Activity data'!BM10*EF!$H9)*kgtoGg)</f>
        <v>116.10657737098944</v>
      </c>
      <c r="AU1384" s="28">
        <f>IF(('Activity data'!BN10*EF!$H9)*kgtoGg=0,"NO",('Activity data'!BN10*EF!$H9)*kgtoGg)</f>
        <v>119.02957765065928</v>
      </c>
      <c r="AV1384" s="28">
        <f>IF(('Activity data'!BO10*EF!$H9)*kgtoGg=0,"NO",('Activity data'!BO10*EF!$H9)*kgtoGg)</f>
        <v>122.20468195250368</v>
      </c>
      <c r="AW1384" s="28">
        <f>IF(('Activity data'!BP10*EF!$H9)*kgtoGg=0,"NO",('Activity data'!BP10*EF!$H9)*kgtoGg)</f>
        <v>125.33392924864043</v>
      </c>
    </row>
    <row r="1385" spans="1:49" x14ac:dyDescent="0.25">
      <c r="A1385" s="102" t="s">
        <v>961</v>
      </c>
      <c r="B1385" s="102"/>
      <c r="C1385" s="102"/>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8">
        <f>IF(('Activity data'!AD11*EF!$H10)*kgtoGg=0,"NO",('Activity data'!AD11*EF!$H10)*kgtoGg)</f>
        <v>132.57119038642557</v>
      </c>
      <c r="L1385" s="28">
        <f>IF(('Activity data'!AE11*EF!$H10)*kgtoGg=0,"NO",('Activity data'!AE11*EF!$H10)*kgtoGg)</f>
        <v>132.64273653065254</v>
      </c>
      <c r="M1385" s="28">
        <f>IF(('Activity data'!AF11*EF!$H10)*kgtoGg=0,"NO",('Activity data'!AF11*EF!$H10)*kgtoGg)</f>
        <v>132.80721501621684</v>
      </c>
      <c r="N1385" s="28">
        <f>IF(('Activity data'!AG11*EF!$H10)*kgtoGg=0,"NO",('Activity data'!AG11*EF!$H10)*kgtoGg)</f>
        <v>133.051398651531</v>
      </c>
      <c r="O1385" s="28">
        <f>IF(('Activity data'!AH11*EF!$H10)*kgtoGg=0,"NO",('Activity data'!AH11*EF!$H10)*kgtoGg)</f>
        <v>133.38098001143086</v>
      </c>
      <c r="P1385" s="28">
        <f>IF(('Activity data'!AI11*EF!$H10)*kgtoGg=0,"NO",('Activity data'!AI11*EF!$H10)*kgtoGg)</f>
        <v>133.80258277876908</v>
      </c>
      <c r="Q1385" s="28">
        <f>IF(('Activity data'!AJ11*EF!$H10)*kgtoGg=0,"NO",('Activity data'!AJ11*EF!$H10)*kgtoGg)</f>
        <v>134.26714516921325</v>
      </c>
      <c r="R1385" s="28">
        <f>IF(('Activity data'!AK11*EF!$H10)*kgtoGg=0,"NO",('Activity data'!AK11*EF!$H10)*kgtoGg)</f>
        <v>134.76745179695249</v>
      </c>
      <c r="S1385" s="28">
        <f>IF(('Activity data'!AL11*EF!$H10)*kgtoGg=0,"NO",('Activity data'!AL11*EF!$H10)*kgtoGg)</f>
        <v>135.2631261954914</v>
      </c>
      <c r="T1385" s="28">
        <f>IF(('Activity data'!AM11*EF!$H10)*kgtoGg=0,"NO",('Activity data'!AM11*EF!$H10)*kgtoGg)</f>
        <v>135.46597827382104</v>
      </c>
      <c r="U1385" s="28">
        <f>IF(('Activity data'!AN11*EF!$H10)*kgtoGg=0,"NO",('Activity data'!AN11*EF!$H10)*kgtoGg)</f>
        <v>135.69632310683818</v>
      </c>
      <c r="V1385" s="28">
        <f>IF(('Activity data'!AO11*EF!$H10)*kgtoGg=0,"NO",('Activity data'!AO11*EF!$H10)*kgtoGg)</f>
        <v>135.95682681390846</v>
      </c>
      <c r="W1385" s="28">
        <f>IF(('Activity data'!AP11*EF!$H10)*kgtoGg=0,"NO",('Activity data'!AP11*EF!$H10)*kgtoGg)</f>
        <v>136.24937905937216</v>
      </c>
      <c r="X1385" s="28">
        <f>IF(('Activity data'!AQ11*EF!$H10)*kgtoGg=0,"NO",('Activity data'!AQ11*EF!$H10)*kgtoGg)</f>
        <v>136.57811586303043</v>
      </c>
      <c r="Y1385" s="28">
        <f>IF(('Activity data'!AR11*EF!$H10)*kgtoGg=0,"NO",('Activity data'!AR11*EF!$H10)*kgtoGg)</f>
        <v>136.78481124577374</v>
      </c>
      <c r="Z1385" s="28">
        <f>IF(('Activity data'!AS11*EF!$H10)*kgtoGg=0,"NO",('Activity data'!AS11*EF!$H10)*kgtoGg)</f>
        <v>137.01756076929394</v>
      </c>
      <c r="AA1385" s="28">
        <f>IF(('Activity data'!AT11*EF!$H10)*kgtoGg=0,"NO",('Activity data'!AT11*EF!$H10)*kgtoGg)</f>
        <v>137.26988669428977</v>
      </c>
      <c r="AB1385" s="28">
        <f>IF(('Activity data'!AU11*EF!$H10)*kgtoGg=0,"NO",('Activity data'!AU11*EF!$H10)*kgtoGg)</f>
        <v>137.54770477114812</v>
      </c>
      <c r="AC1385" s="28">
        <f>IF(('Activity data'!AV11*EF!$H10)*kgtoGg=0,"NO",('Activity data'!AV11*EF!$H10)*kgtoGg)</f>
        <v>137.85098318826414</v>
      </c>
      <c r="AD1385" s="28">
        <f>IF(('Activity data'!AW11*EF!$H10)*kgtoGg=0,"NO",('Activity data'!AW11*EF!$H10)*kgtoGg)</f>
        <v>138.0517172424515</v>
      </c>
      <c r="AE1385" s="28">
        <f>IF(('Activity data'!AX11*EF!$H10)*kgtoGg=0,"NO",('Activity data'!AX11*EF!$H10)*kgtoGg)</f>
        <v>138.27198156596427</v>
      </c>
      <c r="AF1385" s="28">
        <f>IF(('Activity data'!AY11*EF!$H10)*kgtoGg=0,"NO",('Activity data'!AY11*EF!$H10)*kgtoGg)</f>
        <v>138.51029648948435</v>
      </c>
      <c r="AG1385" s="28">
        <f>IF(('Activity data'!AZ11*EF!$H10)*kgtoGg=0,"NO",('Activity data'!AZ11*EF!$H10)*kgtoGg)</f>
        <v>138.76924178933888</v>
      </c>
      <c r="AH1385" s="28">
        <f>IF(('Activity data'!BA11*EF!$H10)*kgtoGg=0,"NO",('Activity data'!BA11*EF!$H10)*kgtoGg)</f>
        <v>139.03965406429921</v>
      </c>
      <c r="AI1385" s="28">
        <f>IF(('Activity data'!BB11*EF!$H10)*kgtoGg=0,"NO",('Activity data'!BB11*EF!$H10)*kgtoGg)</f>
        <v>139.21265652505053</v>
      </c>
      <c r="AJ1385" s="28">
        <f>IF(('Activity data'!BC11*EF!$H10)*kgtoGg=0,"NO",('Activity data'!BC11*EF!$H10)*kgtoGg)</f>
        <v>139.40033470595577</v>
      </c>
      <c r="AK1385" s="28">
        <f>IF(('Activity data'!BD11*EF!$H10)*kgtoGg=0,"NO",('Activity data'!BD11*EF!$H10)*kgtoGg)</f>
        <v>139.59984622882109</v>
      </c>
      <c r="AL1385" s="28">
        <f>IF(('Activity data'!BE11*EF!$H10)*kgtoGg=0,"NO",('Activity data'!BE11*EF!$H10)*kgtoGg)</f>
        <v>139.81228322803275</v>
      </c>
      <c r="AM1385" s="28">
        <f>IF(('Activity data'!BF11*EF!$H10)*kgtoGg=0,"NO",('Activity data'!BF11*EF!$H10)*kgtoGg)</f>
        <v>140.03864091698591</v>
      </c>
      <c r="AN1385" s="28">
        <f>IF(('Activity data'!BG11*EF!$H10)*kgtoGg=0,"NO",('Activity data'!BG11*EF!$H10)*kgtoGg)</f>
        <v>140.17205297338157</v>
      </c>
      <c r="AO1385" s="28">
        <f>IF(('Activity data'!BH11*EF!$H10)*kgtoGg=0,"NO",('Activity data'!BH11*EF!$H10)*kgtoGg)</f>
        <v>140.3142065668136</v>
      </c>
      <c r="AP1385" s="28">
        <f>IF(('Activity data'!BI11*EF!$H10)*kgtoGg=0,"NO",('Activity data'!BI11*EF!$H10)*kgtoGg)</f>
        <v>140.46760679476171</v>
      </c>
      <c r="AQ1385" s="28">
        <f>IF(('Activity data'!BJ11*EF!$H10)*kgtoGg=0,"NO",('Activity data'!BJ11*EF!$H10)*kgtoGg)</f>
        <v>140.63198304845474</v>
      </c>
      <c r="AR1385" s="28">
        <f>IF(('Activity data'!BK11*EF!$H10)*kgtoGg=0,"NO",('Activity data'!BK11*EF!$H10)*kgtoGg)</f>
        <v>140.80910014546811</v>
      </c>
      <c r="AS1385" s="28">
        <f>IF(('Activity data'!BL11*EF!$H10)*kgtoGg=0,"NO",('Activity data'!BL11*EF!$H10)*kgtoGg)</f>
        <v>140.88892671034117</v>
      </c>
      <c r="AT1385" s="28">
        <f>IF(('Activity data'!BM11*EF!$H10)*kgtoGg=0,"NO",('Activity data'!BM11*EF!$H10)*kgtoGg)</f>
        <v>140.95821516124155</v>
      </c>
      <c r="AU1385" s="28">
        <f>IF(('Activity data'!BN11*EF!$H10)*kgtoGg=0,"NO",('Activity data'!BN11*EF!$H10)*kgtoGg)</f>
        <v>141.03470747726172</v>
      </c>
      <c r="AV1385" s="28">
        <f>IF(('Activity data'!BO11*EF!$H10)*kgtoGg=0,"NO",('Activity data'!BO11*EF!$H10)*kgtoGg)</f>
        <v>141.12215896144338</v>
      </c>
      <c r="AW1385" s="28">
        <f>IF(('Activity data'!BP11*EF!$H10)*kgtoGg=0,"NO",('Activity data'!BP11*EF!$H10)*kgtoGg)</f>
        <v>141.21652925379365</v>
      </c>
    </row>
    <row r="1386" spans="1:49" x14ac:dyDescent="0.25">
      <c r="A1386" s="102" t="s">
        <v>961</v>
      </c>
      <c r="B1386" s="102"/>
      <c r="C1386" s="102"/>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8">
        <f>IF(('Activity data'!AD12*EF!$H11)*kgtoGg=0,"NO",('Activity data'!AD12*EF!$H11)*kgtoGg)</f>
        <v>14.367245816070934</v>
      </c>
      <c r="L1386" s="28">
        <f>IF(('Activity data'!AE12*EF!$H11)*kgtoGg=0,"NO",('Activity data'!AE12*EF!$H11)*kgtoGg)</f>
        <v>14.374999544752898</v>
      </c>
      <c r="M1386" s="28">
        <f>IF(('Activity data'!AF12*EF!$H11)*kgtoGg=0,"NO",('Activity data'!AF12*EF!$H11)*kgtoGg)</f>
        <v>14.392824705910984</v>
      </c>
      <c r="N1386" s="28">
        <f>IF(('Activity data'!AG12*EF!$H11)*kgtoGg=0,"NO",('Activity data'!AG12*EF!$H11)*kgtoGg)</f>
        <v>14.419287818315681</v>
      </c>
      <c r="O1386" s="28">
        <f>IF(('Activity data'!AH12*EF!$H11)*kgtoGg=0,"NO",('Activity data'!AH12*EF!$H11)*kgtoGg)</f>
        <v>14.455005808025765</v>
      </c>
      <c r="P1386" s="28">
        <f>IF(('Activity data'!AI12*EF!$H11)*kgtoGg=0,"NO",('Activity data'!AI12*EF!$H11)*kgtoGg)</f>
        <v>14.500696508829069</v>
      </c>
      <c r="Q1386" s="28">
        <f>IF(('Activity data'!AJ12*EF!$H11)*kgtoGg=0,"NO",('Activity data'!AJ12*EF!$H11)*kgtoGg)</f>
        <v>14.551042907929491</v>
      </c>
      <c r="R1386" s="28">
        <f>IF(('Activity data'!AK12*EF!$H11)*kgtoGg=0,"NO",('Activity data'!AK12*EF!$H11)*kgtoGg)</f>
        <v>14.605263046431578</v>
      </c>
      <c r="S1386" s="28">
        <f>IF(('Activity data'!AL12*EF!$H11)*kgtoGg=0,"NO",('Activity data'!AL12*EF!$H11)*kgtoGg)</f>
        <v>14.658981172577873</v>
      </c>
      <c r="T1386" s="28">
        <f>IF(('Activity data'!AM12*EF!$H11)*kgtoGg=0,"NO",('Activity data'!AM12*EF!$H11)*kgtoGg)</f>
        <v>14.680965026424001</v>
      </c>
      <c r="U1386" s="28">
        <f>IF(('Activity data'!AN12*EF!$H11)*kgtoGg=0,"NO",('Activity data'!AN12*EF!$H11)*kgtoGg)</f>
        <v>14.705928375012579</v>
      </c>
      <c r="V1386" s="28">
        <f>IF(('Activity data'!AO12*EF!$H11)*kgtoGg=0,"NO",('Activity data'!AO12*EF!$H11)*kgtoGg)</f>
        <v>14.734160155873615</v>
      </c>
      <c r="W1386" s="28">
        <f>IF(('Activity data'!AP12*EF!$H11)*kgtoGg=0,"NO",('Activity data'!AP12*EF!$H11)*kgtoGg)</f>
        <v>14.765865159142944</v>
      </c>
      <c r="X1386" s="28">
        <f>IF(('Activity data'!AQ12*EF!$H11)*kgtoGg=0,"NO",('Activity data'!AQ12*EF!$H11)*kgtoGg)</f>
        <v>14.801491621070163</v>
      </c>
      <c r="Y1386" s="28">
        <f>IF(('Activity data'!AR12*EF!$H11)*kgtoGg=0,"NO",('Activity data'!AR12*EF!$H11)*kgtoGg)</f>
        <v>14.823891988482297</v>
      </c>
      <c r="Z1386" s="28">
        <f>IF(('Activity data'!AS12*EF!$H11)*kgtoGg=0,"NO",('Activity data'!AS12*EF!$H11)*kgtoGg)</f>
        <v>14.84911594255739</v>
      </c>
      <c r="AA1386" s="28">
        <f>IF(('Activity data'!AT12*EF!$H11)*kgtoGg=0,"NO",('Activity data'!AT12*EF!$H11)*kgtoGg)</f>
        <v>14.876461465967234</v>
      </c>
      <c r="AB1386" s="28">
        <f>IF(('Activity data'!AU12*EF!$H11)*kgtoGg=0,"NO",('Activity data'!AU12*EF!$H11)*kgtoGg)</f>
        <v>14.906569671156744</v>
      </c>
      <c r="AC1386" s="28">
        <f>IF(('Activity data'!AV12*EF!$H11)*kgtoGg=0,"NO",('Activity data'!AV12*EF!$H11)*kgtoGg)</f>
        <v>14.939437110580908</v>
      </c>
      <c r="AD1386" s="28">
        <f>IF(('Activity data'!AW12*EF!$H11)*kgtoGg=0,"NO",('Activity data'!AW12*EF!$H11)*kgtoGg)</f>
        <v>14.961191426068007</v>
      </c>
      <c r="AE1386" s="28">
        <f>IF(('Activity data'!AX12*EF!$H11)*kgtoGg=0,"NO",('Activity data'!AX12*EF!$H11)*kgtoGg)</f>
        <v>14.985062311372678</v>
      </c>
      <c r="AF1386" s="28">
        <f>IF(('Activity data'!AY12*EF!$H11)*kgtoGg=0,"NO",('Activity data'!AY12*EF!$H11)*kgtoGg)</f>
        <v>15.01088940908426</v>
      </c>
      <c r="AG1386" s="28">
        <f>IF(('Activity data'!AZ12*EF!$H11)*kgtoGg=0,"NO",('Activity data'!AZ12*EF!$H11)*kgtoGg)</f>
        <v>15.038952299408185</v>
      </c>
      <c r="AH1386" s="28">
        <f>IF(('Activity data'!BA12*EF!$H11)*kgtoGg=0,"NO",('Activity data'!BA12*EF!$H11)*kgtoGg)</f>
        <v>15.068257909584224</v>
      </c>
      <c r="AI1386" s="28">
        <f>IF(('Activity data'!BB12*EF!$H11)*kgtoGg=0,"NO",('Activity data'!BB12*EF!$H11)*kgtoGg)</f>
        <v>15.087006846462247</v>
      </c>
      <c r="AJ1386" s="28">
        <f>IF(('Activity data'!BC12*EF!$H11)*kgtoGg=0,"NO",('Activity data'!BC12*EF!$H11)*kgtoGg)</f>
        <v>15.107346247138357</v>
      </c>
      <c r="AK1386" s="28">
        <f>IF(('Activity data'!BD12*EF!$H11)*kgtoGg=0,"NO",('Activity data'!BD12*EF!$H11)*kgtoGg)</f>
        <v>15.128968072240701</v>
      </c>
      <c r="AL1386" s="28">
        <f>IF(('Activity data'!BE12*EF!$H11)*kgtoGg=0,"NO",('Activity data'!BE12*EF!$H11)*kgtoGg)</f>
        <v>15.151990680540484</v>
      </c>
      <c r="AM1386" s="28">
        <f>IF(('Activity data'!BF12*EF!$H11)*kgtoGg=0,"NO",('Activity data'!BF12*EF!$H11)*kgtoGg)</f>
        <v>15.176521927111235</v>
      </c>
      <c r="AN1386" s="28">
        <f>IF(('Activity data'!BG12*EF!$H11)*kgtoGg=0,"NO",('Activity data'!BG12*EF!$H11)*kgtoGg)</f>
        <v>15.190980300785611</v>
      </c>
      <c r="AO1386" s="28">
        <f>IF(('Activity data'!BH12*EF!$H11)*kgtoGg=0,"NO",('Activity data'!BH12*EF!$H11)*kgtoGg)</f>
        <v>15.206386028187788</v>
      </c>
      <c r="AP1386" s="28">
        <f>IF(('Activity data'!BI12*EF!$H11)*kgtoGg=0,"NO",('Activity data'!BI12*EF!$H11)*kgtoGg)</f>
        <v>15.223010596291525</v>
      </c>
      <c r="AQ1386" s="28">
        <f>IF(('Activity data'!BJ12*EF!$H11)*kgtoGg=0,"NO",('Activity data'!BJ12*EF!$H11)*kgtoGg)</f>
        <v>15.240824678191588</v>
      </c>
      <c r="AR1386" s="28">
        <f>IF(('Activity data'!BK12*EF!$H11)*kgtoGg=0,"NO",('Activity data'!BK12*EF!$H11)*kgtoGg)</f>
        <v>15.260019533903467</v>
      </c>
      <c r="AS1386" s="28">
        <f>IF(('Activity data'!BL12*EF!$H11)*kgtoGg=0,"NO",('Activity data'!BL12*EF!$H11)*kgtoGg)</f>
        <v>15.268670643370319</v>
      </c>
      <c r="AT1386" s="28">
        <f>IF(('Activity data'!BM12*EF!$H11)*kgtoGg=0,"NO",('Activity data'!BM12*EF!$H11)*kgtoGg)</f>
        <v>15.276179697210745</v>
      </c>
      <c r="AU1386" s="28">
        <f>IF(('Activity data'!BN12*EF!$H11)*kgtoGg=0,"NO",('Activity data'!BN12*EF!$H11)*kgtoGg)</f>
        <v>15.284469461405354</v>
      </c>
      <c r="AV1386" s="28">
        <f>IF(('Activity data'!BO12*EF!$H11)*kgtoGg=0,"NO",('Activity data'!BO12*EF!$H11)*kgtoGg)</f>
        <v>15.293946912475652</v>
      </c>
      <c r="AW1386" s="28">
        <f>IF(('Activity data'!BP12*EF!$H11)*kgtoGg=0,"NO",('Activity data'!BP12*EF!$H11)*kgtoGg)</f>
        <v>15.304174181190511</v>
      </c>
    </row>
    <row r="1387" spans="1:49" x14ac:dyDescent="0.25">
      <c r="A1387" s="102" t="s">
        <v>961</v>
      </c>
      <c r="B1387" s="102"/>
      <c r="C1387" s="102"/>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8">
        <f>IF(('Activity data'!AD13*EF!$H12)*kgtoGg=0,"NO",('Activity data'!AD13*EF!$H12)*kgtoGg)</f>
        <v>15.11994504352057</v>
      </c>
      <c r="L1387" s="28">
        <f>IF(('Activity data'!AE13*EF!$H12)*kgtoGg=0,"NO",('Activity data'!AE13*EF!$H12)*kgtoGg)</f>
        <v>15.159244294711982</v>
      </c>
      <c r="M1387" s="28">
        <f>IF(('Activity data'!AF13*EF!$H12)*kgtoGg=0,"NO",('Activity data'!AF13*EF!$H12)*kgtoGg)</f>
        <v>15.212240101283504</v>
      </c>
      <c r="N1387" s="28">
        <f>IF(('Activity data'!AG13*EF!$H12)*kgtoGg=0,"NO",('Activity data'!AG13*EF!$H12)*kgtoGg)</f>
        <v>15.276787648225215</v>
      </c>
      <c r="O1387" s="28">
        <f>IF(('Activity data'!AH13*EF!$H12)*kgtoGg=0,"NO",('Activity data'!AH13*EF!$H12)*kgtoGg)</f>
        <v>15.354100038796439</v>
      </c>
      <c r="P1387" s="28">
        <f>IF(('Activity data'!AI13*EF!$H12)*kgtoGg=0,"NO",('Activity data'!AI13*EF!$H12)*kgtoGg)</f>
        <v>15.445501132757192</v>
      </c>
      <c r="Q1387" s="28">
        <f>IF(('Activity data'!AJ13*EF!$H12)*kgtoGg=0,"NO",('Activity data'!AJ13*EF!$H12)*kgtoGg)</f>
        <v>15.542368253787608</v>
      </c>
      <c r="R1387" s="28">
        <f>IF(('Activity data'!AK13*EF!$H12)*kgtoGg=0,"NO",('Activity data'!AK13*EF!$H12)*kgtoGg)</f>
        <v>15.643567978967758</v>
      </c>
      <c r="S1387" s="28">
        <f>IF(('Activity data'!AL13*EF!$H12)*kgtoGg=0,"NO",('Activity data'!AL13*EF!$H12)*kgtoGg)</f>
        <v>15.742091989223546</v>
      </c>
      <c r="T1387" s="28">
        <f>IF(('Activity data'!AM13*EF!$H12)*kgtoGg=0,"NO",('Activity data'!AM13*EF!$H12)*kgtoGg)</f>
        <v>15.787280907558081</v>
      </c>
      <c r="U1387" s="28">
        <f>IF(('Activity data'!AN13*EF!$H12)*kgtoGg=0,"NO",('Activity data'!AN13*EF!$H12)*kgtoGg)</f>
        <v>15.836012504856258</v>
      </c>
      <c r="V1387" s="28">
        <f>IF(('Activity data'!AO13*EF!$H12)*kgtoGg=0,"NO",('Activity data'!AO13*EF!$H12)*kgtoGg)</f>
        <v>15.888829637337995</v>
      </c>
      <c r="W1387" s="28">
        <f>IF(('Activity data'!AP13*EF!$H12)*kgtoGg=0,"NO",('Activity data'!AP13*EF!$H12)*kgtoGg)</f>
        <v>15.946123298566558</v>
      </c>
      <c r="X1387" s="28">
        <f>IF(('Activity data'!AQ13*EF!$H12)*kgtoGg=0,"NO",('Activity data'!AQ13*EF!$H12)*kgtoGg)</f>
        <v>16.008664249775823</v>
      </c>
      <c r="Y1387" s="28">
        <f>IF(('Activity data'!AR13*EF!$H12)*kgtoGg=0,"NO",('Activity data'!AR13*EF!$H12)*kgtoGg)</f>
        <v>16.048917749469023</v>
      </c>
      <c r="Z1387" s="28">
        <f>IF(('Activity data'!AS13*EF!$H12)*kgtoGg=0,"NO",('Activity data'!AS13*EF!$H12)*kgtoGg)</f>
        <v>16.092845807842092</v>
      </c>
      <c r="AA1387" s="28">
        <f>IF(('Activity data'!AT13*EF!$H12)*kgtoGg=0,"NO",('Activity data'!AT13*EF!$H12)*kgtoGg)</f>
        <v>16.139355719065712</v>
      </c>
      <c r="AB1387" s="28">
        <f>IF(('Activity data'!AU13*EF!$H12)*kgtoGg=0,"NO",('Activity data'!AU13*EF!$H12)*kgtoGg)</f>
        <v>16.189504893539258</v>
      </c>
      <c r="AC1387" s="28">
        <f>IF(('Activity data'!AV13*EF!$H12)*kgtoGg=0,"NO",('Activity data'!AV13*EF!$H12)*kgtoGg)</f>
        <v>16.243310237377745</v>
      </c>
      <c r="AD1387" s="28">
        <f>IF(('Activity data'!AW13*EF!$H12)*kgtoGg=0,"NO",('Activity data'!AW13*EF!$H12)*kgtoGg)</f>
        <v>16.27872559654169</v>
      </c>
      <c r="AE1387" s="28">
        <f>IF(('Activity data'!AX13*EF!$H12)*kgtoGg=0,"NO",('Activity data'!AX13*EF!$H12)*kgtoGg)</f>
        <v>16.316901231642056</v>
      </c>
      <c r="AF1387" s="28">
        <f>IF(('Activity data'!AY13*EF!$H12)*kgtoGg=0,"NO",('Activity data'!AY13*EF!$H12)*kgtoGg)</f>
        <v>16.357599483637454</v>
      </c>
      <c r="AG1387" s="28">
        <f>IF(('Activity data'!AZ13*EF!$H12)*kgtoGg=0,"NO",('Activity data'!AZ13*EF!$H12)*kgtoGg)</f>
        <v>16.401277791155717</v>
      </c>
      <c r="AH1387" s="28">
        <f>IF(('Activity data'!BA13*EF!$H12)*kgtoGg=0,"NO",('Activity data'!BA13*EF!$H12)*kgtoGg)</f>
        <v>16.446379725356415</v>
      </c>
      <c r="AI1387" s="28">
        <f>IF(('Activity data'!BB13*EF!$H12)*kgtoGg=0,"NO",('Activity data'!BB13*EF!$H12)*kgtoGg)</f>
        <v>16.474339061625695</v>
      </c>
      <c r="AJ1387" s="28">
        <f>IF(('Activity data'!BC13*EF!$H12)*kgtoGg=0,"NO",('Activity data'!BC13*EF!$H12)*kgtoGg)</f>
        <v>16.504371743452488</v>
      </c>
      <c r="AK1387" s="28">
        <f>IF(('Activity data'!BD13*EF!$H12)*kgtoGg=0,"NO",('Activity data'!BD13*EF!$H12)*kgtoGg)</f>
        <v>16.53600364177057</v>
      </c>
      <c r="AL1387" s="28">
        <f>IF(('Activity data'!BE13*EF!$H12)*kgtoGg=0,"NO",('Activity data'!BE13*EF!$H12)*kgtoGg)</f>
        <v>16.569430654637483</v>
      </c>
      <c r="AM1387" s="28">
        <f>IF(('Activity data'!BF13*EF!$H12)*kgtoGg=0,"NO",('Activity data'!BF13*EF!$H12)*kgtoGg)</f>
        <v>16.604829643343088</v>
      </c>
      <c r="AN1387" s="28">
        <f>IF(('Activity data'!BG13*EF!$H12)*kgtoGg=0,"NO",('Activity data'!BG13*EF!$H12)*kgtoGg)</f>
        <v>16.624131223085882</v>
      </c>
      <c r="AO1387" s="28">
        <f>IF(('Activity data'!BH13*EF!$H12)*kgtoGg=0,"NO",('Activity data'!BH13*EF!$H12)*kgtoGg)</f>
        <v>16.644604707274034</v>
      </c>
      <c r="AP1387" s="28">
        <f>IF(('Activity data'!BI13*EF!$H12)*kgtoGg=0,"NO",('Activity data'!BI13*EF!$H12)*kgtoGg)</f>
        <v>16.66667981019215</v>
      </c>
      <c r="AQ1387" s="28">
        <f>IF(('Activity data'!BJ13*EF!$H12)*kgtoGg=0,"NO",('Activity data'!BJ13*EF!$H12)*kgtoGg)</f>
        <v>16.690315463067741</v>
      </c>
      <c r="AR1387" s="28">
        <f>IF(('Activity data'!BK13*EF!$H12)*kgtoGg=0,"NO",('Activity data'!BK13*EF!$H12)*kgtoGg)</f>
        <v>16.715812130640956</v>
      </c>
      <c r="AS1387" s="28">
        <f>IF(('Activity data'!BL13*EF!$H12)*kgtoGg=0,"NO",('Activity data'!BL13*EF!$H12)*kgtoGg)</f>
        <v>16.724718125544612</v>
      </c>
      <c r="AT1387" s="28">
        <f>IF(('Activity data'!BM13*EF!$H12)*kgtoGg=0,"NO",('Activity data'!BM13*EF!$H12)*kgtoGg)</f>
        <v>16.731650898864725</v>
      </c>
      <c r="AU1387" s="28">
        <f>IF(('Activity data'!BN13*EF!$H12)*kgtoGg=0,"NO",('Activity data'!BN13*EF!$H12)*kgtoGg)</f>
        <v>16.739594865731469</v>
      </c>
      <c r="AV1387" s="28">
        <f>IF(('Activity data'!BO13*EF!$H12)*kgtoGg=0,"NO",('Activity data'!BO13*EF!$H12)*kgtoGg)</f>
        <v>16.749180241295228</v>
      </c>
      <c r="AW1387" s="28">
        <f>IF(('Activity data'!BP13*EF!$H12)*kgtoGg=0,"NO",('Activity data'!BP13*EF!$H12)*kgtoGg)</f>
        <v>16.759733790022693</v>
      </c>
    </row>
    <row r="1388" spans="1:49" x14ac:dyDescent="0.25">
      <c r="A1388" s="102" t="s">
        <v>961</v>
      </c>
      <c r="B1388" s="102"/>
      <c r="C1388" s="102"/>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8">
        <f>IF(('Activity data'!AD14*EF!$H13)*kgtoGg=0,"NO",('Activity data'!AD14*EF!$H13)*kgtoGg)</f>
        <v>22.375967695369447</v>
      </c>
      <c r="L1388" s="28">
        <f>IF(('Activity data'!AE14*EF!$H13)*kgtoGg=0,"NO",('Activity data'!AE14*EF!$H13)*kgtoGg)</f>
        <v>22.434126555906317</v>
      </c>
      <c r="M1388" s="28">
        <f>IF(('Activity data'!AF14*EF!$H13)*kgtoGg=0,"NO",('Activity data'!AF14*EF!$H13)*kgtoGg)</f>
        <v>22.512554913444735</v>
      </c>
      <c r="N1388" s="28">
        <f>IF(('Activity data'!AG14*EF!$H13)*kgtoGg=0,"NO",('Activity data'!AG14*EF!$H13)*kgtoGg)</f>
        <v>22.60807866178018</v>
      </c>
      <c r="O1388" s="28">
        <f>IF(('Activity data'!AH14*EF!$H13)*kgtoGg=0,"NO",('Activity data'!AH14*EF!$H13)*kgtoGg)</f>
        <v>22.722493069299134</v>
      </c>
      <c r="P1388" s="28">
        <f>IF(('Activity data'!AI14*EF!$H13)*kgtoGg=0,"NO",('Activity data'!AI14*EF!$H13)*kgtoGg)</f>
        <v>22.85775731264793</v>
      </c>
      <c r="Q1388" s="28">
        <f>IF(('Activity data'!AJ14*EF!$H13)*kgtoGg=0,"NO",('Activity data'!AJ14*EF!$H13)*kgtoGg)</f>
        <v>23.001110715367403</v>
      </c>
      <c r="R1388" s="28">
        <f>IF(('Activity data'!AK14*EF!$H13)*kgtoGg=0,"NO",('Activity data'!AK14*EF!$H13)*kgtoGg)</f>
        <v>23.150875927799948</v>
      </c>
      <c r="S1388" s="28">
        <f>IF(('Activity data'!AL14*EF!$H13)*kgtoGg=0,"NO",('Activity data'!AL14*EF!$H13)*kgtoGg)</f>
        <v>23.296681356613096</v>
      </c>
      <c r="T1388" s="28">
        <f>IF(('Activity data'!AM14*EF!$H13)*kgtoGg=0,"NO",('Activity data'!AM14*EF!$H13)*kgtoGg)</f>
        <v>23.363556320373338</v>
      </c>
      <c r="U1388" s="28">
        <f>IF(('Activity data'!AN14*EF!$H13)*kgtoGg=0,"NO",('Activity data'!AN14*EF!$H13)*kgtoGg)</f>
        <v>23.435674085599938</v>
      </c>
      <c r="V1388" s="28">
        <f>IF(('Activity data'!AO14*EF!$H13)*kgtoGg=0,"NO",('Activity data'!AO14*EF!$H13)*kgtoGg)</f>
        <v>23.513838023813449</v>
      </c>
      <c r="W1388" s="28">
        <f>IF(('Activity data'!AP14*EF!$H13)*kgtoGg=0,"NO",('Activity data'!AP14*EF!$H13)*kgtoGg)</f>
        <v>23.598626765380281</v>
      </c>
      <c r="X1388" s="28">
        <f>IF(('Activity data'!AQ14*EF!$H13)*kgtoGg=0,"NO",('Activity data'!AQ14*EF!$H13)*kgtoGg)</f>
        <v>23.691180957863665</v>
      </c>
      <c r="Y1388" s="28">
        <f>IF(('Activity data'!AR14*EF!$H13)*kgtoGg=0,"NO",('Activity data'!AR14*EF!$H13)*kgtoGg)</f>
        <v>23.750752008298576</v>
      </c>
      <c r="Z1388" s="28">
        <f>IF(('Activity data'!AS14*EF!$H13)*kgtoGg=0,"NO",('Activity data'!AS14*EF!$H13)*kgtoGg)</f>
        <v>23.815761028651949</v>
      </c>
      <c r="AA1388" s="28">
        <f>IF(('Activity data'!AT14*EF!$H13)*kgtoGg=0,"NO",('Activity data'!AT14*EF!$H13)*kgtoGg)</f>
        <v>23.884590926383627</v>
      </c>
      <c r="AB1388" s="28">
        <f>IF(('Activity data'!AU14*EF!$H13)*kgtoGg=0,"NO",('Activity data'!AU14*EF!$H13)*kgtoGg)</f>
        <v>23.958806560417987</v>
      </c>
      <c r="AC1388" s="28">
        <f>IF(('Activity data'!AV14*EF!$H13)*kgtoGg=0,"NO",('Activity data'!AV14*EF!$H13)*kgtoGg)</f>
        <v>24.038432950071041</v>
      </c>
      <c r="AD1388" s="28">
        <f>IF(('Activity data'!AW14*EF!$H13)*kgtoGg=0,"NO",('Activity data'!AW14*EF!$H13)*kgtoGg)</f>
        <v>24.090844048807938</v>
      </c>
      <c r="AE1388" s="28">
        <f>IF(('Activity data'!AX14*EF!$H13)*kgtoGg=0,"NO",('Activity data'!AX14*EF!$H13)*kgtoGg)</f>
        <v>24.147340072788001</v>
      </c>
      <c r="AF1388" s="28">
        <f>IF(('Activity data'!AY14*EF!$H13)*kgtoGg=0,"NO",('Activity data'!AY14*EF!$H13)*kgtoGg)</f>
        <v>24.207569311008498</v>
      </c>
      <c r="AG1388" s="28">
        <f>IF(('Activity data'!AZ14*EF!$H13)*kgtoGg=0,"NO",('Activity data'!AZ14*EF!$H13)*kgtoGg)</f>
        <v>24.272208725715629</v>
      </c>
      <c r="AH1388" s="28">
        <f>IF(('Activity data'!BA14*EF!$H13)*kgtoGg=0,"NO",('Activity data'!BA14*EF!$H13)*kgtoGg)</f>
        <v>24.338954961880422</v>
      </c>
      <c r="AI1388" s="28">
        <f>IF(('Activity data'!BB14*EF!$H13)*kgtoGg=0,"NO",('Activity data'!BB14*EF!$H13)*kgtoGg)</f>
        <v>24.380331911554812</v>
      </c>
      <c r="AJ1388" s="28">
        <f>IF(('Activity data'!BC14*EF!$H13)*kgtoGg=0,"NO",('Activity data'!BC14*EF!$H13)*kgtoGg)</f>
        <v>24.424777199975328</v>
      </c>
      <c r="AK1388" s="28">
        <f>IF(('Activity data'!BD14*EF!$H13)*kgtoGg=0,"NO",('Activity data'!BD14*EF!$H13)*kgtoGg)</f>
        <v>24.471589164759028</v>
      </c>
      <c r="AL1388" s="28">
        <f>IF(('Activity data'!BE14*EF!$H13)*kgtoGg=0,"NO",('Activity data'!BE14*EF!$H13)*kgtoGg)</f>
        <v>24.521057714936269</v>
      </c>
      <c r="AM1388" s="28">
        <f>IF(('Activity data'!BF14*EF!$H13)*kgtoGg=0,"NO",('Activity data'!BF14*EF!$H13)*kgtoGg)</f>
        <v>24.573444587074068</v>
      </c>
      <c r="AN1388" s="28">
        <f>IF(('Activity data'!BG14*EF!$H13)*kgtoGg=0,"NO",('Activity data'!BG14*EF!$H13)*kgtoGg)</f>
        <v>24.602008945181939</v>
      </c>
      <c r="AO1388" s="28">
        <f>IF(('Activity data'!BH14*EF!$H13)*kgtoGg=0,"NO",('Activity data'!BH14*EF!$H13)*kgtoGg)</f>
        <v>24.632307601657676</v>
      </c>
      <c r="AP1388" s="28">
        <f>IF(('Activity data'!BI14*EF!$H13)*kgtoGg=0,"NO",('Activity data'!BI14*EF!$H13)*kgtoGg)</f>
        <v>24.664976489563418</v>
      </c>
      <c r="AQ1388" s="28">
        <f>IF(('Activity data'!BJ14*EF!$H13)*kgtoGg=0,"NO",('Activity data'!BJ14*EF!$H13)*kgtoGg)</f>
        <v>24.699954831328611</v>
      </c>
      <c r="AR1388" s="28">
        <f>IF(('Activity data'!BK14*EF!$H13)*kgtoGg=0,"NO",('Activity data'!BK14*EF!$H13)*kgtoGg)</f>
        <v>24.737687283947693</v>
      </c>
      <c r="AS1388" s="28">
        <f>IF(('Activity data'!BL14*EF!$H13)*kgtoGg=0,"NO",('Activity data'!BL14*EF!$H13)*kgtoGg)</f>
        <v>24.75086724284872</v>
      </c>
      <c r="AT1388" s="28">
        <f>IF(('Activity data'!BM14*EF!$H13)*kgtoGg=0,"NO",('Activity data'!BM14*EF!$H13)*kgtoGg)</f>
        <v>24.76112703621461</v>
      </c>
      <c r="AU1388" s="28">
        <f>IF(('Activity data'!BN14*EF!$H13)*kgtoGg=0,"NO",('Activity data'!BN14*EF!$H13)*kgtoGg)</f>
        <v>24.772883292303622</v>
      </c>
      <c r="AV1388" s="28">
        <f>IF(('Activity data'!BO14*EF!$H13)*kgtoGg=0,"NO",('Activity data'!BO14*EF!$H13)*kgtoGg)</f>
        <v>24.787068664892292</v>
      </c>
      <c r="AW1388" s="28">
        <f>IF(('Activity data'!BP14*EF!$H13)*kgtoGg=0,"NO",('Activity data'!BP14*EF!$H13)*kgtoGg)</f>
        <v>24.802686834450295</v>
      </c>
    </row>
    <row r="1389" spans="1:49" x14ac:dyDescent="0.25">
      <c r="A1389" s="102" t="s">
        <v>961</v>
      </c>
      <c r="B1389" s="102"/>
      <c r="C1389" s="102"/>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8">
        <f>IF(('Activity data'!AD15*EF!$H14)*kgtoGg=0,"NO",('Activity data'!AD15*EF!$H14)*kgtoGg)</f>
        <v>5.5625078668475236</v>
      </c>
      <c r="L1389" s="28">
        <f>IF(('Activity data'!AE15*EF!$H14)*kgtoGg=0,"NO",('Activity data'!AE15*EF!$H14)*kgtoGg)</f>
        <v>5.5999708339814545</v>
      </c>
      <c r="M1389" s="28">
        <f>IF(('Activity data'!AF15*EF!$H14)*kgtoGg=0,"NO",('Activity data'!AF15*EF!$H14)*kgtoGg)</f>
        <v>5.6226370840776179</v>
      </c>
      <c r="N1389" s="28">
        <f>IF(('Activity data'!AG15*EF!$H14)*kgtoGg=0,"NO",('Activity data'!AG15*EF!$H14)*kgtoGg)</f>
        <v>5.5928142970106265</v>
      </c>
      <c r="O1389" s="28">
        <f>IF(('Activity data'!AH15*EF!$H14)*kgtoGg=0,"NO",('Activity data'!AH15*EF!$H14)*kgtoGg)</f>
        <v>5.5623376589201499</v>
      </c>
      <c r="P1389" s="28">
        <f>IF(('Activity data'!AI15*EF!$H14)*kgtoGg=0,"NO",('Activity data'!AI15*EF!$H14)*kgtoGg)</f>
        <v>5.5812216853376206</v>
      </c>
      <c r="Q1389" s="28">
        <f>IF(('Activity data'!AJ15*EF!$H14)*kgtoGg=0,"NO",('Activity data'!AJ15*EF!$H14)*kgtoGg)</f>
        <v>5.5836612172513842</v>
      </c>
      <c r="R1389" s="28">
        <f>IF(('Activity data'!AK15*EF!$H14)*kgtoGg=0,"NO",('Activity data'!AK15*EF!$H14)*kgtoGg)</f>
        <v>5.5315877353552168</v>
      </c>
      <c r="S1389" s="28">
        <f>IF(('Activity data'!AL15*EF!$H14)*kgtoGg=0,"NO",('Activity data'!AL15*EF!$H14)*kgtoGg)</f>
        <v>5.2455147526194601</v>
      </c>
      <c r="T1389" s="28">
        <f>IF(('Activity data'!AM15*EF!$H14)*kgtoGg=0,"NO",('Activity data'!AM15*EF!$H14)*kgtoGg)</f>
        <v>5.332808287437901</v>
      </c>
      <c r="U1389" s="28">
        <f>IF(('Activity data'!AN15*EF!$H14)*kgtoGg=0,"NO",('Activity data'!AN15*EF!$H14)*kgtoGg)</f>
        <v>5.3901753132609427</v>
      </c>
      <c r="V1389" s="28">
        <f>IF(('Activity data'!AO15*EF!$H14)*kgtoGg=0,"NO",('Activity data'!AO15*EF!$H14)*kgtoGg)</f>
        <v>5.440230309739654</v>
      </c>
      <c r="W1389" s="28">
        <f>IF(('Activity data'!AP15*EF!$H14)*kgtoGg=0,"NO",('Activity data'!AP15*EF!$H14)*kgtoGg)</f>
        <v>5.5003068027462358</v>
      </c>
      <c r="X1389" s="28">
        <f>IF(('Activity data'!AQ15*EF!$H14)*kgtoGg=0,"NO",('Activity data'!AQ15*EF!$H14)*kgtoGg)</f>
        <v>5.5968430891840955</v>
      </c>
      <c r="Y1389" s="28">
        <f>IF(('Activity data'!AR15*EF!$H14)*kgtoGg=0,"NO",('Activity data'!AR15*EF!$H14)*kgtoGg)</f>
        <v>5.7072120457799942</v>
      </c>
      <c r="Z1389" s="28">
        <f>IF(('Activity data'!AS15*EF!$H14)*kgtoGg=0,"NO",('Activity data'!AS15*EF!$H14)*kgtoGg)</f>
        <v>5.8264820494807026</v>
      </c>
      <c r="AA1389" s="28">
        <f>IF(('Activity data'!AT15*EF!$H14)*kgtoGg=0,"NO",('Activity data'!AT15*EF!$H14)*kgtoGg)</f>
        <v>5.9301104930204529</v>
      </c>
      <c r="AB1389" s="28">
        <f>IF(('Activity data'!AU15*EF!$H14)*kgtoGg=0,"NO",('Activity data'!AU15*EF!$H14)*kgtoGg)</f>
        <v>6.0502396904604057</v>
      </c>
      <c r="AC1389" s="28">
        <f>IF(('Activity data'!AV15*EF!$H14)*kgtoGg=0,"NO",('Activity data'!AV15*EF!$H14)*kgtoGg)</f>
        <v>6.1907930019013007</v>
      </c>
      <c r="AD1389" s="28">
        <f>IF(('Activity data'!AW15*EF!$H14)*kgtoGg=0,"NO",('Activity data'!AW15*EF!$H14)*kgtoGg)</f>
        <v>6.3320471664105931</v>
      </c>
      <c r="AE1389" s="28">
        <f>IF(('Activity data'!AX15*EF!$H14)*kgtoGg=0,"NO",('Activity data'!AX15*EF!$H14)*kgtoGg)</f>
        <v>6.4794646415598249</v>
      </c>
      <c r="AF1389" s="28">
        <f>IF(('Activity data'!AY15*EF!$H14)*kgtoGg=0,"NO",('Activity data'!AY15*EF!$H14)*kgtoGg)</f>
        <v>6.6296689370175557</v>
      </c>
      <c r="AG1389" s="28">
        <f>IF(('Activity data'!AZ15*EF!$H14)*kgtoGg=0,"NO",('Activity data'!AZ15*EF!$H14)*kgtoGg)</f>
        <v>6.7972348352901832</v>
      </c>
      <c r="AH1389" s="28">
        <f>IF(('Activity data'!BA15*EF!$H14)*kgtoGg=0,"NO",('Activity data'!BA15*EF!$H14)*kgtoGg)</f>
        <v>6.9438088425470355</v>
      </c>
      <c r="AI1389" s="28">
        <f>IF(('Activity data'!BB15*EF!$H14)*kgtoGg=0,"NO",('Activity data'!BB15*EF!$H14)*kgtoGg)</f>
        <v>7.1048815884414847</v>
      </c>
      <c r="AJ1389" s="28">
        <f>IF(('Activity data'!BC15*EF!$H14)*kgtoGg=0,"NO",('Activity data'!BC15*EF!$H14)*kgtoGg)</f>
        <v>7.268627225560472</v>
      </c>
      <c r="AK1389" s="28">
        <f>IF(('Activity data'!BD15*EF!$H14)*kgtoGg=0,"NO",('Activity data'!BD15*EF!$H14)*kgtoGg)</f>
        <v>7.42471904610154</v>
      </c>
      <c r="AL1389" s="28">
        <f>IF(('Activity data'!BE15*EF!$H14)*kgtoGg=0,"NO",('Activity data'!BE15*EF!$H14)*kgtoGg)</f>
        <v>7.5801220888649867</v>
      </c>
      <c r="AM1389" s="28">
        <f>IF(('Activity data'!BF15*EF!$H14)*kgtoGg=0,"NO",('Activity data'!BF15*EF!$H14)*kgtoGg)</f>
        <v>7.7411228012577773</v>
      </c>
      <c r="AN1389" s="28">
        <f>IF(('Activity data'!BG15*EF!$H14)*kgtoGg=0,"NO",('Activity data'!BG15*EF!$H14)*kgtoGg)</f>
        <v>7.9163247577118536</v>
      </c>
      <c r="AO1389" s="28">
        <f>IF(('Activity data'!BH15*EF!$H14)*kgtoGg=0,"NO",('Activity data'!BH15*EF!$H14)*kgtoGg)</f>
        <v>8.0810947340099517</v>
      </c>
      <c r="AP1389" s="28">
        <f>IF(('Activity data'!BI15*EF!$H14)*kgtoGg=0,"NO",('Activity data'!BI15*EF!$H14)*kgtoGg)</f>
        <v>8.2480372843312519</v>
      </c>
      <c r="AQ1389" s="28">
        <f>IF(('Activity data'!BJ15*EF!$H14)*kgtoGg=0,"NO",('Activity data'!BJ15*EF!$H14)*kgtoGg)</f>
        <v>8.4174605770969908</v>
      </c>
      <c r="AR1389" s="28">
        <f>IF(('Activity data'!BK15*EF!$H14)*kgtoGg=0,"NO",('Activity data'!BK15*EF!$H14)*kgtoGg)</f>
        <v>8.5983802423376101</v>
      </c>
      <c r="AS1389" s="28">
        <f>IF(('Activity data'!BL15*EF!$H14)*kgtoGg=0,"NO",('Activity data'!BL15*EF!$H14)*kgtoGg)</f>
        <v>8.7907471853609671</v>
      </c>
      <c r="AT1389" s="28">
        <f>IF(('Activity data'!BM15*EF!$H14)*kgtoGg=0,"NO",('Activity data'!BM15*EF!$H14)*kgtoGg)</f>
        <v>8.8991507547228217</v>
      </c>
      <c r="AU1389" s="28">
        <f>IF(('Activity data'!BN15*EF!$H14)*kgtoGg=0,"NO",('Activity data'!BN15*EF!$H14)*kgtoGg)</f>
        <v>9.0016825973480952</v>
      </c>
      <c r="AV1389" s="28">
        <f>IF(('Activity data'!BO15*EF!$H14)*kgtoGg=0,"NO",('Activity data'!BO15*EF!$H14)*kgtoGg)</f>
        <v>9.1156705075973274</v>
      </c>
      <c r="AW1389" s="28">
        <f>IF(('Activity data'!BP15*EF!$H14)*kgtoGg=0,"NO",('Activity data'!BP15*EF!$H14)*kgtoGg)</f>
        <v>9.2247946500114306</v>
      </c>
    </row>
    <row r="1390" spans="1:49" x14ac:dyDescent="0.25">
      <c r="A1390" s="102" t="s">
        <v>961</v>
      </c>
      <c r="B1390" s="102"/>
      <c r="C1390" s="102"/>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8">
        <f>IF(('Activity data'!AD16*EF!$H15)*kgtoGg=0,"NO",('Activity data'!AD16*EF!$H15)*kgtoGg)</f>
        <v>1.67</v>
      </c>
      <c r="L1390" s="28">
        <f>IF(('Activity data'!AE16*EF!$H15)*kgtoGg=0,"NO",('Activity data'!AE16*EF!$H15)*kgtoGg)</f>
        <v>1.67</v>
      </c>
      <c r="M1390" s="28">
        <f>IF(('Activity data'!AF16*EF!$H15)*kgtoGg=0,"NO",('Activity data'!AF16*EF!$H15)*kgtoGg)</f>
        <v>1.67</v>
      </c>
      <c r="N1390" s="28">
        <f>IF(('Activity data'!AG16*EF!$H15)*kgtoGg=0,"NO",('Activity data'!AG16*EF!$H15)*kgtoGg)</f>
        <v>1.67</v>
      </c>
      <c r="O1390" s="28">
        <f>IF(('Activity data'!AH16*EF!$H15)*kgtoGg=0,"NO",('Activity data'!AH16*EF!$H15)*kgtoGg)</f>
        <v>1.67</v>
      </c>
      <c r="P1390" s="28">
        <f>IF(('Activity data'!AI16*EF!$H15)*kgtoGg=0,"NO",('Activity data'!AI16*EF!$H15)*kgtoGg)</f>
        <v>1.67</v>
      </c>
      <c r="Q1390" s="28">
        <f>IF(('Activity data'!AJ16*EF!$H15)*kgtoGg=0,"NO",('Activity data'!AJ16*EF!$H15)*kgtoGg)</f>
        <v>1.67</v>
      </c>
      <c r="R1390" s="28">
        <f>IF(('Activity data'!AK16*EF!$H15)*kgtoGg=0,"NO",('Activity data'!AK16*EF!$H15)*kgtoGg)</f>
        <v>1.67</v>
      </c>
      <c r="S1390" s="28">
        <f>IF(('Activity data'!AL16*EF!$H15)*kgtoGg=0,"NO",('Activity data'!AL16*EF!$H15)*kgtoGg)</f>
        <v>1.67</v>
      </c>
      <c r="T1390" s="28">
        <f>IF(('Activity data'!AM16*EF!$H15)*kgtoGg=0,"NO",('Activity data'!AM16*EF!$H15)*kgtoGg)</f>
        <v>1.67</v>
      </c>
      <c r="U1390" s="28">
        <f>IF(('Activity data'!AN16*EF!$H15)*kgtoGg=0,"NO",('Activity data'!AN16*EF!$H15)*kgtoGg)</f>
        <v>1.67</v>
      </c>
      <c r="V1390" s="28">
        <f>IF(('Activity data'!AO16*EF!$H15)*kgtoGg=0,"NO",('Activity data'!AO16*EF!$H15)*kgtoGg)</f>
        <v>1.67</v>
      </c>
      <c r="W1390" s="28">
        <f>IF(('Activity data'!AP16*EF!$H15)*kgtoGg=0,"NO",('Activity data'!AP16*EF!$H15)*kgtoGg)</f>
        <v>1.67</v>
      </c>
      <c r="X1390" s="28">
        <f>IF(('Activity data'!AQ16*EF!$H15)*kgtoGg=0,"NO",('Activity data'!AQ16*EF!$H15)*kgtoGg)</f>
        <v>1.67</v>
      </c>
      <c r="Y1390" s="28">
        <f>IF(('Activity data'!AR16*EF!$H15)*kgtoGg=0,"NO",('Activity data'!AR16*EF!$H15)*kgtoGg)</f>
        <v>1.67</v>
      </c>
      <c r="Z1390" s="28">
        <f>IF(('Activity data'!AS16*EF!$H15)*kgtoGg=0,"NO",('Activity data'!AS16*EF!$H15)*kgtoGg)</f>
        <v>1.67</v>
      </c>
      <c r="AA1390" s="28">
        <f>IF(('Activity data'!AT16*EF!$H15)*kgtoGg=0,"NO",('Activity data'!AT16*EF!$H15)*kgtoGg)</f>
        <v>1.67</v>
      </c>
      <c r="AB1390" s="28">
        <f>IF(('Activity data'!AU16*EF!$H15)*kgtoGg=0,"NO",('Activity data'!AU16*EF!$H15)*kgtoGg)</f>
        <v>1.67</v>
      </c>
      <c r="AC1390" s="28">
        <f>IF(('Activity data'!AV16*EF!$H15)*kgtoGg=0,"NO",('Activity data'!AV16*EF!$H15)*kgtoGg)</f>
        <v>1.67</v>
      </c>
      <c r="AD1390" s="28">
        <f>IF(('Activity data'!AW16*EF!$H15)*kgtoGg=0,"NO",('Activity data'!AW16*EF!$H15)*kgtoGg)</f>
        <v>1.67</v>
      </c>
      <c r="AE1390" s="28">
        <f>IF(('Activity data'!AX16*EF!$H15)*kgtoGg=0,"NO",('Activity data'!AX16*EF!$H15)*kgtoGg)</f>
        <v>1.67</v>
      </c>
      <c r="AF1390" s="28">
        <f>IF(('Activity data'!AY16*EF!$H15)*kgtoGg=0,"NO",('Activity data'!AY16*EF!$H15)*kgtoGg)</f>
        <v>1.67</v>
      </c>
      <c r="AG1390" s="28">
        <f>IF(('Activity data'!AZ16*EF!$H15)*kgtoGg=0,"NO",('Activity data'!AZ16*EF!$H15)*kgtoGg)</f>
        <v>1.67</v>
      </c>
      <c r="AH1390" s="28">
        <f>IF(('Activity data'!BA16*EF!$H15)*kgtoGg=0,"NO",('Activity data'!BA16*EF!$H15)*kgtoGg)</f>
        <v>1.67</v>
      </c>
      <c r="AI1390" s="28">
        <f>IF(('Activity data'!BB16*EF!$H15)*kgtoGg=0,"NO",('Activity data'!BB16*EF!$H15)*kgtoGg)</f>
        <v>1.67</v>
      </c>
      <c r="AJ1390" s="28">
        <f>IF(('Activity data'!BC16*EF!$H15)*kgtoGg=0,"NO",('Activity data'!BC16*EF!$H15)*kgtoGg)</f>
        <v>1.67</v>
      </c>
      <c r="AK1390" s="28">
        <f>IF(('Activity data'!BD16*EF!$H15)*kgtoGg=0,"NO",('Activity data'!BD16*EF!$H15)*kgtoGg)</f>
        <v>1.67</v>
      </c>
      <c r="AL1390" s="28">
        <f>IF(('Activity data'!BE16*EF!$H15)*kgtoGg=0,"NO",('Activity data'!BE16*EF!$H15)*kgtoGg)</f>
        <v>1.67</v>
      </c>
      <c r="AM1390" s="28">
        <f>IF(('Activity data'!BF16*EF!$H15)*kgtoGg=0,"NO",('Activity data'!BF16*EF!$H15)*kgtoGg)</f>
        <v>1.67</v>
      </c>
      <c r="AN1390" s="28">
        <f>IF(('Activity data'!BG16*EF!$H15)*kgtoGg=0,"NO",('Activity data'!BG16*EF!$H15)*kgtoGg)</f>
        <v>1.67</v>
      </c>
      <c r="AO1390" s="28">
        <f>IF(('Activity data'!BH16*EF!$H15)*kgtoGg=0,"NO",('Activity data'!BH16*EF!$H15)*kgtoGg)</f>
        <v>1.67</v>
      </c>
      <c r="AP1390" s="28">
        <f>IF(('Activity data'!BI16*EF!$H15)*kgtoGg=0,"NO",('Activity data'!BI16*EF!$H15)*kgtoGg)</f>
        <v>1.67</v>
      </c>
      <c r="AQ1390" s="28">
        <f>IF(('Activity data'!BJ16*EF!$H15)*kgtoGg=0,"NO",('Activity data'!BJ16*EF!$H15)*kgtoGg)</f>
        <v>1.67</v>
      </c>
      <c r="AR1390" s="28">
        <f>IF(('Activity data'!BK16*EF!$H15)*kgtoGg=0,"NO",('Activity data'!BK16*EF!$H15)*kgtoGg)</f>
        <v>1.67</v>
      </c>
      <c r="AS1390" s="28">
        <f>IF(('Activity data'!BL16*EF!$H15)*kgtoGg=0,"NO",('Activity data'!BL16*EF!$H15)*kgtoGg)</f>
        <v>1.67</v>
      </c>
      <c r="AT1390" s="28">
        <f>IF(('Activity data'!BM16*EF!$H15)*kgtoGg=0,"NO",('Activity data'!BM16*EF!$H15)*kgtoGg)</f>
        <v>1.67</v>
      </c>
      <c r="AU1390" s="28">
        <f>IF(('Activity data'!BN16*EF!$H15)*kgtoGg=0,"NO",('Activity data'!BN16*EF!$H15)*kgtoGg)</f>
        <v>1.67</v>
      </c>
      <c r="AV1390" s="28">
        <f>IF(('Activity data'!BO16*EF!$H15)*kgtoGg=0,"NO",('Activity data'!BO16*EF!$H15)*kgtoGg)</f>
        <v>1.67</v>
      </c>
      <c r="AW1390" s="28">
        <f>IF(('Activity data'!BP16*EF!$H15)*kgtoGg=0,"NO",('Activity data'!BP16*EF!$H15)*kgtoGg)</f>
        <v>1.67</v>
      </c>
    </row>
    <row r="1391" spans="1:49" x14ac:dyDescent="0.25">
      <c r="A1391" s="102" t="s">
        <v>961</v>
      </c>
      <c r="B1391" s="102"/>
      <c r="C1391" s="102"/>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8">
        <f>IF(('Activity data'!AD17*EF!$H16)*kgtoGg=0,"NO",('Activity data'!AD17*EF!$H16)*kgtoGg)</f>
        <v>1.8474255451679995</v>
      </c>
      <c r="L1391" s="28">
        <f>IF(('Activity data'!AE17*EF!$H16)*kgtoGg=0,"NO",('Activity data'!AE17*EF!$H16)*kgtoGg)</f>
        <v>1.8441604348292597</v>
      </c>
      <c r="M1391" s="28">
        <f>IF(('Activity data'!AF17*EF!$H16)*kgtoGg=0,"NO",('Activity data'!AF17*EF!$H16)*kgtoGg)</f>
        <v>1.8338137298795358</v>
      </c>
      <c r="N1391" s="28">
        <f>IF(('Activity data'!AG17*EF!$H16)*kgtoGg=0,"NO",('Activity data'!AG17*EF!$H16)*kgtoGg)</f>
        <v>1.7933482851133742</v>
      </c>
      <c r="O1391" s="28">
        <f>IF(('Activity data'!AH17*EF!$H16)*kgtoGg=0,"NO",('Activity data'!AH17*EF!$H16)*kgtoGg)</f>
        <v>1.7550816658957487</v>
      </c>
      <c r="P1391" s="28">
        <f>IF(('Activity data'!AI17*EF!$H16)*kgtoGg=0,"NO",('Activity data'!AI17*EF!$H16)*kgtoGg)</f>
        <v>1.7489053520701128</v>
      </c>
      <c r="Q1391" s="28">
        <f>IF(('Activity data'!AJ17*EF!$H16)*kgtoGg=0,"NO",('Activity data'!AJ17*EF!$H16)*kgtoGg)</f>
        <v>1.7339122581424293</v>
      </c>
      <c r="R1391" s="28">
        <f>IF(('Activity data'!AK17*EF!$H16)*kgtoGg=0,"NO",('Activity data'!AK17*EF!$H16)*kgtoGg)</f>
        <v>1.6877345539497199</v>
      </c>
      <c r="S1391" s="28">
        <f>IF(('Activity data'!AL17*EF!$H16)*kgtoGg=0,"NO",('Activity data'!AL17*EF!$H16)*kgtoGg)</f>
        <v>1.5053811336602128</v>
      </c>
      <c r="T1391" s="28">
        <f>IF(('Activity data'!AM17*EF!$H16)*kgtoGg=0,"NO",('Activity data'!AM17*EF!$H16)*kgtoGg)</f>
        <v>1.5377628037868112</v>
      </c>
      <c r="U1391" s="28">
        <f>IF(('Activity data'!AN17*EF!$H16)*kgtoGg=0,"NO",('Activity data'!AN17*EF!$H16)*kgtoGg)</f>
        <v>1.552673977291076</v>
      </c>
      <c r="V1391" s="28">
        <f>IF(('Activity data'!AO17*EF!$H16)*kgtoGg=0,"NO",('Activity data'!AO17*EF!$H16)*kgtoGg)</f>
        <v>1.5635339108098432</v>
      </c>
      <c r="W1391" s="28">
        <f>IF(('Activity data'!AP17*EF!$H16)*kgtoGg=0,"NO",('Activity data'!AP17*EF!$H16)*kgtoGg)</f>
        <v>1.5802068350253002</v>
      </c>
      <c r="X1391" s="28">
        <f>IF(('Activity data'!AQ17*EF!$H16)*kgtoGg=0,"NO",('Activity data'!AQ17*EF!$H16)*kgtoGg)</f>
        <v>1.6172323659778973</v>
      </c>
      <c r="Y1391" s="28">
        <f>IF(('Activity data'!AR17*EF!$H16)*kgtoGg=0,"NO",('Activity data'!AR17*EF!$H16)*kgtoGg)</f>
        <v>1.6589025382757046</v>
      </c>
      <c r="Z1391" s="28">
        <f>IF(('Activity data'!AS17*EF!$H16)*kgtoGg=0,"NO",('Activity data'!AS17*EF!$H16)*kgtoGg)</f>
        <v>1.7047569121988</v>
      </c>
      <c r="AA1391" s="28">
        <f>IF(('Activity data'!AT17*EF!$H16)*kgtoGg=0,"NO",('Activity data'!AT17*EF!$H16)*kgtoGg)</f>
        <v>1.7414239138931573</v>
      </c>
      <c r="AB1391" s="28">
        <f>IF(('Activity data'!AU17*EF!$H16)*kgtoGg=0,"NO",('Activity data'!AU17*EF!$H16)*kgtoGg)</f>
        <v>1.7863343967077348</v>
      </c>
      <c r="AC1391" s="28">
        <f>IF(('Activity data'!AV17*EF!$H16)*kgtoGg=0,"NO",('Activity data'!AV17*EF!$H16)*kgtoGg)</f>
        <v>1.8412944995472851</v>
      </c>
      <c r="AD1391" s="28">
        <f>IF(('Activity data'!AW17*EF!$H16)*kgtoGg=0,"NO",('Activity data'!AW17*EF!$H16)*kgtoGg)</f>
        <v>1.8933168508248233</v>
      </c>
      <c r="AE1391" s="28">
        <f>IF(('Activity data'!AX17*EF!$H16)*kgtoGg=0,"NO",('Activity data'!AX17*EF!$H16)*kgtoGg)</f>
        <v>1.9474606383722404</v>
      </c>
      <c r="AF1391" s="28">
        <f>IF(('Activity data'!AY17*EF!$H16)*kgtoGg=0,"NO",('Activity data'!AY17*EF!$H16)*kgtoGg)</f>
        <v>2.0019218993391705</v>
      </c>
      <c r="AG1391" s="28">
        <f>IF(('Activity data'!AZ17*EF!$H16)*kgtoGg=0,"NO",('Activity data'!AZ17*EF!$H16)*kgtoGg)</f>
        <v>2.0640337310487364</v>
      </c>
      <c r="AH1391" s="28">
        <f>IF(('Activity data'!BA17*EF!$H16)*kgtoGg=0,"NO",('Activity data'!BA17*EF!$H16)*kgtoGg)</f>
        <v>2.1143896915844675</v>
      </c>
      <c r="AI1391" s="28">
        <f>IF(('Activity data'!BB17*EF!$H16)*kgtoGg=0,"NO",('Activity data'!BB17*EF!$H16)*kgtoGg)</f>
        <v>2.1683478050489855</v>
      </c>
      <c r="AJ1391" s="28">
        <f>IF(('Activity data'!BC17*EF!$H16)*kgtoGg=0,"NO",('Activity data'!BC17*EF!$H16)*kgtoGg)</f>
        <v>2.2223161129731017</v>
      </c>
      <c r="AK1391" s="28">
        <f>IF(('Activity data'!BD17*EF!$H16)*kgtoGg=0,"NO",('Activity data'!BD17*EF!$H16)*kgtoGg)</f>
        <v>2.2712974627449407</v>
      </c>
      <c r="AL1391" s="28">
        <f>IF(('Activity data'!BE17*EF!$H16)*kgtoGg=0,"NO",('Activity data'!BE17*EF!$H16)*kgtoGg)</f>
        <v>2.3187596234531931</v>
      </c>
      <c r="AM1391" s="28">
        <f>IF(('Activity data'!BF17*EF!$H16)*kgtoGg=0,"NO",('Activity data'!BF17*EF!$H16)*kgtoGg)</f>
        <v>2.3676923627976345</v>
      </c>
      <c r="AN1391" s="28">
        <f>IF(('Activity data'!BG17*EF!$H16)*kgtoGg=0,"NO",('Activity data'!BG17*EF!$H16)*kgtoGg)</f>
        <v>2.4194242817017155</v>
      </c>
      <c r="AO1391" s="28">
        <f>IF(('Activity data'!BH17*EF!$H16)*kgtoGg=0,"NO",('Activity data'!BH17*EF!$H16)*kgtoGg)</f>
        <v>2.4649069844651375</v>
      </c>
      <c r="AP1391" s="28">
        <f>IF(('Activity data'!BI17*EF!$H16)*kgtoGg=0,"NO",('Activity data'!BI17*EF!$H16)*kgtoGg)</f>
        <v>2.5100582920146528</v>
      </c>
      <c r="AQ1391" s="28">
        <f>IF(('Activity data'!BJ17*EF!$H16)*kgtoGg=0,"NO",('Activity data'!BJ17*EF!$H16)*kgtoGg)</f>
        <v>2.5549982553333939</v>
      </c>
      <c r="AR1391" s="28">
        <f>IF(('Activity data'!BK17*EF!$H16)*kgtoGg=0,"NO",('Activity data'!BK17*EF!$H16)*kgtoGg)</f>
        <v>2.6036946475230054</v>
      </c>
      <c r="AS1391" s="28">
        <f>IF(('Activity data'!BL17*EF!$H16)*kgtoGg=0,"NO",('Activity data'!BL17*EF!$H16)*kgtoGg)</f>
        <v>2.653097485519059</v>
      </c>
      <c r="AT1391" s="28">
        <f>IF(('Activity data'!BM17*EF!$H16)*kgtoGg=0,"NO",('Activity data'!BM17*EF!$H16)*kgtoGg)</f>
        <v>2.6646485873532106</v>
      </c>
      <c r="AU1391" s="28">
        <f>IF(('Activity data'!BN17*EF!$H16)*kgtoGg=0,"NO",('Activity data'!BN17*EF!$H16)*kgtoGg)</f>
        <v>2.6730218901162521</v>
      </c>
      <c r="AV1391" s="28">
        <f>IF(('Activity data'!BO17*EF!$H16)*kgtoGg=0,"NO",('Activity data'!BO17*EF!$H16)*kgtoGg)</f>
        <v>2.6855920926795118</v>
      </c>
      <c r="AW1391" s="28">
        <f>IF(('Activity data'!BP17*EF!$H16)*kgtoGg=0,"NO",('Activity data'!BP17*EF!$H16)*kgtoGg)</f>
        <v>2.6954069255347832</v>
      </c>
    </row>
    <row r="1392" spans="1:49" x14ac:dyDescent="0.25">
      <c r="A1392" s="102" t="s">
        <v>961</v>
      </c>
      <c r="B1392" s="102"/>
      <c r="C1392" s="102"/>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8">
        <f>IF(('Activity data'!AD18*EF!$H17)*kgtoGg=0,"NO",('Activity data'!AD18*EF!$H17)*kgtoGg)</f>
        <v>0.25598228499623599</v>
      </c>
      <c r="L1392" s="28">
        <f>IF(('Activity data'!AE18*EF!$H17)*kgtoGg=0,"NO",('Activity data'!AE18*EF!$H17)*kgtoGg)</f>
        <v>0.25552986600297178</v>
      </c>
      <c r="M1392" s="28">
        <f>IF(('Activity data'!AF18*EF!$H17)*kgtoGg=0,"NO",('Activity data'!AF18*EF!$H17)*kgtoGg)</f>
        <v>0.2540962097551519</v>
      </c>
      <c r="N1392" s="28">
        <f>IF(('Activity data'!AG18*EF!$H17)*kgtoGg=0,"NO",('Activity data'!AG18*EF!$H17)*kgtoGg)</f>
        <v>0.24848925198533875</v>
      </c>
      <c r="O1392" s="28">
        <f>IF(('Activity data'!AH18*EF!$H17)*kgtoGg=0,"NO",('Activity data'!AH18*EF!$H17)*kgtoGg)</f>
        <v>0.24318696705589768</v>
      </c>
      <c r="P1392" s="28">
        <f>IF(('Activity data'!AI18*EF!$H17)*kgtoGg=0,"NO",('Activity data'!AI18*EF!$H17)*kgtoGg)</f>
        <v>0.24233116697774282</v>
      </c>
      <c r="Q1392" s="28">
        <f>IF(('Activity data'!AJ18*EF!$H17)*kgtoGg=0,"NO",('Activity data'!AJ18*EF!$H17)*kgtoGg)</f>
        <v>0.24025369952428582</v>
      </c>
      <c r="R1392" s="28">
        <f>IF(('Activity data'!AK18*EF!$H17)*kgtoGg=0,"NO",('Activity data'!AK18*EF!$H17)*kgtoGg)</f>
        <v>0.23385524180779091</v>
      </c>
      <c r="S1392" s="28">
        <f>IF(('Activity data'!AL18*EF!$H17)*kgtoGg=0,"NO",('Activity data'!AL18*EF!$H17)*kgtoGg)</f>
        <v>0.20858805562825686</v>
      </c>
      <c r="T1392" s="28">
        <f>IF(('Activity data'!AM18*EF!$H17)*kgtoGg=0,"NO",('Activity data'!AM18*EF!$H17)*kgtoGg)</f>
        <v>0.21307491245054205</v>
      </c>
      <c r="U1392" s="28">
        <f>IF(('Activity data'!AN18*EF!$H17)*kgtoGg=0,"NO",('Activity data'!AN18*EF!$H17)*kgtoGg)</f>
        <v>0.21514102887703648</v>
      </c>
      <c r="V1392" s="28">
        <f>IF(('Activity data'!AO18*EF!$H17)*kgtoGg=0,"NO",('Activity data'!AO18*EF!$H17)*kgtoGg)</f>
        <v>0.21664579890921035</v>
      </c>
      <c r="W1392" s="28">
        <f>IF(('Activity data'!AP18*EF!$H17)*kgtoGg=0,"NO",('Activity data'!AP18*EF!$H17)*kgtoGg)</f>
        <v>0.21895602637651193</v>
      </c>
      <c r="X1392" s="28">
        <f>IF(('Activity data'!AQ18*EF!$H17)*kgtoGg=0,"NO",('Activity data'!AQ18*EF!$H17)*kgtoGg)</f>
        <v>0.22408634409959116</v>
      </c>
      <c r="Y1392" s="28">
        <f>IF(('Activity data'!AR18*EF!$H17)*kgtoGg=0,"NO",('Activity data'!AR18*EF!$H17)*kgtoGg)</f>
        <v>0.22986023087347443</v>
      </c>
      <c r="Z1392" s="28">
        <f>IF(('Activity data'!AS18*EF!$H17)*kgtoGg=0,"NO",('Activity data'!AS18*EF!$H17)*kgtoGg)</f>
        <v>0.23621388742250649</v>
      </c>
      <c r="AA1392" s="28">
        <f>IF(('Activity data'!AT18*EF!$H17)*kgtoGg=0,"NO",('Activity data'!AT18*EF!$H17)*kgtoGg)</f>
        <v>0.24129452674907209</v>
      </c>
      <c r="AB1392" s="28">
        <f>IF(('Activity data'!AU18*EF!$H17)*kgtoGg=0,"NO",('Activity data'!AU18*EF!$H17)*kgtoGg)</f>
        <v>0.24751739621259586</v>
      </c>
      <c r="AC1392" s="28">
        <f>IF(('Activity data'!AV18*EF!$H17)*kgtoGg=0,"NO",('Activity data'!AV18*EF!$H17)*kgtoGg)</f>
        <v>0.25513275735410096</v>
      </c>
      <c r="AD1392" s="28">
        <f>IF(('Activity data'!AW18*EF!$H17)*kgtoGg=0,"NO",('Activity data'!AW18*EF!$H17)*kgtoGg)</f>
        <v>0.26234105886629538</v>
      </c>
      <c r="AE1392" s="28">
        <f>IF(('Activity data'!AX18*EF!$H17)*kgtoGg=0,"NO",('Activity data'!AX18*EF!$H17)*kgtoGg)</f>
        <v>0.26984331003467904</v>
      </c>
      <c r="AF1392" s="28">
        <f>IF(('Activity data'!AY18*EF!$H17)*kgtoGg=0,"NO",('Activity data'!AY18*EF!$H17)*kgtoGg)</f>
        <v>0.27738955083586025</v>
      </c>
      <c r="AG1392" s="28">
        <f>IF(('Activity data'!AZ18*EF!$H17)*kgtoGg=0,"NO",('Activity data'!AZ18*EF!$H17)*kgtoGg)</f>
        <v>0.28599586714879749</v>
      </c>
      <c r="AH1392" s="28">
        <f>IF(('Activity data'!BA18*EF!$H17)*kgtoGg=0,"NO",('Activity data'!BA18*EF!$H17)*kgtoGg)</f>
        <v>0.29297327085247121</v>
      </c>
      <c r="AI1392" s="28">
        <f>IF(('Activity data'!BB18*EF!$H17)*kgtoGg=0,"NO",('Activity data'!BB18*EF!$H17)*kgtoGg)</f>
        <v>0.30044979471826921</v>
      </c>
      <c r="AJ1392" s="28">
        <f>IF(('Activity data'!BC18*EF!$H17)*kgtoGg=0,"NO",('Activity data'!BC18*EF!$H17)*kgtoGg)</f>
        <v>0.30792773114495187</v>
      </c>
      <c r="AK1392" s="28">
        <f>IF(('Activity data'!BD18*EF!$H17)*kgtoGg=0,"NO",('Activity data'!BD18*EF!$H17)*kgtoGg)</f>
        <v>0.31471466654789126</v>
      </c>
      <c r="AL1392" s="28">
        <f>IF(('Activity data'!BE18*EF!$H17)*kgtoGg=0,"NO",('Activity data'!BE18*EF!$H17)*kgtoGg)</f>
        <v>0.32129110064599836</v>
      </c>
      <c r="AM1392" s="28">
        <f>IF(('Activity data'!BF18*EF!$H17)*kgtoGg=0,"NO",('Activity data'!BF18*EF!$H17)*kgtoGg)</f>
        <v>0.32807130050914157</v>
      </c>
      <c r="AN1392" s="28">
        <f>IF(('Activity data'!BG18*EF!$H17)*kgtoGg=0,"NO",('Activity data'!BG18*EF!$H17)*kgtoGg)</f>
        <v>0.33523935923981285</v>
      </c>
      <c r="AO1392" s="28">
        <f>IF(('Activity data'!BH18*EF!$H17)*kgtoGg=0,"NO",('Activity data'!BH18*EF!$H17)*kgtoGg)</f>
        <v>0.3415415164291174</v>
      </c>
      <c r="AP1392" s="28">
        <f>IF(('Activity data'!BI18*EF!$H17)*kgtoGg=0,"NO",('Activity data'!BI18*EF!$H17)*kgtoGg)</f>
        <v>0.34779775495917498</v>
      </c>
      <c r="AQ1392" s="28">
        <f>IF(('Activity data'!BJ18*EF!$H17)*kgtoGg=0,"NO",('Activity data'!BJ18*EF!$H17)*kgtoGg)</f>
        <v>0.35402470928925173</v>
      </c>
      <c r="AR1392" s="28">
        <f>IF(('Activity data'!BK18*EF!$H17)*kgtoGg=0,"NO",('Activity data'!BK18*EF!$H17)*kgtoGg)</f>
        <v>0.36077216050663552</v>
      </c>
      <c r="AS1392" s="28">
        <f>IF(('Activity data'!BL18*EF!$H17)*kgtoGg=0,"NO",('Activity data'!BL18*EF!$H17)*kgtoGg)</f>
        <v>0.36761749800270155</v>
      </c>
      <c r="AT1392" s="28">
        <f>IF(('Activity data'!BM18*EF!$H17)*kgtoGg=0,"NO",('Activity data'!BM18*EF!$H17)*kgtoGg)</f>
        <v>0.36921803743957582</v>
      </c>
      <c r="AU1392" s="28">
        <f>IF(('Activity data'!BN18*EF!$H17)*kgtoGg=0,"NO",('Activity data'!BN18*EF!$H17)*kgtoGg)</f>
        <v>0.37037825587428075</v>
      </c>
      <c r="AV1392" s="28">
        <f>IF(('Activity data'!BO18*EF!$H17)*kgtoGg=0,"NO",('Activity data'!BO18*EF!$H17)*kgtoGg)</f>
        <v>0.37212000356388308</v>
      </c>
      <c r="AW1392" s="28">
        <f>IF(('Activity data'!BP18*EF!$H17)*kgtoGg=0,"NO",('Activity data'!BP18*EF!$H17)*kgtoGg)</f>
        <v>0.37347996275017875</v>
      </c>
    </row>
    <row r="1393" spans="1:49" x14ac:dyDescent="0.25">
      <c r="A1393" s="102" t="s">
        <v>961</v>
      </c>
      <c r="B1393" s="102"/>
      <c r="C1393" s="102"/>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8">
        <f>IF(('Activity data'!AD5*EF!$H18)*kgtoGg=0,"NO",('Activity data'!AD5*EF!$H18)*kgtoGg)</f>
        <v>7.3588045650103595</v>
      </c>
      <c r="L1393" s="28">
        <f>IF(('Activity data'!AE5*EF!$H18)*kgtoGg=0,"NO",('Activity data'!AE5*EF!$H18)*kgtoGg)</f>
        <v>7.4084916265932694</v>
      </c>
      <c r="M1393" s="28">
        <f>IF(('Activity data'!AF5*EF!$H18)*kgtoGg=0,"NO",('Activity data'!AF5*EF!$H18)*kgtoGg)</f>
        <v>7.4519552194142697</v>
      </c>
      <c r="N1393" s="28">
        <f>IF(('Activity data'!AG5*EF!$H18)*kgtoGg=0,"NO",('Activity data'!AG5*EF!$H18)*kgtoGg)</f>
        <v>7.4575773262508553</v>
      </c>
      <c r="O1393" s="28">
        <f>IF(('Activity data'!AH5*EF!$H18)*kgtoGg=0,"NO",('Activity data'!AH5*EF!$H18)*kgtoGg)</f>
        <v>7.4672608540413012</v>
      </c>
      <c r="P1393" s="28">
        <f>IF(('Activity data'!AI5*EF!$H18)*kgtoGg=0,"NO",('Activity data'!AI5*EF!$H18)*kgtoGg)</f>
        <v>7.5228231503520746</v>
      </c>
      <c r="Q1393" s="28">
        <f>IF(('Activity data'!AJ5*EF!$H18)*kgtoGg=0,"NO",('Activity data'!AJ5*EF!$H18)*kgtoGg)</f>
        <v>7.5672526424513036</v>
      </c>
      <c r="R1393" s="28">
        <f>IF(('Activity data'!AK5*EF!$H18)*kgtoGg=0,"NO",('Activity data'!AK5*EF!$H18)*kgtoGg)</f>
        <v>7.5676422029096111</v>
      </c>
      <c r="S1393" s="28">
        <f>IF(('Activity data'!AL5*EF!$H18)*kgtoGg=0,"NO",('Activity data'!AL5*EF!$H18)*kgtoGg)</f>
        <v>7.3671469631707884</v>
      </c>
      <c r="T1393" s="28">
        <f>IF(('Activity data'!AM5*EF!$H18)*kgtoGg=0,"NO",('Activity data'!AM5*EF!$H18)*kgtoGg)</f>
        <v>7.4640051034943111</v>
      </c>
      <c r="U1393" s="28">
        <f>IF(('Activity data'!AN5*EF!$H18)*kgtoGg=0,"NO",('Activity data'!AN5*EF!$H18)*kgtoGg)</f>
        <v>7.5373250515588941</v>
      </c>
      <c r="V1393" s="28">
        <f>IF(('Activity data'!AO5*EF!$H18)*kgtoGg=0,"NO",('Activity data'!AO5*EF!$H18)*kgtoGg)</f>
        <v>7.6065006875157843</v>
      </c>
      <c r="W1393" s="28">
        <f>IF(('Activity data'!AP5*EF!$H18)*kgtoGg=0,"NO",('Activity data'!AP5*EF!$H18)*kgtoGg)</f>
        <v>7.686711876493888</v>
      </c>
      <c r="X1393" s="28">
        <f>IF(('Activity data'!AQ5*EF!$H18)*kgtoGg=0,"NO",('Activity data'!AQ5*EF!$H18)*kgtoGg)</f>
        <v>7.801642363870573</v>
      </c>
      <c r="Y1393" s="28">
        <f>IF(('Activity data'!AR5*EF!$H18)*kgtoGg=0,"NO",('Activity data'!AR5*EF!$H18)*kgtoGg)</f>
        <v>7.9212983742327268</v>
      </c>
      <c r="Z1393" s="28">
        <f>IF(('Activity data'!AS5*EF!$H18)*kgtoGg=0,"NO",('Activity data'!AS5*EF!$H18)*kgtoGg)</f>
        <v>8.051271811974777</v>
      </c>
      <c r="AA1393" s="28">
        <f>IF(('Activity data'!AT5*EF!$H18)*kgtoGg=0,"NO",('Activity data'!AT5*EF!$H18)*kgtoGg)</f>
        <v>8.1694693701055154</v>
      </c>
      <c r="AB1393" s="28">
        <f>IF(('Activity data'!AU5*EF!$H18)*kgtoGg=0,"NO",('Activity data'!AU5*EF!$H18)*kgtoGg)</f>
        <v>8.304894934006013</v>
      </c>
      <c r="AC1393" s="28">
        <f>IF(('Activity data'!AV5*EF!$H18)*kgtoGg=0,"NO",('Activity data'!AV5*EF!$H18)*kgtoGg)</f>
        <v>8.4613678864677428</v>
      </c>
      <c r="AD1393" s="28">
        <f>IF(('Activity data'!AW5*EF!$H18)*kgtoGg=0,"NO",('Activity data'!AW5*EF!$H18)*kgtoGg)</f>
        <v>8.6120126328996225</v>
      </c>
      <c r="AE1393" s="28">
        <f>IF(('Activity data'!AX5*EF!$H18)*kgtoGg=0,"NO",('Activity data'!AX5*EF!$H18)*kgtoGg)</f>
        <v>8.7705110877908012</v>
      </c>
      <c r="AF1393" s="28">
        <f>IF(('Activity data'!AY5*EF!$H18)*kgtoGg=0,"NO",('Activity data'!AY5*EF!$H18)*kgtoGg)</f>
        <v>8.9338169052653935</v>
      </c>
      <c r="AG1393" s="28">
        <f>IF(('Activity data'!AZ5*EF!$H18)*kgtoGg=0,"NO",('Activity data'!AZ5*EF!$H18)*kgtoGg)</f>
        <v>9.1155300292362771</v>
      </c>
      <c r="AH1393" s="28">
        <f>IF(('Activity data'!BA5*EF!$H18)*kgtoGg=0,"NO",('Activity data'!BA5*EF!$H18)*kgtoGg)</f>
        <v>9.2800481861570177</v>
      </c>
      <c r="AI1393" s="28">
        <f>IF(('Activity data'!BB5*EF!$H18)*kgtoGg=0,"NO",('Activity data'!BB5*EF!$H18)*kgtoGg)</f>
        <v>9.4510008371933658</v>
      </c>
      <c r="AJ1393" s="28">
        <f>IF(('Activity data'!BC5*EF!$H18)*kgtoGg=0,"NO",('Activity data'!BC5*EF!$H18)*kgtoGg)</f>
        <v>9.6264218592694402</v>
      </c>
      <c r="AK1393" s="28">
        <f>IF(('Activity data'!BD5*EF!$H18)*kgtoGg=0,"NO",('Activity data'!BD5*EF!$H18)*kgtoGg)</f>
        <v>9.7965990855623915</v>
      </c>
      <c r="AL1393" s="28">
        <f>IF(('Activity data'!BE5*EF!$H18)*kgtoGg=0,"NO",('Activity data'!BE5*EF!$H18)*kgtoGg)</f>
        <v>9.9680661021899084</v>
      </c>
      <c r="AM1393" s="28">
        <f>IF(('Activity data'!BF5*EF!$H18)*kgtoGg=0,"NO",('Activity data'!BF5*EF!$H18)*kgtoGg)</f>
        <v>10.146806716212263</v>
      </c>
      <c r="AN1393" s="28">
        <f>IF(('Activity data'!BG5*EF!$H18)*kgtoGg=0,"NO",('Activity data'!BG5*EF!$H18)*kgtoGg)</f>
        <v>10.331465633171717</v>
      </c>
      <c r="AO1393" s="28">
        <f>IF(('Activity data'!BH5*EF!$H18)*kgtoGg=0,"NO",('Activity data'!BH5*EF!$H18)*kgtoGg)</f>
        <v>10.50783381125248</v>
      </c>
      <c r="AP1393" s="28">
        <f>IF(('Activity data'!BI5*EF!$H18)*kgtoGg=0,"NO",('Activity data'!BI5*EF!$H18)*kgtoGg)</f>
        <v>10.68792759135736</v>
      </c>
      <c r="AQ1393" s="28">
        <f>IF(('Activity data'!BJ5*EF!$H18)*kgtoGg=0,"NO",('Activity data'!BJ5*EF!$H18)*kgtoGg)</f>
        <v>10.872071544232886</v>
      </c>
      <c r="AR1393" s="28">
        <f>IF(('Activity data'!BK5*EF!$H18)*kgtoGg=0,"NO",('Activity data'!BK5*EF!$H18)*kgtoGg)</f>
        <v>11.068995536388829</v>
      </c>
      <c r="AS1393" s="28">
        <f>IF(('Activity data'!BL5*EF!$H18)*kgtoGg=0,"NO",('Activity data'!BL5*EF!$H18)*kgtoGg)</f>
        <v>11.268086835721329</v>
      </c>
      <c r="AT1393" s="28">
        <f>IF(('Activity data'!BM5*EF!$H18)*kgtoGg=0,"NO",('Activity data'!BM5*EF!$H18)*kgtoGg)</f>
        <v>11.387245372385955</v>
      </c>
      <c r="AU1393" s="28">
        <f>IF(('Activity data'!BN5*EF!$H18)*kgtoGg=0,"NO",('Activity data'!BN5*EF!$H18)*kgtoGg)</f>
        <v>11.501774341925307</v>
      </c>
      <c r="AV1393" s="28">
        <f>IF(('Activity data'!BO5*EF!$H18)*kgtoGg=0,"NO",('Activity data'!BO5*EF!$H18)*kgtoGg)</f>
        <v>11.628486934141081</v>
      </c>
      <c r="AW1393" s="28">
        <f>IF(('Activity data'!BP5*EF!$H18)*kgtoGg=0,"NO",('Activity data'!BP5*EF!$H18)*kgtoGg)</f>
        <v>11.75154763718939</v>
      </c>
    </row>
    <row r="1394" spans="1:49" x14ac:dyDescent="0.25">
      <c r="A1394" s="102" t="s">
        <v>961</v>
      </c>
      <c r="B1394" s="102"/>
      <c r="C1394" s="102"/>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8">
        <f>IF(('Activity data'!AD6*EF!$H19)*kgtoGg=0,"NO",('Activity data'!AD6*EF!$H19)*kgtoGg)</f>
        <v>2.0965784624729791</v>
      </c>
      <c r="L1394" s="28">
        <f>IF(('Activity data'!AE6*EF!$H19)*kgtoGg=0,"NO",('Activity data'!AE6*EF!$H19)*kgtoGg)</f>
        <v>2.11073467796396</v>
      </c>
      <c r="M1394" s="28">
        <f>IF(('Activity data'!AF6*EF!$H19)*kgtoGg=0,"NO",('Activity data'!AF6*EF!$H19)*kgtoGg)</f>
        <v>2.123117780654781</v>
      </c>
      <c r="N1394" s="28">
        <f>IF(('Activity data'!AG6*EF!$H19)*kgtoGg=0,"NO",('Activity data'!AG6*EF!$H19)*kgtoGg)</f>
        <v>2.1247195609443885</v>
      </c>
      <c r="O1394" s="28">
        <f>IF(('Activity data'!AH6*EF!$H19)*kgtoGg=0,"NO",('Activity data'!AH6*EF!$H19)*kgtoGg)</f>
        <v>2.1274784704420999</v>
      </c>
      <c r="P1394" s="28">
        <f>IF(('Activity data'!AI6*EF!$H19)*kgtoGg=0,"NO",('Activity data'!AI6*EF!$H19)*kgtoGg)</f>
        <v>2.1433085842522419</v>
      </c>
      <c r="Q1394" s="28">
        <f>IF(('Activity data'!AJ6*EF!$H19)*kgtoGg=0,"NO",('Activity data'!AJ6*EF!$H19)*kgtoGg)</f>
        <v>2.1559668788721003</v>
      </c>
      <c r="R1394" s="28">
        <f>IF(('Activity data'!AK6*EF!$H19)*kgtoGg=0,"NO",('Activity data'!AK6*EF!$H19)*kgtoGg)</f>
        <v>2.1560778675604801</v>
      </c>
      <c r="S1394" s="28">
        <f>IF(('Activity data'!AL6*EF!$H19)*kgtoGg=0,"NO",('Activity data'!AL6*EF!$H19)*kgtoGg)</f>
        <v>2.0989552741078059</v>
      </c>
      <c r="T1394" s="28">
        <f>IF(('Activity data'!AM6*EF!$H19)*kgtoGg=0,"NO",('Activity data'!AM6*EF!$H19)*kgtoGg)</f>
        <v>2.1265508827591137</v>
      </c>
      <c r="U1394" s="28">
        <f>IF(('Activity data'!AN6*EF!$H19)*kgtoGg=0,"NO",('Activity data'!AN6*EF!$H19)*kgtoGg)</f>
        <v>2.14744028437643</v>
      </c>
      <c r="V1394" s="28">
        <f>IF(('Activity data'!AO6*EF!$H19)*kgtoGg=0,"NO",('Activity data'!AO6*EF!$H19)*kgtoGg)</f>
        <v>2.1671489404759119</v>
      </c>
      <c r="W1394" s="28">
        <f>IF(('Activity data'!AP6*EF!$H19)*kgtoGg=0,"NO",('Activity data'!AP6*EF!$H19)*kgtoGg)</f>
        <v>2.1900017081741403</v>
      </c>
      <c r="X1394" s="28">
        <f>IF(('Activity data'!AQ6*EF!$H19)*kgtoGg=0,"NO",('Activity data'!AQ6*EF!$H19)*kgtoGg)</f>
        <v>2.2227462636772444</v>
      </c>
      <c r="Y1394" s="28">
        <f>IF(('Activity data'!AR6*EF!$H19)*kgtoGg=0,"NO",('Activity data'!AR6*EF!$H19)*kgtoGg)</f>
        <v>2.2568371560245644</v>
      </c>
      <c r="Z1394" s="28">
        <f>IF(('Activity data'!AS6*EF!$H19)*kgtoGg=0,"NO",('Activity data'!AS6*EF!$H19)*kgtoGg)</f>
        <v>2.2938675606040304</v>
      </c>
      <c r="AA1394" s="28">
        <f>IF(('Activity data'!AT6*EF!$H19)*kgtoGg=0,"NO",('Activity data'!AT6*EF!$H19)*kgtoGg)</f>
        <v>2.3275429290017851</v>
      </c>
      <c r="AB1394" s="28">
        <f>IF(('Activity data'!AU6*EF!$H19)*kgtoGg=0,"NO",('Activity data'!AU6*EF!$H19)*kgtoGg)</f>
        <v>2.3661266851042466</v>
      </c>
      <c r="AC1394" s="28">
        <f>IF(('Activity data'!AV6*EF!$H19)*kgtoGg=0,"NO",('Activity data'!AV6*EF!$H19)*kgtoGg)</f>
        <v>2.4107069996366737</v>
      </c>
      <c r="AD1394" s="28">
        <f>IF(('Activity data'!AW6*EF!$H19)*kgtoGg=0,"NO",('Activity data'!AW6*EF!$H19)*kgtoGg)</f>
        <v>2.4536268146777656</v>
      </c>
      <c r="AE1394" s="28">
        <f>IF(('Activity data'!AX6*EF!$H19)*kgtoGg=0,"NO",('Activity data'!AX6*EF!$H19)*kgtoGg)</f>
        <v>2.4987842100025621</v>
      </c>
      <c r="AF1394" s="28">
        <f>IF(('Activity data'!AY6*EF!$H19)*kgtoGg=0,"NO",('Activity data'!AY6*EF!$H19)*kgtoGg)</f>
        <v>2.545311258885167</v>
      </c>
      <c r="AG1394" s="28">
        <f>IF(('Activity data'!AZ6*EF!$H19)*kgtoGg=0,"NO",('Activity data'!AZ6*EF!$H19)*kgtoGg)</f>
        <v>2.5970826870703236</v>
      </c>
      <c r="AH1394" s="28">
        <f>IF(('Activity data'!BA6*EF!$H19)*kgtoGg=0,"NO",('Activity data'!BA6*EF!$H19)*kgtoGg)</f>
        <v>2.6439551405291128</v>
      </c>
      <c r="AI1394" s="28">
        <f>IF(('Activity data'!BB6*EF!$H19)*kgtoGg=0,"NO",('Activity data'!BB6*EF!$H19)*kgtoGg)</f>
        <v>2.6926608294897441</v>
      </c>
      <c r="AJ1394" s="28">
        <f>IF(('Activity data'!BC6*EF!$H19)*kgtoGg=0,"NO",('Activity data'!BC6*EF!$H19)*kgtoGg)</f>
        <v>2.74263959078182</v>
      </c>
      <c r="AK1394" s="28">
        <f>IF(('Activity data'!BD6*EF!$H19)*kgtoGg=0,"NO",('Activity data'!BD6*EF!$H19)*kgtoGg)</f>
        <v>2.7911243554330865</v>
      </c>
      <c r="AL1394" s="28">
        <f>IF(('Activity data'!BE6*EF!$H19)*kgtoGg=0,"NO",('Activity data'!BE6*EF!$H19)*kgtoGg)</f>
        <v>2.83997659099796</v>
      </c>
      <c r="AM1394" s="28">
        <f>IF(('Activity data'!BF6*EF!$H19)*kgtoGg=0,"NO",('Activity data'!BF6*EF!$H19)*kgtoGg)</f>
        <v>2.8909011288651962</v>
      </c>
      <c r="AN1394" s="28">
        <f>IF(('Activity data'!BG6*EF!$H19)*kgtoGg=0,"NO",('Activity data'!BG6*EF!$H19)*kgtoGg)</f>
        <v>2.9435118355065453</v>
      </c>
      <c r="AO1394" s="28">
        <f>IF(('Activity data'!BH6*EF!$H19)*kgtoGg=0,"NO",('Activity data'!BH6*EF!$H19)*kgtoGg)</f>
        <v>2.9937604486288318</v>
      </c>
      <c r="AP1394" s="28">
        <f>IF(('Activity data'!BI6*EF!$H19)*kgtoGg=0,"NO",('Activity data'!BI6*EF!$H19)*kgtoGg)</f>
        <v>3.045070513634303</v>
      </c>
      <c r="AQ1394" s="28">
        <f>IF(('Activity data'!BJ6*EF!$H19)*kgtoGg=0,"NO",('Activity data'!BJ6*EF!$H19)*kgtoGg)</f>
        <v>3.0975345031563459</v>
      </c>
      <c r="AR1394" s="28">
        <f>IF(('Activity data'!BK6*EF!$H19)*kgtoGg=0,"NO",('Activity data'!BK6*EF!$H19)*kgtoGg)</f>
        <v>3.1536396214606754</v>
      </c>
      <c r="AS1394" s="28">
        <f>IF(('Activity data'!BL6*EF!$H19)*kgtoGg=0,"NO",('Activity data'!BL6*EF!$H19)*kgtoGg)</f>
        <v>3.2103622217904881</v>
      </c>
      <c r="AT1394" s="28">
        <f>IF(('Activity data'!BM6*EF!$H19)*kgtoGg=0,"NO",('Activity data'!BM6*EF!$H19)*kgtoGg)</f>
        <v>3.2443113801604118</v>
      </c>
      <c r="AU1394" s="28">
        <f>IF(('Activity data'!BN6*EF!$H19)*kgtoGg=0,"NO",('Activity data'!BN6*EF!$H19)*kgtoGg)</f>
        <v>3.2769415402284139</v>
      </c>
      <c r="AV1394" s="28">
        <f>IF(('Activity data'!BO6*EF!$H19)*kgtoGg=0,"NO",('Activity data'!BO6*EF!$H19)*kgtoGg)</f>
        <v>3.3130429055271864</v>
      </c>
      <c r="AW1394" s="28">
        <f>IF(('Activity data'!BP6*EF!$H19)*kgtoGg=0,"NO",('Activity data'!BP6*EF!$H19)*kgtoGg)</f>
        <v>3.3481038202869873</v>
      </c>
    </row>
    <row r="1395" spans="1:49" x14ac:dyDescent="0.25">
      <c r="A1395" s="102" t="s">
        <v>961</v>
      </c>
      <c r="B1395" s="102"/>
      <c r="C1395" s="102"/>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8">
        <f>IF(('Activity data'!AD7*EF!$H20)*kgtoGg=0,"NO",('Activity data'!AD7*EF!$H20)*kgtoGg)</f>
        <v>0.43302356896670435</v>
      </c>
      <c r="L1395" s="28">
        <f>IF(('Activity data'!AE7*EF!$H20)*kgtoGg=0,"NO",('Activity data'!AE7*EF!$H20)*kgtoGg)</f>
        <v>0.43594736841646864</v>
      </c>
      <c r="M1395" s="28">
        <f>IF(('Activity data'!AF7*EF!$H20)*kgtoGg=0,"NO",('Activity data'!AF7*EF!$H20)*kgtoGg)</f>
        <v>0.43850495231711395</v>
      </c>
      <c r="N1395" s="28">
        <f>IF(('Activity data'!AG7*EF!$H20)*kgtoGg=0,"NO",('Activity data'!AG7*EF!$H20)*kgtoGg)</f>
        <v>0.43883578115568184</v>
      </c>
      <c r="O1395" s="28">
        <f>IF(('Activity data'!AH7*EF!$H20)*kgtoGg=0,"NO",('Activity data'!AH7*EF!$H20)*kgtoGg)</f>
        <v>0.43940560139305368</v>
      </c>
      <c r="P1395" s="28">
        <f>IF(('Activity data'!AI7*EF!$H20)*kgtoGg=0,"NO",('Activity data'!AI7*EF!$H20)*kgtoGg)</f>
        <v>0.44267512481033205</v>
      </c>
      <c r="Q1395" s="28">
        <f>IF(('Activity data'!AJ7*EF!$H20)*kgtoGg=0,"NO",('Activity data'!AJ7*EF!$H20)*kgtoGg)</f>
        <v>0.44528954636022133</v>
      </c>
      <c r="R1395" s="28">
        <f>IF(('Activity data'!AK7*EF!$H20)*kgtoGg=0,"NO",('Activity data'!AK7*EF!$H20)*kgtoGg)</f>
        <v>0.44531246976557798</v>
      </c>
      <c r="S1395" s="28">
        <f>IF(('Activity data'!AL7*EF!$H20)*kgtoGg=0,"NO",('Activity data'!AL7*EF!$H20)*kgtoGg)</f>
        <v>0.43351447139430072</v>
      </c>
      <c r="T1395" s="28">
        <f>IF(('Activity data'!AM7*EF!$H20)*kgtoGg=0,"NO",('Activity data'!AM7*EF!$H20)*kgtoGg)</f>
        <v>0.43921401909064739</v>
      </c>
      <c r="U1395" s="28">
        <f>IF(('Activity data'!AN7*EF!$H20)*kgtoGg=0,"NO",('Activity data'!AN7*EF!$H20)*kgtoGg)</f>
        <v>0.44352847877046275</v>
      </c>
      <c r="V1395" s="28">
        <f>IF(('Activity data'!AO7*EF!$H20)*kgtoGg=0,"NO",('Activity data'!AO7*EF!$H20)*kgtoGg)</f>
        <v>0.44759906938106581</v>
      </c>
      <c r="W1395" s="28">
        <f>IF(('Activity data'!AP7*EF!$H20)*kgtoGg=0,"NO",('Activity data'!AP7*EF!$H20)*kgtoGg)</f>
        <v>0.45231903918261634</v>
      </c>
      <c r="X1395" s="28">
        <f>IF(('Activity data'!AQ7*EF!$H20)*kgtoGg=0,"NO",('Activity data'!AQ7*EF!$H20)*kgtoGg)</f>
        <v>0.45908204116035195</v>
      </c>
      <c r="Y1395" s="28">
        <f>IF(('Activity data'!AR7*EF!$H20)*kgtoGg=0,"NO",('Activity data'!AR7*EF!$H20)*kgtoGg)</f>
        <v>0.46612311314393218</v>
      </c>
      <c r="Z1395" s="28">
        <f>IF(('Activity data'!AS7*EF!$H20)*kgtoGg=0,"NO",('Activity data'!AS7*EF!$H20)*kgtoGg)</f>
        <v>0.47377130673090989</v>
      </c>
      <c r="AA1395" s="28">
        <f>IF(('Activity data'!AT7*EF!$H20)*kgtoGg=0,"NO",('Activity data'!AT7*EF!$H20)*kgtoGg)</f>
        <v>0.48072655714050544</v>
      </c>
      <c r="AB1395" s="28">
        <f>IF(('Activity data'!AU7*EF!$H20)*kgtoGg=0,"NO",('Activity data'!AU7*EF!$H20)*kgtoGg)</f>
        <v>0.48869557717513923</v>
      </c>
      <c r="AC1395" s="28">
        <f>IF(('Activity data'!AV7*EF!$H20)*kgtoGg=0,"NO",('Activity data'!AV7*EF!$H20)*kgtoGg)</f>
        <v>0.4979031156717999</v>
      </c>
      <c r="AD1395" s="28">
        <f>IF(('Activity data'!AW7*EF!$H20)*kgtoGg=0,"NO",('Activity data'!AW7*EF!$H20)*kgtoGg)</f>
        <v>0.50676769757090157</v>
      </c>
      <c r="AE1395" s="28">
        <f>IF(('Activity data'!AX7*EF!$H20)*kgtoGg=0,"NO",('Activity data'!AX7*EF!$H20)*kgtoGg)</f>
        <v>0.51609442530315108</v>
      </c>
      <c r="AF1395" s="28">
        <f>IF(('Activity data'!AY7*EF!$H20)*kgtoGg=0,"NO",('Activity data'!AY7*EF!$H20)*kgtoGg)</f>
        <v>0.52570403883360262</v>
      </c>
      <c r="AG1395" s="28">
        <f>IF(('Activity data'!AZ7*EF!$H20)*kgtoGg=0,"NO",('Activity data'!AZ7*EF!$H20)*kgtoGg)</f>
        <v>0.53639681709328069</v>
      </c>
      <c r="AH1395" s="28">
        <f>IF(('Activity data'!BA7*EF!$H20)*kgtoGg=0,"NO",('Activity data'!BA7*EF!$H20)*kgtoGg)</f>
        <v>0.54607776986764511</v>
      </c>
      <c r="AI1395" s="28">
        <f>IF(('Activity data'!BB7*EF!$H20)*kgtoGg=0,"NO",('Activity data'!BB7*EF!$H20)*kgtoGg)</f>
        <v>0.55613735582649237</v>
      </c>
      <c r="AJ1395" s="28">
        <f>IF(('Activity data'!BC7*EF!$H20)*kgtoGg=0,"NO",('Activity data'!BC7*EF!$H20)*kgtoGg)</f>
        <v>0.5664598798696433</v>
      </c>
      <c r="AK1395" s="28">
        <f>IF(('Activity data'!BD7*EF!$H20)*kgtoGg=0,"NO",('Activity data'!BD7*EF!$H20)*kgtoGg)</f>
        <v>0.57647383651643525</v>
      </c>
      <c r="AL1395" s="28">
        <f>IF(('Activity data'!BE7*EF!$H20)*kgtoGg=0,"NO",('Activity data'!BE7*EF!$H20)*kgtoGg)</f>
        <v>0.58656368994903785</v>
      </c>
      <c r="AM1395" s="28">
        <f>IF(('Activity data'!BF7*EF!$H20)*kgtoGg=0,"NO",('Activity data'!BF7*EF!$H20)*kgtoGg)</f>
        <v>0.5970815529958805</v>
      </c>
      <c r="AN1395" s="28">
        <f>IF(('Activity data'!BG7*EF!$H20)*kgtoGg=0,"NO",('Activity data'!BG7*EF!$H20)*kgtoGg)</f>
        <v>0.60794767432807506</v>
      </c>
      <c r="AO1395" s="28">
        <f>IF(('Activity data'!BH7*EF!$H20)*kgtoGg=0,"NO",('Activity data'!BH7*EF!$H20)*kgtoGg)</f>
        <v>0.61832593308600126</v>
      </c>
      <c r="AP1395" s="28">
        <f>IF(('Activity data'!BI7*EF!$H20)*kgtoGg=0,"NO",('Activity data'!BI7*EF!$H20)*kgtoGg)</f>
        <v>0.62892342221902187</v>
      </c>
      <c r="AQ1395" s="28">
        <f>IF(('Activity data'!BJ7*EF!$H20)*kgtoGg=0,"NO",('Activity data'!BJ7*EF!$H20)*kgtoGg)</f>
        <v>0.63975924085958458</v>
      </c>
      <c r="AR1395" s="28">
        <f>IF(('Activity data'!BK7*EF!$H20)*kgtoGg=0,"NO",('Activity data'!BK7*EF!$H20)*kgtoGg)</f>
        <v>0.65134709173199301</v>
      </c>
      <c r="AS1395" s="28">
        <f>IF(('Activity data'!BL7*EF!$H20)*kgtoGg=0,"NO",('Activity data'!BL7*EF!$H20)*kgtoGg)</f>
        <v>0.66306247623847858</v>
      </c>
      <c r="AT1395" s="28">
        <f>IF(('Activity data'!BM7*EF!$H20)*kgtoGg=0,"NO",('Activity data'!BM7*EF!$H20)*kgtoGg)</f>
        <v>0.67007427473965175</v>
      </c>
      <c r="AU1395" s="28">
        <f>IF(('Activity data'!BN7*EF!$H20)*kgtoGg=0,"NO",('Activity data'!BN7*EF!$H20)*kgtoGg)</f>
        <v>0.67681364968865065</v>
      </c>
      <c r="AV1395" s="28">
        <f>IF(('Activity data'!BO7*EF!$H20)*kgtoGg=0,"NO",('Activity data'!BO7*EF!$H20)*kgtoGg)</f>
        <v>0.68426996116282568</v>
      </c>
      <c r="AW1395" s="28">
        <f>IF(('Activity data'!BP7*EF!$H20)*kgtoGg=0,"NO",('Activity data'!BP7*EF!$H20)*kgtoGg)</f>
        <v>0.6915113798420095</v>
      </c>
    </row>
    <row r="1396" spans="1:49" x14ac:dyDescent="0.25">
      <c r="A1396" s="102" t="s">
        <v>961</v>
      </c>
      <c r="B1396" s="102"/>
      <c r="C1396" s="102"/>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8">
        <f>IF(('Activity data'!AD8*EF!$H21)*kgtoGg=0,"NO",('Activity data'!AD8*EF!$H21)*kgtoGg)</f>
        <v>9.5339728940472587E-2</v>
      </c>
      <c r="L1396" s="28">
        <f>IF(('Activity data'!AE8*EF!$H21)*kgtoGg=0,"NO",('Activity data'!AE8*EF!$H21)*kgtoGg)</f>
        <v>9.4854333679105063E-2</v>
      </c>
      <c r="M1396" s="28">
        <f>IF(('Activity data'!AF8*EF!$H21)*kgtoGg=0,"NO",('Activity data'!AF8*EF!$H21)*kgtoGg)</f>
        <v>9.3968398426833952E-2</v>
      </c>
      <c r="N1396" s="28">
        <f>IF(('Activity data'!AG8*EF!$H21)*kgtoGg=0,"NO",('Activity data'!AG8*EF!$H21)*kgtoGg)</f>
        <v>9.1543343324502313E-2</v>
      </c>
      <c r="O1396" s="28">
        <f>IF(('Activity data'!AH8*EF!$H21)*kgtoGg=0,"NO",('Activity data'!AH8*EF!$H21)*kgtoGg)</f>
        <v>8.9215062552987667E-2</v>
      </c>
      <c r="P1396" s="28">
        <f>IF(('Activity data'!AI8*EF!$H21)*kgtoGg=0,"NO",('Activity data'!AI8*EF!$H21)*kgtoGg)</f>
        <v>8.8452938660310093E-2</v>
      </c>
      <c r="Q1396" s="28">
        <f>IF(('Activity data'!AJ8*EF!$H21)*kgtoGg=0,"NO",('Activity data'!AJ8*EF!$H21)*kgtoGg)</f>
        <v>8.7222027489186615E-2</v>
      </c>
      <c r="R1396" s="28">
        <f>IF(('Activity data'!AK8*EF!$H21)*kgtoGg=0,"NO",('Activity data'!AK8*EF!$H21)*kgtoGg)</f>
        <v>8.4456409837201651E-2</v>
      </c>
      <c r="S1396" s="28">
        <f>IF(('Activity data'!AL8*EF!$H21)*kgtoGg=0,"NO",('Activity data'!AL8*EF!$H21)*kgtoGg)</f>
        <v>7.5177478598092318E-2</v>
      </c>
      <c r="T1396" s="28">
        <f>IF(('Activity data'!AM8*EF!$H21)*kgtoGg=0,"NO",('Activity data'!AM8*EF!$H21)*kgtoGg)</f>
        <v>7.7014428210242056E-2</v>
      </c>
      <c r="U1396" s="28">
        <f>IF(('Activity data'!AN8*EF!$H21)*kgtoGg=0,"NO",('Activity data'!AN8*EF!$H21)*kgtoGg)</f>
        <v>7.8006612977093048E-2</v>
      </c>
      <c r="V1396" s="28">
        <f>IF(('Activity data'!AO8*EF!$H21)*kgtoGg=0,"NO",('Activity data'!AO8*EF!$H21)*kgtoGg)</f>
        <v>7.8795228292272187E-2</v>
      </c>
      <c r="W1396" s="28">
        <f>IF(('Activity data'!AP8*EF!$H21)*kgtoGg=0,"NO",('Activity data'!AP8*EF!$H21)*kgtoGg)</f>
        <v>7.9855076548413395E-2</v>
      </c>
      <c r="X1396" s="28">
        <f>IF(('Activity data'!AQ8*EF!$H21)*kgtoGg=0,"NO",('Activity data'!AQ8*EF!$H21)*kgtoGg)</f>
        <v>8.1889840057722874E-2</v>
      </c>
      <c r="Y1396" s="28">
        <f>IF(('Activity data'!AR8*EF!$H21)*kgtoGg=0,"NO",('Activity data'!AR8*EF!$H21)*kgtoGg)</f>
        <v>8.4116841663257197E-2</v>
      </c>
      <c r="Z1396" s="28">
        <f>IF(('Activity data'!AS8*EF!$H21)*kgtoGg=0,"NO",('Activity data'!AS8*EF!$H21)*kgtoGg)</f>
        <v>8.6543393580483491E-2</v>
      </c>
      <c r="AA1396" s="28">
        <f>IF(('Activity data'!AT8*EF!$H21)*kgtoGg=0,"NO",('Activity data'!AT8*EF!$H21)*kgtoGg)</f>
        <v>8.8521952214014571E-2</v>
      </c>
      <c r="AB1396" s="28">
        <f>IF(('Activity data'!AU8*EF!$H21)*kgtoGg=0,"NO",('Activity data'!AU8*EF!$H21)*kgtoGg)</f>
        <v>9.0896953770236252E-2</v>
      </c>
      <c r="AC1396" s="28">
        <f>IF(('Activity data'!AV8*EF!$H21)*kgtoGg=0,"NO",('Activity data'!AV8*EF!$H21)*kgtoGg)</f>
        <v>9.3757697259475761E-2</v>
      </c>
      <c r="AD1396" s="28">
        <f>IF(('Activity data'!AW8*EF!$H21)*kgtoGg=0,"NO",('Activity data'!AW8*EF!$H21)*kgtoGg)</f>
        <v>9.5642150962380226E-2</v>
      </c>
      <c r="AE1396" s="28">
        <f>IF(('Activity data'!AX8*EF!$H21)*kgtoGg=0,"NO",('Activity data'!AX8*EF!$H21)*kgtoGg)</f>
        <v>9.7567055281161469E-2</v>
      </c>
      <c r="AF1396" s="28">
        <f>IF(('Activity data'!AY8*EF!$H21)*kgtoGg=0,"NO",('Activity data'!AY8*EF!$H21)*kgtoGg)</f>
        <v>9.9442694820459449E-2</v>
      </c>
      <c r="AG1396" s="28">
        <f>IF(('Activity data'!AZ8*EF!$H21)*kgtoGg=0,"NO",('Activity data'!AZ8*EF!$H21)*kgtoGg)</f>
        <v>0.10161266035579665</v>
      </c>
      <c r="AH1396" s="28">
        <f>IF(('Activity data'!BA8*EF!$H21)*kgtoGg=0,"NO",('Activity data'!BA8*EF!$H21)*kgtoGg)</f>
        <v>0.10315899021589392</v>
      </c>
      <c r="AI1396" s="28">
        <f>IF(('Activity data'!BB8*EF!$H21)*kgtoGg=0,"NO",('Activity data'!BB8*EF!$H21)*kgtoGg)</f>
        <v>0.10478802467890617</v>
      </c>
      <c r="AJ1396" s="28">
        <f>IF(('Activity data'!BC8*EF!$H21)*kgtoGg=0,"NO",('Activity data'!BC8*EF!$H21)*kgtoGg)</f>
        <v>0.10634686421883358</v>
      </c>
      <c r="AK1396" s="28">
        <f>IF(('Activity data'!BD8*EF!$H21)*kgtoGg=0,"NO",('Activity data'!BD8*EF!$H21)*kgtoGg)</f>
        <v>0.10760625778708158</v>
      </c>
      <c r="AL1396" s="28">
        <f>IF(('Activity data'!BE8*EF!$H21)*kgtoGg=0,"NO",('Activity data'!BE8*EF!$H21)*kgtoGg)</f>
        <v>0.10872705455886196</v>
      </c>
      <c r="AM1396" s="28">
        <f>IF(('Activity data'!BF8*EF!$H21)*kgtoGg=0,"NO",('Activity data'!BF8*EF!$H21)*kgtoGg)</f>
        <v>0.10984281909628571</v>
      </c>
      <c r="AN1396" s="28">
        <f>IF(('Activity data'!BG8*EF!$H21)*kgtoGg=0,"NO",('Activity data'!BG8*EF!$H21)*kgtoGg)</f>
        <v>0.11156015357830804</v>
      </c>
      <c r="AO1396" s="28">
        <f>IF(('Activity data'!BH8*EF!$H21)*kgtoGg=0,"NO",('Activity data'!BH8*EF!$H21)*kgtoGg)</f>
        <v>0.11295872622782972</v>
      </c>
      <c r="AP1396" s="28">
        <f>IF(('Activity data'!BI8*EF!$H21)*kgtoGg=0,"NO",('Activity data'!BI8*EF!$H21)*kgtoGg)</f>
        <v>0.11430168694304664</v>
      </c>
      <c r="AQ1396" s="28">
        <f>IF(('Activity data'!BJ8*EF!$H21)*kgtoGg=0,"NO",('Activity data'!BJ8*EF!$H21)*kgtoGg)</f>
        <v>0.11559344303067282</v>
      </c>
      <c r="AR1396" s="28">
        <f>IF(('Activity data'!BK8*EF!$H21)*kgtoGg=0,"NO",('Activity data'!BK8*EF!$H21)*kgtoGg)</f>
        <v>0.11700506936438095</v>
      </c>
      <c r="AS1396" s="28">
        <f>IF(('Activity data'!BL8*EF!$H21)*kgtoGg=0,"NO",('Activity data'!BL8*EF!$H21)*kgtoGg)</f>
        <v>0.11838774199647999</v>
      </c>
      <c r="AT1396" s="28">
        <f>IF(('Activity data'!BM8*EF!$H21)*kgtoGg=0,"NO",('Activity data'!BM8*EF!$H21)*kgtoGg)</f>
        <v>0.11810287074263501</v>
      </c>
      <c r="AU1396" s="28">
        <f>IF(('Activity data'!BN8*EF!$H21)*kgtoGg=0,"NO",('Activity data'!BN8*EF!$H21)*kgtoGg)</f>
        <v>0.117655872543239</v>
      </c>
      <c r="AV1396" s="28">
        <f>IF(('Activity data'!BO8*EF!$H21)*kgtoGg=0,"NO",('Activity data'!BO8*EF!$H21)*kgtoGg)</f>
        <v>0.11736041307434758</v>
      </c>
      <c r="AW1396" s="28">
        <f>IF(('Activity data'!BP8*EF!$H21)*kgtoGg=0,"NO",('Activity data'!BP8*EF!$H21)*kgtoGg)</f>
        <v>0.11692074816946382</v>
      </c>
    </row>
    <row r="1397" spans="1:49" x14ac:dyDescent="0.25">
      <c r="A1397" s="102" t="s">
        <v>961</v>
      </c>
      <c r="B1397" s="102"/>
      <c r="C1397" s="102"/>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8">
        <f>IF(('Activity data'!AD9*EF!$H22)*kgtoGg=0,"NO",('Activity data'!AD9*EF!$H22)*kgtoGg)</f>
        <v>7.0033293869835936E-2</v>
      </c>
      <c r="L1397" s="28">
        <f>IF(('Activity data'!AE9*EF!$H22)*kgtoGg=0,"NO",('Activity data'!AE9*EF!$H22)*kgtoGg)</f>
        <v>6.9676739164256679E-2</v>
      </c>
      <c r="M1397" s="28">
        <f>IF(('Activity data'!AF9*EF!$H22)*kgtoGg=0,"NO",('Activity data'!AF9*EF!$H22)*kgtoGg)</f>
        <v>6.9025961523482296E-2</v>
      </c>
      <c r="N1397" s="28">
        <f>IF(('Activity data'!AG9*EF!$H22)*kgtoGg=0,"NO",('Activity data'!AG9*EF!$H22)*kgtoGg)</f>
        <v>6.724459924650146E-2</v>
      </c>
      <c r="O1397" s="28">
        <f>IF(('Activity data'!AH9*EF!$H22)*kgtoGg=0,"NO",('Activity data'!AH9*EF!$H22)*kgtoGg)</f>
        <v>6.5534324072709205E-2</v>
      </c>
      <c r="P1397" s="28">
        <f>IF(('Activity data'!AI9*EF!$H22)*kgtoGg=0,"NO",('Activity data'!AI9*EF!$H22)*kgtoGg)</f>
        <v>6.4974494008849484E-2</v>
      </c>
      <c r="Q1397" s="28">
        <f>IF(('Activity data'!AJ9*EF!$H22)*kgtoGg=0,"NO",('Activity data'!AJ9*EF!$H22)*kgtoGg)</f>
        <v>6.4070308893861602E-2</v>
      </c>
      <c r="R1397" s="28">
        <f>IF(('Activity data'!AK9*EF!$H22)*kgtoGg=0,"NO",('Activity data'!AK9*EF!$H22)*kgtoGg)</f>
        <v>6.2038781052262654E-2</v>
      </c>
      <c r="S1397" s="28">
        <f>IF(('Activity data'!AL9*EF!$H22)*kgtoGg=0,"NO",('Activity data'!AL9*EF!$H22)*kgtoGg)</f>
        <v>5.5222796514774769E-2</v>
      </c>
      <c r="T1397" s="28">
        <f>IF(('Activity data'!AM9*EF!$H22)*kgtoGg=0,"NO",('Activity data'!AM9*EF!$H22)*kgtoGg)</f>
        <v>5.657215667597356E-2</v>
      </c>
      <c r="U1397" s="28">
        <f>IF(('Activity data'!AN9*EF!$H22)*kgtoGg=0,"NO",('Activity data'!AN9*EF!$H22)*kgtoGg)</f>
        <v>5.7300981564844748E-2</v>
      </c>
      <c r="V1397" s="28">
        <f>IF(('Activity data'!AO9*EF!$H22)*kgtoGg=0,"NO",('Activity data'!AO9*EF!$H22)*kgtoGg)</f>
        <v>5.7880271318780145E-2</v>
      </c>
      <c r="W1397" s="28">
        <f>IF(('Activity data'!AP9*EF!$H22)*kgtoGg=0,"NO",('Activity data'!AP9*EF!$H22)*kgtoGg)</f>
        <v>5.865879948541796E-2</v>
      </c>
      <c r="X1397" s="28">
        <f>IF(('Activity data'!AQ9*EF!$H22)*kgtoGg=0,"NO",('Activity data'!AQ9*EF!$H22)*kgtoGg)</f>
        <v>6.0153466948675183E-2</v>
      </c>
      <c r="Y1397" s="28">
        <f>IF(('Activity data'!AR9*EF!$H22)*kgtoGg=0,"NO",('Activity data'!AR9*EF!$H22)*kgtoGg)</f>
        <v>6.1789345921924234E-2</v>
      </c>
      <c r="Z1397" s="28">
        <f>IF(('Activity data'!AS9*EF!$H22)*kgtoGg=0,"NO",('Activity data'!AS9*EF!$H22)*kgtoGg)</f>
        <v>6.3571807707772474E-2</v>
      </c>
      <c r="AA1397" s="28">
        <f>IF(('Activity data'!AT9*EF!$H22)*kgtoGg=0,"NO",('Activity data'!AT9*EF!$H22)*kgtoGg)</f>
        <v>6.5025188997615446E-2</v>
      </c>
      <c r="AB1397" s="28">
        <f>IF(('Activity data'!AU9*EF!$H22)*kgtoGg=0,"NO",('Activity data'!AU9*EF!$H22)*kgtoGg)</f>
        <v>6.6769783656910539E-2</v>
      </c>
      <c r="AC1397" s="28">
        <f>IF(('Activity data'!AV9*EF!$H22)*kgtoGg=0,"NO",('Activity data'!AV9*EF!$H22)*kgtoGg)</f>
        <v>6.8871187674885259E-2</v>
      </c>
      <c r="AD1397" s="28">
        <f>IF(('Activity data'!AW9*EF!$H22)*kgtoGg=0,"NO",('Activity data'!AW9*EF!$H22)*kgtoGg)</f>
        <v>7.0255442711335062E-2</v>
      </c>
      <c r="AE1397" s="28">
        <f>IF(('Activity data'!AX9*EF!$H22)*kgtoGg=0,"NO",('Activity data'!AX9*EF!$H22)*kgtoGg)</f>
        <v>7.1669411382388193E-2</v>
      </c>
      <c r="AF1397" s="28">
        <f>IF(('Activity data'!AY9*EF!$H22)*kgtoGg=0,"NO",('Activity data'!AY9*EF!$H22)*kgtoGg)</f>
        <v>7.3047191836657727E-2</v>
      </c>
      <c r="AG1397" s="28">
        <f>IF(('Activity data'!AZ9*EF!$H22)*kgtoGg=0,"NO",('Activity data'!AZ9*EF!$H22)*kgtoGg)</f>
        <v>7.4641174069589936E-2</v>
      </c>
      <c r="AH1397" s="28">
        <f>IF(('Activity data'!BA9*EF!$H22)*kgtoGg=0,"NO",('Activity data'!BA9*EF!$H22)*kgtoGg)</f>
        <v>7.5777054931801216E-2</v>
      </c>
      <c r="AI1397" s="28">
        <f>IF(('Activity data'!BB9*EF!$H22)*kgtoGg=0,"NO",('Activity data'!BB9*EF!$H22)*kgtoGg)</f>
        <v>7.6973687757802431E-2</v>
      </c>
      <c r="AJ1397" s="28">
        <f>IF(('Activity data'!BC9*EF!$H22)*kgtoGg=0,"NO",('Activity data'!BC9*EF!$H22)*kgtoGg)</f>
        <v>7.8118757801622474E-2</v>
      </c>
      <c r="AK1397" s="28">
        <f>IF(('Activity data'!BD9*EF!$H22)*kgtoGg=0,"NO",('Activity data'!BD9*EF!$H22)*kgtoGg)</f>
        <v>7.904386510833572E-2</v>
      </c>
      <c r="AL1397" s="28">
        <f>IF(('Activity data'!BE9*EF!$H22)*kgtoGg=0,"NO",('Activity data'!BE9*EF!$H22)*kgtoGg)</f>
        <v>7.9867163963480023E-2</v>
      </c>
      <c r="AM1397" s="28">
        <f>IF(('Activity data'!BF9*EF!$H22)*kgtoGg=0,"NO",('Activity data'!BF9*EF!$H22)*kgtoGg)</f>
        <v>8.0686766311916805E-2</v>
      </c>
      <c r="AN1397" s="28">
        <f>IF(('Activity data'!BG9*EF!$H22)*kgtoGg=0,"NO",('Activity data'!BG9*EF!$H22)*kgtoGg)</f>
        <v>8.1948261302398337E-2</v>
      </c>
      <c r="AO1397" s="28">
        <f>IF(('Activity data'!BH9*EF!$H22)*kgtoGg=0,"NO",('Activity data'!BH9*EF!$H22)*kgtoGg)</f>
        <v>8.2975604787121515E-2</v>
      </c>
      <c r="AP1397" s="28">
        <f>IF(('Activity data'!BI9*EF!$H22)*kgtoGg=0,"NO",('Activity data'!BI9*EF!$H22)*kgtoGg)</f>
        <v>8.3962097652893697E-2</v>
      </c>
      <c r="AQ1397" s="28">
        <f>IF(('Activity data'!BJ9*EF!$H22)*kgtoGg=0,"NO",('Activity data'!BJ9*EF!$H22)*kgtoGg)</f>
        <v>8.491097735601684E-2</v>
      </c>
      <c r="AR1397" s="28">
        <f>IF(('Activity data'!BK9*EF!$H22)*kgtoGg=0,"NO",('Activity data'!BK9*EF!$H22)*kgtoGg)</f>
        <v>8.5947909629284627E-2</v>
      </c>
      <c r="AS1397" s="28">
        <f>IF(('Activity data'!BL9*EF!$H22)*kgtoGg=0,"NO",('Activity data'!BL9*EF!$H22)*kgtoGg)</f>
        <v>8.6963573506722666E-2</v>
      </c>
      <c r="AT1397" s="28">
        <f>IF(('Activity data'!BM9*EF!$H22)*kgtoGg=0,"NO",('Activity data'!BM9*EF!$H22)*kgtoGg)</f>
        <v>8.6754316857293221E-2</v>
      </c>
      <c r="AU1397" s="28">
        <f>IF(('Activity data'!BN9*EF!$H22)*kgtoGg=0,"NO",('Activity data'!BN9*EF!$H22)*kgtoGg)</f>
        <v>8.6425967316073798E-2</v>
      </c>
      <c r="AV1397" s="28">
        <f>IF(('Activity data'!BO9*EF!$H22)*kgtoGg=0,"NO",('Activity data'!BO9*EF!$H22)*kgtoGg)</f>
        <v>8.6208932927142212E-2</v>
      </c>
      <c r="AW1397" s="28">
        <f>IF(('Activity data'!BP9*EF!$H22)*kgtoGg=0,"NO",('Activity data'!BP9*EF!$H22)*kgtoGg)</f>
        <v>8.5885970172473555E-2</v>
      </c>
    </row>
    <row r="1398" spans="1:49" x14ac:dyDescent="0.25">
      <c r="A1398" s="102" t="s">
        <v>961</v>
      </c>
      <c r="B1398" s="102"/>
      <c r="C1398" s="102"/>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8">
        <f>IF(('Activity data'!AD10*EF!$H23)*kgtoGg=0,"NO",('Activity data'!AD10*EF!$H23)*kgtoGg)</f>
        <v>0.47241651785764616</v>
      </c>
      <c r="L1398" s="28">
        <f>IF(('Activity data'!AE10*EF!$H23)*kgtoGg=0,"NO",('Activity data'!AE10*EF!$H23)*kgtoGg)</f>
        <v>0.49004050540543137</v>
      </c>
      <c r="M1398" s="28">
        <f>IF(('Activity data'!AF10*EF!$H23)*kgtoGg=0,"NO",('Activity data'!AF10*EF!$H23)*kgtoGg)</f>
        <v>0.50587338709485186</v>
      </c>
      <c r="N1398" s="28">
        <f>IF(('Activity data'!AG10*EF!$H23)*kgtoGg=0,"NO",('Activity data'!AG10*EF!$H23)*kgtoGg)</f>
        <v>0.51330333017852303</v>
      </c>
      <c r="O1398" s="28">
        <f>IF(('Activity data'!AH10*EF!$H23)*kgtoGg=0,"NO",('Activity data'!AH10*EF!$H23)*kgtoGg)</f>
        <v>0.52084695794290625</v>
      </c>
      <c r="P1398" s="28">
        <f>IF(('Activity data'!AI10*EF!$H23)*kgtoGg=0,"NO",('Activity data'!AI10*EF!$H23)*kgtoGg)</f>
        <v>0.53749845878988001</v>
      </c>
      <c r="Q1398" s="28">
        <f>IF(('Activity data'!AJ10*EF!$H23)*kgtoGg=0,"NO",('Activity data'!AJ10*EF!$H23)*kgtoGg)</f>
        <v>0.55154407690171303</v>
      </c>
      <c r="R1398" s="28">
        <f>IF(('Activity data'!AK10*EF!$H23)*kgtoGg=0,"NO",('Activity data'!AK10*EF!$H23)*kgtoGg)</f>
        <v>0.55564430469746628</v>
      </c>
      <c r="S1398" s="28">
        <f>IF(('Activity data'!AL10*EF!$H23)*kgtoGg=0,"NO",('Activity data'!AL10*EF!$H23)*kgtoGg)</f>
        <v>0.51452468218759118</v>
      </c>
      <c r="T1398" s="28">
        <f>IF(('Activity data'!AM10*EF!$H23)*kgtoGg=0,"NO",('Activity data'!AM10*EF!$H23)*kgtoGg)</f>
        <v>0.53973183707135297</v>
      </c>
      <c r="U1398" s="28">
        <f>IF(('Activity data'!AN10*EF!$H23)*kgtoGg=0,"NO",('Activity data'!AN10*EF!$H23)*kgtoGg)</f>
        <v>0.55960980330157661</v>
      </c>
      <c r="V1398" s="28">
        <f>IF(('Activity data'!AO10*EF!$H23)*kgtoGg=0,"NO",('Activity data'!AO10*EF!$H23)*kgtoGg)</f>
        <v>0.57846136773715073</v>
      </c>
      <c r="W1398" s="28">
        <f>IF(('Activity data'!AP10*EF!$H23)*kgtoGg=0,"NO",('Activity data'!AP10*EF!$H23)*kgtoGg)</f>
        <v>0.59976484808933772</v>
      </c>
      <c r="X1398" s="28">
        <f>IF(('Activity data'!AQ10*EF!$H23)*kgtoGg=0,"NO",('Activity data'!AQ10*EF!$H23)*kgtoGg)</f>
        <v>0.6290799531985618</v>
      </c>
      <c r="Y1398" s="28">
        <f>IF(('Activity data'!AR10*EF!$H23)*kgtoGg=0,"NO",('Activity data'!AR10*EF!$H23)*kgtoGg)</f>
        <v>0.66078220006195243</v>
      </c>
      <c r="Z1398" s="28">
        <f>IF(('Activity data'!AS10*EF!$H23)*kgtoGg=0,"NO",('Activity data'!AS10*EF!$H23)*kgtoGg)</f>
        <v>0.6950549893868353</v>
      </c>
      <c r="AA1398" s="28">
        <f>IF(('Activity data'!AT10*EF!$H23)*kgtoGg=0,"NO",('Activity data'!AT10*EF!$H23)*kgtoGg)</f>
        <v>0.72671447444619408</v>
      </c>
      <c r="AB1398" s="28">
        <f>IF(('Activity data'!AU10*EF!$H23)*kgtoGg=0,"NO",('Activity data'!AU10*EF!$H23)*kgtoGg)</f>
        <v>0.76263064102611711</v>
      </c>
      <c r="AC1398" s="28">
        <f>IF(('Activity data'!AV10*EF!$H23)*kgtoGg=0,"NO",('Activity data'!AV10*EF!$H23)*kgtoGg)</f>
        <v>0.80381242816688792</v>
      </c>
      <c r="AD1398" s="28">
        <f>IF(('Activity data'!AW10*EF!$H23)*kgtoGg=0,"NO",('Activity data'!AW10*EF!$H23)*kgtoGg)</f>
        <v>0.84707112360683778</v>
      </c>
      <c r="AE1398" s="28">
        <f>IF(('Activity data'!AX10*EF!$H23)*kgtoGg=0,"NO",('Activity data'!AX10*EF!$H23)*kgtoGg)</f>
        <v>0.89273716244132828</v>
      </c>
      <c r="AF1398" s="28">
        <f>IF(('Activity data'!AY10*EF!$H23)*kgtoGg=0,"NO",('Activity data'!AY10*EF!$H23)*kgtoGg)</f>
        <v>0.94011116650043791</v>
      </c>
      <c r="AG1398" s="28">
        <f>IF(('Activity data'!AZ10*EF!$H23)*kgtoGg=0,"NO",('Activity data'!AZ10*EF!$H23)*kgtoGg)</f>
        <v>0.99262429161620569</v>
      </c>
      <c r="AH1398" s="28">
        <f>IF(('Activity data'!BA10*EF!$H23)*kgtoGg=0,"NO",('Activity data'!BA10*EF!$H23)*kgtoGg)</f>
        <v>1.0414261811490693</v>
      </c>
      <c r="AI1398" s="28">
        <f>IF(('Activity data'!BB10*EF!$H23)*kgtoGg=0,"NO",('Activity data'!BB10*EF!$H23)*kgtoGg)</f>
        <v>1.0934015913217856</v>
      </c>
      <c r="AJ1398" s="28">
        <f>IF(('Activity data'!BC10*EF!$H23)*kgtoGg=0,"NO",('Activity data'!BC10*EF!$H23)*kgtoGg)</f>
        <v>1.1471241939805665</v>
      </c>
      <c r="AK1398" s="28">
        <f>IF(('Activity data'!BD10*EF!$H23)*kgtoGg=0,"NO",('Activity data'!BD10*EF!$H23)*kgtoGg)</f>
        <v>1.2001095211957744</v>
      </c>
      <c r="AL1398" s="28">
        <f>IF(('Activity data'!BE10*EF!$H23)*kgtoGg=0,"NO",('Activity data'!BE10*EF!$H23)*kgtoGg)</f>
        <v>1.2540285808463096</v>
      </c>
      <c r="AM1398" s="28">
        <f>IF(('Activity data'!BF10*EF!$H23)*kgtoGg=0,"NO",('Activity data'!BF10*EF!$H23)*kgtoGg)</f>
        <v>1.310466494861908</v>
      </c>
      <c r="AN1398" s="28">
        <f>IF(('Activity data'!BG10*EF!$H23)*kgtoGg=0,"NO",('Activity data'!BG10*EF!$H23)*kgtoGg)</f>
        <v>1.3683728665063422</v>
      </c>
      <c r="AO1398" s="28">
        <f>IF(('Activity data'!BH10*EF!$H23)*kgtoGg=0,"NO",('Activity data'!BH10*EF!$H23)*kgtoGg)</f>
        <v>1.4246154398643955</v>
      </c>
      <c r="AP1398" s="28">
        <f>IF(('Activity data'!BI10*EF!$H23)*kgtoGg=0,"NO",('Activity data'!BI10*EF!$H23)*kgtoGg)</f>
        <v>1.482380812922339</v>
      </c>
      <c r="AQ1398" s="28">
        <f>IF(('Activity data'!BJ10*EF!$H23)*kgtoGg=0,"NO",('Activity data'!BJ10*EF!$H23)*kgtoGg)</f>
        <v>1.541777789137452</v>
      </c>
      <c r="AR1398" s="28">
        <f>IF(('Activity data'!BK10*EF!$H23)*kgtoGg=0,"NO",('Activity data'!BK10*EF!$H23)*kgtoGg)</f>
        <v>1.6052115562052296</v>
      </c>
      <c r="AS1398" s="28">
        <f>IF(('Activity data'!BL10*EF!$H23)*kgtoGg=0,"NO",('Activity data'!BL10*EF!$H23)*kgtoGg)</f>
        <v>1.670845908904999</v>
      </c>
      <c r="AT1398" s="28">
        <f>IF(('Activity data'!BM10*EF!$H23)*kgtoGg=0,"NO",('Activity data'!BM10*EF!$H23)*kgtoGg)</f>
        <v>1.7149867964815078</v>
      </c>
      <c r="AU1398" s="28">
        <f>IF(('Activity data'!BN10*EF!$H23)*kgtoGg=0,"NO",('Activity data'!BN10*EF!$H23)*kgtoGg)</f>
        <v>1.7581618430572761</v>
      </c>
      <c r="AV1398" s="28">
        <f>IF(('Activity data'!BO10*EF!$H23)*kgtoGg=0,"NO",('Activity data'!BO10*EF!$H23)*kgtoGg)</f>
        <v>1.8050606672101563</v>
      </c>
      <c r="AW1398" s="28">
        <f>IF(('Activity data'!BP10*EF!$H23)*kgtoGg=0,"NO",('Activity data'!BP10*EF!$H23)*kgtoGg)</f>
        <v>1.8512821467965566</v>
      </c>
    </row>
    <row r="1399" spans="1:49" x14ac:dyDescent="0.25">
      <c r="A1399" s="102" t="s">
        <v>961</v>
      </c>
      <c r="B1399" s="102"/>
      <c r="C1399" s="102"/>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8">
        <f>IF(('Activity data'!AD11*EF!$H24)*kgtoGg=0,"NO",('Activity data'!AD11*EF!$H24)*kgtoGg)</f>
        <v>3.6049467288640238E-2</v>
      </c>
      <c r="L1399" s="28">
        <f>IF(('Activity data'!AE11*EF!$H24)*kgtoGg=0,"NO",('Activity data'!AE11*EF!$H24)*kgtoGg)</f>
        <v>3.6068922498919492E-2</v>
      </c>
      <c r="M1399" s="28">
        <f>IF(('Activity data'!AF11*EF!$H24)*kgtoGg=0,"NO",('Activity data'!AF11*EF!$H24)*kgtoGg)</f>
        <v>3.6113648368603188E-2</v>
      </c>
      <c r="N1399" s="28">
        <f>IF(('Activity data'!AG11*EF!$H24)*kgtoGg=0,"NO",('Activity data'!AG11*EF!$H24)*kgtoGg)</f>
        <v>3.6180048088995075E-2</v>
      </c>
      <c r="O1399" s="28">
        <f>IF(('Activity data'!AH11*EF!$H24)*kgtoGg=0,"NO",('Activity data'!AH11*EF!$H24)*kgtoGg)</f>
        <v>3.6269669615497352E-2</v>
      </c>
      <c r="P1399" s="28">
        <f>IF(('Activity data'!AI11*EF!$H24)*kgtoGg=0,"NO",('Activity data'!AI11*EF!$H24)*kgtoGg)</f>
        <v>3.6384314095385159E-2</v>
      </c>
      <c r="Q1399" s="28">
        <f>IF(('Activity data'!AJ11*EF!$H24)*kgtoGg=0,"NO",('Activity data'!AJ11*EF!$H24)*kgtoGg)</f>
        <v>3.6510640385803414E-2</v>
      </c>
      <c r="R1399" s="28">
        <f>IF(('Activity data'!AK11*EF!$H24)*kgtoGg=0,"NO",('Activity data'!AK11*EF!$H24)*kgtoGg)</f>
        <v>3.6646686440443228E-2</v>
      </c>
      <c r="S1399" s="28">
        <f>IF(('Activity data'!AL11*EF!$H24)*kgtoGg=0,"NO",('Activity data'!AL11*EF!$H24)*kgtoGg)</f>
        <v>3.6781472874538444E-2</v>
      </c>
      <c r="T1399" s="28">
        <f>IF(('Activity data'!AM11*EF!$H24)*kgtoGg=0,"NO",('Activity data'!AM11*EF!$H24)*kgtoGg)</f>
        <v>3.6836633496849083E-2</v>
      </c>
      <c r="U1399" s="28">
        <f>IF(('Activity data'!AN11*EF!$H24)*kgtoGg=0,"NO",('Activity data'!AN11*EF!$H24)*kgtoGg)</f>
        <v>3.6899270096088746E-2</v>
      </c>
      <c r="V1399" s="28">
        <f>IF(('Activity data'!AO11*EF!$H24)*kgtoGg=0,"NO",('Activity data'!AO11*EF!$H24)*kgtoGg)</f>
        <v>3.6970107657697912E-2</v>
      </c>
      <c r="W1399" s="28">
        <f>IF(('Activity data'!AP11*EF!$H24)*kgtoGg=0,"NO",('Activity data'!AP11*EF!$H24)*kgtoGg)</f>
        <v>3.7049660029312891E-2</v>
      </c>
      <c r="X1399" s="28">
        <f>IF(('Activity data'!AQ11*EF!$H24)*kgtoGg=0,"NO",('Activity data'!AQ11*EF!$H24)*kgtoGg)</f>
        <v>3.7139051899563943E-2</v>
      </c>
      <c r="Y1399" s="28">
        <f>IF(('Activity data'!AR11*EF!$H24)*kgtoGg=0,"NO",('Activity data'!AR11*EF!$H24)*kgtoGg)</f>
        <v>3.7195257613770766E-2</v>
      </c>
      <c r="Z1399" s="28">
        <f>IF(('Activity data'!AS11*EF!$H24)*kgtoGg=0,"NO",('Activity data'!AS11*EF!$H24)*kgtoGg)</f>
        <v>3.7258548109316066E-2</v>
      </c>
      <c r="AA1399" s="28">
        <f>IF(('Activity data'!AT11*EF!$H24)*kgtoGg=0,"NO",('Activity data'!AT11*EF!$H24)*kgtoGg)</f>
        <v>3.7327161924675951E-2</v>
      </c>
      <c r="AB1399" s="28">
        <f>IF(('Activity data'!AU11*EF!$H24)*kgtoGg=0,"NO",('Activity data'!AU11*EF!$H24)*kgtoGg)</f>
        <v>3.740270770234231E-2</v>
      </c>
      <c r="AC1399" s="28">
        <f>IF(('Activity data'!AV11*EF!$H24)*kgtoGg=0,"NO",('Activity data'!AV11*EF!$H24)*kgtoGg)</f>
        <v>3.7485176791933403E-2</v>
      </c>
      <c r="AD1399" s="28">
        <f>IF(('Activity data'!AW11*EF!$H24)*kgtoGg=0,"NO",('Activity data'!AW11*EF!$H24)*kgtoGg)</f>
        <v>3.7539761469788754E-2</v>
      </c>
      <c r="AE1399" s="28">
        <f>IF(('Activity data'!AX11*EF!$H24)*kgtoGg=0,"NO",('Activity data'!AX11*EF!$H24)*kgtoGg)</f>
        <v>3.7599656922957594E-2</v>
      </c>
      <c r="AF1399" s="28">
        <f>IF(('Activity data'!AY11*EF!$H24)*kgtoGg=0,"NO",('Activity data'!AY11*EF!$H24)*kgtoGg)</f>
        <v>3.7664460791843352E-2</v>
      </c>
      <c r="AG1399" s="28">
        <f>IF(('Activity data'!AZ11*EF!$H24)*kgtoGg=0,"NO",('Activity data'!AZ11*EF!$H24)*kgtoGg)</f>
        <v>3.7734874583025615E-2</v>
      </c>
      <c r="AH1399" s="28">
        <f>IF(('Activity data'!BA11*EF!$H24)*kgtoGg=0,"NO",('Activity data'!BA11*EF!$H24)*kgtoGg)</f>
        <v>3.7808406535422022E-2</v>
      </c>
      <c r="AI1399" s="28">
        <f>IF(('Activity data'!BB11*EF!$H24)*kgtoGg=0,"NO",('Activity data'!BB11*EF!$H24)*kgtoGg)</f>
        <v>3.7855450290038166E-2</v>
      </c>
      <c r="AJ1399" s="28">
        <f>IF(('Activity data'!BC11*EF!$H24)*kgtoGg=0,"NO",('Activity data'!BC11*EF!$H24)*kgtoGg)</f>
        <v>3.790648474498734E-2</v>
      </c>
      <c r="AK1399" s="28">
        <f>IF(('Activity data'!BD11*EF!$H24)*kgtoGg=0,"NO",('Activity data'!BD11*EF!$H24)*kgtoGg)</f>
        <v>3.7960736985585587E-2</v>
      </c>
      <c r="AL1399" s="28">
        <f>IF(('Activity data'!BE11*EF!$H24)*kgtoGg=0,"NO",('Activity data'!BE11*EF!$H24)*kgtoGg)</f>
        <v>3.8018503990857662E-2</v>
      </c>
      <c r="AM1399" s="28">
        <f>IF(('Activity data'!BF11*EF!$H24)*kgtoGg=0,"NO",('Activity data'!BF11*EF!$H24)*kgtoGg)</f>
        <v>3.8080056384553931E-2</v>
      </c>
      <c r="AN1399" s="28">
        <f>IF(('Activity data'!BG11*EF!$H24)*kgtoGg=0,"NO",('Activity data'!BG11*EF!$H24)*kgtoGg)</f>
        <v>3.8116334504626079E-2</v>
      </c>
      <c r="AO1399" s="28">
        <f>IF(('Activity data'!BH11*EF!$H24)*kgtoGg=0,"NO",('Activity data'!BH11*EF!$H24)*kgtoGg)</f>
        <v>3.8154989670212594E-2</v>
      </c>
      <c r="AP1399" s="28">
        <f>IF(('Activity data'!BI11*EF!$H24)*kgtoGg=0,"NO",('Activity data'!BI11*EF!$H24)*kgtoGg)</f>
        <v>3.8196703080821404E-2</v>
      </c>
      <c r="AQ1399" s="28">
        <f>IF(('Activity data'!BJ11*EF!$H24)*kgtoGg=0,"NO",('Activity data'!BJ11*EF!$H24)*kgtoGg)</f>
        <v>3.8241401151067764E-2</v>
      </c>
      <c r="AR1399" s="28">
        <f>IF(('Activity data'!BK11*EF!$H24)*kgtoGg=0,"NO",('Activity data'!BK11*EF!$H24)*kgtoGg)</f>
        <v>3.828956377958781E-2</v>
      </c>
      <c r="AS1399" s="28">
        <f>IF(('Activity data'!BL11*EF!$H24)*kgtoGg=0,"NO",('Activity data'!BL11*EF!$H24)*kgtoGg)</f>
        <v>3.8311270646145826E-2</v>
      </c>
      <c r="AT1399" s="28">
        <f>IF(('Activity data'!BM11*EF!$H24)*kgtoGg=0,"NO",('Activity data'!BM11*EF!$H24)*kgtoGg)</f>
        <v>3.8330111932378036E-2</v>
      </c>
      <c r="AU1399" s="28">
        <f>IF(('Activity data'!BN11*EF!$H24)*kgtoGg=0,"NO",('Activity data'!BN11*EF!$H24)*kgtoGg)</f>
        <v>3.8350912132151166E-2</v>
      </c>
      <c r="AV1399" s="28">
        <f>IF(('Activity data'!BO11*EF!$H24)*kgtoGg=0,"NO",('Activity data'!BO11*EF!$H24)*kgtoGg)</f>
        <v>3.8374692407557622E-2</v>
      </c>
      <c r="AW1399" s="28">
        <f>IF(('Activity data'!BP11*EF!$H24)*kgtoGg=0,"NO",('Activity data'!BP11*EF!$H24)*kgtoGg)</f>
        <v>3.8400354082293926E-2</v>
      </c>
    </row>
    <row r="1400" spans="1:49" x14ac:dyDescent="0.25">
      <c r="A1400" s="102" t="s">
        <v>961</v>
      </c>
      <c r="B1400" s="102"/>
      <c r="C1400" s="102"/>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8">
        <f>IF(('Activity data'!AD12*EF!$H25)*kgtoGg=0,"NO",('Activity data'!AD12*EF!$H25)*kgtoGg)</f>
        <v>4.1170209951421942E-3</v>
      </c>
      <c r="L1400" s="28">
        <f>IF(('Activity data'!AE12*EF!$H25)*kgtoGg=0,"NO",('Activity data'!AE12*EF!$H25)*kgtoGg)</f>
        <v>4.1192428728898823E-3</v>
      </c>
      <c r="M1400" s="28">
        <f>IF(('Activity data'!AF12*EF!$H25)*kgtoGg=0,"NO",('Activity data'!AF12*EF!$H25)*kgtoGg)</f>
        <v>4.12435078039485E-3</v>
      </c>
      <c r="N1400" s="28">
        <f>IF(('Activity data'!AG12*EF!$H25)*kgtoGg=0,"NO",('Activity data'!AG12*EF!$H25)*kgtoGg)</f>
        <v>4.1319339449597016E-3</v>
      </c>
      <c r="O1400" s="28">
        <f>IF(('Activity data'!AH12*EF!$H25)*kgtoGg=0,"NO",('Activity data'!AH12*EF!$H25)*kgtoGg)</f>
        <v>4.1421691504697385E-3</v>
      </c>
      <c r="P1400" s="28">
        <f>IF(('Activity data'!AI12*EF!$H25)*kgtoGg=0,"NO",('Activity data'!AI12*EF!$H25)*kgtoGg)</f>
        <v>4.1552620965289999E-3</v>
      </c>
      <c r="Q1400" s="28">
        <f>IF(('Activity data'!AJ12*EF!$H25)*kgtoGg=0,"NO",('Activity data'!AJ12*EF!$H25)*kgtoGg)</f>
        <v>4.1696891610325101E-3</v>
      </c>
      <c r="R1400" s="28">
        <f>IF(('Activity data'!AK12*EF!$H25)*kgtoGg=0,"NO",('Activity data'!AK12*EF!$H25)*kgtoGg)</f>
        <v>4.1852262689396433E-3</v>
      </c>
      <c r="S1400" s="28">
        <f>IF(('Activity data'!AL12*EF!$H25)*kgtoGg=0,"NO",('Activity data'!AL12*EF!$H25)*kgtoGg)</f>
        <v>4.2006195221765729E-3</v>
      </c>
      <c r="T1400" s="28">
        <f>IF(('Activity data'!AM12*EF!$H25)*kgtoGg=0,"NO",('Activity data'!AM12*EF!$H25)*kgtoGg)</f>
        <v>4.2069191281690734E-3</v>
      </c>
      <c r="U1400" s="28">
        <f>IF(('Activity data'!AN12*EF!$H25)*kgtoGg=0,"NO",('Activity data'!AN12*EF!$H25)*kgtoGg)</f>
        <v>4.2140725263613192E-3</v>
      </c>
      <c r="V1400" s="28">
        <f>IF(('Activity data'!AO12*EF!$H25)*kgtoGg=0,"NO",('Activity data'!AO12*EF!$H25)*kgtoGg)</f>
        <v>4.2221625135462756E-3</v>
      </c>
      <c r="W1400" s="28">
        <f>IF(('Activity data'!AP12*EF!$H25)*kgtoGg=0,"NO",('Activity data'!AP12*EF!$H25)*kgtoGg)</f>
        <v>4.2312477735732788E-3</v>
      </c>
      <c r="X1400" s="28">
        <f>IF(('Activity data'!AQ12*EF!$H25)*kgtoGg=0,"NO",('Activity data'!AQ12*EF!$H25)*kgtoGg)</f>
        <v>4.2414567512447637E-3</v>
      </c>
      <c r="Y1400" s="28">
        <f>IF(('Activity data'!AR12*EF!$H25)*kgtoGg=0,"NO",('Activity data'!AR12*EF!$H25)*kgtoGg)</f>
        <v>4.2478757117132681E-3</v>
      </c>
      <c r="Z1400" s="28">
        <f>IF(('Activity data'!AS12*EF!$H25)*kgtoGg=0,"NO",('Activity data'!AS12*EF!$H25)*kgtoGg)</f>
        <v>4.2551037879804332E-3</v>
      </c>
      <c r="AA1400" s="28">
        <f>IF(('Activity data'!AT12*EF!$H25)*kgtoGg=0,"NO",('Activity data'!AT12*EF!$H25)*kgtoGg)</f>
        <v>4.2629398127441735E-3</v>
      </c>
      <c r="AB1400" s="28">
        <f>IF(('Activity data'!AU12*EF!$H25)*kgtoGg=0,"NO",('Activity data'!AU12*EF!$H25)*kgtoGg)</f>
        <v>4.2715675006447032E-3</v>
      </c>
      <c r="AC1400" s="28">
        <f>IF(('Activity data'!AV12*EF!$H25)*kgtoGg=0,"NO",('Activity data'!AV12*EF!$H25)*kgtoGg)</f>
        <v>4.2809858637671951E-3</v>
      </c>
      <c r="AD1400" s="28">
        <f>IF(('Activity data'!AW12*EF!$H25)*kgtoGg=0,"NO",('Activity data'!AW12*EF!$H25)*kgtoGg)</f>
        <v>4.2872196941576481E-3</v>
      </c>
      <c r="AE1400" s="28">
        <f>IF(('Activity data'!AX12*EF!$H25)*kgtoGg=0,"NO",('Activity data'!AX12*EF!$H25)*kgtoGg)</f>
        <v>4.294060040402857E-3</v>
      </c>
      <c r="AF1400" s="28">
        <f>IF(('Activity data'!AY12*EF!$H25)*kgtoGg=0,"NO",('Activity data'!AY12*EF!$H25)*kgtoGg)</f>
        <v>4.3014609511190394E-3</v>
      </c>
      <c r="AG1400" s="28">
        <f>IF(('Activity data'!AZ12*EF!$H25)*kgtoGg=0,"NO",('Activity data'!AZ12*EF!$H25)*kgtoGg)</f>
        <v>4.3095025417013294E-3</v>
      </c>
      <c r="AH1400" s="28">
        <f>IF(('Activity data'!BA12*EF!$H25)*kgtoGg=0,"NO",('Activity data'!BA12*EF!$H25)*kgtoGg)</f>
        <v>4.3179002411570773E-3</v>
      </c>
      <c r="AI1400" s="28">
        <f>IF(('Activity data'!BB12*EF!$H25)*kgtoGg=0,"NO",('Activity data'!BB12*EF!$H25)*kgtoGg)</f>
        <v>4.3232728621695939E-3</v>
      </c>
      <c r="AJ1400" s="28">
        <f>IF(('Activity data'!BC12*EF!$H25)*kgtoGg=0,"NO",('Activity data'!BC12*EF!$H25)*kgtoGg)</f>
        <v>4.3291012401819257E-3</v>
      </c>
      <c r="AK1400" s="28">
        <f>IF(('Activity data'!BD12*EF!$H25)*kgtoGg=0,"NO",('Activity data'!BD12*EF!$H25)*kgtoGg)</f>
        <v>4.335297104653045E-3</v>
      </c>
      <c r="AL1400" s="28">
        <f>IF(('Activity data'!BE12*EF!$H25)*kgtoGg=0,"NO",('Activity data'!BE12*EF!$H25)*kgtoGg)</f>
        <v>4.3418943720031399E-3</v>
      </c>
      <c r="AM1400" s="28">
        <f>IF(('Activity data'!BF12*EF!$H25)*kgtoGg=0,"NO",('Activity data'!BF12*EF!$H25)*kgtoGg)</f>
        <v>4.3489239487544346E-3</v>
      </c>
      <c r="AN1400" s="28">
        <f>IF(('Activity data'!BG12*EF!$H25)*kgtoGg=0,"NO",('Activity data'!BG12*EF!$H25)*kgtoGg)</f>
        <v>4.3530670829873327E-3</v>
      </c>
      <c r="AO1400" s="28">
        <f>IF(('Activity data'!BH12*EF!$H25)*kgtoGg=0,"NO",('Activity data'!BH12*EF!$H25)*kgtoGg)</f>
        <v>4.3574816871482253E-3</v>
      </c>
      <c r="AP1400" s="28">
        <f>IF(('Activity data'!BI12*EF!$H25)*kgtoGg=0,"NO",('Activity data'!BI12*EF!$H25)*kgtoGg)</f>
        <v>4.362245557467872E-3</v>
      </c>
      <c r="AQ1400" s="28">
        <f>IF(('Activity data'!BJ12*EF!$H25)*kgtoGg=0,"NO",('Activity data'!BJ12*EF!$H25)*kgtoGg)</f>
        <v>4.3673502901445905E-3</v>
      </c>
      <c r="AR1400" s="28">
        <f>IF(('Activity data'!BK12*EF!$H25)*kgtoGg=0,"NO",('Activity data'!BK12*EF!$H25)*kgtoGg)</f>
        <v>4.3728506918900767E-3</v>
      </c>
      <c r="AS1400" s="28">
        <f>IF(('Activity data'!BL12*EF!$H25)*kgtoGg=0,"NO",('Activity data'!BL12*EF!$H25)*kgtoGg)</f>
        <v>4.3753297195173796E-3</v>
      </c>
      <c r="AT1400" s="28">
        <f>IF(('Activity data'!BM12*EF!$H25)*kgtoGg=0,"NO",('Activity data'!BM12*EF!$H25)*kgtoGg)</f>
        <v>4.3774814842126074E-3</v>
      </c>
      <c r="AU1400" s="28">
        <f>IF(('Activity data'!BN12*EF!$H25)*kgtoGg=0,"NO",('Activity data'!BN12*EF!$H25)*kgtoGg)</f>
        <v>4.3798569661714264E-3</v>
      </c>
      <c r="AV1400" s="28">
        <f>IF(('Activity data'!BO12*EF!$H25)*kgtoGg=0,"NO",('Activity data'!BO12*EF!$H25)*kgtoGg)</f>
        <v>4.3825727869721814E-3</v>
      </c>
      <c r="AW1400" s="28">
        <f>IF(('Activity data'!BP12*EF!$H25)*kgtoGg=0,"NO",('Activity data'!BP12*EF!$H25)*kgtoGg)</f>
        <v>4.385503472544146E-3</v>
      </c>
    </row>
    <row r="1401" spans="1:49" x14ac:dyDescent="0.25">
      <c r="A1401" s="102" t="s">
        <v>961</v>
      </c>
      <c r="B1401" s="102"/>
      <c r="C1401" s="102"/>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8">
        <f>IF(('Activity data'!AD13*EF!$H26)*kgtoGg=0,"NO",('Activity data'!AD13*EF!$H26)*kgtoGg)</f>
        <v>1.5786050776084536E-2</v>
      </c>
      <c r="L1401" s="28">
        <f>IF(('Activity data'!AE13*EF!$H26)*kgtoGg=0,"NO",('Activity data'!AE13*EF!$H26)*kgtoGg)</f>
        <v>1.5827081346829606E-2</v>
      </c>
      <c r="M1401" s="28">
        <f>IF(('Activity data'!AF13*EF!$H26)*kgtoGg=0,"NO",('Activity data'!AF13*EF!$H26)*kgtoGg)</f>
        <v>1.5882411871580165E-2</v>
      </c>
      <c r="N1401" s="28">
        <f>IF(('Activity data'!AG13*EF!$H26)*kgtoGg=0,"NO",('Activity data'!AG13*EF!$H26)*kgtoGg)</f>
        <v>1.5949803045989901E-2</v>
      </c>
      <c r="O1401" s="28">
        <f>IF(('Activity data'!AH13*EF!$H26)*kgtoGg=0,"NO",('Activity data'!AH13*EF!$H26)*kgtoGg)</f>
        <v>1.6030521416305728E-2</v>
      </c>
      <c r="P1401" s="28">
        <f>IF(('Activity data'!AI13*EF!$H26)*kgtoGg=0,"NO",('Activity data'!AI13*EF!$H26)*kgtoGg)</f>
        <v>1.6125949164627635E-2</v>
      </c>
      <c r="Q1401" s="28">
        <f>IF(('Activity data'!AJ13*EF!$H26)*kgtoGg=0,"NO",('Activity data'!AJ13*EF!$H26)*kgtoGg)</f>
        <v>1.6227083744595871E-2</v>
      </c>
      <c r="R1401" s="28">
        <f>IF(('Activity data'!AK13*EF!$H26)*kgtoGg=0,"NO",('Activity data'!AK13*EF!$H26)*kgtoGg)</f>
        <v>1.6332741800602117E-2</v>
      </c>
      <c r="S1401" s="28">
        <f>IF(('Activity data'!AL13*EF!$H26)*kgtoGg=0,"NO",('Activity data'!AL13*EF!$H26)*kgtoGg)</f>
        <v>1.6435606263672888E-2</v>
      </c>
      <c r="T1401" s="28">
        <f>IF(('Activity data'!AM13*EF!$H26)*kgtoGg=0,"NO",('Activity data'!AM13*EF!$H26)*kgtoGg)</f>
        <v>1.6482785969504622E-2</v>
      </c>
      <c r="U1401" s="28">
        <f>IF(('Activity data'!AN13*EF!$H26)*kgtoGg=0,"NO",('Activity data'!AN13*EF!$H26)*kgtoGg)</f>
        <v>1.6533664426214255E-2</v>
      </c>
      <c r="V1401" s="28">
        <f>IF(('Activity data'!AO13*EF!$H26)*kgtoGg=0,"NO",('Activity data'!AO13*EF!$H26)*kgtoGg)</f>
        <v>1.6588808405428729E-2</v>
      </c>
      <c r="W1401" s="28">
        <f>IF(('Activity data'!AP13*EF!$H26)*kgtoGg=0,"NO",('Activity data'!AP13*EF!$H26)*kgtoGg)</f>
        <v>1.6648626125843623E-2</v>
      </c>
      <c r="X1401" s="28">
        <f>IF(('Activity data'!AQ13*EF!$H26)*kgtoGg=0,"NO",('Activity data'!AQ13*EF!$H26)*kgtoGg)</f>
        <v>1.671392230440329E-2</v>
      </c>
      <c r="Y1401" s="28">
        <f>IF(('Activity data'!AR13*EF!$H26)*kgtoGg=0,"NO",('Activity data'!AR13*EF!$H26)*kgtoGg)</f>
        <v>1.6755949162850392E-2</v>
      </c>
      <c r="Z1401" s="28">
        <f>IF(('Activity data'!AS13*EF!$H26)*kgtoGg=0,"NO",('Activity data'!AS13*EF!$H26)*kgtoGg)</f>
        <v>1.6801812461822448E-2</v>
      </c>
      <c r="AA1401" s="28">
        <f>IF(('Activity data'!AT13*EF!$H26)*kgtoGg=0,"NO",('Activity data'!AT13*EF!$H26)*kgtoGg)</f>
        <v>1.6850371356583897E-2</v>
      </c>
      <c r="AB1401" s="28">
        <f>IF(('Activity data'!AU13*EF!$H26)*kgtoGg=0,"NO",('Activity data'!AU13*EF!$H26)*kgtoGg)</f>
        <v>1.6902729841508243E-2</v>
      </c>
      <c r="AC1401" s="28">
        <f>IF(('Activity data'!AV13*EF!$H26)*kgtoGg=0,"NO",('Activity data'!AV13*EF!$H26)*kgtoGg)</f>
        <v>1.6958905567505546E-2</v>
      </c>
      <c r="AD1401" s="28">
        <f>IF(('Activity data'!AW13*EF!$H26)*kgtoGg=0,"NO",('Activity data'!AW13*EF!$H26)*kgtoGg)</f>
        <v>1.6995881142245144E-2</v>
      </c>
      <c r="AE1401" s="28">
        <f>IF(('Activity data'!AX13*EF!$H26)*kgtoGg=0,"NO",('Activity data'!AX13*EF!$H26)*kgtoGg)</f>
        <v>1.7035738596248386E-2</v>
      </c>
      <c r="AF1401" s="28">
        <f>IF(('Activity data'!AY13*EF!$H26)*kgtoGg=0,"NO",('Activity data'!AY13*EF!$H26)*kgtoGg)</f>
        <v>1.7078229800458981E-2</v>
      </c>
      <c r="AG1401" s="28">
        <f>IF(('Activity data'!AZ13*EF!$H26)*kgtoGg=0,"NO",('Activity data'!AZ13*EF!$H26)*kgtoGg)</f>
        <v>1.7123832345859253E-2</v>
      </c>
      <c r="AH1401" s="28">
        <f>IF(('Activity data'!BA13*EF!$H26)*kgtoGg=0,"NO",('Activity data'!BA13*EF!$H26)*kgtoGg)</f>
        <v>1.7170921235490962E-2</v>
      </c>
      <c r="AI1401" s="28">
        <f>IF(('Activity data'!BB13*EF!$H26)*kgtoGg=0,"NO",('Activity data'!BB13*EF!$H26)*kgtoGg)</f>
        <v>1.720011231394674E-2</v>
      </c>
      <c r="AJ1401" s="28">
        <f>IF(('Activity data'!BC13*EF!$H26)*kgtoGg=0,"NO",('Activity data'!BC13*EF!$H26)*kgtoGg)</f>
        <v>1.7231468078725984E-2</v>
      </c>
      <c r="AK1401" s="28">
        <f>IF(('Activity data'!BD13*EF!$H26)*kgtoGg=0,"NO",('Activity data'!BD13*EF!$H26)*kgtoGg)</f>
        <v>1.7264493513114532E-2</v>
      </c>
      <c r="AL1401" s="28">
        <f>IF(('Activity data'!BE13*EF!$H26)*kgtoGg=0,"NO",('Activity data'!BE13*EF!$H26)*kgtoGg)</f>
        <v>1.7299393145414187E-2</v>
      </c>
      <c r="AM1401" s="28">
        <f>IF(('Activity data'!BF13*EF!$H26)*kgtoGg=0,"NO",('Activity data'!BF13*EF!$H26)*kgtoGg)</f>
        <v>1.7336351628498631E-2</v>
      </c>
      <c r="AN1401" s="28">
        <f>IF(('Activity data'!BG13*EF!$H26)*kgtoGg=0,"NO",('Activity data'!BG13*EF!$H26)*kgtoGg)</f>
        <v>1.7356503534937538E-2</v>
      </c>
      <c r="AO1401" s="28">
        <f>IF(('Activity data'!BH13*EF!$H26)*kgtoGg=0,"NO",('Activity data'!BH13*EF!$H26)*kgtoGg)</f>
        <v>1.7377878973805026E-2</v>
      </c>
      <c r="AP1401" s="28">
        <f>IF(('Activity data'!BI13*EF!$H26)*kgtoGg=0,"NO",('Activity data'!BI13*EF!$H26)*kgtoGg)</f>
        <v>1.7400926590350561E-2</v>
      </c>
      <c r="AQ1401" s="28">
        <f>IF(('Activity data'!BJ13*EF!$H26)*kgtoGg=0,"NO",('Activity data'!BJ13*EF!$H26)*kgtoGg)</f>
        <v>1.7425603506526253E-2</v>
      </c>
      <c r="AR1401" s="28">
        <f>IF(('Activity data'!BK13*EF!$H26)*kgtoGg=0,"NO",('Activity data'!BK13*EF!$H26)*kgtoGg)</f>
        <v>1.7452223423977883E-2</v>
      </c>
      <c r="AS1401" s="28">
        <f>IF(('Activity data'!BL13*EF!$H26)*kgtoGg=0,"NO",('Activity data'!BL13*EF!$H26)*kgtoGg)</f>
        <v>1.7461521770457056E-2</v>
      </c>
      <c r="AT1401" s="28">
        <f>IF(('Activity data'!BM13*EF!$H26)*kgtoGg=0,"NO",('Activity data'!BM13*EF!$H26)*kgtoGg)</f>
        <v>1.7468759965525583E-2</v>
      </c>
      <c r="AU1401" s="28">
        <f>IF(('Activity data'!BN13*EF!$H26)*kgtoGg=0,"NO",('Activity data'!BN13*EF!$H26)*kgtoGg)</f>
        <v>1.7477053902041951E-2</v>
      </c>
      <c r="AV1401" s="28">
        <f>IF(('Activity data'!BO13*EF!$H26)*kgtoGg=0,"NO",('Activity data'!BO13*EF!$H26)*kgtoGg)</f>
        <v>1.7487061559141349E-2</v>
      </c>
      <c r="AW1401" s="28">
        <f>IF(('Activity data'!BP13*EF!$H26)*kgtoGg=0,"NO",('Activity data'!BP13*EF!$H26)*kgtoGg)</f>
        <v>1.7498080042052506E-2</v>
      </c>
    </row>
    <row r="1402" spans="1:49" x14ac:dyDescent="0.25">
      <c r="A1402" s="102" t="s">
        <v>961</v>
      </c>
      <c r="B1402" s="102"/>
      <c r="C1402" s="102"/>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8">
        <f>IF(('Activity data'!AD14*EF!$H27)*kgtoGg=0,"NO",('Activity data'!AD14*EF!$H27)*kgtoGg)</f>
        <v>2.6586118821625565E-2</v>
      </c>
      <c r="L1402" s="28">
        <f>IF(('Activity data'!AE14*EF!$H27)*kgtoGg=0,"NO",('Activity data'!AE14*EF!$H27)*kgtoGg)</f>
        <v>2.6655220564969766E-2</v>
      </c>
      <c r="M1402" s="28">
        <f>IF(('Activity data'!AF14*EF!$H27)*kgtoGg=0,"NO",('Activity data'!AF14*EF!$H27)*kgtoGg)</f>
        <v>2.674840561336134E-2</v>
      </c>
      <c r="N1402" s="28">
        <f>IF(('Activity data'!AG14*EF!$H27)*kgtoGg=0,"NO",('Activity data'!AG14*EF!$H27)*kgtoGg)</f>
        <v>2.6861902636511708E-2</v>
      </c>
      <c r="O1402" s="28">
        <f>IF(('Activity data'!AH14*EF!$H27)*kgtoGg=0,"NO",('Activity data'!AH14*EF!$H27)*kgtoGg)</f>
        <v>2.6997844691604787E-2</v>
      </c>
      <c r="P1402" s="28">
        <f>IF(('Activity data'!AI14*EF!$H27)*kgtoGg=0,"NO",('Activity data'!AI14*EF!$H27)*kgtoGg)</f>
        <v>2.7158559584249745E-2</v>
      </c>
      <c r="Q1402" s="28">
        <f>IF(('Activity data'!AJ14*EF!$H27)*kgtoGg=0,"NO",('Activity data'!AJ14*EF!$H27)*kgtoGg)</f>
        <v>2.7328885652380994E-2</v>
      </c>
      <c r="R1402" s="28">
        <f>IF(('Activity data'!AK14*EF!$H27)*kgtoGg=0,"NO",('Activity data'!AK14*EF!$H27)*kgtoGg)</f>
        <v>2.7506829944546809E-2</v>
      </c>
      <c r="S1402" s="28">
        <f>IF(('Activity data'!AL14*EF!$H27)*kgtoGg=0,"NO",('Activity data'!AL14*EF!$H27)*kgtoGg)</f>
        <v>2.7680069399842709E-2</v>
      </c>
      <c r="T1402" s="28">
        <f>IF(('Activity data'!AM14*EF!$H27)*kgtoGg=0,"NO",('Activity data'!AM14*EF!$H27)*kgtoGg)</f>
        <v>2.7759527225172408E-2</v>
      </c>
      <c r="U1402" s="28">
        <f>IF(('Activity data'!AN14*EF!$H27)*kgtoGg=0,"NO",('Activity data'!AN14*EF!$H27)*kgtoGg)</f>
        <v>2.7845214311494997E-2</v>
      </c>
      <c r="V1402" s="28">
        <f>IF(('Activity data'!AO14*EF!$H27)*kgtoGg=0,"NO",('Activity data'!AO14*EF!$H27)*kgtoGg)</f>
        <v>2.7938085188732656E-2</v>
      </c>
      <c r="W1402" s="28">
        <f>IF(('Activity data'!AP14*EF!$H27)*kgtoGg=0,"NO",('Activity data'!AP14*EF!$H27)*kgtoGg)</f>
        <v>2.8038827359472312E-2</v>
      </c>
      <c r="X1402" s="28">
        <f>IF(('Activity data'!AQ14*EF!$H27)*kgtoGg=0,"NO",('Activity data'!AQ14*EF!$H27)*kgtoGg)</f>
        <v>2.814879608986658E-2</v>
      </c>
      <c r="Y1402" s="28">
        <f>IF(('Activity data'!AR14*EF!$H27)*kgtoGg=0,"NO",('Activity data'!AR14*EF!$H27)*kgtoGg)</f>
        <v>2.821957573375743E-2</v>
      </c>
      <c r="Z1402" s="28">
        <f>IF(('Activity data'!AS14*EF!$H27)*kgtoGg=0,"NO",('Activity data'!AS14*EF!$H27)*kgtoGg)</f>
        <v>2.8296816529021451E-2</v>
      </c>
      <c r="AA1402" s="28">
        <f>IF(('Activity data'!AT14*EF!$H27)*kgtoGg=0,"NO",('Activity data'!AT14*EF!$H27)*kgtoGg)</f>
        <v>2.8378597119004759E-2</v>
      </c>
      <c r="AB1402" s="28">
        <f>IF(('Activity data'!AU14*EF!$H27)*kgtoGg=0,"NO",('Activity data'!AU14*EF!$H27)*kgtoGg)</f>
        <v>2.8466776798727306E-2</v>
      </c>
      <c r="AC1402" s="28">
        <f>IF(('Activity data'!AV14*EF!$H27)*kgtoGg=0,"NO",('Activity data'!AV14*EF!$H27)*kgtoGg)</f>
        <v>2.8561385295015548E-2</v>
      </c>
      <c r="AD1402" s="28">
        <f>IF(('Activity data'!AW14*EF!$H27)*kgtoGg=0,"NO",('Activity data'!AW14*EF!$H27)*kgtoGg)</f>
        <v>2.8623657806200815E-2</v>
      </c>
      <c r="AE1402" s="28">
        <f>IF(('Activity data'!AX14*EF!$H27)*kgtoGg=0,"NO",('Activity data'!AX14*EF!$H27)*kgtoGg)</f>
        <v>2.8690783841907163E-2</v>
      </c>
      <c r="AF1402" s="28">
        <f>IF(('Activity data'!AY14*EF!$H27)*kgtoGg=0,"NO",('Activity data'!AY14*EF!$H27)*kgtoGg)</f>
        <v>2.876234551493359E-2</v>
      </c>
      <c r="AG1402" s="28">
        <f>IF(('Activity data'!AZ14*EF!$H27)*kgtoGg=0,"NO",('Activity data'!AZ14*EF!$H27)*kgtoGg)</f>
        <v>2.8839147161385727E-2</v>
      </c>
      <c r="AH1402" s="28">
        <f>IF(('Activity data'!BA14*EF!$H27)*kgtoGg=0,"NO",('Activity data'!BA14*EF!$H27)*kgtoGg)</f>
        <v>2.891845203837394E-2</v>
      </c>
      <c r="AI1402" s="28">
        <f>IF(('Activity data'!BB14*EF!$H27)*kgtoGg=0,"NO",('Activity data'!BB14*EF!$H27)*kgtoGg)</f>
        <v>2.8967614269723933E-2</v>
      </c>
      <c r="AJ1402" s="28">
        <f>IF(('Activity data'!BC14*EF!$H27)*kgtoGg=0,"NO",('Activity data'!BC14*EF!$H27)*kgtoGg)</f>
        <v>2.9020422163223609E-2</v>
      </c>
      <c r="AK1402" s="28">
        <f>IF(('Activity data'!BD14*EF!$H27)*kgtoGg=0,"NO",('Activity data'!BD14*EF!$H27)*kgtoGg)</f>
        <v>2.9076042035175369E-2</v>
      </c>
      <c r="AL1402" s="28">
        <f>IF(('Activity data'!BE14*EF!$H27)*kgtoGg=0,"NO",('Activity data'!BE14*EF!$H27)*kgtoGg)</f>
        <v>2.9134818342455165E-2</v>
      </c>
      <c r="AM1402" s="28">
        <f>IF(('Activity data'!BF14*EF!$H27)*kgtoGg=0,"NO",('Activity data'!BF14*EF!$H27)*kgtoGg)</f>
        <v>2.9197062068684575E-2</v>
      </c>
      <c r="AN1402" s="28">
        <f>IF(('Activity data'!BG14*EF!$H27)*kgtoGg=0,"NO",('Activity data'!BG14*EF!$H27)*kgtoGg)</f>
        <v>2.9231000954772463E-2</v>
      </c>
      <c r="AO1402" s="28">
        <f>IF(('Activity data'!BH14*EF!$H27)*kgtoGg=0,"NO",('Activity data'!BH14*EF!$H27)*kgtoGg)</f>
        <v>2.926700045620928E-2</v>
      </c>
      <c r="AP1402" s="28">
        <f>IF(('Activity data'!BI14*EF!$H27)*kgtoGg=0,"NO",('Activity data'!BI14*EF!$H27)*kgtoGg)</f>
        <v>2.9305816160068741E-2</v>
      </c>
      <c r="AQ1402" s="28">
        <f>IF(('Activity data'!BJ14*EF!$H27)*kgtoGg=0,"NO",('Activity data'!BJ14*EF!$H27)*kgtoGg)</f>
        <v>2.9347375853174006E-2</v>
      </c>
      <c r="AR1402" s="28">
        <f>IF(('Activity data'!BK14*EF!$H27)*kgtoGg=0,"NO",('Activity data'!BK14*EF!$H27)*kgtoGg)</f>
        <v>2.9392207856974665E-2</v>
      </c>
      <c r="AS1402" s="28">
        <f>IF(('Activity data'!BL14*EF!$H27)*kgtoGg=0,"NO",('Activity data'!BL14*EF!$H27)*kgtoGg)</f>
        <v>2.9407867691587285E-2</v>
      </c>
      <c r="AT1402" s="28">
        <f>IF(('Activity data'!BM14*EF!$H27)*kgtoGg=0,"NO",('Activity data'!BM14*EF!$H27)*kgtoGg)</f>
        <v>2.9420057916797852E-2</v>
      </c>
      <c r="AU1402" s="28">
        <f>IF(('Activity data'!BN14*EF!$H27)*kgtoGg=0,"NO",('Activity data'!BN14*EF!$H27)*kgtoGg)</f>
        <v>2.9434026171737036E-2</v>
      </c>
      <c r="AV1402" s="28">
        <f>IF(('Activity data'!BO14*EF!$H27)*kgtoGg=0,"NO",('Activity data'!BO14*EF!$H27)*kgtoGg)</f>
        <v>2.9450880593691244E-2</v>
      </c>
      <c r="AW1402" s="28">
        <f>IF(('Activity data'!BP14*EF!$H27)*kgtoGg=0,"NO",('Activity data'!BP14*EF!$H27)*kgtoGg)</f>
        <v>2.9469437400587745E-2</v>
      </c>
    </row>
    <row r="1403" spans="1:49" x14ac:dyDescent="0.25">
      <c r="A1403" s="102" t="s">
        <v>961</v>
      </c>
      <c r="B1403" s="102"/>
      <c r="C1403" s="102"/>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8">
        <f>IF(('Activity data'!AD15*EF!$H28)*kgtoGg=0,"NO",('Activity data'!AD15*EF!$H28)*kgtoGg)</f>
        <v>4.1409780786531561E-3</v>
      </c>
      <c r="L1403" s="28">
        <f>IF(('Activity data'!AE15*EF!$H28)*kgtoGg=0,"NO",('Activity data'!AE15*EF!$H28)*kgtoGg)</f>
        <v>4.1688671764084162E-3</v>
      </c>
      <c r="M1403" s="28">
        <f>IF(('Activity data'!AF15*EF!$H28)*kgtoGg=0,"NO",('Activity data'!AF15*EF!$H28)*kgtoGg)</f>
        <v>4.1857409403688933E-3</v>
      </c>
      <c r="N1403" s="28">
        <f>IF(('Activity data'!AG15*EF!$H28)*kgtoGg=0,"NO",('Activity data'!AG15*EF!$H28)*kgtoGg)</f>
        <v>4.1635395322190223E-3</v>
      </c>
      <c r="O1403" s="28">
        <f>IF(('Activity data'!AH15*EF!$H28)*kgtoGg=0,"NO",('Activity data'!AH15*EF!$H28)*kgtoGg)</f>
        <v>4.1408513683072233E-3</v>
      </c>
      <c r="P1403" s="28">
        <f>IF(('Activity data'!AI15*EF!$H28)*kgtoGg=0,"NO",('Activity data'!AI15*EF!$H28)*kgtoGg)</f>
        <v>4.1549094768624506E-3</v>
      </c>
      <c r="Q1403" s="28">
        <f>IF(('Activity data'!AJ15*EF!$H28)*kgtoGg=0,"NO",('Activity data'!AJ15*EF!$H28)*kgtoGg)</f>
        <v>4.1567255728426969E-3</v>
      </c>
      <c r="R1403" s="28">
        <f>IF(('Activity data'!AK15*EF!$H28)*kgtoGg=0,"NO",('Activity data'!AK15*EF!$H28)*kgtoGg)</f>
        <v>4.1179597585422178E-3</v>
      </c>
      <c r="S1403" s="28">
        <f>IF(('Activity data'!AL15*EF!$H28)*kgtoGg=0,"NO",('Activity data'!AL15*EF!$H28)*kgtoGg)</f>
        <v>3.9049943158389311E-3</v>
      </c>
      <c r="T1403" s="28">
        <f>IF(('Activity data'!AM15*EF!$H28)*kgtoGg=0,"NO",('Activity data'!AM15*EF!$H28)*kgtoGg)</f>
        <v>3.9699795028704365E-3</v>
      </c>
      <c r="U1403" s="28">
        <f>IF(('Activity data'!AN15*EF!$H28)*kgtoGg=0,"NO",('Activity data'!AN15*EF!$H28)*kgtoGg)</f>
        <v>4.0126860665387013E-3</v>
      </c>
      <c r="V1403" s="28">
        <f>IF(('Activity data'!AO15*EF!$H28)*kgtoGg=0,"NO",('Activity data'!AO15*EF!$H28)*kgtoGg)</f>
        <v>4.0499492305839649E-3</v>
      </c>
      <c r="W1403" s="28">
        <f>IF(('Activity data'!AP15*EF!$H28)*kgtoGg=0,"NO",('Activity data'!AP15*EF!$H28)*kgtoGg)</f>
        <v>4.09467284204442E-3</v>
      </c>
      <c r="X1403" s="28">
        <f>IF(('Activity data'!AQ15*EF!$H28)*kgtoGg=0,"NO",('Activity data'!AQ15*EF!$H28)*kgtoGg)</f>
        <v>4.1665387441703824E-3</v>
      </c>
      <c r="Y1403" s="28">
        <f>IF(('Activity data'!AR15*EF!$H28)*kgtoGg=0,"NO",('Activity data'!AR15*EF!$H28)*kgtoGg)</f>
        <v>4.248702300747329E-3</v>
      </c>
      <c r="Z1403" s="28">
        <f>IF(('Activity data'!AS15*EF!$H28)*kgtoGg=0,"NO",('Activity data'!AS15*EF!$H28)*kgtoGg)</f>
        <v>4.3374921923911899E-3</v>
      </c>
      <c r="AA1403" s="28">
        <f>IF(('Activity data'!AT15*EF!$H28)*kgtoGg=0,"NO",('Activity data'!AT15*EF!$H28)*kgtoGg)</f>
        <v>4.414637811470782E-3</v>
      </c>
      <c r="AB1403" s="28">
        <f>IF(('Activity data'!AU15*EF!$H28)*kgtoGg=0,"NO",('Activity data'!AU15*EF!$H28)*kgtoGg)</f>
        <v>4.5040673251205239E-3</v>
      </c>
      <c r="AC1403" s="28">
        <f>IF(('Activity data'!AV15*EF!$H28)*kgtoGg=0,"NO",('Activity data'!AV15*EF!$H28)*kgtoGg)</f>
        <v>4.6087014569709678E-3</v>
      </c>
      <c r="AD1403" s="28">
        <f>IF(('Activity data'!AW15*EF!$H28)*kgtoGg=0,"NO",('Activity data'!AW15*EF!$H28)*kgtoGg)</f>
        <v>4.7138573349945522E-3</v>
      </c>
      <c r="AE1403" s="28">
        <f>IF(('Activity data'!AX15*EF!$H28)*kgtoGg=0,"NO",('Activity data'!AX15*EF!$H28)*kgtoGg)</f>
        <v>4.8236014553834257E-3</v>
      </c>
      <c r="AF1403" s="28">
        <f>IF(('Activity data'!AY15*EF!$H28)*kgtoGg=0,"NO",('Activity data'!AY15*EF!$H28)*kgtoGg)</f>
        <v>4.9354202086686252E-3</v>
      </c>
      <c r="AG1403" s="28">
        <f>IF(('Activity data'!AZ15*EF!$H28)*kgtoGg=0,"NO",('Activity data'!AZ15*EF!$H28)*kgtoGg)</f>
        <v>5.0601637107160246E-3</v>
      </c>
      <c r="AH1403" s="28">
        <f>IF(('Activity data'!BA15*EF!$H28)*kgtoGg=0,"NO",('Activity data'!BA15*EF!$H28)*kgtoGg)</f>
        <v>5.1692799161183493E-3</v>
      </c>
      <c r="AI1403" s="28">
        <f>IF(('Activity data'!BB15*EF!$H28)*kgtoGg=0,"NO",('Activity data'!BB15*EF!$H28)*kgtoGg)</f>
        <v>5.2891896269508833E-3</v>
      </c>
      <c r="AJ1403" s="28">
        <f>IF(('Activity data'!BC15*EF!$H28)*kgtoGg=0,"NO",('Activity data'!BC15*EF!$H28)*kgtoGg)</f>
        <v>5.4110891568061297E-3</v>
      </c>
      <c r="AK1403" s="28">
        <f>IF(('Activity data'!BD15*EF!$H28)*kgtoGg=0,"NO",('Activity data'!BD15*EF!$H28)*kgtoGg)</f>
        <v>5.5272908454311459E-3</v>
      </c>
      <c r="AL1403" s="28">
        <f>IF(('Activity data'!BE15*EF!$H28)*kgtoGg=0,"NO",('Activity data'!BE15*EF!$H28)*kgtoGg)</f>
        <v>5.6429797772661562E-3</v>
      </c>
      <c r="AM1403" s="28">
        <f>IF(('Activity data'!BF15*EF!$H28)*kgtoGg=0,"NO",('Activity data'!BF15*EF!$H28)*kgtoGg)</f>
        <v>5.7628358631585681E-3</v>
      </c>
      <c r="AN1403" s="28">
        <f>IF(('Activity data'!BG15*EF!$H28)*kgtoGg=0,"NO",('Activity data'!BG15*EF!$H28)*kgtoGg)</f>
        <v>5.8932639862966018E-3</v>
      </c>
      <c r="AO1403" s="28">
        <f>IF(('Activity data'!BH15*EF!$H28)*kgtoGg=0,"NO",('Activity data'!BH15*EF!$H28)*kgtoGg)</f>
        <v>6.015926079762964E-3</v>
      </c>
      <c r="AP1403" s="28">
        <f>IF(('Activity data'!BI15*EF!$H28)*kgtoGg=0,"NO",('Activity data'!BI15*EF!$H28)*kgtoGg)</f>
        <v>6.1402055338910435E-3</v>
      </c>
      <c r="AQ1403" s="28">
        <f>IF(('Activity data'!BJ15*EF!$H28)*kgtoGg=0,"NO",('Activity data'!BJ15*EF!$H28)*kgtoGg)</f>
        <v>6.266331762949981E-3</v>
      </c>
      <c r="AR1403" s="28">
        <f>IF(('Activity data'!BK15*EF!$H28)*kgtoGg=0,"NO",('Activity data'!BK15*EF!$H28)*kgtoGg)</f>
        <v>6.4010164026291104E-3</v>
      </c>
      <c r="AS1403" s="28">
        <f>IF(('Activity data'!BL15*EF!$H28)*kgtoGg=0,"NO",('Activity data'!BL15*EF!$H28)*kgtoGg)</f>
        <v>6.544222904657609E-3</v>
      </c>
      <c r="AT1403" s="28">
        <f>IF(('Activity data'!BM15*EF!$H28)*kgtoGg=0,"NO",('Activity data'!BM15*EF!$H28)*kgtoGg)</f>
        <v>6.6249233396269902E-3</v>
      </c>
      <c r="AU1403" s="28">
        <f>IF(('Activity data'!BN15*EF!$H28)*kgtoGg=0,"NO",('Activity data'!BN15*EF!$H28)*kgtoGg)</f>
        <v>6.7012526002480271E-3</v>
      </c>
      <c r="AV1403" s="28">
        <f>IF(('Activity data'!BO15*EF!$H28)*kgtoGg=0,"NO",('Activity data'!BO15*EF!$H28)*kgtoGg)</f>
        <v>6.7861102667668991E-3</v>
      </c>
      <c r="AW1403" s="28">
        <f>IF(('Activity data'!BP15*EF!$H28)*kgtoGg=0,"NO",('Activity data'!BP15*EF!$H28)*kgtoGg)</f>
        <v>6.8673471283418426E-3</v>
      </c>
    </row>
    <row r="1404" spans="1:49" x14ac:dyDescent="0.25">
      <c r="A1404" s="102" t="s">
        <v>961</v>
      </c>
      <c r="B1404" s="102"/>
      <c r="C1404" s="102"/>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8">
        <f>IF(('Activity data'!AD16*EF!$H29)*kgtoGg=0,"NO",('Activity data'!AD16*EF!$H29)*kgtoGg)</f>
        <v>7.515E-4</v>
      </c>
      <c r="L1404" s="28">
        <f>IF(('Activity data'!AE16*EF!$H29)*kgtoGg=0,"NO",('Activity data'!AE16*EF!$H29)*kgtoGg)</f>
        <v>7.515E-4</v>
      </c>
      <c r="M1404" s="28">
        <f>IF(('Activity data'!AF16*EF!$H29)*kgtoGg=0,"NO",('Activity data'!AF16*EF!$H29)*kgtoGg)</f>
        <v>7.515E-4</v>
      </c>
      <c r="N1404" s="28">
        <f>IF(('Activity data'!AG16*EF!$H29)*kgtoGg=0,"NO",('Activity data'!AG16*EF!$H29)*kgtoGg)</f>
        <v>7.515E-4</v>
      </c>
      <c r="O1404" s="28">
        <f>IF(('Activity data'!AH16*EF!$H29)*kgtoGg=0,"NO",('Activity data'!AH16*EF!$H29)*kgtoGg)</f>
        <v>7.515E-4</v>
      </c>
      <c r="P1404" s="28">
        <f>IF(('Activity data'!AI16*EF!$H29)*kgtoGg=0,"NO",('Activity data'!AI16*EF!$H29)*kgtoGg)</f>
        <v>7.515E-4</v>
      </c>
      <c r="Q1404" s="28">
        <f>IF(('Activity data'!AJ16*EF!$H29)*kgtoGg=0,"NO",('Activity data'!AJ16*EF!$H29)*kgtoGg)</f>
        <v>7.515E-4</v>
      </c>
      <c r="R1404" s="28">
        <f>IF(('Activity data'!AK16*EF!$H29)*kgtoGg=0,"NO",('Activity data'!AK16*EF!$H29)*kgtoGg)</f>
        <v>7.515E-4</v>
      </c>
      <c r="S1404" s="28">
        <f>IF(('Activity data'!AL16*EF!$H29)*kgtoGg=0,"NO",('Activity data'!AL16*EF!$H29)*kgtoGg)</f>
        <v>7.515E-4</v>
      </c>
      <c r="T1404" s="28">
        <f>IF(('Activity data'!AM16*EF!$H29)*kgtoGg=0,"NO",('Activity data'!AM16*EF!$H29)*kgtoGg)</f>
        <v>7.515E-4</v>
      </c>
      <c r="U1404" s="28">
        <f>IF(('Activity data'!AN16*EF!$H29)*kgtoGg=0,"NO",('Activity data'!AN16*EF!$H29)*kgtoGg)</f>
        <v>7.515E-4</v>
      </c>
      <c r="V1404" s="28">
        <f>IF(('Activity data'!AO16*EF!$H29)*kgtoGg=0,"NO",('Activity data'!AO16*EF!$H29)*kgtoGg)</f>
        <v>7.515E-4</v>
      </c>
      <c r="W1404" s="28">
        <f>IF(('Activity data'!AP16*EF!$H29)*kgtoGg=0,"NO",('Activity data'!AP16*EF!$H29)*kgtoGg)</f>
        <v>7.515E-4</v>
      </c>
      <c r="X1404" s="28">
        <f>IF(('Activity data'!AQ16*EF!$H29)*kgtoGg=0,"NO",('Activity data'!AQ16*EF!$H29)*kgtoGg)</f>
        <v>7.515E-4</v>
      </c>
      <c r="Y1404" s="28">
        <f>IF(('Activity data'!AR16*EF!$H29)*kgtoGg=0,"NO",('Activity data'!AR16*EF!$H29)*kgtoGg)</f>
        <v>7.515E-4</v>
      </c>
      <c r="Z1404" s="28">
        <f>IF(('Activity data'!AS16*EF!$H29)*kgtoGg=0,"NO",('Activity data'!AS16*EF!$H29)*kgtoGg)</f>
        <v>7.515E-4</v>
      </c>
      <c r="AA1404" s="28">
        <f>IF(('Activity data'!AT16*EF!$H29)*kgtoGg=0,"NO",('Activity data'!AT16*EF!$H29)*kgtoGg)</f>
        <v>7.515E-4</v>
      </c>
      <c r="AB1404" s="28">
        <f>IF(('Activity data'!AU16*EF!$H29)*kgtoGg=0,"NO",('Activity data'!AU16*EF!$H29)*kgtoGg)</f>
        <v>7.515E-4</v>
      </c>
      <c r="AC1404" s="28">
        <f>IF(('Activity data'!AV16*EF!$H29)*kgtoGg=0,"NO",('Activity data'!AV16*EF!$H29)*kgtoGg)</f>
        <v>7.515E-4</v>
      </c>
      <c r="AD1404" s="28">
        <f>IF(('Activity data'!AW16*EF!$H29)*kgtoGg=0,"NO",('Activity data'!AW16*EF!$H29)*kgtoGg)</f>
        <v>7.515E-4</v>
      </c>
      <c r="AE1404" s="28">
        <f>IF(('Activity data'!AX16*EF!$H29)*kgtoGg=0,"NO",('Activity data'!AX16*EF!$H29)*kgtoGg)</f>
        <v>7.515E-4</v>
      </c>
      <c r="AF1404" s="28">
        <f>IF(('Activity data'!AY16*EF!$H29)*kgtoGg=0,"NO",('Activity data'!AY16*EF!$H29)*kgtoGg)</f>
        <v>7.515E-4</v>
      </c>
      <c r="AG1404" s="28">
        <f>IF(('Activity data'!AZ16*EF!$H29)*kgtoGg=0,"NO",('Activity data'!AZ16*EF!$H29)*kgtoGg)</f>
        <v>7.515E-4</v>
      </c>
      <c r="AH1404" s="28">
        <f>IF(('Activity data'!BA16*EF!$H29)*kgtoGg=0,"NO",('Activity data'!BA16*EF!$H29)*kgtoGg)</f>
        <v>7.515E-4</v>
      </c>
      <c r="AI1404" s="28">
        <f>IF(('Activity data'!BB16*EF!$H29)*kgtoGg=0,"NO",('Activity data'!BB16*EF!$H29)*kgtoGg)</f>
        <v>7.515E-4</v>
      </c>
      <c r="AJ1404" s="28">
        <f>IF(('Activity data'!BC16*EF!$H29)*kgtoGg=0,"NO",('Activity data'!BC16*EF!$H29)*kgtoGg)</f>
        <v>7.515E-4</v>
      </c>
      <c r="AK1404" s="28">
        <f>IF(('Activity data'!BD16*EF!$H29)*kgtoGg=0,"NO",('Activity data'!BD16*EF!$H29)*kgtoGg)</f>
        <v>7.515E-4</v>
      </c>
      <c r="AL1404" s="28">
        <f>IF(('Activity data'!BE16*EF!$H29)*kgtoGg=0,"NO",('Activity data'!BE16*EF!$H29)*kgtoGg)</f>
        <v>7.515E-4</v>
      </c>
      <c r="AM1404" s="28">
        <f>IF(('Activity data'!BF16*EF!$H29)*kgtoGg=0,"NO",('Activity data'!BF16*EF!$H29)*kgtoGg)</f>
        <v>7.515E-4</v>
      </c>
      <c r="AN1404" s="28">
        <f>IF(('Activity data'!BG16*EF!$H29)*kgtoGg=0,"NO",('Activity data'!BG16*EF!$H29)*kgtoGg)</f>
        <v>7.515E-4</v>
      </c>
      <c r="AO1404" s="28">
        <f>IF(('Activity data'!BH16*EF!$H29)*kgtoGg=0,"NO",('Activity data'!BH16*EF!$H29)*kgtoGg)</f>
        <v>7.515E-4</v>
      </c>
      <c r="AP1404" s="28">
        <f>IF(('Activity data'!BI16*EF!$H29)*kgtoGg=0,"NO",('Activity data'!BI16*EF!$H29)*kgtoGg)</f>
        <v>7.515E-4</v>
      </c>
      <c r="AQ1404" s="28">
        <f>IF(('Activity data'!BJ16*EF!$H29)*kgtoGg=0,"NO",('Activity data'!BJ16*EF!$H29)*kgtoGg)</f>
        <v>7.515E-4</v>
      </c>
      <c r="AR1404" s="28">
        <f>IF(('Activity data'!BK16*EF!$H29)*kgtoGg=0,"NO",('Activity data'!BK16*EF!$H29)*kgtoGg)</f>
        <v>7.515E-4</v>
      </c>
      <c r="AS1404" s="28">
        <f>IF(('Activity data'!BL16*EF!$H29)*kgtoGg=0,"NO",('Activity data'!BL16*EF!$H29)*kgtoGg)</f>
        <v>7.515E-4</v>
      </c>
      <c r="AT1404" s="28">
        <f>IF(('Activity data'!BM16*EF!$H29)*kgtoGg=0,"NO",('Activity data'!BM16*EF!$H29)*kgtoGg)</f>
        <v>7.515E-4</v>
      </c>
      <c r="AU1404" s="28">
        <f>IF(('Activity data'!BN16*EF!$H29)*kgtoGg=0,"NO",('Activity data'!BN16*EF!$H29)*kgtoGg)</f>
        <v>7.515E-4</v>
      </c>
      <c r="AV1404" s="28">
        <f>IF(('Activity data'!BO16*EF!$H29)*kgtoGg=0,"NO",('Activity data'!BO16*EF!$H29)*kgtoGg)</f>
        <v>7.515E-4</v>
      </c>
      <c r="AW1404" s="28">
        <f>IF(('Activity data'!BP16*EF!$H29)*kgtoGg=0,"NO",('Activity data'!BP16*EF!$H29)*kgtoGg)</f>
        <v>7.515E-4</v>
      </c>
    </row>
    <row r="1405" spans="1:49" x14ac:dyDescent="0.25">
      <c r="A1405" s="102" t="s">
        <v>961</v>
      </c>
      <c r="B1405" s="102"/>
      <c r="C1405" s="102"/>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8">
        <f>IF(('Activity data'!AD17*EF!$H30)*kgtoGg=0,"NO",('Activity data'!AD17*EF!$H30)*kgtoGg)</f>
        <v>23.371743761076022</v>
      </c>
      <c r="L1405" s="28">
        <f>IF(('Activity data'!AE17*EF!$H30)*kgtoGg=0,"NO",('Activity data'!AE17*EF!$H30)*kgtoGg)</f>
        <v>23.330436915239524</v>
      </c>
      <c r="M1405" s="28">
        <f>IF(('Activity data'!AF17*EF!$H30)*kgtoGg=0,"NO",('Activity data'!AF17*EF!$H30)*kgtoGg)</f>
        <v>23.199540957083649</v>
      </c>
      <c r="N1405" s="28">
        <f>IF(('Activity data'!AG17*EF!$H30)*kgtoGg=0,"NO",('Activity data'!AG17*EF!$H30)*kgtoGg)</f>
        <v>22.687613421640428</v>
      </c>
      <c r="O1405" s="28">
        <f>IF(('Activity data'!AH17*EF!$H30)*kgtoGg=0,"NO",('Activity data'!AH17*EF!$H30)*kgtoGg)</f>
        <v>22.203503184399075</v>
      </c>
      <c r="P1405" s="28">
        <f>IF(('Activity data'!AI17*EF!$H30)*kgtoGg=0,"NO",('Activity data'!AI17*EF!$H30)*kgtoGg)</f>
        <v>22.125366761256988</v>
      </c>
      <c r="Q1405" s="28">
        <f>IF(('Activity data'!AJ17*EF!$H30)*kgtoGg=0,"NO",('Activity data'!AJ17*EF!$H30)*kgtoGg)</f>
        <v>21.935689428722483</v>
      </c>
      <c r="R1405" s="28">
        <f>IF(('Activity data'!AK17*EF!$H30)*kgtoGg=0,"NO",('Activity data'!AK17*EF!$H30)*kgtoGg)</f>
        <v>21.35149621309353</v>
      </c>
      <c r="S1405" s="28">
        <f>IF(('Activity data'!AL17*EF!$H30)*kgtoGg=0,"NO",('Activity data'!AL17*EF!$H30)*kgtoGg)</f>
        <v>19.044546726490758</v>
      </c>
      <c r="T1405" s="28">
        <f>IF(('Activity data'!AM17*EF!$H30)*kgtoGg=0,"NO",('Activity data'!AM17*EF!$H30)*kgtoGg)</f>
        <v>19.454206590041967</v>
      </c>
      <c r="U1405" s="28">
        <f>IF(('Activity data'!AN17*EF!$H30)*kgtoGg=0,"NO",('Activity data'!AN17*EF!$H30)*kgtoGg)</f>
        <v>19.642847548932107</v>
      </c>
      <c r="V1405" s="28">
        <f>IF(('Activity data'!AO17*EF!$H30)*kgtoGg=0,"NO",('Activity data'!AO17*EF!$H30)*kgtoGg)</f>
        <v>19.780236351488622</v>
      </c>
      <c r="W1405" s="28">
        <f>IF(('Activity data'!AP17*EF!$H30)*kgtoGg=0,"NO",('Activity data'!AP17*EF!$H30)*kgtoGg)</f>
        <v>19.991165183522316</v>
      </c>
      <c r="X1405" s="28">
        <f>IF(('Activity data'!AQ17*EF!$H30)*kgtoGg=0,"NO",('Activity data'!AQ17*EF!$H30)*kgtoGg)</f>
        <v>20.459574437852073</v>
      </c>
      <c r="Y1405" s="28">
        <f>IF(('Activity data'!AR17*EF!$H30)*kgtoGg=0,"NO",('Activity data'!AR17*EF!$H30)*kgtoGg)</f>
        <v>20.986742957293373</v>
      </c>
      <c r="Z1405" s="28">
        <f>IF(('Activity data'!AS17*EF!$H30)*kgtoGg=0,"NO",('Activity data'!AS17*EF!$H30)*kgtoGg)</f>
        <v>21.566845728123951</v>
      </c>
      <c r="AA1405" s="28">
        <f>IF(('Activity data'!AT17*EF!$H30)*kgtoGg=0,"NO",('Activity data'!AT17*EF!$H30)*kgtoGg)</f>
        <v>22.030719235951583</v>
      </c>
      <c r="AB1405" s="28">
        <f>IF(('Activity data'!AU17*EF!$H30)*kgtoGg=0,"NO",('Activity data'!AU17*EF!$H30)*kgtoGg)</f>
        <v>22.598880859175789</v>
      </c>
      <c r="AC1405" s="28">
        <f>IF(('Activity data'!AV17*EF!$H30)*kgtoGg=0,"NO",('Activity data'!AV17*EF!$H30)*kgtoGg)</f>
        <v>23.294180025092402</v>
      </c>
      <c r="AD1405" s="28">
        <f>IF(('Activity data'!AW17*EF!$H30)*kgtoGg=0,"NO",('Activity data'!AW17*EF!$H30)*kgtoGg)</f>
        <v>23.952313754534117</v>
      </c>
      <c r="AE1405" s="28">
        <f>IF(('Activity data'!AX17*EF!$H30)*kgtoGg=0,"NO",('Activity data'!AX17*EF!$H30)*kgtoGg)</f>
        <v>24.63728573195543</v>
      </c>
      <c r="AF1405" s="28">
        <f>IF(('Activity data'!AY17*EF!$H30)*kgtoGg=0,"NO",('Activity data'!AY17*EF!$H30)*kgtoGg)</f>
        <v>25.326274059281189</v>
      </c>
      <c r="AG1405" s="28">
        <f>IF(('Activity data'!AZ17*EF!$H30)*kgtoGg=0,"NO",('Activity data'!AZ17*EF!$H30)*kgtoGg)</f>
        <v>26.11204960463073</v>
      </c>
      <c r="AH1405" s="28">
        <f>IF(('Activity data'!BA17*EF!$H30)*kgtoGg=0,"NO",('Activity data'!BA17*EF!$H30)*kgtoGg)</f>
        <v>26.749101858001481</v>
      </c>
      <c r="AI1405" s="28">
        <f>IF(('Activity data'!BB17*EF!$H30)*kgtoGg=0,"NO",('Activity data'!BB17*EF!$H30)*kgtoGg)</f>
        <v>27.431724876299679</v>
      </c>
      <c r="AJ1405" s="28">
        <f>IF(('Activity data'!BC17*EF!$H30)*kgtoGg=0,"NO",('Activity data'!BC17*EF!$H30)*kgtoGg)</f>
        <v>28.114476864503132</v>
      </c>
      <c r="AK1405" s="28">
        <f>IF(('Activity data'!BD17*EF!$H30)*kgtoGg=0,"NO",('Activity data'!BD17*EF!$H30)*kgtoGg)</f>
        <v>28.734138944489672</v>
      </c>
      <c r="AL1405" s="28">
        <f>IF(('Activity data'!BE17*EF!$H30)*kgtoGg=0,"NO",('Activity data'!BE17*EF!$H30)*kgtoGg)</f>
        <v>29.334581793903347</v>
      </c>
      <c r="AM1405" s="28">
        <f>IF(('Activity data'!BF17*EF!$H30)*kgtoGg=0,"NO",('Activity data'!BF17*EF!$H30)*kgtoGg)</f>
        <v>29.953628904341453</v>
      </c>
      <c r="AN1405" s="28">
        <f>IF(('Activity data'!BG17*EF!$H30)*kgtoGg=0,"NO",('Activity data'!BG17*EF!$H30)*kgtoGg)</f>
        <v>30.608088379613569</v>
      </c>
      <c r="AO1405" s="28">
        <f>IF(('Activity data'!BH17*EF!$H30)*kgtoGg=0,"NO",('Activity data'!BH17*EF!$H30)*kgtoGg)</f>
        <v>31.183489146008849</v>
      </c>
      <c r="AP1405" s="28">
        <f>IF(('Activity data'!BI17*EF!$H30)*kgtoGg=0,"NO",('Activity data'!BI17*EF!$H30)*kgtoGg)</f>
        <v>31.754697438156203</v>
      </c>
      <c r="AQ1405" s="28">
        <f>IF(('Activity data'!BJ17*EF!$H30)*kgtoGg=0,"NO",('Activity data'!BJ17*EF!$H30)*kgtoGg)</f>
        <v>32.323232018651169</v>
      </c>
      <c r="AR1405" s="28">
        <f>IF(('Activity data'!BK17*EF!$H30)*kgtoGg=0,"NO",('Activity data'!BK17*EF!$H30)*kgtoGg)</f>
        <v>32.939289105942862</v>
      </c>
      <c r="AS1405" s="28">
        <f>IF(('Activity data'!BL17*EF!$H30)*kgtoGg=0,"NO",('Activity data'!BL17*EF!$H30)*kgtoGg)</f>
        <v>33.564283425055578</v>
      </c>
      <c r="AT1405" s="28">
        <f>IF(('Activity data'!BM17*EF!$H30)*kgtoGg=0,"NO",('Activity data'!BM17*EF!$H30)*kgtoGg)</f>
        <v>33.710416184198159</v>
      </c>
      <c r="AU1405" s="28">
        <f>IF(('Activity data'!BN17*EF!$H30)*kgtoGg=0,"NO",('Activity data'!BN17*EF!$H30)*kgtoGg)</f>
        <v>33.816346670611303</v>
      </c>
      <c r="AV1405" s="28">
        <f>IF(('Activity data'!BO17*EF!$H30)*kgtoGg=0,"NO",('Activity data'!BO17*EF!$H30)*kgtoGg)</f>
        <v>33.97537205277176</v>
      </c>
      <c r="AW1405" s="28">
        <f>IF(('Activity data'!BP17*EF!$H30)*kgtoGg=0,"NO",('Activity data'!BP17*EF!$H30)*kgtoGg)</f>
        <v>34.099539307658524</v>
      </c>
    </row>
    <row r="1406" spans="1:49" x14ac:dyDescent="0.25">
      <c r="A1406" s="102" t="s">
        <v>961</v>
      </c>
      <c r="B1406" s="102"/>
      <c r="C1406" s="102"/>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8">
        <f>IF(('Activity data'!AD18*EF!$H31)*kgtoGg=0,"NO",('Activity data'!AD18*EF!$H31)*kgtoGg)</f>
        <v>7.8242315709845453E-2</v>
      </c>
      <c r="L1406" s="28">
        <f>IF(('Activity data'!AE18*EF!$H31)*kgtoGg=0,"NO",('Activity data'!AE18*EF!$H31)*kgtoGg)</f>
        <v>7.8104031493402004E-2</v>
      </c>
      <c r="M1406" s="28">
        <f>IF(('Activity data'!AF18*EF!$H31)*kgtoGg=0,"NO",('Activity data'!AF18*EF!$H31)*kgtoGg)</f>
        <v>7.7665827010763841E-2</v>
      </c>
      <c r="N1406" s="28">
        <f>IF(('Activity data'!AG18*EF!$H31)*kgtoGg=0,"NO",('Activity data'!AG18*EF!$H31)*kgtoGg)</f>
        <v>7.5952031229919295E-2</v>
      </c>
      <c r="O1406" s="28">
        <f>IF(('Activity data'!AH18*EF!$H31)*kgtoGg=0,"NO",('Activity data'!AH18*EF!$H31)*kgtoGg)</f>
        <v>7.4331360286072609E-2</v>
      </c>
      <c r="P1406" s="28">
        <f>IF(('Activity data'!AI18*EF!$H31)*kgtoGg=0,"NO",('Activity data'!AI18*EF!$H31)*kgtoGg)</f>
        <v>7.4069780544722574E-2</v>
      </c>
      <c r="Q1406" s="28">
        <f>IF(('Activity data'!AJ18*EF!$H31)*kgtoGg=0,"NO",('Activity data'!AJ18*EF!$H31)*kgtoGg)</f>
        <v>7.343479182129313E-2</v>
      </c>
      <c r="R1406" s="28">
        <f>IF(('Activity data'!AK18*EF!$H31)*kgtoGg=0,"NO",('Activity data'!AK18*EF!$H31)*kgtoGg)</f>
        <v>7.1479069968441278E-2</v>
      </c>
      <c r="S1406" s="28">
        <f>IF(('Activity data'!AL18*EF!$H31)*kgtoGg=0,"NO",('Activity data'!AL18*EF!$H31)*kgtoGg)</f>
        <v>6.3756023202968359E-2</v>
      </c>
      <c r="T1406" s="28">
        <f>IF(('Activity data'!AM18*EF!$H31)*kgtoGg=0,"NO",('Activity data'!AM18*EF!$H31)*kgtoGg)</f>
        <v>6.5127454308207822E-2</v>
      </c>
      <c r="U1406" s="28">
        <f>IF(('Activity data'!AN18*EF!$H31)*kgtoGg=0,"NO",('Activity data'!AN18*EF!$H31)*kgtoGg)</f>
        <v>6.5758973531256606E-2</v>
      </c>
      <c r="V1406" s="28">
        <f>IF(('Activity data'!AO18*EF!$H31)*kgtoGg=0,"NO",('Activity data'!AO18*EF!$H31)*kgtoGg)</f>
        <v>6.6218914311650043E-2</v>
      </c>
      <c r="W1406" s="28">
        <f>IF(('Activity data'!AP18*EF!$H31)*kgtoGg=0,"NO",('Activity data'!AP18*EF!$H31)*kgtoGg)</f>
        <v>6.6925047342929228E-2</v>
      </c>
      <c r="X1406" s="28">
        <f>IF(('Activity data'!AQ18*EF!$H31)*kgtoGg=0,"NO",('Activity data'!AQ18*EF!$H31)*kgtoGg)</f>
        <v>6.8493155616464185E-2</v>
      </c>
      <c r="Y1406" s="28">
        <f>IF(('Activity data'!AR18*EF!$H31)*kgtoGg=0,"NO",('Activity data'!AR18*EF!$H31)*kgtoGg)</f>
        <v>7.0257974114907237E-2</v>
      </c>
      <c r="Z1406" s="28">
        <f>IF(('Activity data'!AS18*EF!$H31)*kgtoGg=0,"NO",('Activity data'!AS18*EF!$H31)*kgtoGg)</f>
        <v>7.2200002258099263E-2</v>
      </c>
      <c r="AA1406" s="28">
        <f>IF(('Activity data'!AT18*EF!$H31)*kgtoGg=0,"NO",('Activity data'!AT18*EF!$H31)*kgtoGg)</f>
        <v>7.3752926071568817E-2</v>
      </c>
      <c r="AB1406" s="28">
        <f>IF(('Activity data'!AU18*EF!$H31)*kgtoGg=0,"NO",('Activity data'!AU18*EF!$H31)*kgtoGg)</f>
        <v>7.5654978462394759E-2</v>
      </c>
      <c r="AC1406" s="28">
        <f>IF(('Activity data'!AV18*EF!$H31)*kgtoGg=0,"NO",('Activity data'!AV18*EF!$H31)*kgtoGg)</f>
        <v>7.7982653171161778E-2</v>
      </c>
      <c r="AD1406" s="28">
        <f>IF(('Activity data'!AW18*EF!$H31)*kgtoGg=0,"NO",('Activity data'!AW18*EF!$H31)*kgtoGg)</f>
        <v>8.0185907988803429E-2</v>
      </c>
      <c r="AE1406" s="28">
        <f>IF(('Activity data'!AX18*EF!$H31)*kgtoGg=0,"NO",('Activity data'!AX18*EF!$H31)*kgtoGg)</f>
        <v>8.247901004647068E-2</v>
      </c>
      <c r="AF1406" s="28">
        <f>IF(('Activity data'!AY18*EF!$H31)*kgtoGg=0,"NO",('Activity data'!AY18*EF!$H31)*kgtoGg)</f>
        <v>8.4785557764009881E-2</v>
      </c>
      <c r="AG1406" s="28">
        <f>IF(('Activity data'!AZ18*EF!$H31)*kgtoGg=0,"NO",('Activity data'!AZ18*EF!$H31)*kgtoGg)</f>
        <v>8.7416123070767446E-2</v>
      </c>
      <c r="AH1406" s="28">
        <f>IF(('Activity data'!BA18*EF!$H31)*kgtoGg=0,"NO",('Activity data'!BA18*EF!$H31)*kgtoGg)</f>
        <v>8.9548802773294175E-2</v>
      </c>
      <c r="AI1406" s="28">
        <f>IF(('Activity data'!BB18*EF!$H31)*kgtoGg=0,"NO",('Activity data'!BB18*EF!$H31)*kgtoGg)</f>
        <v>9.1834041147225251E-2</v>
      </c>
      <c r="AJ1406" s="28">
        <f>IF(('Activity data'!BC18*EF!$H31)*kgtoGg=0,"NO",('Activity data'!BC18*EF!$H31)*kgtoGg)</f>
        <v>9.4119711277731624E-2</v>
      </c>
      <c r="AK1406" s="28">
        <f>IF(('Activity data'!BD18*EF!$H31)*kgtoGg=0,"NO",('Activity data'!BD18*EF!$H31)*kgtoGg)</f>
        <v>9.6194173354304288E-2</v>
      </c>
      <c r="AL1406" s="28">
        <f>IF(('Activity data'!BE18*EF!$H31)*kgtoGg=0,"NO",('Activity data'!BE18*EF!$H31)*kgtoGg)</f>
        <v>9.820429461311192E-2</v>
      </c>
      <c r="AM1406" s="28">
        <f>IF(('Activity data'!BF18*EF!$H31)*kgtoGg=0,"NO",('Activity data'!BF18*EF!$H31)*kgtoGg)</f>
        <v>0.10027669793694233</v>
      </c>
      <c r="AN1406" s="28">
        <f>IF(('Activity data'!BG18*EF!$H31)*kgtoGg=0,"NO",('Activity data'!BG18*EF!$H31)*kgtoGg)</f>
        <v>0.10246765233927585</v>
      </c>
      <c r="AO1406" s="28">
        <f>IF(('Activity data'!BH18*EF!$H31)*kgtoGg=0,"NO",('Activity data'!BH18*EF!$H31)*kgtoGg)</f>
        <v>0.10439393943553288</v>
      </c>
      <c r="AP1406" s="28">
        <f>IF(('Activity data'!BI18*EF!$H31)*kgtoGg=0,"NO",('Activity data'!BI18*EF!$H31)*kgtoGg)</f>
        <v>0.10630619125495884</v>
      </c>
      <c r="AQ1406" s="28">
        <f>IF(('Activity data'!BJ18*EF!$H31)*kgtoGg=0,"NO",('Activity data'!BJ18*EF!$H31)*kgtoGg)</f>
        <v>0.10820949220647513</v>
      </c>
      <c r="AR1406" s="28">
        <f>IF(('Activity data'!BK18*EF!$H31)*kgtoGg=0,"NO",('Activity data'!BK18*EF!$H31)*kgtoGg)</f>
        <v>0.1102718857365395</v>
      </c>
      <c r="AS1406" s="28">
        <f>IF(('Activity data'!BL18*EF!$H31)*kgtoGg=0,"NO",('Activity data'!BL18*EF!$H31)*kgtoGg)</f>
        <v>0.11236419871638305</v>
      </c>
      <c r="AT1406" s="28">
        <f>IF(('Activity data'!BM18*EF!$H31)*kgtoGg=0,"NO",('Activity data'!BM18*EF!$H31)*kgtoGg)</f>
        <v>0.11285341191302209</v>
      </c>
      <c r="AU1406" s="28">
        <f>IF(('Activity data'!BN18*EF!$H31)*kgtoGg=0,"NO",('Activity data'!BN18*EF!$H31)*kgtoGg)</f>
        <v>0.11320803870706722</v>
      </c>
      <c r="AV1406" s="28">
        <f>IF(('Activity data'!BO18*EF!$H31)*kgtoGg=0,"NO",('Activity data'!BO18*EF!$H31)*kgtoGg)</f>
        <v>0.11374041293999027</v>
      </c>
      <c r="AW1406" s="28">
        <f>IF(('Activity data'!BP18*EF!$H31)*kgtoGg=0,"NO",('Activity data'!BP18*EF!$H31)*kgtoGg)</f>
        <v>0.11415609153278124</v>
      </c>
    </row>
    <row r="1407" spans="1:49" x14ac:dyDescent="0.25">
      <c r="A1407" s="102" t="s">
        <v>961</v>
      </c>
      <c r="B1407" s="102"/>
      <c r="C1407" s="102"/>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8">
        <f>IF(('Activity data'!AD19*EF!$H32)*kgtoGg=0,"NO",('Activity data'!AD19*EF!$H32)*kgtoGg)</f>
        <v>0.55747442882718667</v>
      </c>
      <c r="L1407" s="28">
        <f>IF(('Activity data'!AE19*EF!$H32)*kgtoGg=0,"NO",('Activity data'!AE19*EF!$H32)*kgtoGg)</f>
        <v>0.57000466235661118</v>
      </c>
      <c r="M1407" s="28">
        <f>IF(('Activity data'!AF19*EF!$H32)*kgtoGg=0,"NO",('Activity data'!AF19*EF!$H32)*kgtoGg)</f>
        <v>0.58133812133078289</v>
      </c>
      <c r="N1407" s="28">
        <f>IF(('Activity data'!AG19*EF!$H32)*kgtoGg=0,"NO",('Activity data'!AG19*EF!$H32)*kgtoGg)</f>
        <v>0.58718909348293968</v>
      </c>
      <c r="O1407" s="28">
        <f>IF(('Activity data'!AH19*EF!$H32)*kgtoGg=0,"NO",('Activity data'!AH19*EF!$H32)*kgtoGg)</f>
        <v>0.59320136752099994</v>
      </c>
      <c r="P1407" s="28">
        <f>IF(('Activity data'!AI19*EF!$H32)*kgtoGg=0,"NO",('Activity data'!AI19*EF!$H32)*kgtoGg)</f>
        <v>0.60517178839490071</v>
      </c>
      <c r="Q1407" s="28">
        <f>IF(('Activity data'!AJ19*EF!$H32)*kgtoGg=0,"NO",('Activity data'!AJ19*EF!$H32)*kgtoGg)</f>
        <v>0.61540759790167998</v>
      </c>
      <c r="R1407" s="28">
        <f>IF(('Activity data'!AK19*EF!$H32)*kgtoGg=0,"NO",('Activity data'!AK19*EF!$H32)*kgtoGg)</f>
        <v>0.61929285714109983</v>
      </c>
      <c r="S1407" s="28">
        <f>IF(('Activity data'!AL19*EF!$H32)*kgtoGg=0,"NO",('Activity data'!AL19*EF!$H32)*kgtoGg)</f>
        <v>0.59469792033381752</v>
      </c>
      <c r="T1407" s="28">
        <f>IF(('Activity data'!AM19*EF!$H32)*kgtoGg=0,"NO",('Activity data'!AM19*EF!$H32)*kgtoGg)</f>
        <v>0.6123961678050206</v>
      </c>
      <c r="U1407" s="28">
        <f>IF(('Activity data'!AN19*EF!$H32)*kgtoGg=0,"NO",('Activity data'!AN19*EF!$H32)*kgtoGg)</f>
        <v>0.62670000214524924</v>
      </c>
      <c r="V1407" s="28">
        <f>IF(('Activity data'!AO19*EF!$H32)*kgtoGg=0,"NO",('Activity data'!AO19*EF!$H32)*kgtoGg)</f>
        <v>0.64033072034628857</v>
      </c>
      <c r="W1407" s="28">
        <f>IF(('Activity data'!AP19*EF!$H32)*kgtoGg=0,"NO",('Activity data'!AP19*EF!$H32)*kgtoGg)</f>
        <v>0.65546604439463374</v>
      </c>
      <c r="X1407" s="28">
        <f>IF(('Activity data'!AQ19*EF!$H32)*kgtoGg=0,"NO",('Activity data'!AQ19*EF!$H32)*kgtoGg)</f>
        <v>0.67555681395741984</v>
      </c>
      <c r="Y1407" s="28">
        <f>IF(('Activity data'!AR19*EF!$H32)*kgtoGg=0,"NO",('Activity data'!AR19*EF!$H32)*kgtoGg)</f>
        <v>0.69665833659280063</v>
      </c>
      <c r="Z1407" s="28">
        <f>IF(('Activity data'!AS19*EF!$H32)*kgtoGg=0,"NO",('Activity data'!AS19*EF!$H32)*kgtoGg)</f>
        <v>0.7192776675745407</v>
      </c>
      <c r="AA1407" s="28">
        <f>IF(('Activity data'!AT19*EF!$H32)*kgtoGg=0,"NO",('Activity data'!AT19*EF!$H32)*kgtoGg)</f>
        <v>0.74020059701318874</v>
      </c>
      <c r="AB1407" s="28">
        <f>IF(('Activity data'!AU19*EF!$H32)*kgtoGg=0,"NO",('Activity data'!AU19*EF!$H32)*kgtoGg)</f>
        <v>0.7636741686553643</v>
      </c>
      <c r="AC1407" s="28">
        <f>IF(('Activity data'!AV19*EF!$H32)*kgtoGg=0,"NO",('Activity data'!AV19*EF!$H32)*kgtoGg)</f>
        <v>0.79029892011866243</v>
      </c>
      <c r="AD1407" s="28">
        <f>IF(('Activity data'!AW19*EF!$H32)*kgtoGg=0,"NO",('Activity data'!AW19*EF!$H32)*kgtoGg)</f>
        <v>0.81639549054517768</v>
      </c>
      <c r="AE1407" s="28">
        <f>IF(('Activity data'!AX19*EF!$H32)*kgtoGg=0,"NO",('Activity data'!AX19*EF!$H32)*kgtoGg)</f>
        <v>0.84372718721281392</v>
      </c>
      <c r="AF1407" s="28">
        <f>IF(('Activity data'!AY19*EF!$H32)*kgtoGg=0,"NO",('Activity data'!AY19*EF!$H32)*kgtoGg)</f>
        <v>0.87185215188264154</v>
      </c>
      <c r="AG1407" s="28">
        <f>IF(('Activity data'!AZ19*EF!$H32)*kgtoGg=0,"NO",('Activity data'!AZ19*EF!$H32)*kgtoGg)</f>
        <v>0.90282405951998446</v>
      </c>
      <c r="AH1407" s="28">
        <f>IF(('Activity data'!BA19*EF!$H32)*kgtoGg=0,"NO",('Activity data'!BA19*EF!$H32)*kgtoGg)</f>
        <v>0.93129930364506475</v>
      </c>
      <c r="AI1407" s="28">
        <f>IF(('Activity data'!BB19*EF!$H32)*kgtoGg=0,"NO",('Activity data'!BB19*EF!$H32)*kgtoGg)</f>
        <v>0.96108950462978437</v>
      </c>
      <c r="AJ1407" s="28">
        <f>IF(('Activity data'!BC19*EF!$H32)*kgtoGg=0,"NO",('Activity data'!BC19*EF!$H32)*kgtoGg)</f>
        <v>0.99164854163197635</v>
      </c>
      <c r="AK1407" s="28">
        <f>IF(('Activity data'!BD19*EF!$H32)*kgtoGg=0,"NO",('Activity data'!BD19*EF!$H32)*kgtoGg)</f>
        <v>1.0214996622641284</v>
      </c>
      <c r="AL1407" s="28">
        <f>IF(('Activity data'!BE19*EF!$H32)*kgtoGg=0,"NO",('Activity data'!BE19*EF!$H32)*kgtoGg)</f>
        <v>1.0516345292230644</v>
      </c>
      <c r="AM1407" s="28">
        <f>IF(('Activity data'!BF19*EF!$H32)*kgtoGg=0,"NO",('Activity data'!BF19*EF!$H32)*kgtoGg)</f>
        <v>1.0829748845958596</v>
      </c>
      <c r="AN1407" s="28">
        <f>IF(('Activity data'!BG19*EF!$H32)*kgtoGg=0,"NO",('Activity data'!BG19*EF!$H32)*kgtoGg)</f>
        <v>1.1155704742631816</v>
      </c>
      <c r="AO1407" s="28">
        <f>IF(('Activity data'!BH19*EF!$H32)*kgtoGg=0,"NO",('Activity data'!BH19*EF!$H32)*kgtoGg)</f>
        <v>1.1469836186626363</v>
      </c>
      <c r="AP1407" s="28">
        <f>IF(('Activity data'!BI19*EF!$H32)*kgtoGg=0,"NO",('Activity data'!BI19*EF!$H32)*kgtoGg)</f>
        <v>1.1790678557525369</v>
      </c>
      <c r="AQ1407" s="28">
        <f>IF(('Activity data'!BJ19*EF!$H32)*kgtoGg=0,"NO",('Activity data'!BJ19*EF!$H32)*kgtoGg)</f>
        <v>1.2118785602379014</v>
      </c>
      <c r="AR1407" s="28">
        <f>IF(('Activity data'!BK19*EF!$H32)*kgtoGg=0,"NO",('Activity data'!BK19*EF!$H32)*kgtoGg)</f>
        <v>1.246786730113024</v>
      </c>
      <c r="AS1407" s="28">
        <f>IF(('Activity data'!BL19*EF!$H32)*kgtoGg=0,"NO",('Activity data'!BL19*EF!$H32)*kgtoGg)</f>
        <v>1.2823996493212451</v>
      </c>
      <c r="AT1407" s="28">
        <f>IF(('Activity data'!BM19*EF!$H32)*kgtoGg=0,"NO",('Activity data'!BM19*EF!$H32)*kgtoGg)</f>
        <v>1.3055397260898673</v>
      </c>
      <c r="AU1407" s="28">
        <f>IF(('Activity data'!BN19*EF!$H32)*kgtoGg=0,"NO",('Activity data'!BN19*EF!$H32)*kgtoGg)</f>
        <v>1.3279825002684047</v>
      </c>
      <c r="AV1407" s="28">
        <f>IF(('Activity data'!BO19*EF!$H32)*kgtoGg=0,"NO",('Activity data'!BO19*EF!$H32)*kgtoGg)</f>
        <v>1.3523851767933999</v>
      </c>
      <c r="AW1407" s="28">
        <f>IF(('Activity data'!BP19*EF!$H32)*kgtoGg=0,"NO",('Activity data'!BP19*EF!$H32)*kgtoGg)</f>
        <v>1.3762491253290834</v>
      </c>
    </row>
    <row r="1408" spans="1:49" x14ac:dyDescent="0.25">
      <c r="A1408" s="102" t="s">
        <v>961</v>
      </c>
      <c r="B1408" s="102"/>
      <c r="C1408" s="102"/>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8">
        <f>IF(('Activity data'!AD20*EF!$H33)*kgtoGg=0,"NO",('Activity data'!AD20*EF!$H33)*kgtoGg)</f>
        <v>2.2247786627421906</v>
      </c>
      <c r="L1408" s="28">
        <f>IF(('Activity data'!AE20*EF!$H33)*kgtoGg=0,"NO",('Activity data'!AE20*EF!$H33)*kgtoGg)</f>
        <v>2.2660704090846675</v>
      </c>
      <c r="M1408" s="28">
        <f>IF(('Activity data'!AF20*EF!$H33)*kgtoGg=0,"NO",('Activity data'!AF20*EF!$H33)*kgtoGg)</f>
        <v>2.2931151480493956</v>
      </c>
      <c r="N1408" s="28">
        <f>IF(('Activity data'!AG20*EF!$H33)*kgtoGg=0,"NO",('Activity data'!AG20*EF!$H33)*kgtoGg)</f>
        <v>2.263369089113628</v>
      </c>
      <c r="O1408" s="28">
        <f>IF(('Activity data'!AH20*EF!$H33)*kgtoGg=0,"NO",('Activity data'!AH20*EF!$H33)*kgtoGg)</f>
        <v>2.2345214699411633</v>
      </c>
      <c r="P1408" s="28">
        <f>IF(('Activity data'!AI20*EF!$H33)*kgtoGg=0,"NO",('Activity data'!AI20*EF!$H33)*kgtoGg)</f>
        <v>2.2631068961220624</v>
      </c>
      <c r="Q1408" s="28">
        <f>IF(('Activity data'!AJ20*EF!$H33)*kgtoGg=0,"NO",('Activity data'!AJ20*EF!$H33)*kgtoGg)</f>
        <v>2.2741216722530595</v>
      </c>
      <c r="R1408" s="28">
        <f>IF(('Activity data'!AK20*EF!$H33)*kgtoGg=0,"NO",('Activity data'!AK20*EF!$H33)*kgtoGg)</f>
        <v>2.2236230251769533</v>
      </c>
      <c r="S1408" s="28">
        <f>IF(('Activity data'!AL20*EF!$H33)*kgtoGg=0,"NO",('Activity data'!AL20*EF!$H33)*kgtoGg)</f>
        <v>1.9032751826814061</v>
      </c>
      <c r="T1408" s="28">
        <f>IF(('Activity data'!AM20*EF!$H33)*kgtoGg=0,"NO",('Activity data'!AM20*EF!$H33)*kgtoGg)</f>
        <v>2.0050045794652438</v>
      </c>
      <c r="U1408" s="28">
        <f>IF(('Activity data'!AN20*EF!$H33)*kgtoGg=0,"NO",('Activity data'!AN20*EF!$H33)*kgtoGg)</f>
        <v>2.0731097774643854</v>
      </c>
      <c r="V1408" s="28">
        <f>IF(('Activity data'!AO20*EF!$H33)*kgtoGg=0,"NO",('Activity data'!AO20*EF!$H33)*kgtoGg)</f>
        <v>2.1336466102427849</v>
      </c>
      <c r="W1408" s="28">
        <f>IF(('Activity data'!AP20*EF!$H33)*kgtoGg=0,"NO",('Activity data'!AP20*EF!$H33)*kgtoGg)</f>
        <v>2.2067504039451395</v>
      </c>
      <c r="X1408" s="28">
        <f>IF(('Activity data'!AQ20*EF!$H33)*kgtoGg=0,"NO",('Activity data'!AQ20*EF!$H33)*kgtoGg)</f>
        <v>2.3234221592291906</v>
      </c>
      <c r="Y1408" s="28">
        <f>IF(('Activity data'!AR20*EF!$H33)*kgtoGg=0,"NO",('Activity data'!AR20*EF!$H33)*kgtoGg)</f>
        <v>2.453906612866656</v>
      </c>
      <c r="Z1408" s="28">
        <f>IF(('Activity data'!AS20*EF!$H33)*kgtoGg=0,"NO",('Activity data'!AS20*EF!$H33)*kgtoGg)</f>
        <v>2.5958043881375255</v>
      </c>
      <c r="AA1408" s="28">
        <f>IF(('Activity data'!AT20*EF!$H33)*kgtoGg=0,"NO",('Activity data'!AT20*EF!$H33)*kgtoGg)</f>
        <v>2.7204030410253512</v>
      </c>
      <c r="AB1408" s="28">
        <f>IF(('Activity data'!AU20*EF!$H33)*kgtoGg=0,"NO",('Activity data'!AU20*EF!$H33)*kgtoGg)</f>
        <v>2.8654695762209732</v>
      </c>
      <c r="AC1408" s="28">
        <f>IF(('Activity data'!AV20*EF!$H33)*kgtoGg=0,"NO",('Activity data'!AV20*EF!$H33)*kgtoGg)</f>
        <v>3.0358111573505431</v>
      </c>
      <c r="AD1408" s="28">
        <f>IF(('Activity data'!AW20*EF!$H33)*kgtoGg=0,"NO",('Activity data'!AW20*EF!$H33)*kgtoGg)</f>
        <v>3.2044547295521539</v>
      </c>
      <c r="AE1408" s="28">
        <f>IF(('Activity data'!AX20*EF!$H33)*kgtoGg=0,"NO",('Activity data'!AX20*EF!$H33)*kgtoGg)</f>
        <v>3.3813518114103016</v>
      </c>
      <c r="AF1408" s="28">
        <f>IF(('Activity data'!AY20*EF!$H33)*kgtoGg=0,"NO",('Activity data'!AY20*EF!$H33)*kgtoGg)</f>
        <v>3.5625886999419771</v>
      </c>
      <c r="AG1408" s="28">
        <f>IF(('Activity data'!AZ20*EF!$H33)*kgtoGg=0,"NO",('Activity data'!AZ20*EF!$H33)*kgtoGg)</f>
        <v>3.7655312365602969</v>
      </c>
      <c r="AH1408" s="28">
        <f>IF(('Activity data'!BA20*EF!$H33)*kgtoGg=0,"NO",('Activity data'!BA20*EF!$H33)*kgtoGg)</f>
        <v>3.9447479907962553</v>
      </c>
      <c r="AI1408" s="28">
        <f>IF(('Activity data'!BB20*EF!$H33)*kgtoGg=0,"NO",('Activity data'!BB20*EF!$H33)*kgtoGg)</f>
        <v>4.137705183266208</v>
      </c>
      <c r="AJ1408" s="28">
        <f>IF(('Activity data'!BC20*EF!$H33)*kgtoGg=0,"NO",('Activity data'!BC20*EF!$H33)*kgtoGg)</f>
        <v>4.3346785117208917</v>
      </c>
      <c r="AK1408" s="28">
        <f>IF(('Activity data'!BD20*EF!$H33)*kgtoGg=0,"NO",('Activity data'!BD20*EF!$H33)*kgtoGg)</f>
        <v>4.5234159579201654</v>
      </c>
      <c r="AL1408" s="28">
        <f>IF(('Activity data'!BE20*EF!$H33)*kgtoGg=0,"NO",('Activity data'!BE20*EF!$H33)*kgtoGg)</f>
        <v>4.7122444809677875</v>
      </c>
      <c r="AM1408" s="28">
        <f>IF(('Activity data'!BF20*EF!$H33)*kgtoGg=0,"NO",('Activity data'!BF20*EF!$H33)*kgtoGg)</f>
        <v>4.9087124214298683</v>
      </c>
      <c r="AN1408" s="28">
        <f>IF(('Activity data'!BG20*EF!$H33)*kgtoGg=0,"NO",('Activity data'!BG20*EF!$H33)*kgtoGg)</f>
        <v>5.1177627309781579</v>
      </c>
      <c r="AO1408" s="28">
        <f>IF(('Activity data'!BH20*EF!$H33)*kgtoGg=0,"NO",('Activity data'!BH20*EF!$H33)*kgtoGg)</f>
        <v>5.3149689082675069</v>
      </c>
      <c r="AP1408" s="28">
        <f>IF(('Activity data'!BI20*EF!$H33)*kgtoGg=0,"NO",('Activity data'!BI20*EF!$H33)*kgtoGg)</f>
        <v>5.5154282999919104</v>
      </c>
      <c r="AQ1408" s="28">
        <f>IF(('Activity data'!BJ20*EF!$H33)*kgtoGg=0,"NO",('Activity data'!BJ20*EF!$H33)*kgtoGg)</f>
        <v>5.7195487127572893</v>
      </c>
      <c r="AR1408" s="28">
        <f>IF(('Activity data'!BK20*EF!$H33)*kgtoGg=0,"NO",('Activity data'!BK20*EF!$H33)*kgtoGg)</f>
        <v>5.93816190134776</v>
      </c>
      <c r="AS1408" s="28">
        <f>IF(('Activity data'!BL20*EF!$H33)*kgtoGg=0,"NO",('Activity data'!BL20*EF!$H33)*kgtoGg)</f>
        <v>6.1647117891186287</v>
      </c>
      <c r="AT1408" s="28">
        <f>IF(('Activity data'!BM20*EF!$H33)*kgtoGg=0,"NO",('Activity data'!BM20*EF!$H33)*kgtoGg)</f>
        <v>6.2911645282791966</v>
      </c>
      <c r="AU1408" s="28">
        <f>IF(('Activity data'!BN20*EF!$H33)*kgtoGg=0,"NO",('Activity data'!BN20*EF!$H33)*kgtoGg)</f>
        <v>6.4110178863707459</v>
      </c>
      <c r="AV1408" s="28">
        <f>IF(('Activity data'!BO20*EF!$H33)*kgtoGg=0,"NO",('Activity data'!BO20*EF!$H33)*kgtoGg)</f>
        <v>6.5450035893341036</v>
      </c>
      <c r="AW1408" s="28">
        <f>IF(('Activity data'!BP20*EF!$H33)*kgtoGg=0,"NO",('Activity data'!BP20*EF!$H33)*kgtoGg)</f>
        <v>6.6736178617827129</v>
      </c>
    </row>
    <row r="1409" spans="1:49" x14ac:dyDescent="0.25">
      <c r="A1409" s="102" t="s">
        <v>961</v>
      </c>
      <c r="B1409" s="102"/>
      <c r="C1409" s="102"/>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8">
        <f>IF(('Activity data'!AD21*EF!$H34)*kgtoGg=0,"NO",('Activity data'!AD21*EF!$H34)*kgtoGg)</f>
        <v>2.3228101201132799E-2</v>
      </c>
      <c r="L1409" s="28">
        <f>IF(('Activity data'!AE21*EF!$H34)*kgtoGg=0,"NO",('Activity data'!AE21*EF!$H34)*kgtoGg)</f>
        <v>2.3750194264858821E-2</v>
      </c>
      <c r="M1409" s="28">
        <f>IF(('Activity data'!AF21*EF!$H34)*kgtoGg=0,"NO",('Activity data'!AF21*EF!$H34)*kgtoGg)</f>
        <v>2.4222421722115972E-2</v>
      </c>
      <c r="N1409" s="28">
        <f>IF(('Activity data'!AG21*EF!$H34)*kgtoGg=0,"NO",('Activity data'!AG21*EF!$H34)*kgtoGg)</f>
        <v>2.4466212228455842E-2</v>
      </c>
      <c r="O1409" s="28">
        <f>IF(('Activity data'!AH21*EF!$H34)*kgtoGg=0,"NO",('Activity data'!AH21*EF!$H34)*kgtoGg)</f>
        <v>2.4716723646708353E-2</v>
      </c>
      <c r="P1409" s="28">
        <f>IF(('Activity data'!AI21*EF!$H34)*kgtoGg=0,"NO",('Activity data'!AI21*EF!$H34)*kgtoGg)</f>
        <v>2.5215491183120883E-2</v>
      </c>
      <c r="Q1409" s="28">
        <f>IF(('Activity data'!AJ21*EF!$H34)*kgtoGg=0,"NO",('Activity data'!AJ21*EF!$H34)*kgtoGg)</f>
        <v>2.564198324590336E-2</v>
      </c>
      <c r="R1409" s="28">
        <f>IF(('Activity data'!AK21*EF!$H34)*kgtoGg=0,"NO",('Activity data'!AK21*EF!$H34)*kgtoGg)</f>
        <v>2.5803869047545849E-2</v>
      </c>
      <c r="S1409" s="28">
        <f>IF(('Activity data'!AL21*EF!$H34)*kgtoGg=0,"NO",('Activity data'!AL21*EF!$H34)*kgtoGg)</f>
        <v>2.4779080013909088E-2</v>
      </c>
      <c r="T1409" s="28">
        <f>IF(('Activity data'!AM21*EF!$H34)*kgtoGg=0,"NO",('Activity data'!AM21*EF!$H34)*kgtoGg)</f>
        <v>2.5516506991875881E-2</v>
      </c>
      <c r="U1409" s="28">
        <f>IF(('Activity data'!AN21*EF!$H34)*kgtoGg=0,"NO",('Activity data'!AN21*EF!$H34)*kgtoGg)</f>
        <v>2.6112500089385413E-2</v>
      </c>
      <c r="V1409" s="28">
        <f>IF(('Activity data'!AO21*EF!$H34)*kgtoGg=0,"NO",('Activity data'!AO21*EF!$H34)*kgtoGg)</f>
        <v>2.6680446681095382E-2</v>
      </c>
      <c r="W1409" s="28">
        <f>IF(('Activity data'!AP21*EF!$H34)*kgtoGg=0,"NO",('Activity data'!AP21*EF!$H34)*kgtoGg)</f>
        <v>2.7311085183109759E-2</v>
      </c>
      <c r="X1409" s="28">
        <f>IF(('Activity data'!AQ21*EF!$H34)*kgtoGg=0,"NO",('Activity data'!AQ21*EF!$H34)*kgtoGg)</f>
        <v>2.8148200581559191E-2</v>
      </c>
      <c r="Y1409" s="28">
        <f>IF(('Activity data'!AR21*EF!$H34)*kgtoGg=0,"NO",('Activity data'!AR21*EF!$H34)*kgtoGg)</f>
        <v>2.9027430691366724E-2</v>
      </c>
      <c r="Z1409" s="28">
        <f>IF(('Activity data'!AS21*EF!$H34)*kgtoGg=0,"NO",('Activity data'!AS21*EF!$H34)*kgtoGg)</f>
        <v>2.9969902815605892E-2</v>
      </c>
      <c r="AA1409" s="28">
        <f>IF(('Activity data'!AT21*EF!$H34)*kgtoGg=0,"NO",('Activity data'!AT21*EF!$H34)*kgtoGg)</f>
        <v>3.0841691542216221E-2</v>
      </c>
      <c r="AB1409" s="28">
        <f>IF(('Activity data'!AU21*EF!$H34)*kgtoGg=0,"NO",('Activity data'!AU21*EF!$H34)*kgtoGg)</f>
        <v>3.1819757027306869E-2</v>
      </c>
      <c r="AC1409" s="28">
        <f>IF(('Activity data'!AV21*EF!$H34)*kgtoGg=0,"NO",('Activity data'!AV21*EF!$H34)*kgtoGg)</f>
        <v>3.292912167161096E-2</v>
      </c>
      <c r="AD1409" s="28">
        <f>IF(('Activity data'!AW21*EF!$H34)*kgtoGg=0,"NO",('Activity data'!AW21*EF!$H34)*kgtoGg)</f>
        <v>3.4016478772715769E-2</v>
      </c>
      <c r="AE1409" s="28">
        <f>IF(('Activity data'!AX21*EF!$H34)*kgtoGg=0,"NO",('Activity data'!AX21*EF!$H34)*kgtoGg)</f>
        <v>3.5155299467200612E-2</v>
      </c>
      <c r="AF1409" s="28">
        <f>IF(('Activity data'!AY21*EF!$H34)*kgtoGg=0,"NO",('Activity data'!AY21*EF!$H34)*kgtoGg)</f>
        <v>3.6327172995110089E-2</v>
      </c>
      <c r="AG1409" s="28">
        <f>IF(('Activity data'!AZ21*EF!$H34)*kgtoGg=0,"NO",('Activity data'!AZ21*EF!$H34)*kgtoGg)</f>
        <v>3.7617669146666054E-2</v>
      </c>
      <c r="AH1409" s="28">
        <f>IF(('Activity data'!BA21*EF!$H34)*kgtoGg=0,"NO",('Activity data'!BA21*EF!$H34)*kgtoGg)</f>
        <v>3.8804137651877735E-2</v>
      </c>
      <c r="AI1409" s="28">
        <f>IF(('Activity data'!BB21*EF!$H34)*kgtoGg=0,"NO",('Activity data'!BB21*EF!$H34)*kgtoGg)</f>
        <v>4.0045396026241048E-2</v>
      </c>
      <c r="AJ1409" s="28">
        <f>IF(('Activity data'!BC21*EF!$H34)*kgtoGg=0,"NO",('Activity data'!BC21*EF!$H34)*kgtoGg)</f>
        <v>4.1318689234665709E-2</v>
      </c>
      <c r="AK1409" s="28">
        <f>IF(('Activity data'!BD21*EF!$H34)*kgtoGg=0,"NO",('Activity data'!BD21*EF!$H34)*kgtoGg)</f>
        <v>4.2562485927672068E-2</v>
      </c>
      <c r="AL1409" s="28">
        <f>IF(('Activity data'!BE21*EF!$H34)*kgtoGg=0,"NO",('Activity data'!BE21*EF!$H34)*kgtoGg)</f>
        <v>4.3818105384294391E-2</v>
      </c>
      <c r="AM1409" s="28">
        <f>IF(('Activity data'!BF21*EF!$H34)*kgtoGg=0,"NO",('Activity data'!BF21*EF!$H34)*kgtoGg)</f>
        <v>4.5123953524827516E-2</v>
      </c>
      <c r="AN1409" s="28">
        <f>IF(('Activity data'!BG21*EF!$H34)*kgtoGg=0,"NO",('Activity data'!BG21*EF!$H34)*kgtoGg)</f>
        <v>4.6482103094299274E-2</v>
      </c>
      <c r="AO1409" s="28">
        <f>IF(('Activity data'!BH21*EF!$H34)*kgtoGg=0,"NO",('Activity data'!BH21*EF!$H34)*kgtoGg)</f>
        <v>4.7790984110943228E-2</v>
      </c>
      <c r="AP1409" s="28">
        <f>IF(('Activity data'!BI21*EF!$H34)*kgtoGg=0,"NO",('Activity data'!BI21*EF!$H34)*kgtoGg)</f>
        <v>4.912782732302242E-2</v>
      </c>
      <c r="AQ1409" s="28">
        <f>IF(('Activity data'!BJ21*EF!$H34)*kgtoGg=0,"NO",('Activity data'!BJ21*EF!$H34)*kgtoGg)</f>
        <v>5.0494940009912614E-2</v>
      </c>
      <c r="AR1409" s="28">
        <f>IF(('Activity data'!BK21*EF!$H34)*kgtoGg=0,"NO",('Activity data'!BK21*EF!$H34)*kgtoGg)</f>
        <v>5.1949447088042722E-2</v>
      </c>
      <c r="AS1409" s="28">
        <f>IF(('Activity data'!BL21*EF!$H34)*kgtoGg=0,"NO",('Activity data'!BL21*EF!$H34)*kgtoGg)</f>
        <v>5.3433318721718588E-2</v>
      </c>
      <c r="AT1409" s="28">
        <f>IF(('Activity data'!BM21*EF!$H34)*kgtoGg=0,"NO",('Activity data'!BM21*EF!$H34)*kgtoGg)</f>
        <v>5.4397488587077859E-2</v>
      </c>
      <c r="AU1409" s="28">
        <f>IF(('Activity data'!BN21*EF!$H34)*kgtoGg=0,"NO",('Activity data'!BN21*EF!$H34)*kgtoGg)</f>
        <v>5.5332604177850256E-2</v>
      </c>
      <c r="AV1409" s="28">
        <f>IF(('Activity data'!BO21*EF!$H34)*kgtoGg=0,"NO",('Activity data'!BO21*EF!$H34)*kgtoGg)</f>
        <v>5.6349382366391719E-2</v>
      </c>
      <c r="AW1409" s="28">
        <f>IF(('Activity data'!BP21*EF!$H34)*kgtoGg=0,"NO",('Activity data'!BP21*EF!$H34)*kgtoGg)</f>
        <v>5.7343713555378532E-2</v>
      </c>
    </row>
    <row r="1410" spans="1:49" x14ac:dyDescent="0.25">
      <c r="A1410" s="102" t="s">
        <v>961</v>
      </c>
      <c r="B1410" s="102"/>
      <c r="C1410" s="102"/>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8">
        <f>IF(('Activity data'!AD22*EF!$H35)*kgtoGg=0,"NO",('Activity data'!AD22*EF!$H35)*kgtoGg)</f>
        <v>9.2699110947591354E-2</v>
      </c>
      <c r="L1410" s="28">
        <f>IF(('Activity data'!AE22*EF!$H35)*kgtoGg=0,"NO",('Activity data'!AE22*EF!$H35)*kgtoGg)</f>
        <v>9.4419600378527896E-2</v>
      </c>
      <c r="M1410" s="28">
        <f>IF(('Activity data'!AF22*EF!$H35)*kgtoGg=0,"NO",('Activity data'!AF22*EF!$H35)*kgtoGg)</f>
        <v>9.554646450205824E-2</v>
      </c>
      <c r="N1410" s="28">
        <f>IF(('Activity data'!AG22*EF!$H35)*kgtoGg=0,"NO",('Activity data'!AG22*EF!$H35)*kgtoGg)</f>
        <v>9.4307045379734583E-2</v>
      </c>
      <c r="O1410" s="28">
        <f>IF(('Activity data'!AH22*EF!$H35)*kgtoGg=0,"NO",('Activity data'!AH22*EF!$H35)*kgtoGg)</f>
        <v>9.3105061247548568E-2</v>
      </c>
      <c r="P1410" s="28">
        <f>IF(('Activity data'!AI22*EF!$H35)*kgtoGg=0,"NO",('Activity data'!AI22*EF!$H35)*kgtoGg)</f>
        <v>9.4296120671752692E-2</v>
      </c>
      <c r="Q1410" s="28">
        <f>IF(('Activity data'!AJ22*EF!$H35)*kgtoGg=0,"NO",('Activity data'!AJ22*EF!$H35)*kgtoGg)</f>
        <v>9.4755069677210882E-2</v>
      </c>
      <c r="R1410" s="28">
        <f>IF(('Activity data'!AK22*EF!$H35)*kgtoGg=0,"NO",('Activity data'!AK22*EF!$H35)*kgtoGg)</f>
        <v>9.2650959382373138E-2</v>
      </c>
      <c r="S1410" s="28">
        <f>IF(('Activity data'!AL22*EF!$H35)*kgtoGg=0,"NO",('Activity data'!AL22*EF!$H35)*kgtoGg)</f>
        <v>7.9303132611725335E-2</v>
      </c>
      <c r="T1410" s="28">
        <f>IF(('Activity data'!AM22*EF!$H35)*kgtoGg=0,"NO",('Activity data'!AM22*EF!$H35)*kgtoGg)</f>
        <v>8.354185747771857E-2</v>
      </c>
      <c r="U1410" s="28">
        <f>IF(('Activity data'!AN22*EF!$H35)*kgtoGg=0,"NO",('Activity data'!AN22*EF!$H35)*kgtoGg)</f>
        <v>8.6379574061016151E-2</v>
      </c>
      <c r="V1410" s="28">
        <f>IF(('Activity data'!AO22*EF!$H35)*kgtoGg=0,"NO",('Activity data'!AO22*EF!$H35)*kgtoGg)</f>
        <v>8.8901942093449454E-2</v>
      </c>
      <c r="W1410" s="28">
        <f>IF(('Activity data'!AP22*EF!$H35)*kgtoGg=0,"NO",('Activity data'!AP22*EF!$H35)*kgtoGg)</f>
        <v>9.1947933497714227E-2</v>
      </c>
      <c r="X1410" s="28">
        <f>IF(('Activity data'!AQ22*EF!$H35)*kgtoGg=0,"NO",('Activity data'!AQ22*EF!$H35)*kgtoGg)</f>
        <v>9.6809256634549701E-2</v>
      </c>
      <c r="Y1410" s="28">
        <f>IF(('Activity data'!AR22*EF!$H35)*kgtoGg=0,"NO",('Activity data'!AR22*EF!$H35)*kgtoGg)</f>
        <v>0.10224610886944407</v>
      </c>
      <c r="Z1410" s="28">
        <f>IF(('Activity data'!AS22*EF!$H35)*kgtoGg=0,"NO",('Activity data'!AS22*EF!$H35)*kgtoGg)</f>
        <v>0.108158516172397</v>
      </c>
      <c r="AA1410" s="28">
        <f>IF(('Activity data'!AT22*EF!$H35)*kgtoGg=0,"NO",('Activity data'!AT22*EF!$H35)*kgtoGg)</f>
        <v>0.11335012670938974</v>
      </c>
      <c r="AB1410" s="28">
        <f>IF(('Activity data'!AU22*EF!$H35)*kgtoGg=0,"NO",('Activity data'!AU22*EF!$H35)*kgtoGg)</f>
        <v>0.11939456567587402</v>
      </c>
      <c r="AC1410" s="28">
        <f>IF(('Activity data'!AV22*EF!$H35)*kgtoGg=0,"NO",('Activity data'!AV22*EF!$H35)*kgtoGg)</f>
        <v>0.12649213155627276</v>
      </c>
      <c r="AD1410" s="28">
        <f>IF(('Activity data'!AW22*EF!$H35)*kgtoGg=0,"NO",('Activity data'!AW22*EF!$H35)*kgtoGg)</f>
        <v>0.13351894706467321</v>
      </c>
      <c r="AE1410" s="28">
        <f>IF(('Activity data'!AX22*EF!$H35)*kgtoGg=0,"NO",('Activity data'!AX22*EF!$H35)*kgtoGg)</f>
        <v>0.14088965880876272</v>
      </c>
      <c r="AF1410" s="28">
        <f>IF(('Activity data'!AY22*EF!$H35)*kgtoGg=0,"NO",('Activity data'!AY22*EF!$H35)*kgtoGg)</f>
        <v>0.14844119583091583</v>
      </c>
      <c r="AG1410" s="28">
        <f>IF(('Activity data'!AZ22*EF!$H35)*kgtoGg=0,"NO",('Activity data'!AZ22*EF!$H35)*kgtoGg)</f>
        <v>0.15689713485667917</v>
      </c>
      <c r="AH1410" s="28">
        <f>IF(('Activity data'!BA22*EF!$H35)*kgtoGg=0,"NO",('Activity data'!BA22*EF!$H35)*kgtoGg)</f>
        <v>0.16436449961651078</v>
      </c>
      <c r="AI1410" s="28">
        <f>IF(('Activity data'!BB22*EF!$H35)*kgtoGg=0,"NO",('Activity data'!BB22*EF!$H35)*kgtoGg)</f>
        <v>0.1724043826360922</v>
      </c>
      <c r="AJ1410" s="28">
        <f>IF(('Activity data'!BC22*EF!$H35)*kgtoGg=0,"NO",('Activity data'!BC22*EF!$H35)*kgtoGg)</f>
        <v>0.18061160465503734</v>
      </c>
      <c r="AK1410" s="28">
        <f>IF(('Activity data'!BD22*EF!$H35)*kgtoGg=0,"NO",('Activity data'!BD22*EF!$H35)*kgtoGg)</f>
        <v>0.18847566491334045</v>
      </c>
      <c r="AL1410" s="28">
        <f>IF(('Activity data'!BE22*EF!$H35)*kgtoGg=0,"NO",('Activity data'!BE22*EF!$H35)*kgtoGg)</f>
        <v>0.19634352004032468</v>
      </c>
      <c r="AM1410" s="28">
        <f>IF(('Activity data'!BF22*EF!$H35)*kgtoGg=0,"NO",('Activity data'!BF22*EF!$H35)*kgtoGg)</f>
        <v>0.20452968422624468</v>
      </c>
      <c r="AN1410" s="28">
        <f>IF(('Activity data'!BG22*EF!$H35)*kgtoGg=0,"NO",('Activity data'!BG22*EF!$H35)*kgtoGg)</f>
        <v>0.21324011379075677</v>
      </c>
      <c r="AO1410" s="28">
        <f>IF(('Activity data'!BH22*EF!$H35)*kgtoGg=0,"NO",('Activity data'!BH22*EF!$H35)*kgtoGg)</f>
        <v>0.22145703784447965</v>
      </c>
      <c r="AP1410" s="28">
        <f>IF(('Activity data'!BI22*EF!$H35)*kgtoGg=0,"NO",('Activity data'!BI22*EF!$H35)*kgtoGg)</f>
        <v>0.22980951249966317</v>
      </c>
      <c r="AQ1410" s="28">
        <f>IF(('Activity data'!BJ22*EF!$H35)*kgtoGg=0,"NO",('Activity data'!BJ22*EF!$H35)*kgtoGg)</f>
        <v>0.23831452969822062</v>
      </c>
      <c r="AR1410" s="28">
        <f>IF(('Activity data'!BK22*EF!$H35)*kgtoGg=0,"NO",('Activity data'!BK22*EF!$H35)*kgtoGg)</f>
        <v>0.24742341255615688</v>
      </c>
      <c r="AS1410" s="28">
        <f>IF(('Activity data'!BL22*EF!$H35)*kgtoGg=0,"NO",('Activity data'!BL22*EF!$H35)*kgtoGg)</f>
        <v>0.25686299121327644</v>
      </c>
      <c r="AT1410" s="28">
        <f>IF(('Activity data'!BM22*EF!$H35)*kgtoGg=0,"NO",('Activity data'!BM22*EF!$H35)*kgtoGg)</f>
        <v>0.26213185534496675</v>
      </c>
      <c r="AU1410" s="28">
        <f>IF(('Activity data'!BN22*EF!$H35)*kgtoGg=0,"NO",('Activity data'!BN22*EF!$H35)*kgtoGg)</f>
        <v>0.26712574526544797</v>
      </c>
      <c r="AV1410" s="28">
        <f>IF(('Activity data'!BO22*EF!$H35)*kgtoGg=0,"NO",('Activity data'!BO22*EF!$H35)*kgtoGg)</f>
        <v>0.27270848288892124</v>
      </c>
      <c r="AW1410" s="28">
        <f>IF(('Activity data'!BP22*EF!$H35)*kgtoGg=0,"NO",('Activity data'!BP22*EF!$H35)*kgtoGg)</f>
        <v>0.27806741090761328</v>
      </c>
    </row>
    <row r="1411" spans="1:49" x14ac:dyDescent="0.25">
      <c r="A1411" s="102" t="s">
        <v>961</v>
      </c>
      <c r="B1411" s="102"/>
      <c r="C1411" s="102"/>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8">
        <f>IF(('Activity data'!AD5*EF!$H36*EF!$H54)*NtoN2O*kgtoGg=0,"NO",('Activity data'!AD5*EF!$H36*EF!$H54)*NtoN2O*kgtoGg)</f>
        <v>5.9534544879771355E-2</v>
      </c>
      <c r="L1411" s="28">
        <f>IF(('Activity data'!AE5*EF!$H36*EF!$H54)*NtoN2O*kgtoGg=0,"NO",('Activity data'!AE5*EF!$H36*EF!$H54)*NtoN2O*kgtoGg)</f>
        <v>5.9936525469365599E-2</v>
      </c>
      <c r="M1411" s="28">
        <f>IF(('Activity data'!AF5*EF!$H36*EF!$H54)*NtoN2O*kgtoGg=0,"NO",('Activity data'!AF5*EF!$H36*EF!$H54)*NtoN2O*kgtoGg)</f>
        <v>6.0288156660896548E-2</v>
      </c>
      <c r="N1411" s="28">
        <f>IF(('Activity data'!AG5*EF!$H36*EF!$H54)*NtoN2O*kgtoGg=0,"NO",('Activity data'!AG5*EF!$H36*EF!$H54)*NtoN2O*kgtoGg)</f>
        <v>6.0333640892584528E-2</v>
      </c>
      <c r="O1411" s="28">
        <f>IF(('Activity data'!AH5*EF!$H36*EF!$H54)*NtoN2O*kgtoGg=0,"NO",('Activity data'!AH5*EF!$H36*EF!$H54)*NtoN2O*kgtoGg)</f>
        <v>6.0411983022035293E-2</v>
      </c>
      <c r="P1411" s="28">
        <f>IF(('Activity data'!AI5*EF!$H36*EF!$H54)*NtoN2O*kgtoGg=0,"NO",('Activity data'!AI5*EF!$H36*EF!$H54)*NtoN2O*kgtoGg)</f>
        <v>6.086149571042291E-2</v>
      </c>
      <c r="Q1411" s="28">
        <f>IF(('Activity data'!AJ5*EF!$H36*EF!$H54)*NtoN2O*kgtoGg=0,"NO",('Activity data'!AJ5*EF!$H36*EF!$H54)*NtoN2O*kgtoGg)</f>
        <v>6.1220941265471868E-2</v>
      </c>
      <c r="R1411" s="28">
        <f>IF(('Activity data'!AK5*EF!$H36*EF!$H54)*NtoN2O*kgtoGg=0,"NO",('Activity data'!AK5*EF!$H36*EF!$H54)*NtoN2O*kgtoGg)</f>
        <v>6.1224092905712291E-2</v>
      </c>
      <c r="S1411" s="28">
        <f>IF(('Activity data'!AL5*EF!$H36*EF!$H54)*NtoN2O*kgtoGg=0,"NO",('Activity data'!AL5*EF!$H36*EF!$H54)*NtoN2O*kgtoGg)</f>
        <v>5.9602036939561669E-2</v>
      </c>
      <c r="T1411" s="28">
        <f>IF(('Activity data'!AM5*EF!$H36*EF!$H54)*NtoN2O*kgtoGg=0,"NO",('Activity data'!AM5*EF!$H36*EF!$H54)*NtoN2O*kgtoGg)</f>
        <v>6.0385643196681223E-2</v>
      </c>
      <c r="U1411" s="28">
        <f>IF(('Activity data'!AN5*EF!$H36*EF!$H54)*NtoN2O*kgtoGg=0,"NO",('Activity data'!AN5*EF!$H36*EF!$H54)*NtoN2O*kgtoGg)</f>
        <v>6.0978819669853017E-2</v>
      </c>
      <c r="V1411" s="28">
        <f>IF(('Activity data'!AO5*EF!$H36*EF!$H54)*NtoN2O*kgtoGg=0,"NO",('Activity data'!AO5*EF!$H36*EF!$H54)*NtoN2O*kgtoGg)</f>
        <v>6.1538467635372317E-2</v>
      </c>
      <c r="W1411" s="28">
        <f>IF(('Activity data'!AP5*EF!$H36*EF!$H54)*NtoN2O*kgtoGg=0,"NO",('Activity data'!AP5*EF!$H36*EF!$H54)*NtoN2O*kgtoGg)</f>
        <v>6.2187395948101611E-2</v>
      </c>
      <c r="X1411" s="28">
        <f>IF(('Activity data'!AQ5*EF!$H36*EF!$H54)*NtoN2O*kgtoGg=0,"NO",('Activity data'!AQ5*EF!$H36*EF!$H54)*NtoN2O*kgtoGg)</f>
        <v>6.3117211952635158E-2</v>
      </c>
      <c r="Y1411" s="28">
        <f>IF(('Activity data'!AR5*EF!$H36*EF!$H54)*NtoN2O*kgtoGg=0,"NO",('Activity data'!AR5*EF!$H36*EF!$H54)*NtoN2O*kgtoGg)</f>
        <v>6.4085258604249157E-2</v>
      </c>
      <c r="Z1411" s="28">
        <f>IF(('Activity data'!AS5*EF!$H36*EF!$H54)*NtoN2O*kgtoGg=0,"NO",('Activity data'!AS5*EF!$H36*EF!$H54)*NtoN2O*kgtoGg)</f>
        <v>6.5136775789421397E-2</v>
      </c>
      <c r="AA1411" s="28">
        <f>IF(('Activity data'!AT5*EF!$H36*EF!$H54)*NtoN2O*kgtoGg=0,"NO",('Activity data'!AT5*EF!$H36*EF!$H54)*NtoN2O*kgtoGg)</f>
        <v>6.6093023202577678E-2</v>
      </c>
      <c r="AB1411" s="28">
        <f>IF(('Activity data'!AU5*EF!$H36*EF!$H54)*NtoN2O*kgtoGg=0,"NO",('Activity data'!AU5*EF!$H36*EF!$H54)*NtoN2O*kgtoGg)</f>
        <v>6.7188649433805245E-2</v>
      </c>
      <c r="AC1411" s="28">
        <f>IF(('Activity data'!AV5*EF!$H36*EF!$H54)*NtoN2O*kgtoGg=0,"NO",('Activity data'!AV5*EF!$H36*EF!$H54)*NtoN2O*kgtoGg)</f>
        <v>6.8454554232404832E-2</v>
      </c>
      <c r="AD1411" s="28">
        <f>IF(('Activity data'!AW5*EF!$H36*EF!$H54)*NtoN2O*kgtoGg=0,"NO",('Activity data'!AW5*EF!$H36*EF!$H54)*NtoN2O*kgtoGg)</f>
        <v>6.9673307405983362E-2</v>
      </c>
      <c r="AE1411" s="28">
        <f>IF(('Activity data'!AX5*EF!$H36*EF!$H54)*NtoN2O*kgtoGg=0,"NO",('Activity data'!AX5*EF!$H36*EF!$H54)*NtoN2O*kgtoGg)</f>
        <v>7.0955599019075E-2</v>
      </c>
      <c r="AF1411" s="28">
        <f>IF(('Activity data'!AY5*EF!$H36*EF!$H54)*NtoN2O*kgtoGg=0,"NO",('Activity data'!AY5*EF!$H36*EF!$H54)*NtoN2O*kgtoGg)</f>
        <v>7.2276783381790194E-2</v>
      </c>
      <c r="AG1411" s="28">
        <f>IF(('Activity data'!AZ5*EF!$H36*EF!$H54)*NtoN2O*kgtoGg=0,"NO",('Activity data'!AZ5*EF!$H36*EF!$H54)*NtoN2O*kgtoGg)</f>
        <v>7.3746887396473032E-2</v>
      </c>
      <c r="AH1411" s="28">
        <f>IF(('Activity data'!BA5*EF!$H36*EF!$H54)*NtoN2O*kgtoGg=0,"NO",('Activity data'!BA5*EF!$H36*EF!$H54)*NtoN2O*kgtoGg)</f>
        <v>7.5077879884479282E-2</v>
      </c>
      <c r="AI1411" s="28">
        <f>IF(('Activity data'!BB5*EF!$H36*EF!$H54)*NtoN2O*kgtoGg=0,"NO",('Activity data'!BB5*EF!$H36*EF!$H54)*NtoN2O*kgtoGg)</f>
        <v>7.6460929017735491E-2</v>
      </c>
      <c r="AJ1411" s="28">
        <f>IF(('Activity data'!BC5*EF!$H36*EF!$H54)*NtoN2O*kgtoGg=0,"NO",('Activity data'!BC5*EF!$H36*EF!$H54)*NtoN2O*kgtoGg)</f>
        <v>7.7880128375373087E-2</v>
      </c>
      <c r="AK1411" s="28">
        <f>IF(('Activity data'!BD5*EF!$H36*EF!$H54)*NtoN2O*kgtoGg=0,"NO",('Activity data'!BD5*EF!$H36*EF!$H54)*NtoN2O*kgtoGg)</f>
        <v>7.925690413110191E-2</v>
      </c>
      <c r="AL1411" s="28">
        <f>IF(('Activity data'!BE5*EF!$H36*EF!$H54)*NtoN2O*kgtoGg=0,"NO",('Activity data'!BE5*EF!$H36*EF!$H54)*NtoN2O*kgtoGg)</f>
        <v>8.0644114608921846E-2</v>
      </c>
      <c r="AM1411" s="28">
        <f>IF(('Activity data'!BF5*EF!$H36*EF!$H54)*NtoN2O*kgtoGg=0,"NO",('Activity data'!BF5*EF!$H36*EF!$H54)*NtoN2O*kgtoGg)</f>
        <v>8.2090170284588052E-2</v>
      </c>
      <c r="AN1411" s="28">
        <f>IF(('Activity data'!BG5*EF!$H36*EF!$H54)*NtoN2O*kgtoGg=0,"NO",('Activity data'!BG5*EF!$H36*EF!$H54)*NtoN2O*kgtoGg)</f>
        <v>8.3584106491488411E-2</v>
      </c>
      <c r="AO1411" s="28">
        <f>IF(('Activity data'!BH5*EF!$H36*EF!$H54)*NtoN2O*kgtoGg=0,"NO",('Activity data'!BH5*EF!$H36*EF!$H54)*NtoN2O*kgtoGg)</f>
        <v>8.5010968574935772E-2</v>
      </c>
      <c r="AP1411" s="28">
        <f>IF(('Activity data'!BI5*EF!$H36*EF!$H54)*NtoN2O*kgtoGg=0,"NO",('Activity data'!BI5*EF!$H36*EF!$H54)*NtoN2O*kgtoGg)</f>
        <v>8.6467971698133472E-2</v>
      </c>
      <c r="AQ1411" s="28">
        <f>IF(('Activity data'!BJ5*EF!$H36*EF!$H54)*NtoN2O*kgtoGg=0,"NO",('Activity data'!BJ5*EF!$H36*EF!$H54)*NtoN2O*kgtoGg)</f>
        <v>8.7957741718516017E-2</v>
      </c>
      <c r="AR1411" s="28">
        <f>IF(('Activity data'!BK5*EF!$H36*EF!$H54)*NtoN2O*kgtoGg=0,"NO",('Activity data'!BK5*EF!$H36*EF!$H54)*NtoN2O*kgtoGg)</f>
        <v>8.9550905410436282E-2</v>
      </c>
      <c r="AS1411" s="28">
        <f>IF(('Activity data'!BL5*EF!$H36*EF!$H54)*NtoN2O*kgtoGg=0,"NO",('Activity data'!BL5*EF!$H36*EF!$H54)*NtoN2O*kgtoGg)</f>
        <v>9.1161603152246209E-2</v>
      </c>
      <c r="AT1411" s="28">
        <f>IF(('Activity data'!BM5*EF!$H36*EF!$H54)*NtoN2O*kgtoGg=0,"NO",('Activity data'!BM5*EF!$H36*EF!$H54)*NtoN2O*kgtoGg)</f>
        <v>9.2125625118884502E-2</v>
      </c>
      <c r="AU1411" s="28">
        <f>IF(('Activity data'!BN5*EF!$H36*EF!$H54)*NtoN2O*kgtoGg=0,"NO",('Activity data'!BN5*EF!$H36*EF!$H54)*NtoN2O*kgtoGg)</f>
        <v>9.3052192745030571E-2</v>
      </c>
      <c r="AV1411" s="28">
        <f>IF(('Activity data'!BO5*EF!$H36*EF!$H54)*NtoN2O*kgtoGg=0,"NO",('Activity data'!BO5*EF!$H36*EF!$H54)*NtoN2O*kgtoGg)</f>
        <v>9.4077328885209005E-2</v>
      </c>
      <c r="AW1411" s="28">
        <f>IF(('Activity data'!BP5*EF!$H36*EF!$H54)*NtoN2O*kgtoGg=0,"NO",('Activity data'!BP5*EF!$H36*EF!$H54)*NtoN2O*kgtoGg)</f>
        <v>9.5072920340837683E-2</v>
      </c>
    </row>
    <row r="1412" spans="1:49" x14ac:dyDescent="0.25">
      <c r="A1412" s="102" t="s">
        <v>961</v>
      </c>
      <c r="B1412" s="102"/>
      <c r="C1412" s="102"/>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8">
        <f>IF(('Activity data'!AD6*EF!$H37*EF!$H55)*NtoN2O*kgtoGg=0,"NO",('Activity data'!AD6*EF!$H37*EF!$H55)*NtoN2O*kgtoGg)</f>
        <v>0.26067987133037912</v>
      </c>
      <c r="L1412" s="28">
        <f>IF(('Activity data'!AE6*EF!$H37*EF!$H55)*NtoN2O*kgtoGg=0,"NO",('Activity data'!AE6*EF!$H37*EF!$H55)*NtoN2O*kgtoGg)</f>
        <v>0.2624399964574689</v>
      </c>
      <c r="M1412" s="28">
        <f>IF(('Activity data'!AF6*EF!$H37*EF!$H55)*NtoN2O*kgtoGg=0,"NO",('Activity data'!AF6*EF!$H37*EF!$H55)*NtoN2O*kgtoGg)</f>
        <v>0.26397966009224005</v>
      </c>
      <c r="N1412" s="28">
        <f>IF(('Activity data'!AG6*EF!$H37*EF!$H55)*NtoN2O*kgtoGg=0,"NO",('Activity data'!AG6*EF!$H37*EF!$H55)*NtoN2O*kgtoGg)</f>
        <v>0.26417881881072747</v>
      </c>
      <c r="O1412" s="28">
        <f>IF(('Activity data'!AH6*EF!$H37*EF!$H55)*NtoN2O*kgtoGg=0,"NO",('Activity data'!AH6*EF!$H37*EF!$H55)*NtoN2O*kgtoGg)</f>
        <v>0.26452185017623492</v>
      </c>
      <c r="P1412" s="28">
        <f>IF(('Activity data'!AI6*EF!$H37*EF!$H55)*NtoN2O*kgtoGg=0,"NO",('Activity data'!AI6*EF!$H37*EF!$H55)*NtoN2O*kgtoGg)</f>
        <v>0.26649010087852709</v>
      </c>
      <c r="Q1412" s="28">
        <f>IF(('Activity data'!AJ6*EF!$H37*EF!$H55)*NtoN2O*kgtoGg=0,"NO",('Activity data'!AJ6*EF!$H37*EF!$H55)*NtoN2O*kgtoGg)</f>
        <v>0.26806398073650983</v>
      </c>
      <c r="R1412" s="28">
        <f>IF(('Activity data'!AK6*EF!$H37*EF!$H55)*NtoN2O*kgtoGg=0,"NO",('Activity data'!AK6*EF!$H37*EF!$H55)*NtoN2O*kgtoGg)</f>
        <v>0.26807778060974324</v>
      </c>
      <c r="S1412" s="28">
        <f>IF(('Activity data'!AL6*EF!$H37*EF!$H55)*NtoN2O*kgtoGg=0,"NO",('Activity data'!AL6*EF!$H37*EF!$H55)*NtoN2O*kgtoGg)</f>
        <v>0.26097539423220861</v>
      </c>
      <c r="T1412" s="28">
        <f>IF(('Activity data'!AM6*EF!$H37*EF!$H55)*NtoN2O*kgtoGg=0,"NO",('Activity data'!AM6*EF!$H37*EF!$H55)*NtoN2O*kgtoGg)</f>
        <v>0.26440651777051938</v>
      </c>
      <c r="U1412" s="28">
        <f>IF(('Activity data'!AN6*EF!$H37*EF!$H55)*NtoN2O*kgtoGg=0,"NO",('Activity data'!AN6*EF!$H37*EF!$H55)*NtoN2O*kgtoGg)</f>
        <v>0.26700381933744832</v>
      </c>
      <c r="V1412" s="28">
        <f>IF(('Activity data'!AO6*EF!$H37*EF!$H55)*NtoN2O*kgtoGg=0,"NO",('Activity data'!AO6*EF!$H37*EF!$H55)*NtoN2O*kgtoGg)</f>
        <v>0.26945431190334429</v>
      </c>
      <c r="W1412" s="28">
        <f>IF(('Activity data'!AP6*EF!$H37*EF!$H55)*NtoN2O*kgtoGg=0,"NO",('Activity data'!AP6*EF!$H37*EF!$H55)*NtoN2O*kgtoGg)</f>
        <v>0.27229573026652365</v>
      </c>
      <c r="X1412" s="28">
        <f>IF(('Activity data'!AQ6*EF!$H37*EF!$H55)*NtoN2O*kgtoGg=0,"NO",('Activity data'!AQ6*EF!$H37*EF!$H55)*NtoN2O*kgtoGg)</f>
        <v>0.27636705250325572</v>
      </c>
      <c r="Y1412" s="28">
        <f>IF(('Activity data'!AR6*EF!$H37*EF!$H55)*NtoN2O*kgtoGg=0,"NO",('Activity data'!AR6*EF!$H37*EF!$H55)*NtoN2O*kgtoGg)</f>
        <v>0.28060577267982134</v>
      </c>
      <c r="Z1412" s="28">
        <f>IF(('Activity data'!AS6*EF!$H37*EF!$H55)*NtoN2O*kgtoGg=0,"NO",('Activity data'!AS6*EF!$H37*EF!$H55)*NtoN2O*kgtoGg)</f>
        <v>0.28520997961691874</v>
      </c>
      <c r="AA1412" s="28">
        <f>IF(('Activity data'!AT6*EF!$H37*EF!$H55)*NtoN2O*kgtoGg=0,"NO",('Activity data'!AT6*EF!$H37*EF!$H55)*NtoN2O*kgtoGg)</f>
        <v>0.2893970352688095</v>
      </c>
      <c r="AB1412" s="28">
        <f>IF(('Activity data'!AU6*EF!$H37*EF!$H55)*NtoN2O*kgtoGg=0,"NO",('Activity data'!AU6*EF!$H37*EF!$H55)*NtoN2O*kgtoGg)</f>
        <v>0.29419437949239208</v>
      </c>
      <c r="AC1412" s="28">
        <f>IF(('Activity data'!AV6*EF!$H37*EF!$H55)*NtoN2O*kgtoGg=0,"NO",('Activity data'!AV6*EF!$H37*EF!$H55)*NtoN2O*kgtoGg)</f>
        <v>0.2997373109229064</v>
      </c>
      <c r="AD1412" s="28">
        <f>IF(('Activity data'!AW6*EF!$H37*EF!$H55)*NtoN2O*kgtoGg=0,"NO",('Activity data'!AW6*EF!$H37*EF!$H55)*NtoN2O*kgtoGg)</f>
        <v>0.3050737827329042</v>
      </c>
      <c r="AE1412" s="28">
        <f>IF(('Activity data'!AX6*EF!$H37*EF!$H55)*NtoN2O*kgtoGg=0,"NO",('Activity data'!AX6*EF!$H37*EF!$H55)*NtoN2O*kgtoGg)</f>
        <v>0.31068846599593736</v>
      </c>
      <c r="AF1412" s="28">
        <f>IF(('Activity data'!AY6*EF!$H37*EF!$H55)*NtoN2O*kgtoGg=0,"NO",('Activity data'!AY6*EF!$H37*EF!$H55)*NtoN2O*kgtoGg)</f>
        <v>0.31647344630227597</v>
      </c>
      <c r="AG1412" s="28">
        <f>IF(('Activity data'!AZ6*EF!$H37*EF!$H55)*NtoN2O*kgtoGg=0,"NO",('Activity data'!AZ6*EF!$H37*EF!$H55)*NtoN2O*kgtoGg)</f>
        <v>0.32291049098219599</v>
      </c>
      <c r="AH1412" s="28">
        <f>IF(('Activity data'!BA6*EF!$H37*EF!$H55)*NtoN2O*kgtoGg=0,"NO",('Activity data'!BA6*EF!$H37*EF!$H55)*NtoN2O*kgtoGg)</f>
        <v>0.32873841746111437</v>
      </c>
      <c r="AI1412" s="28">
        <f>IF(('Activity data'!BB6*EF!$H37*EF!$H55)*NtoN2O*kgtoGg=0,"NO",('Activity data'!BB6*EF!$H37*EF!$H55)*NtoN2O*kgtoGg)</f>
        <v>0.33479428083974455</v>
      </c>
      <c r="AJ1412" s="28">
        <f>IF(('Activity data'!BC6*EF!$H37*EF!$H55)*NtoN2O*kgtoGg=0,"NO",('Activity data'!BC6*EF!$H37*EF!$H55)*NtoN2O*kgtoGg)</f>
        <v>0.34100843275252468</v>
      </c>
      <c r="AK1412" s="28">
        <f>IF(('Activity data'!BD6*EF!$H37*EF!$H55)*NtoN2O*kgtoGg=0,"NO",('Activity data'!BD6*EF!$H37*EF!$H55)*NtoN2O*kgtoGg)</f>
        <v>0.34703682731872076</v>
      </c>
      <c r="AL1412" s="28">
        <f>IF(('Activity data'!BE6*EF!$H37*EF!$H55)*NtoN2O*kgtoGg=0,"NO",('Activity data'!BE6*EF!$H37*EF!$H55)*NtoN2O*kgtoGg)</f>
        <v>0.35311091169438086</v>
      </c>
      <c r="AM1412" s="28">
        <f>IF(('Activity data'!BF6*EF!$H37*EF!$H55)*NtoN2O*kgtoGg=0,"NO",('Activity data'!BF6*EF!$H37*EF!$H55)*NtoN2O*kgtoGg)</f>
        <v>0.35944265754429855</v>
      </c>
      <c r="AN1412" s="28">
        <f>IF(('Activity data'!BG6*EF!$H37*EF!$H55)*NtoN2O*kgtoGg=0,"NO",('Activity data'!BG6*EF!$H37*EF!$H55)*NtoN2O*kgtoGg)</f>
        <v>0.3659840546269007</v>
      </c>
      <c r="AO1412" s="28">
        <f>IF(('Activity data'!BH6*EF!$H37*EF!$H55)*NtoN2O*kgtoGg=0,"NO",('Activity data'!BH6*EF!$H37*EF!$H55)*NtoN2O*kgtoGg)</f>
        <v>0.3722317587971502</v>
      </c>
      <c r="AP1412" s="28">
        <f>IF(('Activity data'!BI6*EF!$H37*EF!$H55)*NtoN2O*kgtoGg=0,"NO",('Activity data'!BI6*EF!$H37*EF!$H55)*NtoN2O*kgtoGg)</f>
        <v>0.37861143949262133</v>
      </c>
      <c r="AQ1412" s="28">
        <f>IF(('Activity data'!BJ6*EF!$H37*EF!$H55)*NtoN2O*kgtoGg=0,"NO",('Activity data'!BJ6*EF!$H37*EF!$H55)*NtoN2O*kgtoGg)</f>
        <v>0.38513459437705777</v>
      </c>
      <c r="AR1412" s="28">
        <f>IF(('Activity data'!BK6*EF!$H37*EF!$H55)*NtoN2O*kgtoGg=0,"NO",('Activity data'!BK6*EF!$H37*EF!$H55)*NtoN2O*kgtoGg)</f>
        <v>0.39211047211420524</v>
      </c>
      <c r="AS1412" s="28">
        <f>IF(('Activity data'!BL6*EF!$H37*EF!$H55)*NtoN2O*kgtoGg=0,"NO",('Activity data'!BL6*EF!$H37*EF!$H55)*NtoN2O*kgtoGg)</f>
        <v>0.3991631250056496</v>
      </c>
      <c r="AT1412" s="28">
        <f>IF(('Activity data'!BM6*EF!$H37*EF!$H55)*NtoN2O*kgtoGg=0,"NO",('Activity data'!BM6*EF!$H37*EF!$H55)*NtoN2O*kgtoGg)</f>
        <v>0.40338422256724893</v>
      </c>
      <c r="AU1412" s="28">
        <f>IF(('Activity data'!BN6*EF!$H37*EF!$H55)*NtoN2O*kgtoGg=0,"NO",('Activity data'!BN6*EF!$H37*EF!$H55)*NtoN2O*kgtoGg)</f>
        <v>0.40744132134998817</v>
      </c>
      <c r="AV1412" s="28">
        <f>IF(('Activity data'!BO6*EF!$H37*EF!$H55)*NtoN2O*kgtoGg=0,"NO",('Activity data'!BO6*EF!$H37*EF!$H55)*NtoN2O*kgtoGg)</f>
        <v>0.41193001539573099</v>
      </c>
      <c r="AW1412" s="28">
        <f>IF(('Activity data'!BP6*EF!$H37*EF!$H55)*NtoN2O*kgtoGg=0,"NO",('Activity data'!BP6*EF!$H37*EF!$H55)*NtoN2O*kgtoGg)</f>
        <v>0.41628934413629709</v>
      </c>
    </row>
    <row r="1413" spans="1:49" x14ac:dyDescent="0.25">
      <c r="A1413" s="102" t="s">
        <v>961</v>
      </c>
      <c r="B1413" s="102"/>
      <c r="C1413" s="102"/>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8">
        <f>IF(('Activity data'!AD7*EF!$H38*EF!$H56)*NtoN2O*kgtoGg=0,"NO",('Activity data'!AD7*EF!$H38*EF!$H56)*NtoN2O*kgtoGg)</f>
        <v>1.1598714945443948E-2</v>
      </c>
      <c r="L1413" s="28">
        <f>IF(('Activity data'!AE7*EF!$H38*EF!$H56)*NtoN2O*kgtoGg=0,"NO",('Activity data'!AE7*EF!$H38*EF!$H56)*NtoN2O*kgtoGg)</f>
        <v>1.1677030119965246E-2</v>
      </c>
      <c r="M1413" s="28">
        <f>IF(('Activity data'!AF7*EF!$H38*EF!$H56)*NtoN2O*kgtoGg=0,"NO",('Activity data'!AF7*EF!$H38*EF!$H56)*NtoN2O*kgtoGg)</f>
        <v>1.1745536059915416E-2</v>
      </c>
      <c r="N1413" s="28">
        <f>IF(('Activity data'!AG7*EF!$H38*EF!$H56)*NtoN2O*kgtoGg=0,"NO",('Activity data'!AG7*EF!$H38*EF!$H56)*NtoN2O*kgtoGg)</f>
        <v>1.1754397446845087E-2</v>
      </c>
      <c r="O1413" s="28">
        <f>IF(('Activity data'!AH7*EF!$H38*EF!$H56)*NtoN2O*kgtoGg=0,"NO",('Activity data'!AH7*EF!$H38*EF!$H56)*NtoN2O*kgtoGg)</f>
        <v>1.1769660316991377E-2</v>
      </c>
      <c r="P1413" s="28">
        <f>IF(('Activity data'!AI7*EF!$H38*EF!$H56)*NtoN2O*kgtoGg=0,"NO",('Activity data'!AI7*EF!$H38*EF!$H56)*NtoN2O*kgtoGg)</f>
        <v>1.1857235850616387E-2</v>
      </c>
      <c r="Q1413" s="28">
        <f>IF(('Activity data'!AJ7*EF!$H38*EF!$H56)*NtoN2O*kgtoGg=0,"NO",('Activity data'!AJ7*EF!$H38*EF!$H56)*NtoN2O*kgtoGg)</f>
        <v>1.1927264210450818E-2</v>
      </c>
      <c r="R1413" s="28">
        <f>IF(('Activity data'!AK7*EF!$H38*EF!$H56)*NtoN2O*kgtoGg=0,"NO",('Activity data'!AK7*EF!$H38*EF!$H56)*NtoN2O*kgtoGg)</f>
        <v>1.1927878223320707E-2</v>
      </c>
      <c r="S1413" s="28">
        <f>IF(('Activity data'!AL7*EF!$H38*EF!$H56)*NtoN2O*kgtoGg=0,"NO",('Activity data'!AL7*EF!$H38*EF!$H56)*NtoN2O*kgtoGg)</f>
        <v>1.1611863969496622E-2</v>
      </c>
      <c r="T1413" s="28">
        <f>IF(('Activity data'!AM7*EF!$H38*EF!$H56)*NtoN2O*kgtoGg=0,"NO",('Activity data'!AM7*EF!$H38*EF!$H56)*NtoN2O*kgtoGg)</f>
        <v>1.1764528705981136E-2</v>
      </c>
      <c r="U1413" s="28">
        <f>IF(('Activity data'!AN7*EF!$H38*EF!$H56)*NtoN2O*kgtoGg=0,"NO",('Activity data'!AN7*EF!$H38*EF!$H56)*NtoN2O*kgtoGg)</f>
        <v>1.1880093288503061E-2</v>
      </c>
      <c r="V1413" s="28">
        <f>IF(('Activity data'!AO7*EF!$H38*EF!$H56)*NtoN2O*kgtoGg=0,"NO",('Activity data'!AO7*EF!$H38*EF!$H56)*NtoN2O*kgtoGg)</f>
        <v>1.1989125737394114E-2</v>
      </c>
      <c r="W1413" s="28">
        <f>IF(('Activity data'!AP7*EF!$H38*EF!$H56)*NtoN2O*kgtoGg=0,"NO",('Activity data'!AP7*EF!$H38*EF!$H56)*NtoN2O*kgtoGg)</f>
        <v>1.2115552075826281E-2</v>
      </c>
      <c r="X1413" s="28">
        <f>IF(('Activity data'!AQ7*EF!$H38*EF!$H56)*NtoN2O*kgtoGg=0,"NO",('Activity data'!AQ7*EF!$H38*EF!$H56)*NtoN2O*kgtoGg)</f>
        <v>1.2296701873982557E-2</v>
      </c>
      <c r="Y1413" s="28">
        <f>IF(('Activity data'!AR7*EF!$H38*EF!$H56)*NtoN2O*kgtoGg=0,"NO",('Activity data'!AR7*EF!$H38*EF!$H56)*NtoN2O*kgtoGg)</f>
        <v>1.2485299891967528E-2</v>
      </c>
      <c r="Z1413" s="28">
        <f>IF(('Activity data'!AS7*EF!$H38*EF!$H56)*NtoN2O*kgtoGg=0,"NO",('Activity data'!AS7*EF!$H38*EF!$H56)*NtoN2O*kgtoGg)</f>
        <v>1.2690159912577046E-2</v>
      </c>
      <c r="AA1413" s="28">
        <f>IF(('Activity data'!AT7*EF!$H38*EF!$H56)*NtoN2O*kgtoGg=0,"NO",('Activity data'!AT7*EF!$H38*EF!$H56)*NtoN2O*kgtoGg)</f>
        <v>1.2876459164295801E-2</v>
      </c>
      <c r="AB1413" s="28">
        <f>IF(('Activity data'!AU7*EF!$H38*EF!$H56)*NtoN2O*kgtoGg=0,"NO",('Activity data'!AU7*EF!$H38*EF!$H56)*NtoN2O*kgtoGg)</f>
        <v>1.3089912653667775E-2</v>
      </c>
      <c r="AC1413" s="28">
        <f>IF(('Activity data'!AV7*EF!$H38*EF!$H56)*NtoN2O*kgtoGg=0,"NO",('Activity data'!AV7*EF!$H38*EF!$H56)*NtoN2O*kgtoGg)</f>
        <v>1.3336540371015372E-2</v>
      </c>
      <c r="AD1413" s="28">
        <f>IF(('Activity data'!AW7*EF!$H38*EF!$H56)*NtoN2O*kgtoGg=0,"NO",('Activity data'!AW7*EF!$H38*EF!$H56)*NtoN2O*kgtoGg)</f>
        <v>1.3573981854405228E-2</v>
      </c>
      <c r="AE1413" s="28">
        <f>IF(('Activity data'!AX7*EF!$H38*EF!$H56)*NtoN2O*kgtoGg=0,"NO",('Activity data'!AX7*EF!$H38*EF!$H56)*NtoN2O*kgtoGg)</f>
        <v>1.3823802104601461E-2</v>
      </c>
      <c r="AF1413" s="28">
        <f>IF(('Activity data'!AY7*EF!$H38*EF!$H56)*NtoN2O*kgtoGg=0,"NO",('Activity data'!AY7*EF!$H38*EF!$H56)*NtoN2O*kgtoGg)</f>
        <v>1.4081199567611519E-2</v>
      </c>
      <c r="AG1413" s="28">
        <f>IF(('Activity data'!AZ7*EF!$H38*EF!$H56)*NtoN2O*kgtoGg=0,"NO",('Activity data'!AZ7*EF!$H38*EF!$H56)*NtoN2O*kgtoGg)</f>
        <v>1.4367610044770513E-2</v>
      </c>
      <c r="AH1413" s="28">
        <f>IF(('Activity data'!BA7*EF!$H38*EF!$H56)*NtoN2O*kgtoGg=0,"NO",('Activity data'!BA7*EF!$H38*EF!$H56)*NtoN2O*kgtoGg)</f>
        <v>1.4626918358860899E-2</v>
      </c>
      <c r="AI1413" s="28">
        <f>IF(('Activity data'!BB7*EF!$H38*EF!$H56)*NtoN2O*kgtoGg=0,"NO",('Activity data'!BB7*EF!$H38*EF!$H56)*NtoN2O*kgtoGg)</f>
        <v>1.4896368519008723E-2</v>
      </c>
      <c r="AJ1413" s="28">
        <f>IF(('Activity data'!BC7*EF!$H38*EF!$H56)*NtoN2O*kgtoGg=0,"NO",('Activity data'!BC7*EF!$H38*EF!$H56)*NtoN2O*kgtoGg)</f>
        <v>1.5172861584223856E-2</v>
      </c>
      <c r="AK1413" s="28">
        <f>IF(('Activity data'!BD7*EF!$H38*EF!$H56)*NtoN2O*kgtoGg=0,"NO",('Activity data'!BD7*EF!$H38*EF!$H56)*NtoN2O*kgtoGg)</f>
        <v>1.5441089544423183E-2</v>
      </c>
      <c r="AL1413" s="28">
        <f>IF(('Activity data'!BE7*EF!$H38*EF!$H56)*NtoN2O*kgtoGg=0,"NO",('Activity data'!BE7*EF!$H38*EF!$H56)*NtoN2O*kgtoGg)</f>
        <v>1.5711350431342863E-2</v>
      </c>
      <c r="AM1413" s="28">
        <f>IF(('Activity data'!BF7*EF!$H38*EF!$H56)*NtoN2O*kgtoGg=0,"NO",('Activity data'!BF7*EF!$H38*EF!$H56)*NtoN2O*kgtoGg)</f>
        <v>1.5993075732362048E-2</v>
      </c>
      <c r="AN1413" s="28">
        <f>IF(('Activity data'!BG7*EF!$H38*EF!$H56)*NtoN2O*kgtoGg=0,"NO",('Activity data'!BG7*EF!$H38*EF!$H56)*NtoN2O*kgtoGg)</f>
        <v>1.6284129275233806E-2</v>
      </c>
      <c r="AO1413" s="28">
        <f>IF(('Activity data'!BH7*EF!$H38*EF!$H56)*NtoN2O*kgtoGg=0,"NO",('Activity data'!BH7*EF!$H38*EF!$H56)*NtoN2O*kgtoGg)</f>
        <v>1.6562115217778419E-2</v>
      </c>
      <c r="AP1413" s="28">
        <f>IF(('Activity data'!BI7*EF!$H38*EF!$H56)*NtoN2O*kgtoGg=0,"NO",('Activity data'!BI7*EF!$H38*EF!$H56)*NtoN2O*kgtoGg)</f>
        <v>1.6845973336366879E-2</v>
      </c>
      <c r="AQ1413" s="28">
        <f>IF(('Activity data'!BJ7*EF!$H38*EF!$H56)*NtoN2O*kgtoGg=0,"NO",('Activity data'!BJ7*EF!$H38*EF!$H56)*NtoN2O*kgtoGg)</f>
        <v>1.7136215209141423E-2</v>
      </c>
      <c r="AR1413" s="28">
        <f>IF(('Activity data'!BK7*EF!$H38*EF!$H56)*NtoN2O*kgtoGg=0,"NO",('Activity data'!BK7*EF!$H38*EF!$H56)*NtoN2O*kgtoGg)</f>
        <v>1.7446600575508658E-2</v>
      </c>
      <c r="AS1413" s="28">
        <f>IF(('Activity data'!BL7*EF!$H38*EF!$H56)*NtoN2O*kgtoGg=0,"NO",('Activity data'!BL7*EF!$H38*EF!$H56)*NtoN2O*kgtoGg)</f>
        <v>1.7760401982880657E-2</v>
      </c>
      <c r="AT1413" s="28">
        <f>IF(('Activity data'!BM7*EF!$H38*EF!$H56)*NtoN2O*kgtoGg=0,"NO",('Activity data'!BM7*EF!$H38*EF!$H56)*NtoN2O*kgtoGg)</f>
        <v>1.7948215898562121E-2</v>
      </c>
      <c r="AU1413" s="28">
        <f>IF(('Activity data'!BN7*EF!$H38*EF!$H56)*NtoN2O*kgtoGg=0,"NO",('Activity data'!BN7*EF!$H38*EF!$H56)*NtoN2O*kgtoGg)</f>
        <v>1.8128732837005983E-2</v>
      </c>
      <c r="AV1413" s="28">
        <f>IF(('Activity data'!BO7*EF!$H38*EF!$H56)*NtoN2O*kgtoGg=0,"NO",('Activity data'!BO7*EF!$H38*EF!$H56)*NtoN2O*kgtoGg)</f>
        <v>1.8328453216060109E-2</v>
      </c>
      <c r="AW1413" s="28">
        <f>IF(('Activity data'!BP7*EF!$H38*EF!$H56)*NtoN2O*kgtoGg=0,"NO",('Activity data'!BP7*EF!$H38*EF!$H56)*NtoN2O*kgtoGg)</f>
        <v>1.852241760294299E-2</v>
      </c>
    </row>
    <row r="1414" spans="1:49" x14ac:dyDescent="0.25">
      <c r="A1414" s="102" t="s">
        <v>961</v>
      </c>
      <c r="B1414" s="102"/>
      <c r="C1414" s="102"/>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8">
        <f>IF(('Activity data'!AD8*EF!$H39*EF!$H57)*NtoN2O*kgtoGg=0,"NO",('Activity data'!AD8*EF!$H39*EF!$H57)*NtoN2O*kgtoGg)</f>
        <v>0.52784381686908488</v>
      </c>
      <c r="L1414" s="28">
        <f>IF(('Activity data'!AE8*EF!$H39*EF!$H57)*NtoN2O*kgtoGg=0,"NO",('Activity data'!AE8*EF!$H39*EF!$H57)*NtoN2O*kgtoGg)</f>
        <v>0.52515644938547934</v>
      </c>
      <c r="M1414" s="28">
        <f>IF(('Activity data'!AF8*EF!$H39*EF!$H57)*NtoN2O*kgtoGg=0,"NO",('Activity data'!AF8*EF!$H39*EF!$H57)*NtoN2O*kgtoGg)</f>
        <v>0.52025151153580673</v>
      </c>
      <c r="N1414" s="28">
        <f>IF(('Activity data'!AG8*EF!$H39*EF!$H57)*NtoN2O*kgtoGg=0,"NO",('Activity data'!AG8*EF!$H39*EF!$H57)*NtoN2O*kgtoGg)</f>
        <v>0.50682531077398352</v>
      </c>
      <c r="O1414" s="28">
        <f>IF(('Activity data'!AH8*EF!$H39*EF!$H57)*NtoN2O*kgtoGg=0,"NO",('Activity data'!AH8*EF!$H39*EF!$H57)*NtoN2O*kgtoGg)</f>
        <v>0.4939348964332157</v>
      </c>
      <c r="P1414" s="28">
        <f>IF(('Activity data'!AI8*EF!$H39*EF!$H57)*NtoN2O*kgtoGg=0,"NO",('Activity data'!AI8*EF!$H39*EF!$H57)*NtoN2O*kgtoGg)</f>
        <v>0.48971543421207564</v>
      </c>
      <c r="Q1414" s="28">
        <f>IF(('Activity data'!AJ8*EF!$H39*EF!$H57)*NtoN2O*kgtoGg=0,"NO",('Activity data'!AJ8*EF!$H39*EF!$H57)*NtoN2O*kgtoGg)</f>
        <v>0.48290055380478719</v>
      </c>
      <c r="R1414" s="28">
        <f>IF(('Activity data'!AK8*EF!$H39*EF!$H57)*NtoN2O*kgtoGg=0,"NO",('Activity data'!AK8*EF!$H39*EF!$H57)*NtoN2O*kgtoGg)</f>
        <v>0.46758884489133185</v>
      </c>
      <c r="S1414" s="28">
        <f>IF(('Activity data'!AL8*EF!$H39*EF!$H57)*NtoN2O*kgtoGg=0,"NO",('Activity data'!AL8*EF!$H39*EF!$H57)*NtoN2O*kgtoGg)</f>
        <v>0.41621648904191116</v>
      </c>
      <c r="T1414" s="28">
        <f>IF(('Activity data'!AM8*EF!$H39*EF!$H57)*NtoN2O*kgtoGg=0,"NO",('Activity data'!AM8*EF!$H39*EF!$H57)*NtoN2O*kgtoGg)</f>
        <v>0.42638667208573666</v>
      </c>
      <c r="U1414" s="28">
        <f>IF(('Activity data'!AN8*EF!$H39*EF!$H57)*NtoN2O*kgtoGg=0,"NO",('Activity data'!AN8*EF!$H39*EF!$H57)*NtoN2O*kgtoGg)</f>
        <v>0.43187985525495859</v>
      </c>
      <c r="V1414" s="28">
        <f>IF(('Activity data'!AO8*EF!$H39*EF!$H57)*NtoN2O*kgtoGg=0,"NO",('Activity data'!AO8*EF!$H39*EF!$H57)*NtoN2O*kgtoGg)</f>
        <v>0.4362459859607159</v>
      </c>
      <c r="W1414" s="28">
        <f>IF(('Activity data'!AP8*EF!$H39*EF!$H57)*NtoN2O*kgtoGg=0,"NO",('Activity data'!AP8*EF!$H39*EF!$H57)*NtoN2O*kgtoGg)</f>
        <v>0.44211378477911739</v>
      </c>
      <c r="X1414" s="28">
        <f>IF(('Activity data'!AQ8*EF!$H39*EF!$H57)*NtoN2O*kgtoGg=0,"NO",('Activity data'!AQ8*EF!$H39*EF!$H57)*NtoN2O*kgtoGg)</f>
        <v>0.45337915493608988</v>
      </c>
      <c r="Y1414" s="28">
        <f>IF(('Activity data'!AR8*EF!$H39*EF!$H57)*NtoN2O*kgtoGg=0,"NO",('Activity data'!AR8*EF!$H39*EF!$H57)*NtoN2O*kgtoGg)</f>
        <v>0.46570884205291363</v>
      </c>
      <c r="Z1414" s="28">
        <f>IF(('Activity data'!AS8*EF!$H39*EF!$H57)*NtoN2O*kgtoGg=0,"NO",('Activity data'!AS8*EF!$H39*EF!$H57)*NtoN2O*kgtoGg)</f>
        <v>0.47914332985830105</v>
      </c>
      <c r="AA1414" s="28">
        <f>IF(('Activity data'!AT8*EF!$H39*EF!$H57)*NtoN2O*kgtoGg=0,"NO",('Activity data'!AT8*EF!$H39*EF!$H57)*NtoN2O*kgtoGg)</f>
        <v>0.49009752442785343</v>
      </c>
      <c r="AB1414" s="28">
        <f>IF(('Activity data'!AU8*EF!$H39*EF!$H57)*NtoN2O*kgtoGg=0,"NO",('Activity data'!AU8*EF!$H39*EF!$H57)*NtoN2O*kgtoGg)</f>
        <v>0.50324660614266314</v>
      </c>
      <c r="AC1414" s="28">
        <f>IF(('Activity data'!AV8*EF!$H39*EF!$H57)*NtoN2O*kgtoGg=0,"NO",('Activity data'!AV8*EF!$H39*EF!$H57)*NtoN2O*kgtoGg)</f>
        <v>0.51908497467197146</v>
      </c>
      <c r="AD1414" s="28">
        <f>IF(('Activity data'!AW8*EF!$H39*EF!$H57)*NtoN2O*kgtoGg=0,"NO",('Activity data'!AW8*EF!$H39*EF!$H57)*NtoN2O*kgtoGg)</f>
        <v>0.52951816182604061</v>
      </c>
      <c r="AE1414" s="28">
        <f>IF(('Activity data'!AX8*EF!$H39*EF!$H57)*NtoN2O*kgtoGg=0,"NO",('Activity data'!AX8*EF!$H39*EF!$H57)*NtoN2O*kgtoGg)</f>
        <v>0.54017530186644991</v>
      </c>
      <c r="AF1414" s="28">
        <f>IF(('Activity data'!AY8*EF!$H39*EF!$H57)*NtoN2O*kgtoGg=0,"NO",('Activity data'!AY8*EF!$H39*EF!$H57)*NtoN2O*kgtoGg)</f>
        <v>0.55055968982828007</v>
      </c>
      <c r="AG1414" s="28">
        <f>IF(('Activity data'!AZ8*EF!$H39*EF!$H57)*NtoN2O*kgtoGg=0,"NO",('Activity data'!AZ8*EF!$H39*EF!$H57)*NtoN2O*kgtoGg)</f>
        <v>0.56257359948982233</v>
      </c>
      <c r="AH1414" s="28">
        <f>IF(('Activity data'!BA8*EF!$H39*EF!$H57)*NtoN2O*kgtoGg=0,"NO",('Activity data'!BA8*EF!$H39*EF!$H57)*NtoN2O*kgtoGg)</f>
        <v>0.571134780275243</v>
      </c>
      <c r="AI1414" s="28">
        <f>IF(('Activity data'!BB8*EF!$H39*EF!$H57)*NtoN2O*kgtoGg=0,"NO",('Activity data'!BB8*EF!$H39*EF!$H57)*NtoN2O*kgtoGg)</f>
        <v>0.58015385111091267</v>
      </c>
      <c r="AJ1414" s="28">
        <f>IF(('Activity data'!BC8*EF!$H39*EF!$H57)*NtoN2O*kgtoGg=0,"NO",('Activity data'!BC8*EF!$H39*EF!$H57)*NtoN2O*kgtoGg)</f>
        <v>0.58878429113613517</v>
      </c>
      <c r="AK1414" s="28">
        <f>IF(('Activity data'!BD8*EF!$H39*EF!$H57)*NtoN2O*kgtoGg=0,"NO",('Activity data'!BD8*EF!$H39*EF!$H57)*NtoN2O*kgtoGg)</f>
        <v>0.5957568629631379</v>
      </c>
      <c r="AL1414" s="28">
        <f>IF(('Activity data'!BE8*EF!$H39*EF!$H57)*NtoN2O*kgtoGg=0,"NO",('Activity data'!BE8*EF!$H39*EF!$H57)*NtoN2O*kgtoGg)</f>
        <v>0.60196210030255271</v>
      </c>
      <c r="AM1414" s="28">
        <f>IF(('Activity data'!BF8*EF!$H39*EF!$H57)*NtoN2O*kgtoGg=0,"NO",('Activity data'!BF8*EF!$H39*EF!$H57)*NtoN2O*kgtoGg)</f>
        <v>0.60813947691884929</v>
      </c>
      <c r="AN1414" s="28">
        <f>IF(('Activity data'!BG8*EF!$H39*EF!$H57)*NtoN2O*kgtoGg=0,"NO",('Activity data'!BG8*EF!$H39*EF!$H57)*NtoN2O*kgtoGg)</f>
        <v>0.61764741655645328</v>
      </c>
      <c r="AO1414" s="28">
        <f>IF(('Activity data'!BH8*EF!$H39*EF!$H57)*NtoN2O*kgtoGg=0,"NO",('Activity data'!BH8*EF!$H39*EF!$H57)*NtoN2O*kgtoGg)</f>
        <v>0.62539054666282456</v>
      </c>
      <c r="AP1414" s="28">
        <f>IF(('Activity data'!BI8*EF!$H39*EF!$H57)*NtoN2O*kgtoGg=0,"NO",('Activity data'!BI8*EF!$H39*EF!$H57)*NtoN2O*kgtoGg)</f>
        <v>0.63282578397368294</v>
      </c>
      <c r="AQ1414" s="28">
        <f>IF(('Activity data'!BJ8*EF!$H39*EF!$H57)*NtoN2O*kgtoGg=0,"NO",('Activity data'!BJ8*EF!$H39*EF!$H57)*NtoN2O*kgtoGg)</f>
        <v>0.6399775293303559</v>
      </c>
      <c r="AR1414" s="28">
        <f>IF(('Activity data'!BK8*EF!$H39*EF!$H57)*NtoN2O*kgtoGg=0,"NO",('Activity data'!BK8*EF!$H39*EF!$H57)*NtoN2O*kgtoGg)</f>
        <v>0.64779293053044351</v>
      </c>
      <c r="AS1414" s="28">
        <f>IF(('Activity data'!BL8*EF!$H39*EF!$H57)*NtoN2O*kgtoGg=0,"NO",('Activity data'!BL8*EF!$H39*EF!$H57)*NtoN2O*kgtoGg)</f>
        <v>0.6554480309562406</v>
      </c>
      <c r="AT1414" s="28">
        <f>IF(('Activity data'!BM8*EF!$H39*EF!$H57)*NtoN2O*kgtoGg=0,"NO",('Activity data'!BM8*EF!$H39*EF!$H57)*NtoN2O*kgtoGg)</f>
        <v>0.65387085498126252</v>
      </c>
      <c r="AU1414" s="28">
        <f>IF(('Activity data'!BN8*EF!$H39*EF!$H57)*NtoN2O*kgtoGg=0,"NO",('Activity data'!BN8*EF!$H39*EF!$H57)*NtoN2O*kgtoGg)</f>
        <v>0.65139607098171814</v>
      </c>
      <c r="AV1414" s="28">
        <f>IF(('Activity data'!BO8*EF!$H39*EF!$H57)*NtoN2O*kgtoGg=0,"NO",('Activity data'!BO8*EF!$H39*EF!$H57)*NtoN2O*kgtoGg)</f>
        <v>0.64976027386415824</v>
      </c>
      <c r="AW1414" s="28">
        <f>IF(('Activity data'!BP8*EF!$H39*EF!$H57)*NtoN2O*kgtoGg=0,"NO",('Activity data'!BP8*EF!$H39*EF!$H57)*NtoN2O*kgtoGg)</f>
        <v>0.64732609029644417</v>
      </c>
    </row>
    <row r="1415" spans="1:49" x14ac:dyDescent="0.25">
      <c r="A1415" s="102" t="s">
        <v>961</v>
      </c>
      <c r="B1415" s="102"/>
      <c r="C1415" s="102"/>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8">
        <f>IF(('Activity data'!AD9*EF!$H40*EF!$H58)*NtoN2O*kgtoGg=0,"NO",('Activity data'!AD9*EF!$H40*EF!$H58)*NtoN2O*kgtoGg)</f>
        <v>0.80849535264982253</v>
      </c>
      <c r="L1415" s="28">
        <f>IF(('Activity data'!AE9*EF!$H40*EF!$H58)*NtoN2O*kgtoGg=0,"NO",('Activity data'!AE9*EF!$H40*EF!$H58)*NtoN2O*kgtoGg)</f>
        <v>0.80437912725905281</v>
      </c>
      <c r="M1415" s="28">
        <f>IF(('Activity data'!AF9*EF!$H40*EF!$H58)*NtoN2O*kgtoGg=0,"NO",('Activity data'!AF9*EF!$H40*EF!$H58)*NtoN2O*kgtoGg)</f>
        <v>0.79686626203308752</v>
      </c>
      <c r="N1415" s="28">
        <f>IF(('Activity data'!AG9*EF!$H40*EF!$H58)*NtoN2O*kgtoGg=0,"NO",('Activity data'!AG9*EF!$H40*EF!$H58)*NtoN2O*kgtoGg)</f>
        <v>0.77630142718465789</v>
      </c>
      <c r="O1415" s="28">
        <f>IF(('Activity data'!AH9*EF!$H40*EF!$H58)*NtoN2O*kgtoGg=0,"NO",('Activity data'!AH9*EF!$H40*EF!$H58)*NtoN2O*kgtoGg)</f>
        <v>0.75655725333024249</v>
      </c>
      <c r="P1415" s="28">
        <f>IF(('Activity data'!AI9*EF!$H40*EF!$H58)*NtoN2O*kgtoGg=0,"NO",('Activity data'!AI9*EF!$H40*EF!$H58)*NtoN2O*kgtoGg)</f>
        <v>0.75009432720048652</v>
      </c>
      <c r="Q1415" s="28">
        <f>IF(('Activity data'!AJ9*EF!$H40*EF!$H58)*NtoN2O*kgtoGg=0,"NO",('Activity data'!AJ9*EF!$H40*EF!$H58)*NtoN2O*kgtoGg)</f>
        <v>0.73965601389251134</v>
      </c>
      <c r="R1415" s="28">
        <f>IF(('Activity data'!AK9*EF!$H40*EF!$H58)*NtoN2O*kgtoGg=0,"NO",('Activity data'!AK9*EF!$H40*EF!$H58)*NtoN2O*kgtoGg)</f>
        <v>0.71620315700184167</v>
      </c>
      <c r="S1415" s="28">
        <f>IF(('Activity data'!AL9*EF!$H40*EF!$H58)*NtoN2O*kgtoGg=0,"NO",('Activity data'!AL9*EF!$H40*EF!$H58)*NtoN2O*kgtoGg)</f>
        <v>0.63751641362897982</v>
      </c>
      <c r="T1415" s="28">
        <f>IF(('Activity data'!AM9*EF!$H40*EF!$H58)*NtoN2O*kgtoGg=0,"NO",('Activity data'!AM9*EF!$H40*EF!$H58)*NtoN2O*kgtoGg)</f>
        <v>0.65309402477786682</v>
      </c>
      <c r="U1415" s="28">
        <f>IF(('Activity data'!AN9*EF!$H40*EF!$H58)*NtoN2O*kgtoGg=0,"NO",('Activity data'!AN9*EF!$H40*EF!$H58)*NtoN2O*kgtoGg)</f>
        <v>0.66150790199236797</v>
      </c>
      <c r="V1415" s="28">
        <f>IF(('Activity data'!AO9*EF!$H40*EF!$H58)*NtoN2O*kgtoGg=0,"NO",('Activity data'!AO9*EF!$H40*EF!$H58)*NtoN2O*kgtoGg)</f>
        <v>0.66819547940040647</v>
      </c>
      <c r="W1415" s="28">
        <f>IF(('Activity data'!AP9*EF!$H40*EF!$H58)*NtoN2O*kgtoGg=0,"NO",('Activity data'!AP9*EF!$H40*EF!$H58)*NtoN2O*kgtoGg)</f>
        <v>0.67718315326026413</v>
      </c>
      <c r="X1415" s="28">
        <f>IF(('Activity data'!AQ9*EF!$H40*EF!$H58)*NtoN2O*kgtoGg=0,"NO",('Activity data'!AQ9*EF!$H40*EF!$H58)*NtoN2O*kgtoGg)</f>
        <v>0.69443825624094591</v>
      </c>
      <c r="Y1415" s="28">
        <f>IF(('Activity data'!AR9*EF!$H40*EF!$H58)*NtoN2O*kgtoGg=0,"NO",('Activity data'!AR9*EF!$H40*EF!$H58)*NtoN2O*kgtoGg)</f>
        <v>0.7133235674163364</v>
      </c>
      <c r="Z1415" s="28">
        <f>IF(('Activity data'!AS9*EF!$H40*EF!$H58)*NtoN2O*kgtoGg=0,"NO",('Activity data'!AS9*EF!$H40*EF!$H58)*NtoN2O*kgtoGg)</f>
        <v>0.73390109548195415</v>
      </c>
      <c r="AA1415" s="28">
        <f>IF(('Activity data'!AT9*EF!$H40*EF!$H58)*NtoN2O*kgtoGg=0,"NO",('Activity data'!AT9*EF!$H40*EF!$H58)*NtoN2O*kgtoGg)</f>
        <v>0.75067957259671325</v>
      </c>
      <c r="AB1415" s="28">
        <f>IF(('Activity data'!AU9*EF!$H40*EF!$H58)*NtoN2O*kgtoGg=0,"NO",('Activity data'!AU9*EF!$H40*EF!$H58)*NtoN2O*kgtoGg)</f>
        <v>0.7708199457872037</v>
      </c>
      <c r="AC1415" s="28">
        <f>IF(('Activity data'!AV9*EF!$H40*EF!$H58)*NtoN2O*kgtoGg=0,"NO",('Activity data'!AV9*EF!$H40*EF!$H58)*NtoN2O*kgtoGg)</f>
        <v>0.79507948419660579</v>
      </c>
      <c r="AD1415" s="28">
        <f>IF(('Activity data'!AW9*EF!$H40*EF!$H58)*NtoN2O*kgtoGg=0,"NO",('Activity data'!AW9*EF!$H40*EF!$H58)*NtoN2O*kgtoGg)</f>
        <v>0.81105993723558278</v>
      </c>
      <c r="AE1415" s="28">
        <f>IF(('Activity data'!AX9*EF!$H40*EF!$H58)*NtoN2O*kgtoGg=0,"NO",('Activity data'!AX9*EF!$H40*EF!$H58)*NtoN2O*kgtoGg)</f>
        <v>0.82738341762854573</v>
      </c>
      <c r="AF1415" s="28">
        <f>IF(('Activity data'!AY9*EF!$H40*EF!$H58)*NtoN2O*kgtoGg=0,"NO",('Activity data'!AY9*EF!$H40*EF!$H58)*NtoN2O*kgtoGg)</f>
        <v>0.84328912522412203</v>
      </c>
      <c r="AG1415" s="28">
        <f>IF(('Activity data'!AZ9*EF!$H40*EF!$H58)*NtoN2O*kgtoGg=0,"NO",('Activity data'!AZ9*EF!$H40*EF!$H58)*NtoN2O*kgtoGg)</f>
        <v>0.86169076187892979</v>
      </c>
      <c r="AH1415" s="28">
        <f>IF(('Activity data'!BA9*EF!$H40*EF!$H58)*NtoN2O*kgtoGg=0,"NO",('Activity data'!BA9*EF!$H40*EF!$H58)*NtoN2O*kgtoGg)</f>
        <v>0.8748038734793715</v>
      </c>
      <c r="AI1415" s="28">
        <f>IF(('Activity data'!BB9*EF!$H40*EF!$H58)*NtoN2O*kgtoGg=0,"NO",('Activity data'!BB9*EF!$H40*EF!$H58)*NtoN2O*kgtoGg)</f>
        <v>0.88861833264858248</v>
      </c>
      <c r="AJ1415" s="28">
        <f>IF(('Activity data'!BC9*EF!$H40*EF!$H58)*NtoN2O*kgtoGg=0,"NO",('Activity data'!BC9*EF!$H40*EF!$H58)*NtoN2O*kgtoGg)</f>
        <v>0.90183752823015395</v>
      </c>
      <c r="AK1415" s="28">
        <f>IF(('Activity data'!BD9*EF!$H40*EF!$H58)*NtoN2O*kgtoGg=0,"NO",('Activity data'!BD9*EF!$H40*EF!$H58)*NtoN2O*kgtoGg)</f>
        <v>0.9125173765829987</v>
      </c>
      <c r="AL1415" s="28">
        <f>IF(('Activity data'!BE9*EF!$H40*EF!$H58)*NtoN2O*kgtoGg=0,"NO",('Activity data'!BE9*EF!$H40*EF!$H58)*NtoN2O*kgtoGg)</f>
        <v>0.92202190309382137</v>
      </c>
      <c r="AM1415" s="28">
        <f>IF(('Activity data'!BF9*EF!$H40*EF!$H58)*NtoN2O*kgtoGg=0,"NO",('Activity data'!BF9*EF!$H40*EF!$H58)*NtoN2O*kgtoGg)</f>
        <v>0.93148375549453255</v>
      </c>
      <c r="AN1415" s="28">
        <f>IF(('Activity data'!BG9*EF!$H40*EF!$H58)*NtoN2O*kgtoGg=0,"NO",('Activity data'!BG9*EF!$H40*EF!$H58)*NtoN2O*kgtoGg)</f>
        <v>0.94604701220913134</v>
      </c>
      <c r="AO1415" s="28">
        <f>IF(('Activity data'!BH9*EF!$H40*EF!$H58)*NtoN2O*kgtoGg=0,"NO",('Activity data'!BH9*EF!$H40*EF!$H58)*NtoN2O*kgtoGg)</f>
        <v>0.95790712026741442</v>
      </c>
      <c r="AP1415" s="28">
        <f>IF(('Activity data'!BI9*EF!$H40*EF!$H58)*NtoN2O*kgtoGg=0,"NO",('Activity data'!BI9*EF!$H40*EF!$H58)*NtoN2O*kgtoGg)</f>
        <v>0.96929563069334712</v>
      </c>
      <c r="AQ1415" s="28">
        <f>IF(('Activity data'!BJ9*EF!$H40*EF!$H58)*NtoN2O*kgtoGg=0,"NO",('Activity data'!BJ9*EF!$H40*EF!$H58)*NtoN2O*kgtoGg)</f>
        <v>0.98024991811590712</v>
      </c>
      <c r="AR1415" s="28">
        <f>IF(('Activity data'!BK9*EF!$H40*EF!$H58)*NtoN2O*kgtoGg=0,"NO",('Activity data'!BK9*EF!$H40*EF!$H58)*NtoN2O*kgtoGg)</f>
        <v>0.99222072339471901</v>
      </c>
      <c r="AS1415" s="28">
        <f>IF(('Activity data'!BL9*EF!$H40*EF!$H58)*NtoN2O*kgtoGg=0,"NO",('Activity data'!BL9*EF!$H40*EF!$H58)*NtoN2O*kgtoGg)</f>
        <v>1.0039459968951938</v>
      </c>
      <c r="AT1415" s="28">
        <f>IF(('Activity data'!BM9*EF!$H40*EF!$H58)*NtoN2O*kgtoGg=0,"NO",('Activity data'!BM9*EF!$H40*EF!$H58)*NtoN2O*kgtoGg)</f>
        <v>1.0015302454828838</v>
      </c>
      <c r="AU1415" s="28">
        <f>IF(('Activity data'!BN9*EF!$H40*EF!$H58)*NtoN2O*kgtoGg=0,"NO",('Activity data'!BN9*EF!$H40*EF!$H58)*NtoN2O*kgtoGg)</f>
        <v>0.99773963299771362</v>
      </c>
      <c r="AV1415" s="28">
        <f>IF(('Activity data'!BO9*EF!$H40*EF!$H58)*NtoN2O*kgtoGg=0,"NO",('Activity data'!BO9*EF!$H40*EF!$H58)*NtoN2O*kgtoGg)</f>
        <v>0.99523409191688805</v>
      </c>
      <c r="AW1415" s="28">
        <f>IF(('Activity data'!BP9*EF!$H40*EF!$H58)*NtoN2O*kgtoGg=0,"NO",('Activity data'!BP9*EF!$H40*EF!$H58)*NtoN2O*kgtoGg)</f>
        <v>0.99150566688073472</v>
      </c>
    </row>
    <row r="1416" spans="1:49" x14ac:dyDescent="0.25">
      <c r="A1416" s="102" t="s">
        <v>961</v>
      </c>
      <c r="B1416" s="102"/>
      <c r="C1416" s="102"/>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8">
        <f>IF(('Activity data'!AD10*EF!$H41*EF!$H59)*NtoN2O*kgtoGg=0,"NO",('Activity data'!AD10*EF!$H41*EF!$H59)*NtoN2O*kgtoGg)</f>
        <v>0.98205986457809369</v>
      </c>
      <c r="L1416" s="28">
        <f>IF(('Activity data'!AE10*EF!$H41*EF!$H59)*NtoN2O*kgtoGg=0,"NO",('Activity data'!AE10*EF!$H41*EF!$H59)*NtoN2O*kgtoGg)</f>
        <v>1.0186966250855221</v>
      </c>
      <c r="M1416" s="28">
        <f>IF(('Activity data'!AF10*EF!$H41*EF!$H59)*NtoN2O*kgtoGg=0,"NO",('Activity data'!AF10*EF!$H41*EF!$H59)*NtoN2O*kgtoGg)</f>
        <v>1.0516100331905254</v>
      </c>
      <c r="N1416" s="28">
        <f>IF(('Activity data'!AG10*EF!$H41*EF!$H59)*NtoN2O*kgtoGg=0,"NO",('Activity data'!AG10*EF!$H41*EF!$H59)*NtoN2O*kgtoGg)</f>
        <v>1.0670554052779846</v>
      </c>
      <c r="O1416" s="28">
        <f>IF(('Activity data'!AH10*EF!$H41*EF!$H59)*NtoN2O*kgtoGg=0,"NO",('Activity data'!AH10*EF!$H41*EF!$H59)*NtoN2O*kgtoGg)</f>
        <v>1.0827371051777117</v>
      </c>
      <c r="P1416" s="28">
        <f>IF(('Activity data'!AI10*EF!$H41*EF!$H59)*NtoN2O*kgtoGg=0,"NO",('Activity data'!AI10*EF!$H41*EF!$H59)*NtoN2O*kgtoGg)</f>
        <v>1.1173522594931429</v>
      </c>
      <c r="Q1416" s="28">
        <f>IF(('Activity data'!AJ10*EF!$H41*EF!$H59)*NtoN2O*kgtoGg=0,"NO",('Activity data'!AJ10*EF!$H41*EF!$H59)*NtoN2O*kgtoGg)</f>
        <v>1.1465503025323129</v>
      </c>
      <c r="R1416" s="28">
        <f>IF(('Activity data'!AK10*EF!$H41*EF!$H59)*NtoN2O*kgtoGg=0,"NO",('Activity data'!AK10*EF!$H41*EF!$H59)*NtoN2O*kgtoGg)</f>
        <v>1.1550738596088039</v>
      </c>
      <c r="S1416" s="28">
        <f>IF(('Activity data'!AL10*EF!$H41*EF!$H59)*NtoN2O*kgtoGg=0,"NO",('Activity data'!AL10*EF!$H41*EF!$H59)*NtoN2O*kgtoGg)</f>
        <v>1.0695943528873249</v>
      </c>
      <c r="T1416" s="28">
        <f>IF(('Activity data'!AM10*EF!$H41*EF!$H59)*NtoN2O*kgtoGg=0,"NO",('Activity data'!AM10*EF!$H41*EF!$H59)*NtoN2O*kgtoGg)</f>
        <v>1.1219950081899948</v>
      </c>
      <c r="U1416" s="28">
        <f>IF(('Activity data'!AN10*EF!$H41*EF!$H59)*NtoN2O*kgtoGg=0,"NO",('Activity data'!AN10*EF!$H41*EF!$H59)*NtoN2O*kgtoGg)</f>
        <v>1.1633173415255618</v>
      </c>
      <c r="V1416" s="28">
        <f>IF(('Activity data'!AO10*EF!$H41*EF!$H59)*NtoN2O*kgtoGg=0,"NO",('Activity data'!AO10*EF!$H41*EF!$H59)*NtoN2O*kgtoGg)</f>
        <v>1.2025059899255817</v>
      </c>
      <c r="W1416" s="28">
        <f>IF(('Activity data'!AP10*EF!$H41*EF!$H59)*NtoN2O*kgtoGg=0,"NO",('Activity data'!AP10*EF!$H41*EF!$H59)*NtoN2O*kgtoGg)</f>
        <v>1.2467916832467774</v>
      </c>
      <c r="X1416" s="28">
        <f>IF(('Activity data'!AQ10*EF!$H41*EF!$H59)*NtoN2O*kgtoGg=0,"NO",('Activity data'!AQ10*EF!$H41*EF!$H59)*NtoN2O*kgtoGg)</f>
        <v>1.3077319490194745</v>
      </c>
      <c r="Y1416" s="28">
        <f>IF(('Activity data'!AR10*EF!$H41*EF!$H59)*NtoN2O*kgtoGg=0,"NO",('Activity data'!AR10*EF!$H41*EF!$H59)*NtoN2O*kgtoGg)</f>
        <v>1.3736346071286145</v>
      </c>
      <c r="Z1416" s="28">
        <f>IF(('Activity data'!AS10*EF!$H41*EF!$H59)*NtoN2O*kgtoGg=0,"NO",('Activity data'!AS10*EF!$H41*EF!$H59)*NtoN2O*kgtoGg)</f>
        <v>1.444880911122689</v>
      </c>
      <c r="AA1416" s="28">
        <f>IF(('Activity data'!AT10*EF!$H41*EF!$H59)*NtoN2O*kgtoGg=0,"NO",('Activity data'!AT10*EF!$H41*EF!$H59)*NtoN2O*kgtoGg)</f>
        <v>1.5106946759567434</v>
      </c>
      <c r="AB1416" s="28">
        <f>IF(('Activity data'!AU10*EF!$H41*EF!$H59)*NtoN2O*kgtoGg=0,"NO",('Activity data'!AU10*EF!$H41*EF!$H59)*NtoN2O*kgtoGg)</f>
        <v>1.5853572340052999</v>
      </c>
      <c r="AC1416" s="28">
        <f>IF(('Activity data'!AV10*EF!$H41*EF!$H59)*NtoN2O*kgtoGg=0,"NO",('Activity data'!AV10*EF!$H41*EF!$H59)*NtoN2O*kgtoGg)</f>
        <v>1.6709659686150751</v>
      </c>
      <c r="AD1416" s="28">
        <f>IF(('Activity data'!AW10*EF!$H41*EF!$H59)*NtoN2O*kgtoGg=0,"NO",('Activity data'!AW10*EF!$H41*EF!$H59)*NtoN2O*kgtoGg)</f>
        <v>1.7608921819876218</v>
      </c>
      <c r="AE1416" s="28">
        <f>IF(('Activity data'!AX10*EF!$H41*EF!$H59)*NtoN2O*kgtoGg=0,"NO",('Activity data'!AX10*EF!$H41*EF!$H59)*NtoN2O*kgtoGg)</f>
        <v>1.8558227828840355</v>
      </c>
      <c r="AF1416" s="28">
        <f>IF(('Activity data'!AY10*EF!$H41*EF!$H59)*NtoN2O*kgtoGg=0,"NO",('Activity data'!AY10*EF!$H41*EF!$H59)*NtoN2O*kgtoGg)</f>
        <v>1.9543039033617708</v>
      </c>
      <c r="AG1416" s="28">
        <f>IF(('Activity data'!AZ10*EF!$H41*EF!$H59)*NtoN2O*kgtoGg=0,"NO",('Activity data'!AZ10*EF!$H41*EF!$H59)*NtoN2O*kgtoGg)</f>
        <v>2.0634682331223644</v>
      </c>
      <c r="AH1416" s="28">
        <f>IF(('Activity data'!BA10*EF!$H41*EF!$H59)*NtoN2O*kgtoGg=0,"NO",('Activity data'!BA10*EF!$H41*EF!$H59)*NtoN2O*kgtoGg)</f>
        <v>2.1649176431538755</v>
      </c>
      <c r="AI1416" s="28">
        <f>IF(('Activity data'!BB10*EF!$H41*EF!$H59)*NtoN2O*kgtoGg=0,"NO",('Activity data'!BB10*EF!$H41*EF!$H59)*NtoN2O*kgtoGg)</f>
        <v>2.2729641706273069</v>
      </c>
      <c r="AJ1416" s="28">
        <f>IF(('Activity data'!BC10*EF!$H41*EF!$H59)*NtoN2O*kgtoGg=0,"NO",('Activity data'!BC10*EF!$H41*EF!$H59)*NtoN2O*kgtoGg)</f>
        <v>2.3846427633469691</v>
      </c>
      <c r="AK1416" s="28">
        <f>IF(('Activity data'!BD10*EF!$H41*EF!$H59)*NtoN2O*kgtoGg=0,"NO",('Activity data'!BD10*EF!$H41*EF!$H59)*NtoN2O*kgtoGg)</f>
        <v>2.4947887072389494</v>
      </c>
      <c r="AL1416" s="28">
        <f>IF(('Activity data'!BE10*EF!$H41*EF!$H59)*NtoN2O*kgtoGg=0,"NO",('Activity data'!BE10*EF!$H41*EF!$H59)*NtoN2O*kgtoGg)</f>
        <v>2.6068756949224299</v>
      </c>
      <c r="AM1416" s="28">
        <f>IF(('Activity data'!BF10*EF!$H41*EF!$H59)*NtoN2O*kgtoGg=0,"NO",('Activity data'!BF10*EF!$H41*EF!$H59)*NtoN2O*kgtoGg)</f>
        <v>2.7241988792314307</v>
      </c>
      <c r="AN1416" s="28">
        <f>IF(('Activity data'!BG10*EF!$H41*EF!$H59)*NtoN2O*kgtoGg=0,"NO",('Activity data'!BG10*EF!$H41*EF!$H59)*NtoN2O*kgtoGg)</f>
        <v>2.844574694525166</v>
      </c>
      <c r="AO1416" s="28">
        <f>IF(('Activity data'!BH10*EF!$H41*EF!$H59)*NtoN2O*kgtoGg=0,"NO",('Activity data'!BH10*EF!$H41*EF!$H59)*NtoN2O*kgtoGg)</f>
        <v>2.9614918045068643</v>
      </c>
      <c r="AP1416" s="28">
        <f>IF(('Activity data'!BI10*EF!$H41*EF!$H59)*NtoN2O*kgtoGg=0,"NO",('Activity data'!BI10*EF!$H41*EF!$H59)*NtoN2O*kgtoGg)</f>
        <v>3.0815745118174522</v>
      </c>
      <c r="AQ1416" s="28">
        <f>IF(('Activity data'!BJ10*EF!$H41*EF!$H59)*NtoN2O*kgtoGg=0,"NO",('Activity data'!BJ10*EF!$H41*EF!$H59)*NtoN2O*kgtoGg)</f>
        <v>3.2050489971777192</v>
      </c>
      <c r="AR1416" s="28">
        <f>IF(('Activity data'!BK10*EF!$H41*EF!$H59)*NtoN2O*kgtoGg=0,"NO",('Activity data'!BK10*EF!$H41*EF!$H59)*NtoN2O*kgtoGg)</f>
        <v>3.3369151668424974</v>
      </c>
      <c r="AS1416" s="28">
        <f>IF(('Activity data'!BL10*EF!$H41*EF!$H59)*NtoN2O*kgtoGg=0,"NO",('Activity data'!BL10*EF!$H41*EF!$H59)*NtoN2O*kgtoGg)</f>
        <v>3.4733559158161165</v>
      </c>
      <c r="AT1416" s="28">
        <f>IF(('Activity data'!BM10*EF!$H41*EF!$H59)*NtoN2O*kgtoGg=0,"NO",('Activity data'!BM10*EF!$H41*EF!$H59)*NtoN2O*kgtoGg)</f>
        <v>3.5651160309626517</v>
      </c>
      <c r="AU1416" s="28">
        <f>IF(('Activity data'!BN10*EF!$H41*EF!$H59)*NtoN2O*kgtoGg=0,"NO",('Activity data'!BN10*EF!$H41*EF!$H59)*NtoN2O*kgtoGg)</f>
        <v>3.6548683550042269</v>
      </c>
      <c r="AV1416" s="28">
        <f>IF(('Activity data'!BO10*EF!$H41*EF!$H59)*NtoN2O*kgtoGg=0,"NO",('Activity data'!BO10*EF!$H41*EF!$H59)*NtoN2O*kgtoGg)</f>
        <v>3.7523616710832552</v>
      </c>
      <c r="AW1416" s="28">
        <f>IF(('Activity data'!BP10*EF!$H41*EF!$H59)*NtoN2O*kgtoGg=0,"NO",('Activity data'!BP10*EF!$H41*EF!$H59)*NtoN2O*kgtoGg)</f>
        <v>3.8484469226935669</v>
      </c>
    </row>
    <row r="1417" spans="1:49" x14ac:dyDescent="0.25">
      <c r="A1417" s="102" t="s">
        <v>961</v>
      </c>
      <c r="B1417" s="102"/>
      <c r="C1417" s="102"/>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8">
        <f>IF(('Activity data'!AD11*EF!$H42*EF!$H60)*NtoN2O*kgtoGg=0,"NO",('Activity data'!AD11*EF!$H42*EF!$H60)*NtoN2O*kgtoGg)</f>
        <v>0.11717139101759612</v>
      </c>
      <c r="L1417" s="28">
        <f>IF(('Activity data'!AE11*EF!$H42*EF!$H60)*NtoN2O*kgtoGg=0,"NO",('Activity data'!AE11*EF!$H42*EF!$H60)*NtoN2O*kgtoGg)</f>
        <v>0.11723462618367245</v>
      </c>
      <c r="M1417" s="28">
        <f>IF(('Activity data'!AF11*EF!$H42*EF!$H60)*NtoN2O*kgtoGg=0,"NO",('Activity data'!AF11*EF!$H42*EF!$H60)*NtoN2O*kgtoGg)</f>
        <v>0.11737999843906115</v>
      </c>
      <c r="N1417" s="28">
        <f>IF(('Activity data'!AG11*EF!$H42*EF!$H60)*NtoN2O*kgtoGg=0,"NO",('Activity data'!AG11*EF!$H42*EF!$H60)*NtoN2O*kgtoGg)</f>
        <v>0.1175958170956644</v>
      </c>
      <c r="O1417" s="28">
        <f>IF(('Activity data'!AH11*EF!$H42*EF!$H60)*NtoN2O*kgtoGg=0,"NO",('Activity data'!AH11*EF!$H42*EF!$H60)*NtoN2O*kgtoGg)</f>
        <v>0.1178871134646596</v>
      </c>
      <c r="P1417" s="28">
        <f>IF(('Activity data'!AI11*EF!$H42*EF!$H60)*NtoN2O*kgtoGg=0,"NO",('Activity data'!AI11*EF!$H42*EF!$H60)*NtoN2O*kgtoGg)</f>
        <v>0.11825974180541671</v>
      </c>
      <c r="Q1417" s="28">
        <f>IF(('Activity data'!AJ11*EF!$H42*EF!$H60)*NtoN2O*kgtoGg=0,"NO",('Activity data'!AJ11*EF!$H42*EF!$H60)*NtoN2O*kgtoGg)</f>
        <v>0.11867033947255794</v>
      </c>
      <c r="R1417" s="28">
        <f>IF(('Activity data'!AK11*EF!$H42*EF!$H60)*NtoN2O*kgtoGg=0,"NO",('Activity data'!AK11*EF!$H42*EF!$H60)*NtoN2O*kgtoGg)</f>
        <v>0.11911252923744317</v>
      </c>
      <c r="S1417" s="28">
        <f>IF(('Activity data'!AL11*EF!$H42*EF!$H60)*NtoN2O*kgtoGg=0,"NO",('Activity data'!AL11*EF!$H42*EF!$H60)*NtoN2O*kgtoGg)</f>
        <v>0.11955062486439895</v>
      </c>
      <c r="T1417" s="28">
        <f>IF(('Activity data'!AM11*EF!$H42*EF!$H60)*NtoN2O*kgtoGg=0,"NO",('Activity data'!AM11*EF!$H42*EF!$H60)*NtoN2O*kgtoGg)</f>
        <v>0.11972991314052749</v>
      </c>
      <c r="U1417" s="28">
        <f>IF(('Activity data'!AN11*EF!$H42*EF!$H60)*NtoN2O*kgtoGg=0,"NO",('Activity data'!AN11*EF!$H42*EF!$H60)*NtoN2O*kgtoGg)</f>
        <v>0.11993350054454542</v>
      </c>
      <c r="V1417" s="28">
        <f>IF(('Activity data'!AO11*EF!$H42*EF!$H60)*NtoN2O*kgtoGg=0,"NO",('Activity data'!AO11*EF!$H42*EF!$H60)*NtoN2O*kgtoGg)</f>
        <v>0.12016374349275831</v>
      </c>
      <c r="W1417" s="28">
        <f>IF(('Activity data'!AP11*EF!$H42*EF!$H60)*NtoN2O*kgtoGg=0,"NO",('Activity data'!AP11*EF!$H42*EF!$H60)*NtoN2O*kgtoGg)</f>
        <v>0.12042231214139444</v>
      </c>
      <c r="X1417" s="28">
        <f>IF(('Activity data'!AQ11*EF!$H42*EF!$H60)*NtoN2O*kgtoGg=0,"NO",('Activity data'!AQ11*EF!$H42*EF!$H60)*NtoN2O*kgtoGg)</f>
        <v>0.12071286205990268</v>
      </c>
      <c r="Y1417" s="28">
        <f>IF(('Activity data'!AR11*EF!$H42*EF!$H60)*NtoN2O*kgtoGg=0,"NO",('Activity data'!AR11*EF!$H42*EF!$H60)*NtoN2O*kgtoGg)</f>
        <v>0.12089554719264045</v>
      </c>
      <c r="Z1417" s="28">
        <f>IF(('Activity data'!AS11*EF!$H42*EF!$H60)*NtoN2O*kgtoGg=0,"NO",('Activity data'!AS11*EF!$H42*EF!$H60)*NtoN2O*kgtoGg)</f>
        <v>0.12110125995232866</v>
      </c>
      <c r="AA1417" s="28">
        <f>IF(('Activity data'!AT11*EF!$H42*EF!$H60)*NtoN2O*kgtoGg=0,"NO",('Activity data'!AT11*EF!$H42*EF!$H60)*NtoN2O*kgtoGg)</f>
        <v>0.12132427506998271</v>
      </c>
      <c r="AB1417" s="28">
        <f>IF(('Activity data'!AU11*EF!$H42*EF!$H60)*NtoN2O*kgtoGg=0,"NO",('Activity data'!AU11*EF!$H42*EF!$H60)*NtoN2O*kgtoGg)</f>
        <v>0.12156982110770359</v>
      </c>
      <c r="AC1417" s="28">
        <f>IF(('Activity data'!AV11*EF!$H42*EF!$H60)*NtoN2O*kgtoGg=0,"NO",('Activity data'!AV11*EF!$H42*EF!$H60)*NtoN2O*kgtoGg)</f>
        <v>0.12183786994920162</v>
      </c>
      <c r="AD1417" s="28">
        <f>IF(('Activity data'!AW11*EF!$H42*EF!$H60)*NtoN2O*kgtoGg=0,"NO",('Activity data'!AW11*EF!$H42*EF!$H60)*NtoN2O*kgtoGg)</f>
        <v>0.12201528623614287</v>
      </c>
      <c r="AE1417" s="28">
        <f>IF(('Activity data'!AX11*EF!$H42*EF!$H60)*NtoN2O*kgtoGg=0,"NO",('Activity data'!AX11*EF!$H42*EF!$H60)*NtoN2O*kgtoGg)</f>
        <v>0.12220996410772501</v>
      </c>
      <c r="AF1417" s="28">
        <f>IF(('Activity data'!AY11*EF!$H42*EF!$H60)*NtoN2O*kgtoGg=0,"NO",('Activity data'!AY11*EF!$H42*EF!$H60)*NtoN2O*kgtoGg)</f>
        <v>0.1224205957767</v>
      </c>
      <c r="AG1417" s="28">
        <f>IF(('Activity data'!AZ11*EF!$H42*EF!$H60)*NtoN2O*kgtoGg=0,"NO",('Activity data'!AZ11*EF!$H42*EF!$H60)*NtoN2O*kgtoGg)</f>
        <v>0.12264946134615734</v>
      </c>
      <c r="AH1417" s="28">
        <f>IF(('Activity data'!BA11*EF!$H42*EF!$H60)*NtoN2O*kgtoGg=0,"NO",('Activity data'!BA11*EF!$H42*EF!$H60)*NtoN2O*kgtoGg)</f>
        <v>0.12288846185835746</v>
      </c>
      <c r="AI1417" s="28">
        <f>IF(('Activity data'!BB11*EF!$H42*EF!$H60)*NtoN2O*kgtoGg=0,"NO",('Activity data'!BB11*EF!$H42*EF!$H60)*NtoN2O*kgtoGg)</f>
        <v>0.12304136792276418</v>
      </c>
      <c r="AJ1417" s="28">
        <f>IF(('Activity data'!BC11*EF!$H42*EF!$H60)*NtoN2O*kgtoGg=0,"NO",('Activity data'!BC11*EF!$H42*EF!$H60)*NtoN2O*kgtoGg)</f>
        <v>0.12320724493915225</v>
      </c>
      <c r="AK1417" s="28">
        <f>IF(('Activity data'!BD11*EF!$H42*EF!$H60)*NtoN2O*kgtoGg=0,"NO",('Activity data'!BD11*EF!$H42*EF!$H60)*NtoN2O*kgtoGg)</f>
        <v>0.12338358070705197</v>
      </c>
      <c r="AL1417" s="28">
        <f>IF(('Activity data'!BE11*EF!$H42*EF!$H60)*NtoN2O*kgtoGg=0,"NO",('Activity data'!BE11*EF!$H42*EF!$H60)*NtoN2O*kgtoGg)</f>
        <v>0.12357134049580157</v>
      </c>
      <c r="AM1417" s="28">
        <f>IF(('Activity data'!BF11*EF!$H42*EF!$H60)*NtoN2O*kgtoGg=0,"NO",('Activity data'!BF11*EF!$H42*EF!$H60)*NtoN2O*kgtoGg)</f>
        <v>0.12377140391233164</v>
      </c>
      <c r="AN1417" s="28">
        <f>IF(('Activity data'!BG11*EF!$H42*EF!$H60)*NtoN2O*kgtoGg=0,"NO",('Activity data'!BG11*EF!$H42*EF!$H60)*NtoN2O*kgtoGg)</f>
        <v>0.1238893184922704</v>
      </c>
      <c r="AO1417" s="28">
        <f>IF(('Activity data'!BH11*EF!$H42*EF!$H60)*NtoN2O*kgtoGg=0,"NO",('Activity data'!BH11*EF!$H42*EF!$H60)*NtoN2O*kgtoGg)</f>
        <v>0.12401495917055069</v>
      </c>
      <c r="AP1417" s="28">
        <f>IF(('Activity data'!BI11*EF!$H42*EF!$H60)*NtoN2O*kgtoGg=0,"NO",('Activity data'!BI11*EF!$H42*EF!$H60)*NtoN2O*kgtoGg)</f>
        <v>0.12415054004629532</v>
      </c>
      <c r="AQ1417" s="28">
        <f>IF(('Activity data'!BJ11*EF!$H42*EF!$H60)*NtoN2O*kgtoGg=0,"NO",('Activity data'!BJ11*EF!$H42*EF!$H60)*NtoN2O*kgtoGg)</f>
        <v>0.12429582194532131</v>
      </c>
      <c r="AR1417" s="28">
        <f>IF(('Activity data'!BK11*EF!$H42*EF!$H60)*NtoN2O*kgtoGg=0,"NO",('Activity data'!BK11*EF!$H42*EF!$H60)*NtoN2O*kgtoGg)</f>
        <v>0.12445236467960287</v>
      </c>
      <c r="AS1417" s="28">
        <f>IF(('Activity data'!BL11*EF!$H42*EF!$H60)*NtoN2O*kgtoGg=0,"NO",('Activity data'!BL11*EF!$H42*EF!$H60)*NtoN2O*kgtoGg)</f>
        <v>0.12452291839205781</v>
      </c>
      <c r="AT1417" s="28">
        <f>IF(('Activity data'!BM11*EF!$H42*EF!$H60)*NtoN2O*kgtoGg=0,"NO",('Activity data'!BM11*EF!$H42*EF!$H60)*NtoN2O*kgtoGg)</f>
        <v>0.12458415812408247</v>
      </c>
      <c r="AU1417" s="28">
        <f>IF(('Activity data'!BN11*EF!$H42*EF!$H60)*NtoN2O*kgtoGg=0,"NO",('Activity data'!BN11*EF!$H42*EF!$H60)*NtoN2O*kgtoGg)</f>
        <v>0.12465176490232828</v>
      </c>
      <c r="AV1417" s="28">
        <f>IF(('Activity data'!BO11*EF!$H42*EF!$H60)*NtoN2O*kgtoGg=0,"NO",('Activity data'!BO11*EF!$H42*EF!$H60)*NtoN2O*kgtoGg)</f>
        <v>0.12472905780449089</v>
      </c>
      <c r="AW1417" s="28">
        <f>IF(('Activity data'!BP11*EF!$H42*EF!$H60)*NtoN2O*kgtoGg=0,"NO",('Activity data'!BP11*EF!$H42*EF!$H60)*NtoN2O*kgtoGg)</f>
        <v>0.12481246580884831</v>
      </c>
    </row>
    <row r="1418" spans="1:49" x14ac:dyDescent="0.25">
      <c r="A1418" s="102" t="s">
        <v>961</v>
      </c>
      <c r="B1418" s="102"/>
      <c r="C1418" s="102"/>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8">
        <f>IF(('Activity data'!AD12*EF!$H43*EF!$H61)*NtoN2O*kgtoGg=0,"NO",('Activity data'!AD12*EF!$H43*EF!$H61)*NtoN2O*kgtoGg)</f>
        <v>6.2656398763200921E-2</v>
      </c>
      <c r="L1418" s="28">
        <f>IF(('Activity data'!AE12*EF!$H43*EF!$H61)*NtoN2O*kgtoGg=0,"NO",('Activity data'!AE12*EF!$H43*EF!$H61)*NtoN2O*kgtoGg)</f>
        <v>6.2690213227185057E-2</v>
      </c>
      <c r="M1418" s="28">
        <f>IF(('Activity data'!AF12*EF!$H43*EF!$H61)*NtoN2O*kgtoGg=0,"NO",('Activity data'!AF12*EF!$H43*EF!$H61)*NtoN2O*kgtoGg)</f>
        <v>6.276794979686845E-2</v>
      </c>
      <c r="N1418" s="28">
        <f>IF(('Activity data'!AG12*EF!$H43*EF!$H61)*NtoN2O*kgtoGg=0,"NO",('Activity data'!AG12*EF!$H43*EF!$H61)*NtoN2O*kgtoGg)</f>
        <v>6.2883356976822818E-2</v>
      </c>
      <c r="O1418" s="28">
        <f>IF(('Activity data'!AH12*EF!$H43*EF!$H61)*NtoN2O*kgtoGg=0,"NO",('Activity data'!AH12*EF!$H43*EF!$H61)*NtoN2O*kgtoGg)</f>
        <v>6.303912521764958E-2</v>
      </c>
      <c r="P1418" s="28">
        <f>IF(('Activity data'!AI12*EF!$H43*EF!$H61)*NtoN2O*kgtoGg=0,"NO",('Activity data'!AI12*EF!$H43*EF!$H61)*NtoN2O*kgtoGg)</f>
        <v>6.3238385034454531E-2</v>
      </c>
      <c r="Q1418" s="28">
        <f>IF(('Activity data'!AJ12*EF!$H43*EF!$H61)*NtoN2O*kgtoGg=0,"NO",('Activity data'!AJ12*EF!$H43*EF!$H61)*NtoN2O*kgtoGg)</f>
        <v>6.3457948623656765E-2</v>
      </c>
      <c r="R1418" s="28">
        <f>IF(('Activity data'!AK12*EF!$H43*EF!$H61)*NtoN2O*kgtoGg=0,"NO",('Activity data'!AK12*EF!$H43*EF!$H61)*NtoN2O*kgtoGg)</f>
        <v>6.3694405816808061E-2</v>
      </c>
      <c r="S1418" s="28">
        <f>IF(('Activity data'!AL12*EF!$H43*EF!$H61)*NtoN2O*kgtoGg=0,"NO",('Activity data'!AL12*EF!$H43*EF!$H61)*NtoN2O*kgtoGg)</f>
        <v>6.3928673704733319E-2</v>
      </c>
      <c r="T1418" s="28">
        <f>IF(('Activity data'!AM12*EF!$H43*EF!$H61)*NtoN2O*kgtoGg=0,"NO",('Activity data'!AM12*EF!$H43*EF!$H61)*NtoN2O*kgtoGg)</f>
        <v>6.4024546576303062E-2</v>
      </c>
      <c r="U1418" s="28">
        <f>IF(('Activity data'!AN12*EF!$H43*EF!$H61)*NtoN2O*kgtoGg=0,"NO",('Activity data'!AN12*EF!$H43*EF!$H61)*NtoN2O*kgtoGg)</f>
        <v>6.4133413198594794E-2</v>
      </c>
      <c r="V1418" s="28">
        <f>IF(('Activity data'!AO12*EF!$H43*EF!$H61)*NtoN2O*kgtoGg=0,"NO",('Activity data'!AO12*EF!$H43*EF!$H61)*NtoN2O*kgtoGg)</f>
        <v>6.4256533645065173E-2</v>
      </c>
      <c r="W1418" s="28">
        <f>IF(('Activity data'!AP12*EF!$H43*EF!$H61)*NtoN2O*kgtoGg=0,"NO",('Activity data'!AP12*EF!$H43*EF!$H61)*NtoN2O*kgtoGg)</f>
        <v>6.4394801017466488E-2</v>
      </c>
      <c r="X1418" s="28">
        <f>IF(('Activity data'!AQ12*EF!$H43*EF!$H61)*NtoN2O*kgtoGg=0,"NO",('Activity data'!AQ12*EF!$H43*EF!$H61)*NtoN2O*kgtoGg)</f>
        <v>6.4550170100282397E-2</v>
      </c>
      <c r="Y1418" s="28">
        <f>IF(('Activity data'!AR12*EF!$H43*EF!$H61)*NtoN2O*kgtoGg=0,"NO",('Activity data'!AR12*EF!$H43*EF!$H61)*NtoN2O*kgtoGg)</f>
        <v>6.4647859411858508E-2</v>
      </c>
      <c r="Z1418" s="28">
        <f>IF(('Activity data'!AS12*EF!$H43*EF!$H61)*NtoN2O*kgtoGg=0,"NO",('Activity data'!AS12*EF!$H43*EF!$H61)*NtoN2O*kgtoGg)</f>
        <v>6.4757862549909215E-2</v>
      </c>
      <c r="AA1418" s="28">
        <f>IF(('Activity data'!AT12*EF!$H43*EF!$H61)*NtoN2O*kgtoGg=0,"NO",('Activity data'!AT12*EF!$H43*EF!$H61)*NtoN2O*kgtoGg)</f>
        <v>6.4877117975833593E-2</v>
      </c>
      <c r="AB1418" s="28">
        <f>IF(('Activity data'!AU12*EF!$H43*EF!$H61)*NtoN2O*kgtoGg=0,"NO",('Activity data'!AU12*EF!$H43*EF!$H61)*NtoN2O*kgtoGg)</f>
        <v>6.5008421618476642E-2</v>
      </c>
      <c r="AC1418" s="28">
        <f>IF(('Activity data'!AV12*EF!$H43*EF!$H61)*NtoN2O*kgtoGg=0,"NO",('Activity data'!AV12*EF!$H43*EF!$H61)*NtoN2O*kgtoGg)</f>
        <v>6.5151758442893073E-2</v>
      </c>
      <c r="AD1418" s="28">
        <f>IF(('Activity data'!AW12*EF!$H43*EF!$H61)*NtoN2O*kgtoGg=0,"NO",('Activity data'!AW12*EF!$H43*EF!$H61)*NtoN2O*kgtoGg)</f>
        <v>6.5246630284262655E-2</v>
      </c>
      <c r="AE1418" s="28">
        <f>IF(('Activity data'!AX12*EF!$H43*EF!$H61)*NtoN2O*kgtoGg=0,"NO",('Activity data'!AX12*EF!$H43*EF!$H61)*NtoN2O*kgtoGg)</f>
        <v>6.5350732610319262E-2</v>
      </c>
      <c r="AF1418" s="28">
        <f>IF(('Activity data'!AY12*EF!$H43*EF!$H61)*NtoN2O*kgtoGg=0,"NO",('Activity data'!AY12*EF!$H43*EF!$H61)*NtoN2O*kgtoGg)</f>
        <v>6.5463366093022182E-2</v>
      </c>
      <c r="AG1418" s="28">
        <f>IF(('Activity data'!AZ12*EF!$H43*EF!$H61)*NtoN2O*kgtoGg=0,"NO",('Activity data'!AZ12*EF!$H43*EF!$H61)*NtoN2O*kgtoGg)</f>
        <v>6.5585749997988649E-2</v>
      </c>
      <c r="AH1418" s="28">
        <f>IF(('Activity data'!BA12*EF!$H43*EF!$H61)*NtoN2O*kgtoGg=0,"NO",('Activity data'!BA12*EF!$H43*EF!$H61)*NtoN2O*kgtoGg)</f>
        <v>6.571355347686661E-2</v>
      </c>
      <c r="AI1418" s="28">
        <f>IF(('Activity data'!BB12*EF!$H43*EF!$H61)*NtoN2O*kgtoGg=0,"NO",('Activity data'!BB12*EF!$H43*EF!$H61)*NtoN2O*kgtoGg)</f>
        <v>6.5795318686458951E-2</v>
      </c>
      <c r="AJ1418" s="28">
        <f>IF(('Activity data'!BC12*EF!$H43*EF!$H61)*NtoN2O*kgtoGg=0,"NO",('Activity data'!BC12*EF!$H43*EF!$H61)*NtoN2O*kgtoGg)</f>
        <v>6.5884020001636651E-2</v>
      </c>
      <c r="AK1418" s="28">
        <f>IF(('Activity data'!BD12*EF!$H43*EF!$H61)*NtoN2O*kgtoGg=0,"NO",('Activity data'!BD12*EF!$H43*EF!$H61)*NtoN2O*kgtoGg)</f>
        <v>6.5978314044694314E-2</v>
      </c>
      <c r="AL1418" s="28">
        <f>IF(('Activity data'!BE12*EF!$H43*EF!$H61)*NtoN2O*kgtoGg=0,"NO",('Activity data'!BE12*EF!$H43*EF!$H61)*NtoN2O*kgtoGg)</f>
        <v>6.6078716985151179E-2</v>
      </c>
      <c r="AM1418" s="28">
        <f>IF(('Activity data'!BF12*EF!$H43*EF!$H61)*NtoN2O*kgtoGg=0,"NO",('Activity data'!BF12*EF!$H43*EF!$H61)*NtoN2O*kgtoGg)</f>
        <v>6.6185699185286995E-2</v>
      </c>
      <c r="AN1418" s="28">
        <f>IF(('Activity data'!BG12*EF!$H43*EF!$H61)*NtoN2O*kgtoGg=0,"NO",('Activity data'!BG12*EF!$H43*EF!$H61)*NtoN2O*kgtoGg)</f>
        <v>6.6248752997966662E-2</v>
      </c>
      <c r="AO1418" s="28">
        <f>IF(('Activity data'!BH12*EF!$H43*EF!$H61)*NtoN2O*kgtoGg=0,"NO",('Activity data'!BH12*EF!$H43*EF!$H61)*NtoN2O*kgtoGg)</f>
        <v>6.6315938275625666E-2</v>
      </c>
      <c r="AP1418" s="28">
        <f>IF(('Activity data'!BI12*EF!$H43*EF!$H61)*NtoN2O*kgtoGg=0,"NO",('Activity data'!BI12*EF!$H43*EF!$H61)*NtoN2O*kgtoGg)</f>
        <v>6.6388438988824877E-2</v>
      </c>
      <c r="AQ1418" s="28">
        <f>IF(('Activity data'!BJ12*EF!$H43*EF!$H61)*NtoN2O*kgtoGg=0,"NO",('Activity data'!BJ12*EF!$H43*EF!$H61)*NtoN2O*kgtoGg)</f>
        <v>6.6466127241216463E-2</v>
      </c>
      <c r="AR1418" s="28">
        <f>IF(('Activity data'!BK12*EF!$H43*EF!$H61)*NtoN2O*kgtoGg=0,"NO",('Activity data'!BK12*EF!$H43*EF!$H61)*NtoN2O*kgtoGg)</f>
        <v>6.6549837128906997E-2</v>
      </c>
      <c r="AS1418" s="28">
        <f>IF(('Activity data'!BL12*EF!$H43*EF!$H61)*NtoN2O*kgtoGg=0,"NO",('Activity data'!BL12*EF!$H43*EF!$H61)*NtoN2O*kgtoGg)</f>
        <v>6.658756512294553E-2</v>
      </c>
      <c r="AT1418" s="28">
        <f>IF(('Activity data'!BM12*EF!$H43*EF!$H61)*NtoN2O*kgtoGg=0,"NO",('Activity data'!BM12*EF!$H43*EF!$H61)*NtoN2O*kgtoGg)</f>
        <v>6.66203125456446E-2</v>
      </c>
      <c r="AU1418" s="28">
        <f>IF(('Activity data'!BN12*EF!$H43*EF!$H61)*NtoN2O*kgtoGg=0,"NO",('Activity data'!BN12*EF!$H43*EF!$H61)*NtoN2O*kgtoGg)</f>
        <v>6.6656464691830439E-2</v>
      </c>
      <c r="AV1418" s="28">
        <f>IF(('Activity data'!BO12*EF!$H43*EF!$H61)*NtoN2O*kgtoGg=0,"NO",('Activity data'!BO12*EF!$H43*EF!$H61)*NtoN2O*kgtoGg)</f>
        <v>6.6697796409900922E-2</v>
      </c>
      <c r="AW1418" s="28">
        <f>IF(('Activity data'!BP12*EF!$H43*EF!$H61)*NtoN2O*kgtoGg=0,"NO",('Activity data'!BP12*EF!$H43*EF!$H61)*NtoN2O*kgtoGg)</f>
        <v>6.6742398126545865E-2</v>
      </c>
    </row>
    <row r="1419" spans="1:49" x14ac:dyDescent="0.25">
      <c r="A1419" s="102" t="s">
        <v>961</v>
      </c>
      <c r="B1419" s="102"/>
      <c r="C1419" s="102"/>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8">
        <f>IF(('Activity data'!AD13*EF!$H44*EF!$H62)*NtoN2O*kgtoGg=0,"NO",('Activity data'!AD13*EF!$H44*EF!$H62)*NtoN2O*kgtoGg)</f>
        <v>1.4482807028187926E-2</v>
      </c>
      <c r="L1419" s="28">
        <f>IF(('Activity data'!AE13*EF!$H44*EF!$H62)*NtoN2O*kgtoGg=0,"NO",('Activity data'!AE13*EF!$H44*EF!$H62)*NtoN2O*kgtoGg)</f>
        <v>1.4520450251739283E-2</v>
      </c>
      <c r="M1419" s="28">
        <f>IF(('Activity data'!AF13*EF!$H44*EF!$H62)*NtoN2O*kgtoGg=0,"NO",('Activity data'!AF13*EF!$H44*EF!$H62)*NtoN2O*kgtoGg)</f>
        <v>1.4571212872745463E-2</v>
      </c>
      <c r="N1419" s="28">
        <f>IF(('Activity data'!AG13*EF!$H44*EF!$H62)*NtoN2O*kgtoGg=0,"NO",('Activity data'!AG13*EF!$H44*EF!$H62)*NtoN2O*kgtoGg)</f>
        <v>1.4633040456364911E-2</v>
      </c>
      <c r="O1419" s="28">
        <f>IF(('Activity data'!AH13*EF!$H44*EF!$H62)*NtoN2O*kgtoGg=0,"NO",('Activity data'!AH13*EF!$H44*EF!$H62)*NtoN2O*kgtoGg)</f>
        <v>1.4707094987006923E-2</v>
      </c>
      <c r="P1419" s="28">
        <f>IF(('Activity data'!AI13*EF!$H44*EF!$H62)*NtoN2O*kgtoGg=0,"NO",('Activity data'!AI13*EF!$H44*EF!$H62)*NtoN2O*kgtoGg)</f>
        <v>1.4794644538423191E-2</v>
      </c>
      <c r="Q1419" s="28">
        <f>IF(('Activity data'!AJ13*EF!$H44*EF!$H62)*NtoN2O*kgtoGg=0,"NO",('Activity data'!AJ13*EF!$H44*EF!$H62)*NtoN2O*kgtoGg)</f>
        <v>1.4887429784482062E-2</v>
      </c>
      <c r="R1419" s="28">
        <f>IF(('Activity data'!AK13*EF!$H44*EF!$H62)*NtoN2O*kgtoGg=0,"NO",('Activity data'!AK13*EF!$H44*EF!$H62)*NtoN2O*kgtoGg)</f>
        <v>1.4984365063470912E-2</v>
      </c>
      <c r="S1419" s="28">
        <f>IF(('Activity data'!AL13*EF!$H44*EF!$H62)*NtoN2O*kgtoGg=0,"NO",('Activity data'!AL13*EF!$H44*EF!$H62)*NtoN2O*kgtoGg)</f>
        <v>1.5078737379247895E-2</v>
      </c>
      <c r="T1419" s="28">
        <f>IF(('Activity data'!AM13*EF!$H44*EF!$H62)*NtoN2O*kgtoGg=0,"NO",('Activity data'!AM13*EF!$H44*EF!$H62)*NtoN2O*kgtoGg)</f>
        <v>1.5122022085784054E-2</v>
      </c>
      <c r="U1419" s="28">
        <f>IF(('Activity data'!AN13*EF!$H44*EF!$H62)*NtoN2O*kgtoGg=0,"NO",('Activity data'!AN13*EF!$H44*EF!$H62)*NtoN2O*kgtoGg)</f>
        <v>1.5168700186651049E-2</v>
      </c>
      <c r="V1419" s="28">
        <f>IF(('Activity data'!AO13*EF!$H44*EF!$H62)*NtoN2O*kgtoGg=0,"NO",('Activity data'!AO13*EF!$H44*EF!$H62)*NtoN2O*kgtoGg)</f>
        <v>1.5219291662698977E-2</v>
      </c>
      <c r="W1419" s="28">
        <f>IF(('Activity data'!AP13*EF!$H44*EF!$H62)*NtoN2O*kgtoGg=0,"NO",('Activity data'!AP13*EF!$H44*EF!$H62)*NtoN2O*kgtoGg)</f>
        <v>1.5274171031448219E-2</v>
      </c>
      <c r="X1419" s="28">
        <f>IF(('Activity data'!AQ13*EF!$H44*EF!$H62)*NtoN2O*kgtoGg=0,"NO",('Activity data'!AQ13*EF!$H44*EF!$H62)*NtoN2O*kgtoGg)</f>
        <v>1.5334076575093777E-2</v>
      </c>
      <c r="Y1419" s="28">
        <f>IF(('Activity data'!AR13*EF!$H44*EF!$H62)*NtoN2O*kgtoGg=0,"NO",('Activity data'!AR13*EF!$H44*EF!$H62)*NtoN2O*kgtoGg)</f>
        <v>1.5372633836154437E-2</v>
      </c>
      <c r="Z1419" s="28">
        <f>IF(('Activity data'!AS13*EF!$H44*EF!$H62)*NtoN2O*kgtoGg=0,"NO",('Activity data'!AS13*EF!$H44*EF!$H62)*NtoN2O*kgtoGg)</f>
        <v>1.5414710813994566E-2</v>
      </c>
      <c r="AA1419" s="28">
        <f>IF(('Activity data'!AT13*EF!$H44*EF!$H62)*NtoN2O*kgtoGg=0,"NO",('Activity data'!AT13*EF!$H44*EF!$H62)*NtoN2O*kgtoGg)</f>
        <v>1.5459260848218298E-2</v>
      </c>
      <c r="AB1419" s="28">
        <f>IF(('Activity data'!AU13*EF!$H44*EF!$H62)*NtoN2O*kgtoGg=0,"NO",('Activity data'!AU13*EF!$H44*EF!$H62)*NtoN2O*kgtoGg)</f>
        <v>1.5507296791102529E-2</v>
      </c>
      <c r="AC1419" s="28">
        <f>IF(('Activity data'!AV13*EF!$H44*EF!$H62)*NtoN2O*kgtoGg=0,"NO",('Activity data'!AV13*EF!$H44*EF!$H62)*NtoN2O*kgtoGg)</f>
        <v>1.5558834836357003E-2</v>
      </c>
      <c r="AD1419" s="28">
        <f>IF(('Activity data'!AW13*EF!$H44*EF!$H62)*NtoN2O*kgtoGg=0,"NO",('Activity data'!AW13*EF!$H44*EF!$H62)*NtoN2O*kgtoGg)</f>
        <v>1.5592757830860556E-2</v>
      </c>
      <c r="AE1419" s="28">
        <f>IF(('Activity data'!AX13*EF!$H44*EF!$H62)*NtoN2O*kgtoGg=0,"NO",('Activity data'!AX13*EF!$H44*EF!$H62)*NtoN2O*kgtoGg)</f>
        <v>1.562932478627909E-2</v>
      </c>
      <c r="AF1419" s="28">
        <f>IF(('Activity data'!AY13*EF!$H44*EF!$H62)*NtoN2O*kgtoGg=0,"NO",('Activity data'!AY13*EF!$H44*EF!$H62)*NtoN2O*kgtoGg)</f>
        <v>1.5668308058264361E-2</v>
      </c>
      <c r="AG1419" s="28">
        <f>IF(('Activity data'!AZ13*EF!$H44*EF!$H62)*NtoN2O*kgtoGg=0,"NO",('Activity data'!AZ13*EF!$H44*EF!$H62)*NtoN2O*kgtoGg)</f>
        <v>1.5710145809478677E-2</v>
      </c>
      <c r="AH1419" s="28">
        <f>IF(('Activity data'!BA13*EF!$H44*EF!$H62)*NtoN2O*kgtoGg=0,"NO",('Activity data'!BA13*EF!$H44*EF!$H62)*NtoN2O*kgtoGg)</f>
        <v>1.5753347197297651E-2</v>
      </c>
      <c r="AI1419" s="28">
        <f>IF(('Activity data'!BB13*EF!$H44*EF!$H62)*NtoN2O*kgtoGg=0,"NO",('Activity data'!BB13*EF!$H44*EF!$H62)*NtoN2O*kgtoGg)</f>
        <v>1.5780128357590142E-2</v>
      </c>
      <c r="AJ1419" s="28">
        <f>IF(('Activity data'!BC13*EF!$H44*EF!$H62)*NtoN2O*kgtoGg=0,"NO",('Activity data'!BC13*EF!$H44*EF!$H62)*NtoN2O*kgtoGg)</f>
        <v>1.5808895494916663E-2</v>
      </c>
      <c r="AK1419" s="28">
        <f>IF(('Activity data'!BD13*EF!$H44*EF!$H62)*NtoN2O*kgtoGg=0,"NO",('Activity data'!BD13*EF!$H44*EF!$H62)*NtoN2O*kgtoGg)</f>
        <v>1.5839194459493416E-2</v>
      </c>
      <c r="AL1419" s="28">
        <f>IF(('Activity data'!BE13*EF!$H44*EF!$H62)*NtoN2O*kgtoGg=0,"NO",('Activity data'!BE13*EF!$H44*EF!$H62)*NtoN2O*kgtoGg)</f>
        <v>1.5871212894447165E-2</v>
      </c>
      <c r="AM1419" s="28">
        <f>IF(('Activity data'!BF13*EF!$H44*EF!$H62)*NtoN2O*kgtoGg=0,"NO",('Activity data'!BF13*EF!$H44*EF!$H62)*NtoN2O*kgtoGg)</f>
        <v>1.5905120208325661E-2</v>
      </c>
      <c r="AN1419" s="28">
        <f>IF(('Activity data'!BG13*EF!$H44*EF!$H62)*NtoN2O*kgtoGg=0,"NO",('Activity data'!BG13*EF!$H44*EF!$H62)*NtoN2O*kgtoGg)</f>
        <v>1.5923608440521576E-2</v>
      </c>
      <c r="AO1419" s="28">
        <f>IF(('Activity data'!BH13*EF!$H44*EF!$H62)*NtoN2O*kgtoGg=0,"NO",('Activity data'!BH13*EF!$H44*EF!$H62)*NtoN2O*kgtoGg)</f>
        <v>1.5943219194385971E-2</v>
      </c>
      <c r="AP1419" s="28">
        <f>IF(('Activity data'!BI13*EF!$H44*EF!$H62)*NtoN2O*kgtoGg=0,"NO",('Activity data'!BI13*EF!$H44*EF!$H62)*NtoN2O*kgtoGg)</f>
        <v>1.5964364076511545E-2</v>
      </c>
      <c r="AQ1419" s="28">
        <f>IF(('Activity data'!BJ13*EF!$H44*EF!$H62)*NtoN2O*kgtoGg=0,"NO",('Activity data'!BJ13*EF!$H44*EF!$H62)*NtoN2O*kgtoGg)</f>
        <v>1.5987003748719163E-2</v>
      </c>
      <c r="AR1419" s="28">
        <f>IF(('Activity data'!BK13*EF!$H44*EF!$H62)*NtoN2O*kgtoGg=0,"NO",('Activity data'!BK13*EF!$H44*EF!$H62)*NtoN2O*kgtoGg)</f>
        <v>1.6011426014492076E-2</v>
      </c>
      <c r="AS1419" s="28">
        <f>IF(('Activity data'!BL13*EF!$H44*EF!$H62)*NtoN2O*kgtoGg=0,"NO",('Activity data'!BL13*EF!$H44*EF!$H62)*NtoN2O*kgtoGg)</f>
        <v>1.6019956720470994E-2</v>
      </c>
      <c r="AT1419" s="28">
        <f>IF(('Activity data'!BM13*EF!$H44*EF!$H62)*NtoN2O*kgtoGg=0,"NO",('Activity data'!BM13*EF!$H44*EF!$H62)*NtoN2O*kgtoGg)</f>
        <v>1.6026597354274651E-2</v>
      </c>
      <c r="AU1419" s="28">
        <f>IF(('Activity data'!BN13*EF!$H44*EF!$H62)*NtoN2O*kgtoGg=0,"NO",('Activity data'!BN13*EF!$H44*EF!$H62)*NtoN2O*kgtoGg)</f>
        <v>1.6034206571030277E-2</v>
      </c>
      <c r="AV1419" s="28">
        <f>IF(('Activity data'!BO13*EF!$H44*EF!$H62)*NtoN2O*kgtoGg=0,"NO",('Activity data'!BO13*EF!$H44*EF!$H62)*NtoN2O*kgtoGg)</f>
        <v>1.6043388029308273E-2</v>
      </c>
      <c r="AW1419" s="28">
        <f>IF(('Activity data'!BP13*EF!$H44*EF!$H62)*NtoN2O*kgtoGg=0,"NO",('Activity data'!BP13*EF!$H44*EF!$H62)*NtoN2O*kgtoGg)</f>
        <v>1.6053496862987397E-2</v>
      </c>
    </row>
    <row r="1420" spans="1:49" x14ac:dyDescent="0.25">
      <c r="A1420" s="102" t="s">
        <v>961</v>
      </c>
      <c r="B1420" s="102"/>
      <c r="C1420" s="102"/>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8">
        <f>IF(('Activity data'!AD14*EF!$H45*EF!$H63)*NtoN2O*kgtoGg=0,"NO",('Activity data'!AD14*EF!$H45*EF!$H63)*NtoN2O*kgtoGg)</f>
        <v>0.11481805129047286</v>
      </c>
      <c r="L1420" s="28">
        <f>IF(('Activity data'!AE14*EF!$H45*EF!$H63)*NtoN2O*kgtoGg=0,"NO",('Activity data'!AE14*EF!$H45*EF!$H63)*NtoN2O*kgtoGg)</f>
        <v>0.11511648249680231</v>
      </c>
      <c r="M1420" s="28">
        <f>IF(('Activity data'!AF14*EF!$H45*EF!$H63)*NtoN2O*kgtoGg=0,"NO",('Activity data'!AF14*EF!$H45*EF!$H63)*NtoN2O*kgtoGg)</f>
        <v>0.11551892279798029</v>
      </c>
      <c r="N1420" s="28">
        <f>IF(('Activity data'!AG14*EF!$H45*EF!$H63)*NtoN2O*kgtoGg=0,"NO",('Activity data'!AG14*EF!$H45*EF!$H63)*NtoN2O*kgtoGg)</f>
        <v>0.11600908486762376</v>
      </c>
      <c r="O1420" s="28">
        <f>IF(('Activity data'!AH14*EF!$H45*EF!$H63)*NtoN2O*kgtoGg=0,"NO",('Activity data'!AH14*EF!$H45*EF!$H63)*NtoN2O*kgtoGg)</f>
        <v>0.11659618078632224</v>
      </c>
      <c r="P1420" s="28">
        <f>IF(('Activity data'!AI14*EF!$H45*EF!$H63)*NtoN2O*kgtoGg=0,"NO",('Activity data'!AI14*EF!$H45*EF!$H63)*NtoN2O*kgtoGg)</f>
        <v>0.11729026369893758</v>
      </c>
      <c r="Q1420" s="28">
        <f>IF(('Activity data'!AJ14*EF!$H45*EF!$H63)*NtoN2O*kgtoGg=0,"NO",('Activity data'!AJ14*EF!$H45*EF!$H63)*NtoN2O*kgtoGg)</f>
        <v>0.1180258546047787</v>
      </c>
      <c r="R1420" s="28">
        <f>IF(('Activity data'!AK14*EF!$H45*EF!$H63)*NtoN2O*kgtoGg=0,"NO",('Activity data'!AK14*EF!$H45*EF!$H63)*NtoN2O*kgtoGg)</f>
        <v>0.11879434650093773</v>
      </c>
      <c r="S1420" s="28">
        <f>IF(('Activity data'!AL14*EF!$H45*EF!$H63)*NtoN2O*kgtoGg=0,"NO",('Activity data'!AL14*EF!$H45*EF!$H63)*NtoN2O*kgtoGg)</f>
        <v>0.1195425195154779</v>
      </c>
      <c r="T1420" s="28">
        <f>IF(('Activity data'!AM14*EF!$H45*EF!$H63)*NtoN2O*kgtoGg=0,"NO",('Activity data'!AM14*EF!$H45*EF!$H63)*NtoN2O*kgtoGg)</f>
        <v>0.1198856757589802</v>
      </c>
      <c r="U1420" s="28">
        <f>IF(('Activity data'!AN14*EF!$H45*EF!$H63)*NtoN2O*kgtoGg=0,"NO",('Activity data'!AN14*EF!$H45*EF!$H63)*NtoN2O*kgtoGg)</f>
        <v>0.1202557344478143</v>
      </c>
      <c r="V1420" s="28">
        <f>IF(('Activity data'!AO14*EF!$H45*EF!$H63)*NtoN2O*kgtoGg=0,"NO",('Activity data'!AO14*EF!$H45*EF!$H63)*NtoN2O*kgtoGg)</f>
        <v>0.1206568179311767</v>
      </c>
      <c r="W1420" s="28">
        <f>IF(('Activity data'!AP14*EF!$H45*EF!$H63)*NtoN2O*kgtoGg=0,"NO",('Activity data'!AP14*EF!$H45*EF!$H63)*NtoN2O*kgtoGg)</f>
        <v>0.12109189534148641</v>
      </c>
      <c r="X1420" s="28">
        <f>IF(('Activity data'!AQ14*EF!$H45*EF!$H63)*NtoN2O*kgtoGg=0,"NO",('Activity data'!AQ14*EF!$H45*EF!$H63)*NtoN2O*kgtoGg)</f>
        <v>0.12156681969623982</v>
      </c>
      <c r="Y1420" s="28">
        <f>IF(('Activity data'!AR14*EF!$H45*EF!$H63)*NtoN2O*kgtoGg=0,"NO",('Activity data'!AR14*EF!$H45*EF!$H63)*NtoN2O*kgtoGg)</f>
        <v>0.12187249728826091</v>
      </c>
      <c r="Z1420" s="28">
        <f>IF(('Activity data'!AS14*EF!$H45*EF!$H63)*NtoN2O*kgtoGg=0,"NO",('Activity data'!AS14*EF!$H45*EF!$H63)*NtoN2O*kgtoGg)</f>
        <v>0.12220607879565744</v>
      </c>
      <c r="AA1420" s="28">
        <f>IF(('Activity data'!AT14*EF!$H45*EF!$H63)*NtoN2O*kgtoGg=0,"NO",('Activity data'!AT14*EF!$H45*EF!$H63)*NtoN2O*kgtoGg)</f>
        <v>0.12255926641353683</v>
      </c>
      <c r="AB1420" s="28">
        <f>IF(('Activity data'!AU14*EF!$H45*EF!$H63)*NtoN2O*kgtoGg=0,"NO",('Activity data'!AU14*EF!$H45*EF!$H63)*NtoN2O*kgtoGg)</f>
        <v>0.12294008991985945</v>
      </c>
      <c r="AC1420" s="28">
        <f>IF(('Activity data'!AV14*EF!$H45*EF!$H63)*NtoN2O*kgtoGg=0,"NO",('Activity data'!AV14*EF!$H45*EF!$H63)*NtoN2O*kgtoGg)</f>
        <v>0.12334867769651912</v>
      </c>
      <c r="AD1420" s="28">
        <f>IF(('Activity data'!AW14*EF!$H45*EF!$H63)*NtoN2O*kgtoGg=0,"NO",('Activity data'!AW14*EF!$H45*EF!$H63)*NtoN2O*kgtoGg)</f>
        <v>0.12361761534895452</v>
      </c>
      <c r="AE1420" s="28">
        <f>IF(('Activity data'!AX14*EF!$H45*EF!$H63)*NtoN2O*kgtoGg=0,"NO",('Activity data'!AX14*EF!$H45*EF!$H63)*NtoN2O*kgtoGg)</f>
        <v>0.12390751402361132</v>
      </c>
      <c r="AF1420" s="28">
        <f>IF(('Activity data'!AY14*EF!$H45*EF!$H63)*NtoN2O*kgtoGg=0,"NO",('Activity data'!AY14*EF!$H45*EF!$H63)*NtoN2O*kgtoGg)</f>
        <v>0.124216568981919</v>
      </c>
      <c r="AG1420" s="28">
        <f>IF(('Activity data'!AZ14*EF!$H45*EF!$H63)*NtoN2O*kgtoGg=0,"NO",('Activity data'!AZ14*EF!$H45*EF!$H63)*NtoN2O*kgtoGg)</f>
        <v>0.12454825392776228</v>
      </c>
      <c r="AH1420" s="28">
        <f>IF(('Activity data'!BA14*EF!$H45*EF!$H63)*NtoN2O*kgtoGg=0,"NO",('Activity data'!BA14*EF!$H45*EF!$H63)*NtoN2O*kgtoGg)</f>
        <v>0.12489074962992587</v>
      </c>
      <c r="AI1420" s="28">
        <f>IF(('Activity data'!BB14*EF!$H45*EF!$H63)*NtoN2O*kgtoGg=0,"NO",('Activity data'!BB14*EF!$H45*EF!$H63)*NtoN2O*kgtoGg)</f>
        <v>0.12510306763085599</v>
      </c>
      <c r="AJ1420" s="28">
        <f>IF(('Activity data'!BC14*EF!$H45*EF!$H63)*NtoN2O*kgtoGg=0,"NO",('Activity data'!BC14*EF!$H45*EF!$H63)*NtoN2O*kgtoGg)</f>
        <v>0.12533113023243647</v>
      </c>
      <c r="AK1420" s="28">
        <f>IF(('Activity data'!BD14*EF!$H45*EF!$H63)*NtoN2O*kgtoGg=0,"NO",('Activity data'!BD14*EF!$H45*EF!$H63)*NtoN2O*kgtoGg)</f>
        <v>0.12557133698669695</v>
      </c>
      <c r="AL1420" s="28">
        <f>IF(('Activity data'!BE14*EF!$H45*EF!$H63)*NtoN2O*kgtoGg=0,"NO",('Activity data'!BE14*EF!$H45*EF!$H63)*NtoN2O*kgtoGg)</f>
        <v>0.12582517550706146</v>
      </c>
      <c r="AM1420" s="28">
        <f>IF(('Activity data'!BF14*EF!$H45*EF!$H63)*NtoN2O*kgtoGg=0,"NO",('Activity data'!BF14*EF!$H45*EF!$H63)*NtoN2O*kgtoGg)</f>
        <v>0.12609398884528009</v>
      </c>
      <c r="AN1420" s="28">
        <f>IF(('Activity data'!BG14*EF!$H45*EF!$H63)*NtoN2O*kgtoGg=0,"NO",('Activity data'!BG14*EF!$H45*EF!$H63)*NtoN2O*kgtoGg)</f>
        <v>0.1262405614529527</v>
      </c>
      <c r="AO1420" s="28">
        <f>IF(('Activity data'!BH14*EF!$H45*EF!$H63)*NtoN2O*kgtoGg=0,"NO",('Activity data'!BH14*EF!$H45*EF!$H63)*NtoN2O*kgtoGg)</f>
        <v>0.12639603328508198</v>
      </c>
      <c r="AP1420" s="28">
        <f>IF(('Activity data'!BI14*EF!$H45*EF!$H63)*NtoN2O*kgtoGg=0,"NO",('Activity data'!BI14*EF!$H45*EF!$H63)*NtoN2O*kgtoGg)</f>
        <v>0.12656366751204504</v>
      </c>
      <c r="AQ1420" s="28">
        <f>IF(('Activity data'!BJ14*EF!$H45*EF!$H63)*NtoN2O*kgtoGg=0,"NO",('Activity data'!BJ14*EF!$H45*EF!$H63)*NtoN2O*kgtoGg)</f>
        <v>0.1267431522652199</v>
      </c>
      <c r="AR1420" s="28">
        <f>IF(('Activity data'!BK14*EF!$H45*EF!$H63)*NtoN2O*kgtoGg=0,"NO",('Activity data'!BK14*EF!$H45*EF!$H63)*NtoN2O*kgtoGg)</f>
        <v>0.12693676921797539</v>
      </c>
      <c r="AS1420" s="28">
        <f>IF(('Activity data'!BL14*EF!$H45*EF!$H63)*NtoN2O*kgtoGg=0,"NO",('Activity data'!BL14*EF!$H45*EF!$H63)*NtoN2O*kgtoGg)</f>
        <v>0.12700439968731225</v>
      </c>
      <c r="AT1420" s="28">
        <f>IF(('Activity data'!BM14*EF!$H45*EF!$H63)*NtoN2O*kgtoGg=0,"NO",('Activity data'!BM14*EF!$H45*EF!$H63)*NtoN2O*kgtoGg)</f>
        <v>0.12705704587884023</v>
      </c>
      <c r="AU1420" s="28">
        <f>IF(('Activity data'!BN14*EF!$H45*EF!$H63)*NtoN2O*kgtoGg=0,"NO",('Activity data'!BN14*EF!$H45*EF!$H63)*NtoN2O*kgtoGg)</f>
        <v>0.12711737088614225</v>
      </c>
      <c r="AV1420" s="28">
        <f>IF(('Activity data'!BO14*EF!$H45*EF!$H63)*NtoN2O*kgtoGg=0,"NO",('Activity data'!BO14*EF!$H45*EF!$H63)*NtoN2O*kgtoGg)</f>
        <v>0.12719016044588929</v>
      </c>
      <c r="AW1420" s="28">
        <f>IF(('Activity data'!BP14*EF!$H45*EF!$H63)*NtoN2O*kgtoGg=0,"NO",('Activity data'!BP14*EF!$H45*EF!$H63)*NtoN2O*kgtoGg)</f>
        <v>0.12727030213262158</v>
      </c>
    </row>
    <row r="1421" spans="1:49" x14ac:dyDescent="0.25">
      <c r="A1421" s="102" t="s">
        <v>961</v>
      </c>
      <c r="B1421" s="102"/>
      <c r="C1421" s="102"/>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8" t="str">
        <f>IF(('Activity data'!AD15*EF!$H46*EF!$H64)*NtoN2O*kgtoGg=0,"NO",('Activity data'!AD15*EF!$H46*EF!$H64)*NtoN2O*kgtoGg)</f>
        <v>NO</v>
      </c>
      <c r="L1421" s="28" t="str">
        <f>IF(('Activity data'!AE15*EF!$H46*EF!$H64)*NtoN2O*kgtoGg=0,"NO",('Activity data'!AE15*EF!$H46*EF!$H64)*NtoN2O*kgtoGg)</f>
        <v>NO</v>
      </c>
      <c r="M1421" s="28" t="str">
        <f>IF(('Activity data'!AF15*EF!$H46*EF!$H64)*NtoN2O*kgtoGg=0,"NO",('Activity data'!AF15*EF!$H46*EF!$H64)*NtoN2O*kgtoGg)</f>
        <v>NO</v>
      </c>
      <c r="N1421" s="28" t="str">
        <f>IF(('Activity data'!AG15*EF!$H46*EF!$H64)*NtoN2O*kgtoGg=0,"NO",('Activity data'!AG15*EF!$H46*EF!$H64)*NtoN2O*kgtoGg)</f>
        <v>NO</v>
      </c>
      <c r="O1421" s="28" t="str">
        <f>IF(('Activity data'!AH15*EF!$H46*EF!$H64)*NtoN2O*kgtoGg=0,"NO",('Activity data'!AH15*EF!$H46*EF!$H64)*NtoN2O*kgtoGg)</f>
        <v>NO</v>
      </c>
      <c r="P1421" s="28" t="str">
        <f>IF(('Activity data'!AI15*EF!$H46*EF!$H64)*NtoN2O*kgtoGg=0,"NO",('Activity data'!AI15*EF!$H46*EF!$H64)*NtoN2O*kgtoGg)</f>
        <v>NO</v>
      </c>
      <c r="Q1421" s="28" t="str">
        <f>IF(('Activity data'!AJ15*EF!$H46*EF!$H64)*NtoN2O*kgtoGg=0,"NO",('Activity data'!AJ15*EF!$H46*EF!$H64)*NtoN2O*kgtoGg)</f>
        <v>NO</v>
      </c>
      <c r="R1421" s="28" t="str">
        <f>IF(('Activity data'!AK15*EF!$H46*EF!$H64)*NtoN2O*kgtoGg=0,"NO",('Activity data'!AK15*EF!$H46*EF!$H64)*NtoN2O*kgtoGg)</f>
        <v>NO</v>
      </c>
      <c r="S1421" s="28" t="str">
        <f>IF(('Activity data'!AL15*EF!$H46*EF!$H64)*NtoN2O*kgtoGg=0,"NO",('Activity data'!AL15*EF!$H46*EF!$H64)*NtoN2O*kgtoGg)</f>
        <v>NO</v>
      </c>
      <c r="T1421" s="28" t="str">
        <f>IF(('Activity data'!AM15*EF!$H46*EF!$H64)*NtoN2O*kgtoGg=0,"NO",('Activity data'!AM15*EF!$H46*EF!$H64)*NtoN2O*kgtoGg)</f>
        <v>NO</v>
      </c>
      <c r="U1421" s="28" t="str">
        <f>IF(('Activity data'!AN15*EF!$H46*EF!$H64)*NtoN2O*kgtoGg=0,"NO",('Activity data'!AN15*EF!$H46*EF!$H64)*NtoN2O*kgtoGg)</f>
        <v>NO</v>
      </c>
      <c r="V1421" s="28" t="str">
        <f>IF(('Activity data'!AO15*EF!$H46*EF!$H64)*NtoN2O*kgtoGg=0,"NO",('Activity data'!AO15*EF!$H46*EF!$H64)*NtoN2O*kgtoGg)</f>
        <v>NO</v>
      </c>
      <c r="W1421" s="28" t="str">
        <f>IF(('Activity data'!AP15*EF!$H46*EF!$H64)*NtoN2O*kgtoGg=0,"NO",('Activity data'!AP15*EF!$H46*EF!$H64)*NtoN2O*kgtoGg)</f>
        <v>NO</v>
      </c>
      <c r="X1421" s="28" t="str">
        <f>IF(('Activity data'!AQ15*EF!$H46*EF!$H64)*NtoN2O*kgtoGg=0,"NO",('Activity data'!AQ15*EF!$H46*EF!$H64)*NtoN2O*kgtoGg)</f>
        <v>NO</v>
      </c>
      <c r="Y1421" s="28" t="str">
        <f>IF(('Activity data'!AR15*EF!$H46*EF!$H64)*NtoN2O*kgtoGg=0,"NO",('Activity data'!AR15*EF!$H46*EF!$H64)*NtoN2O*kgtoGg)</f>
        <v>NO</v>
      </c>
      <c r="Z1421" s="28" t="str">
        <f>IF(('Activity data'!AS15*EF!$H46*EF!$H64)*NtoN2O*kgtoGg=0,"NO",('Activity data'!AS15*EF!$H46*EF!$H64)*NtoN2O*kgtoGg)</f>
        <v>NO</v>
      </c>
      <c r="AA1421" s="28" t="str">
        <f>IF(('Activity data'!AT15*EF!$H46*EF!$H64)*NtoN2O*kgtoGg=0,"NO",('Activity data'!AT15*EF!$H46*EF!$H64)*NtoN2O*kgtoGg)</f>
        <v>NO</v>
      </c>
      <c r="AB1421" s="28" t="str">
        <f>IF(('Activity data'!AU15*EF!$H46*EF!$H64)*NtoN2O*kgtoGg=0,"NO",('Activity data'!AU15*EF!$H46*EF!$H64)*NtoN2O*kgtoGg)</f>
        <v>NO</v>
      </c>
      <c r="AC1421" s="28" t="str">
        <f>IF(('Activity data'!AV15*EF!$H46*EF!$H64)*NtoN2O*kgtoGg=0,"NO",('Activity data'!AV15*EF!$H46*EF!$H64)*NtoN2O*kgtoGg)</f>
        <v>NO</v>
      </c>
      <c r="AD1421" s="28" t="str">
        <f>IF(('Activity data'!AW15*EF!$H46*EF!$H64)*NtoN2O*kgtoGg=0,"NO",('Activity data'!AW15*EF!$H46*EF!$H64)*NtoN2O*kgtoGg)</f>
        <v>NO</v>
      </c>
      <c r="AE1421" s="28" t="str">
        <f>IF(('Activity data'!AX15*EF!$H46*EF!$H64)*NtoN2O*kgtoGg=0,"NO",('Activity data'!AX15*EF!$H46*EF!$H64)*NtoN2O*kgtoGg)</f>
        <v>NO</v>
      </c>
      <c r="AF1421" s="28" t="str">
        <f>IF(('Activity data'!AY15*EF!$H46*EF!$H64)*NtoN2O*kgtoGg=0,"NO",('Activity data'!AY15*EF!$H46*EF!$H64)*NtoN2O*kgtoGg)</f>
        <v>NO</v>
      </c>
      <c r="AG1421" s="28" t="str">
        <f>IF(('Activity data'!AZ15*EF!$H46*EF!$H64)*NtoN2O*kgtoGg=0,"NO",('Activity data'!AZ15*EF!$H46*EF!$H64)*NtoN2O*kgtoGg)</f>
        <v>NO</v>
      </c>
      <c r="AH1421" s="28" t="str">
        <f>IF(('Activity data'!BA15*EF!$H46*EF!$H64)*NtoN2O*kgtoGg=0,"NO",('Activity data'!BA15*EF!$H46*EF!$H64)*NtoN2O*kgtoGg)</f>
        <v>NO</v>
      </c>
      <c r="AI1421" s="28" t="str">
        <f>IF(('Activity data'!BB15*EF!$H46*EF!$H64)*NtoN2O*kgtoGg=0,"NO",('Activity data'!BB15*EF!$H46*EF!$H64)*NtoN2O*kgtoGg)</f>
        <v>NO</v>
      </c>
      <c r="AJ1421" s="28" t="str">
        <f>IF(('Activity data'!BC15*EF!$H46*EF!$H64)*NtoN2O*kgtoGg=0,"NO",('Activity data'!BC15*EF!$H46*EF!$H64)*NtoN2O*kgtoGg)</f>
        <v>NO</v>
      </c>
      <c r="AK1421" s="28" t="str">
        <f>IF(('Activity data'!BD15*EF!$H46*EF!$H64)*NtoN2O*kgtoGg=0,"NO",('Activity data'!BD15*EF!$H46*EF!$H64)*NtoN2O*kgtoGg)</f>
        <v>NO</v>
      </c>
      <c r="AL1421" s="28" t="str">
        <f>IF(('Activity data'!BE15*EF!$H46*EF!$H64)*NtoN2O*kgtoGg=0,"NO",('Activity data'!BE15*EF!$H46*EF!$H64)*NtoN2O*kgtoGg)</f>
        <v>NO</v>
      </c>
      <c r="AM1421" s="28" t="str">
        <f>IF(('Activity data'!BF15*EF!$H46*EF!$H64)*NtoN2O*kgtoGg=0,"NO",('Activity data'!BF15*EF!$H46*EF!$H64)*NtoN2O*kgtoGg)</f>
        <v>NO</v>
      </c>
      <c r="AN1421" s="28" t="str">
        <f>IF(('Activity data'!BG15*EF!$H46*EF!$H64)*NtoN2O*kgtoGg=0,"NO",('Activity data'!BG15*EF!$H46*EF!$H64)*NtoN2O*kgtoGg)</f>
        <v>NO</v>
      </c>
      <c r="AO1421" s="28" t="str">
        <f>IF(('Activity data'!BH15*EF!$H46*EF!$H64)*NtoN2O*kgtoGg=0,"NO",('Activity data'!BH15*EF!$H46*EF!$H64)*NtoN2O*kgtoGg)</f>
        <v>NO</v>
      </c>
      <c r="AP1421" s="28" t="str">
        <f>IF(('Activity data'!BI15*EF!$H46*EF!$H64)*NtoN2O*kgtoGg=0,"NO",('Activity data'!BI15*EF!$H46*EF!$H64)*NtoN2O*kgtoGg)</f>
        <v>NO</v>
      </c>
      <c r="AQ1421" s="28" t="str">
        <f>IF(('Activity data'!BJ15*EF!$H46*EF!$H64)*NtoN2O*kgtoGg=0,"NO",('Activity data'!BJ15*EF!$H46*EF!$H64)*NtoN2O*kgtoGg)</f>
        <v>NO</v>
      </c>
      <c r="AR1421" s="28" t="str">
        <f>IF(('Activity data'!BK15*EF!$H46*EF!$H64)*NtoN2O*kgtoGg=0,"NO",('Activity data'!BK15*EF!$H46*EF!$H64)*NtoN2O*kgtoGg)</f>
        <v>NO</v>
      </c>
      <c r="AS1421" s="28" t="str">
        <f>IF(('Activity data'!BL15*EF!$H46*EF!$H64)*NtoN2O*kgtoGg=0,"NO",('Activity data'!BL15*EF!$H46*EF!$H64)*NtoN2O*kgtoGg)</f>
        <v>NO</v>
      </c>
      <c r="AT1421" s="28" t="str">
        <f>IF(('Activity data'!BM15*EF!$H46*EF!$H64)*NtoN2O*kgtoGg=0,"NO",('Activity data'!BM15*EF!$H46*EF!$H64)*NtoN2O*kgtoGg)</f>
        <v>NO</v>
      </c>
      <c r="AU1421" s="28" t="str">
        <f>IF(('Activity data'!BN15*EF!$H46*EF!$H64)*NtoN2O*kgtoGg=0,"NO",('Activity data'!BN15*EF!$H46*EF!$H64)*NtoN2O*kgtoGg)</f>
        <v>NO</v>
      </c>
      <c r="AV1421" s="28" t="str">
        <f>IF(('Activity data'!BO15*EF!$H46*EF!$H64)*NtoN2O*kgtoGg=0,"NO",('Activity data'!BO15*EF!$H46*EF!$H64)*NtoN2O*kgtoGg)</f>
        <v>NO</v>
      </c>
      <c r="AW1421" s="28" t="str">
        <f>IF(('Activity data'!BP15*EF!$H46*EF!$H64)*NtoN2O*kgtoGg=0,"NO",('Activity data'!BP15*EF!$H46*EF!$H64)*NtoN2O*kgtoGg)</f>
        <v>NO</v>
      </c>
    </row>
    <row r="1422" spans="1:49" x14ac:dyDescent="0.25">
      <c r="A1422" s="102" t="s">
        <v>961</v>
      </c>
      <c r="B1422" s="102"/>
      <c r="C1422" s="102"/>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8" t="str">
        <f>IF(('Activity data'!AD16*EF!$H47*EF!$H65)*NtoN2O*kgtoGg=0,"NO",('Activity data'!AD16*EF!$H47*EF!$H65)*NtoN2O*kgtoGg)</f>
        <v>NO</v>
      </c>
      <c r="L1422" s="28" t="str">
        <f>IF(('Activity data'!AE16*EF!$H47*EF!$H65)*NtoN2O*kgtoGg=0,"NO",('Activity data'!AE16*EF!$H47*EF!$H65)*NtoN2O*kgtoGg)</f>
        <v>NO</v>
      </c>
      <c r="M1422" s="28" t="str">
        <f>IF(('Activity data'!AF16*EF!$H47*EF!$H65)*NtoN2O*kgtoGg=0,"NO",('Activity data'!AF16*EF!$H47*EF!$H65)*NtoN2O*kgtoGg)</f>
        <v>NO</v>
      </c>
      <c r="N1422" s="28" t="str">
        <f>IF(('Activity data'!AG16*EF!$H47*EF!$H65)*NtoN2O*kgtoGg=0,"NO",('Activity data'!AG16*EF!$H47*EF!$H65)*NtoN2O*kgtoGg)</f>
        <v>NO</v>
      </c>
      <c r="O1422" s="28" t="str">
        <f>IF(('Activity data'!AH16*EF!$H47*EF!$H65)*NtoN2O*kgtoGg=0,"NO",('Activity data'!AH16*EF!$H47*EF!$H65)*NtoN2O*kgtoGg)</f>
        <v>NO</v>
      </c>
      <c r="P1422" s="28" t="str">
        <f>IF(('Activity data'!AI16*EF!$H47*EF!$H65)*NtoN2O*kgtoGg=0,"NO",('Activity data'!AI16*EF!$H47*EF!$H65)*NtoN2O*kgtoGg)</f>
        <v>NO</v>
      </c>
      <c r="Q1422" s="28" t="str">
        <f>IF(('Activity data'!AJ16*EF!$H47*EF!$H65)*NtoN2O*kgtoGg=0,"NO",('Activity data'!AJ16*EF!$H47*EF!$H65)*NtoN2O*kgtoGg)</f>
        <v>NO</v>
      </c>
      <c r="R1422" s="28" t="str">
        <f>IF(('Activity data'!AK16*EF!$H47*EF!$H65)*NtoN2O*kgtoGg=0,"NO",('Activity data'!AK16*EF!$H47*EF!$H65)*NtoN2O*kgtoGg)</f>
        <v>NO</v>
      </c>
      <c r="S1422" s="28" t="str">
        <f>IF(('Activity data'!AL16*EF!$H47*EF!$H65)*NtoN2O*kgtoGg=0,"NO",('Activity data'!AL16*EF!$H47*EF!$H65)*NtoN2O*kgtoGg)</f>
        <v>NO</v>
      </c>
      <c r="T1422" s="28" t="str">
        <f>IF(('Activity data'!AM16*EF!$H47*EF!$H65)*NtoN2O*kgtoGg=0,"NO",('Activity data'!AM16*EF!$H47*EF!$H65)*NtoN2O*kgtoGg)</f>
        <v>NO</v>
      </c>
      <c r="U1422" s="28" t="str">
        <f>IF(('Activity data'!AN16*EF!$H47*EF!$H65)*NtoN2O*kgtoGg=0,"NO",('Activity data'!AN16*EF!$H47*EF!$H65)*NtoN2O*kgtoGg)</f>
        <v>NO</v>
      </c>
      <c r="V1422" s="28" t="str">
        <f>IF(('Activity data'!AO16*EF!$H47*EF!$H65)*NtoN2O*kgtoGg=0,"NO",('Activity data'!AO16*EF!$H47*EF!$H65)*NtoN2O*kgtoGg)</f>
        <v>NO</v>
      </c>
      <c r="W1422" s="28" t="str">
        <f>IF(('Activity data'!AP16*EF!$H47*EF!$H65)*NtoN2O*kgtoGg=0,"NO",('Activity data'!AP16*EF!$H47*EF!$H65)*NtoN2O*kgtoGg)</f>
        <v>NO</v>
      </c>
      <c r="X1422" s="28" t="str">
        <f>IF(('Activity data'!AQ16*EF!$H47*EF!$H65)*NtoN2O*kgtoGg=0,"NO",('Activity data'!AQ16*EF!$H47*EF!$H65)*NtoN2O*kgtoGg)</f>
        <v>NO</v>
      </c>
      <c r="Y1422" s="28" t="str">
        <f>IF(('Activity data'!AR16*EF!$H47*EF!$H65)*NtoN2O*kgtoGg=0,"NO",('Activity data'!AR16*EF!$H47*EF!$H65)*NtoN2O*kgtoGg)</f>
        <v>NO</v>
      </c>
      <c r="Z1422" s="28" t="str">
        <f>IF(('Activity data'!AS16*EF!$H47*EF!$H65)*NtoN2O*kgtoGg=0,"NO",('Activity data'!AS16*EF!$H47*EF!$H65)*NtoN2O*kgtoGg)</f>
        <v>NO</v>
      </c>
      <c r="AA1422" s="28" t="str">
        <f>IF(('Activity data'!AT16*EF!$H47*EF!$H65)*NtoN2O*kgtoGg=0,"NO",('Activity data'!AT16*EF!$H47*EF!$H65)*NtoN2O*kgtoGg)</f>
        <v>NO</v>
      </c>
      <c r="AB1422" s="28" t="str">
        <f>IF(('Activity data'!AU16*EF!$H47*EF!$H65)*NtoN2O*kgtoGg=0,"NO",('Activity data'!AU16*EF!$H47*EF!$H65)*NtoN2O*kgtoGg)</f>
        <v>NO</v>
      </c>
      <c r="AC1422" s="28" t="str">
        <f>IF(('Activity data'!AV16*EF!$H47*EF!$H65)*NtoN2O*kgtoGg=0,"NO",('Activity data'!AV16*EF!$H47*EF!$H65)*NtoN2O*kgtoGg)</f>
        <v>NO</v>
      </c>
      <c r="AD1422" s="28" t="str">
        <f>IF(('Activity data'!AW16*EF!$H47*EF!$H65)*NtoN2O*kgtoGg=0,"NO",('Activity data'!AW16*EF!$H47*EF!$H65)*NtoN2O*kgtoGg)</f>
        <v>NO</v>
      </c>
      <c r="AE1422" s="28" t="str">
        <f>IF(('Activity data'!AX16*EF!$H47*EF!$H65)*NtoN2O*kgtoGg=0,"NO",('Activity data'!AX16*EF!$H47*EF!$H65)*NtoN2O*kgtoGg)</f>
        <v>NO</v>
      </c>
      <c r="AF1422" s="28" t="str">
        <f>IF(('Activity data'!AY16*EF!$H47*EF!$H65)*NtoN2O*kgtoGg=0,"NO",('Activity data'!AY16*EF!$H47*EF!$H65)*NtoN2O*kgtoGg)</f>
        <v>NO</v>
      </c>
      <c r="AG1422" s="28" t="str">
        <f>IF(('Activity data'!AZ16*EF!$H47*EF!$H65)*NtoN2O*kgtoGg=0,"NO",('Activity data'!AZ16*EF!$H47*EF!$H65)*NtoN2O*kgtoGg)</f>
        <v>NO</v>
      </c>
      <c r="AH1422" s="28" t="str">
        <f>IF(('Activity data'!BA16*EF!$H47*EF!$H65)*NtoN2O*kgtoGg=0,"NO",('Activity data'!BA16*EF!$H47*EF!$H65)*NtoN2O*kgtoGg)</f>
        <v>NO</v>
      </c>
      <c r="AI1422" s="28" t="str">
        <f>IF(('Activity data'!BB16*EF!$H47*EF!$H65)*NtoN2O*kgtoGg=0,"NO",('Activity data'!BB16*EF!$H47*EF!$H65)*NtoN2O*kgtoGg)</f>
        <v>NO</v>
      </c>
      <c r="AJ1422" s="28" t="str">
        <f>IF(('Activity data'!BC16*EF!$H47*EF!$H65)*NtoN2O*kgtoGg=0,"NO",('Activity data'!BC16*EF!$H47*EF!$H65)*NtoN2O*kgtoGg)</f>
        <v>NO</v>
      </c>
      <c r="AK1422" s="28" t="str">
        <f>IF(('Activity data'!BD16*EF!$H47*EF!$H65)*NtoN2O*kgtoGg=0,"NO",('Activity data'!BD16*EF!$H47*EF!$H65)*NtoN2O*kgtoGg)</f>
        <v>NO</v>
      </c>
      <c r="AL1422" s="28" t="str">
        <f>IF(('Activity data'!BE16*EF!$H47*EF!$H65)*NtoN2O*kgtoGg=0,"NO",('Activity data'!BE16*EF!$H47*EF!$H65)*NtoN2O*kgtoGg)</f>
        <v>NO</v>
      </c>
      <c r="AM1422" s="28" t="str">
        <f>IF(('Activity data'!BF16*EF!$H47*EF!$H65)*NtoN2O*kgtoGg=0,"NO",('Activity data'!BF16*EF!$H47*EF!$H65)*NtoN2O*kgtoGg)</f>
        <v>NO</v>
      </c>
      <c r="AN1422" s="28" t="str">
        <f>IF(('Activity data'!BG16*EF!$H47*EF!$H65)*NtoN2O*kgtoGg=0,"NO",('Activity data'!BG16*EF!$H47*EF!$H65)*NtoN2O*kgtoGg)</f>
        <v>NO</v>
      </c>
      <c r="AO1422" s="28" t="str">
        <f>IF(('Activity data'!BH16*EF!$H47*EF!$H65)*NtoN2O*kgtoGg=0,"NO",('Activity data'!BH16*EF!$H47*EF!$H65)*NtoN2O*kgtoGg)</f>
        <v>NO</v>
      </c>
      <c r="AP1422" s="28" t="str">
        <f>IF(('Activity data'!BI16*EF!$H47*EF!$H65)*NtoN2O*kgtoGg=0,"NO",('Activity data'!BI16*EF!$H47*EF!$H65)*NtoN2O*kgtoGg)</f>
        <v>NO</v>
      </c>
      <c r="AQ1422" s="28" t="str">
        <f>IF(('Activity data'!BJ16*EF!$H47*EF!$H65)*NtoN2O*kgtoGg=0,"NO",('Activity data'!BJ16*EF!$H47*EF!$H65)*NtoN2O*kgtoGg)</f>
        <v>NO</v>
      </c>
      <c r="AR1422" s="28" t="str">
        <f>IF(('Activity data'!BK16*EF!$H47*EF!$H65)*NtoN2O*kgtoGg=0,"NO",('Activity data'!BK16*EF!$H47*EF!$H65)*NtoN2O*kgtoGg)</f>
        <v>NO</v>
      </c>
      <c r="AS1422" s="28" t="str">
        <f>IF(('Activity data'!BL16*EF!$H47*EF!$H65)*NtoN2O*kgtoGg=0,"NO",('Activity data'!BL16*EF!$H47*EF!$H65)*NtoN2O*kgtoGg)</f>
        <v>NO</v>
      </c>
      <c r="AT1422" s="28" t="str">
        <f>IF(('Activity data'!BM16*EF!$H47*EF!$H65)*NtoN2O*kgtoGg=0,"NO",('Activity data'!BM16*EF!$H47*EF!$H65)*NtoN2O*kgtoGg)</f>
        <v>NO</v>
      </c>
      <c r="AU1422" s="28" t="str">
        <f>IF(('Activity data'!BN16*EF!$H47*EF!$H65)*NtoN2O*kgtoGg=0,"NO",('Activity data'!BN16*EF!$H47*EF!$H65)*NtoN2O*kgtoGg)</f>
        <v>NO</v>
      </c>
      <c r="AV1422" s="28" t="str">
        <f>IF(('Activity data'!BO16*EF!$H47*EF!$H65)*NtoN2O*kgtoGg=0,"NO",('Activity data'!BO16*EF!$H47*EF!$H65)*NtoN2O*kgtoGg)</f>
        <v>NO</v>
      </c>
      <c r="AW1422" s="28" t="str">
        <f>IF(('Activity data'!BP16*EF!$H47*EF!$H65)*NtoN2O*kgtoGg=0,"NO",('Activity data'!BP16*EF!$H47*EF!$H65)*NtoN2O*kgtoGg)</f>
        <v>NO</v>
      </c>
    </row>
    <row r="1423" spans="1:49" x14ac:dyDescent="0.25">
      <c r="A1423" s="102" t="s">
        <v>961</v>
      </c>
      <c r="B1423" s="102"/>
      <c r="C1423" s="102"/>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8">
        <f>IF(('Activity data'!AD17*EF!$H48*EF!$H66)*NtoN2O*kgtoGg=0,"NO",('Activity data'!AD17*EF!$H48*EF!$H66)*NtoN2O*kgtoGg)</f>
        <v>9.7855003322124628E-2</v>
      </c>
      <c r="L1423" s="28">
        <f>IF(('Activity data'!AE17*EF!$H48*EF!$H66)*NtoN2O*kgtoGg=0,"NO",('Activity data'!AE17*EF!$H48*EF!$H66)*NtoN2O*kgtoGg)</f>
        <v>9.768205595551481E-2</v>
      </c>
      <c r="M1423" s="28">
        <f>IF(('Activity data'!AF17*EF!$H48*EF!$H66)*NtoN2O*kgtoGg=0,"NO",('Activity data'!AF17*EF!$H48*EF!$H66)*NtoN2O*kgtoGg)</f>
        <v>9.7134008511937764E-2</v>
      </c>
      <c r="N1423" s="28">
        <f>IF(('Activity data'!AG17*EF!$H48*EF!$H66)*NtoN2O*kgtoGg=0,"NO",('Activity data'!AG17*EF!$H48*EF!$H66)*NtoN2O*kgtoGg)</f>
        <v>9.4990622413168677E-2</v>
      </c>
      <c r="O1423" s="28">
        <f>IF(('Activity data'!AH17*EF!$H48*EF!$H66)*NtoN2O*kgtoGg=0,"NO",('Activity data'!AH17*EF!$H48*EF!$H66)*NtoN2O*kgtoGg)</f>
        <v>9.2963704380958218E-2</v>
      </c>
      <c r="P1423" s="28">
        <f>IF(('Activity data'!AI17*EF!$H48*EF!$H66)*NtoN2O*kgtoGg=0,"NO",('Activity data'!AI17*EF!$H48*EF!$H66)*NtoN2O*kgtoGg)</f>
        <v>9.2636555494494649E-2</v>
      </c>
      <c r="Q1423" s="28">
        <f>IF(('Activity data'!AJ17*EF!$H48*EF!$H66)*NtoN2O*kgtoGg=0,"NO",('Activity data'!AJ17*EF!$H48*EF!$H66)*NtoN2O*kgtoGg)</f>
        <v>9.1842396693378264E-2</v>
      </c>
      <c r="R1423" s="28">
        <f>IF(('Activity data'!AK17*EF!$H48*EF!$H66)*NtoN2O*kgtoGg=0,"NO",('Activity data'!AK17*EF!$H48*EF!$H66)*NtoN2O*kgtoGg)</f>
        <v>8.9396441883992581E-2</v>
      </c>
      <c r="S1423" s="28">
        <f>IF(('Activity data'!AL17*EF!$H48*EF!$H66)*NtoN2O*kgtoGg=0,"NO",('Activity data'!AL17*EF!$H48*EF!$H66)*NtoN2O*kgtoGg)</f>
        <v>7.973748994684815E-2</v>
      </c>
      <c r="T1423" s="28">
        <f>IF(('Activity data'!AM17*EF!$H48*EF!$H66)*NtoN2O*kgtoGg=0,"NO",('Activity data'!AM17*EF!$H48*EF!$H66)*NtoN2O*kgtoGg)</f>
        <v>8.1452692189288772E-2</v>
      </c>
      <c r="U1423" s="28">
        <f>IF(('Activity data'!AN17*EF!$H48*EF!$H66)*NtoN2O*kgtoGg=0,"NO",('Activity data'!AN17*EF!$H48*EF!$H66)*NtoN2O*kgtoGg)</f>
        <v>8.2242511804273E-2</v>
      </c>
      <c r="V1423" s="28">
        <f>IF(('Activity data'!AO17*EF!$H48*EF!$H66)*NtoN2O*kgtoGg=0,"NO",('Activity data'!AO17*EF!$H48*EF!$H66)*NtoN2O*kgtoGg)</f>
        <v>8.2817744096224652E-2</v>
      </c>
      <c r="W1423" s="28">
        <f>IF(('Activity data'!AP17*EF!$H48*EF!$H66)*NtoN2O*kgtoGg=0,"NO",('Activity data'!AP17*EF!$H48*EF!$H66)*NtoN2O*kgtoGg)</f>
        <v>8.3700880663628088E-2</v>
      </c>
      <c r="X1423" s="28">
        <f>IF(('Activity data'!AQ17*EF!$H48*EF!$H66)*NtoN2O*kgtoGg=0,"NO",('Activity data'!AQ17*EF!$H48*EF!$H66)*NtoN2O*kgtoGg)</f>
        <v>8.5662060351678962E-2</v>
      </c>
      <c r="Y1423" s="28">
        <f>IF(('Activity data'!AR17*EF!$H48*EF!$H66)*NtoN2O*kgtoGg=0,"NO",('Activity data'!AR17*EF!$H48*EF!$H66)*NtoN2O*kgtoGg)</f>
        <v>8.7869258828121299E-2</v>
      </c>
      <c r="Z1423" s="28">
        <f>IF(('Activity data'!AS17*EF!$H48*EF!$H66)*NtoN2O*kgtoGg=0,"NO",('Activity data'!AS17*EF!$H48*EF!$H66)*NtoN2O*kgtoGg)</f>
        <v>9.0298087380543637E-2</v>
      </c>
      <c r="AA1423" s="28">
        <f>IF(('Activity data'!AT17*EF!$H48*EF!$H66)*NtoN2O*kgtoGg=0,"NO",('Activity data'!AT17*EF!$H48*EF!$H66)*NtoN2O*kgtoGg)</f>
        <v>9.2240276380797723E-2</v>
      </c>
      <c r="AB1423" s="28">
        <f>IF(('Activity data'!AU17*EF!$H48*EF!$H66)*NtoN2O*kgtoGg=0,"NO",('Activity data'!AU17*EF!$H48*EF!$H66)*NtoN2O*kgtoGg)</f>
        <v>9.4619108619267742E-2</v>
      </c>
      <c r="AC1423" s="28">
        <f>IF(('Activity data'!AV17*EF!$H48*EF!$H66)*NtoN2O*kgtoGg=0,"NO",('Activity data'!AV17*EF!$H48*EF!$H66)*NtoN2O*kgtoGg)</f>
        <v>9.7530252215833863E-2</v>
      </c>
      <c r="AD1423" s="28">
        <f>IF(('Activity data'!AW17*EF!$H48*EF!$H66)*NtoN2O*kgtoGg=0,"NO",('Activity data'!AW17*EF!$H48*EF!$H66)*NtoN2O*kgtoGg)</f>
        <v>0.10028578808595486</v>
      </c>
      <c r="AE1423" s="28">
        <f>IF(('Activity data'!AX17*EF!$H48*EF!$H66)*NtoN2O*kgtoGg=0,"NO",('Activity data'!AX17*EF!$H48*EF!$H66)*NtoN2O*kgtoGg)</f>
        <v>0.10315369284356883</v>
      </c>
      <c r="AF1423" s="28">
        <f>IF(('Activity data'!AY17*EF!$H48*EF!$H66)*NtoN2O*kgtoGg=0,"NO",('Activity data'!AY17*EF!$H48*EF!$H66)*NtoN2O*kgtoGg)</f>
        <v>0.10603841363071233</v>
      </c>
      <c r="AG1423" s="28">
        <f>IF(('Activity data'!AZ17*EF!$H48*EF!$H66)*NtoN2O*kgtoGg=0,"NO",('Activity data'!AZ17*EF!$H48*EF!$H66)*NtoN2O*kgtoGg)</f>
        <v>0.10932837219720498</v>
      </c>
      <c r="AH1423" s="28">
        <f>IF(('Activity data'!BA17*EF!$H48*EF!$H66)*NtoN2O*kgtoGg=0,"NO",('Activity data'!BA17*EF!$H48*EF!$H66)*NtoN2O*kgtoGg)</f>
        <v>0.11199564217103479</v>
      </c>
      <c r="AI1423" s="28">
        <f>IF(('Activity data'!BB17*EF!$H48*EF!$H66)*NtoN2O*kgtoGg=0,"NO",('Activity data'!BB17*EF!$H48*EF!$H66)*NtoN2O*kgtoGg)</f>
        <v>0.11485371208683526</v>
      </c>
      <c r="AJ1423" s="28">
        <f>IF(('Activity data'!BC17*EF!$H48*EF!$H66)*NtoN2O*kgtoGg=0,"NO",('Activity data'!BC17*EF!$H48*EF!$H66)*NtoN2O*kgtoGg)</f>
        <v>0.11771232198590084</v>
      </c>
      <c r="AK1423" s="28">
        <f>IF(('Activity data'!BD17*EF!$H48*EF!$H66)*NtoN2O*kgtoGg=0,"NO",('Activity data'!BD17*EF!$H48*EF!$H66)*NtoN2O*kgtoGg)</f>
        <v>0.12030678115486812</v>
      </c>
      <c r="AL1423" s="28">
        <f>IF(('Activity data'!BE17*EF!$H48*EF!$H66)*NtoN2O*kgtoGg=0,"NO",('Activity data'!BE17*EF!$H48*EF!$H66)*NtoN2O*kgtoGg)</f>
        <v>0.12282077145121797</v>
      </c>
      <c r="AM1423" s="28">
        <f>IF(('Activity data'!BF17*EF!$H48*EF!$H66)*NtoN2O*kgtoGg=0,"NO",('Activity data'!BF17*EF!$H48*EF!$H66)*NtoN2O*kgtoGg)</f>
        <v>0.12541265580814645</v>
      </c>
      <c r="AN1423" s="28">
        <f>IF(('Activity data'!BG17*EF!$H48*EF!$H66)*NtoN2O*kgtoGg=0,"NO",('Activity data'!BG17*EF!$H48*EF!$H66)*NtoN2O*kgtoGg)</f>
        <v>0.12815280796716533</v>
      </c>
      <c r="AO1423" s="28">
        <f>IF(('Activity data'!BH17*EF!$H48*EF!$H66)*NtoN2O*kgtoGg=0,"NO",('Activity data'!BH17*EF!$H48*EF!$H66)*NtoN2O*kgtoGg)</f>
        <v>0.13056194972752197</v>
      </c>
      <c r="AP1423" s="28">
        <f>IF(('Activity data'!BI17*EF!$H48*EF!$H66)*NtoN2O*kgtoGg=0,"NO",('Activity data'!BI17*EF!$H48*EF!$H66)*NtoN2O*kgtoGg)</f>
        <v>0.13295353804447049</v>
      </c>
      <c r="AQ1423" s="28">
        <f>IF(('Activity data'!BJ17*EF!$H48*EF!$H66)*NtoN2O*kgtoGg=0,"NO",('Activity data'!BJ17*EF!$H48*EF!$H66)*NtoN2O*kgtoGg)</f>
        <v>0.13533393181533376</v>
      </c>
      <c r="AR1423" s="28">
        <f>IF(('Activity data'!BK17*EF!$H48*EF!$H66)*NtoN2O*kgtoGg=0,"NO",('Activity data'!BK17*EF!$H48*EF!$H66)*NtoN2O*kgtoGg)</f>
        <v>0.1379132972636212</v>
      </c>
      <c r="AS1423" s="28">
        <f>IF(('Activity data'!BL17*EF!$H48*EF!$H66)*NtoN2O*kgtoGg=0,"NO",('Activity data'!BL17*EF!$H48*EF!$H66)*NtoN2O*kgtoGg)</f>
        <v>0.14053008195021952</v>
      </c>
      <c r="AT1423" s="28">
        <f>IF(('Activity data'!BM17*EF!$H48*EF!$H66)*NtoN2O*kgtoGg=0,"NO",('Activity data'!BM17*EF!$H48*EF!$H66)*NtoN2O*kgtoGg)</f>
        <v>0.14114192425764652</v>
      </c>
      <c r="AU1423" s="28">
        <f>IF(('Activity data'!BN17*EF!$H48*EF!$H66)*NtoN2O*kgtoGg=0,"NO",('Activity data'!BN17*EF!$H48*EF!$H66)*NtoN2O*kgtoGg)</f>
        <v>0.14158544392848668</v>
      </c>
      <c r="AV1423" s="28">
        <f>IF(('Activity data'!BO17*EF!$H48*EF!$H66)*NtoN2O*kgtoGg=0,"NO",('Activity data'!BO17*EF!$H48*EF!$H66)*NtoN2O*kgtoGg)</f>
        <v>0.14225126627613405</v>
      </c>
      <c r="AW1423" s="28">
        <f>IF(('Activity data'!BP17*EF!$H48*EF!$H66)*NtoN2O*kgtoGg=0,"NO",('Activity data'!BP17*EF!$H48*EF!$H66)*NtoN2O*kgtoGg)</f>
        <v>0.14277114135536023</v>
      </c>
    </row>
    <row r="1424" spans="1:49" x14ac:dyDescent="0.25">
      <c r="A1424" s="102" t="s">
        <v>961</v>
      </c>
      <c r="B1424" s="102"/>
      <c r="C1424" s="102"/>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8">
        <f>IF(('Activity data'!AD18*EF!$H49*EF!$H67)*NtoN2O*kgtoGg=0,"NO",('Activity data'!AD18*EF!$H49*EF!$H67)*NtoN2O*kgtoGg)</f>
        <v>3.8282858549039588E-2</v>
      </c>
      <c r="L1424" s="28">
        <f>IF(('Activity data'!AE18*EF!$H49*EF!$H67)*NtoN2O*kgtoGg=0,"NO",('Activity data'!AE18*EF!$H49*EF!$H67)*NtoN2O*kgtoGg)</f>
        <v>3.8215198037593316E-2</v>
      </c>
      <c r="M1424" s="28">
        <f>IF(('Activity data'!AF18*EF!$H49*EF!$H67)*NtoN2O*kgtoGg=0,"NO",('Activity data'!AF18*EF!$H49*EF!$H67)*NtoN2O*kgtoGg)</f>
        <v>3.8000790781466037E-2</v>
      </c>
      <c r="N1424" s="28">
        <f>IF(('Activity data'!AG18*EF!$H49*EF!$H67)*NtoN2O*kgtoGg=0,"NO",('Activity data'!AG18*EF!$H49*EF!$H67)*NtoN2O*kgtoGg)</f>
        <v>3.7162254742945426E-2</v>
      </c>
      <c r="O1424" s="28">
        <f>IF(('Activity data'!AH18*EF!$H49*EF!$H67)*NtoN2O*kgtoGg=0,"NO",('Activity data'!AH18*EF!$H49*EF!$H67)*NtoN2O*kgtoGg)</f>
        <v>3.6369283370166726E-2</v>
      </c>
      <c r="P1424" s="28">
        <f>IF(('Activity data'!AI18*EF!$H49*EF!$H67)*NtoN2O*kgtoGg=0,"NO",('Activity data'!AI18*EF!$H49*EF!$H67)*NtoN2O*kgtoGg)</f>
        <v>3.6241296102068297E-2</v>
      </c>
      <c r="Q1424" s="28">
        <f>IF(('Activity data'!AJ18*EF!$H49*EF!$H67)*NtoN2O*kgtoGg=0,"NO",('Activity data'!AJ18*EF!$H49*EF!$H67)*NtoN2O*kgtoGg)</f>
        <v>3.5930605099907358E-2</v>
      </c>
      <c r="R1424" s="28">
        <f>IF(('Activity data'!AK18*EF!$H49*EF!$H67)*NtoN2O*kgtoGg=0,"NO",('Activity data'!AK18*EF!$H49*EF!$H67)*NtoN2O*kgtoGg)</f>
        <v>3.497369805574925E-2</v>
      </c>
      <c r="S1424" s="28">
        <f>IF(('Activity data'!AL18*EF!$H49*EF!$H67)*NtoN2O*kgtoGg=0,"NO",('Activity data'!AL18*EF!$H49*EF!$H67)*NtoN2O*kgtoGg)</f>
        <v>3.1194920495194334E-2</v>
      </c>
      <c r="T1424" s="28">
        <f>IF(('Activity data'!AM18*EF!$H49*EF!$H67)*NtoN2O*kgtoGg=0,"NO",('Activity data'!AM18*EF!$H49*EF!$H67)*NtoN2O*kgtoGg)</f>
        <v>3.1865942339771837E-2</v>
      </c>
      <c r="U1424" s="28">
        <f>IF(('Activity data'!AN18*EF!$H49*EF!$H67)*NtoN2O*kgtoGg=0,"NO",('Activity data'!AN18*EF!$H49*EF!$H67)*NtoN2O*kgtoGg)</f>
        <v>3.21749357644633E-2</v>
      </c>
      <c r="V1424" s="28">
        <f>IF(('Activity data'!AO18*EF!$H49*EF!$H67)*NtoN2O*kgtoGg=0,"NO",('Activity data'!AO18*EF!$H49*EF!$H67)*NtoN2O*kgtoGg)</f>
        <v>3.2399978283680568E-2</v>
      </c>
      <c r="W1424" s="28">
        <f>IF(('Activity data'!AP18*EF!$H49*EF!$H67)*NtoN2O*kgtoGg=0,"NO",('Activity data'!AP18*EF!$H49*EF!$H67)*NtoN2O*kgtoGg)</f>
        <v>3.2745479189526895E-2</v>
      </c>
      <c r="X1424" s="28">
        <f>IF(('Activity data'!AQ18*EF!$H49*EF!$H67)*NtoN2O*kgtoGg=0,"NO",('Activity data'!AQ18*EF!$H49*EF!$H67)*NtoN2O*kgtoGg)</f>
        <v>3.3512732391080123E-2</v>
      </c>
      <c r="Y1424" s="28">
        <f>IF(('Activity data'!AR18*EF!$H49*EF!$H67)*NtoN2O*kgtoGg=0,"NO",('Activity data'!AR18*EF!$H49*EF!$H67)*NtoN2O*kgtoGg)</f>
        <v>3.4376233123742127E-2</v>
      </c>
      <c r="Z1424" s="28">
        <f>IF(('Activity data'!AS18*EF!$H49*EF!$H67)*NtoN2O*kgtoGg=0,"NO",('Activity data'!AS18*EF!$H49*EF!$H67)*NtoN2O*kgtoGg)</f>
        <v>3.5326440029424484E-2</v>
      </c>
      <c r="AA1424" s="28">
        <f>IF(('Activity data'!AT18*EF!$H49*EF!$H67)*NtoN2O*kgtoGg=0,"NO",('Activity data'!AT18*EF!$H49*EF!$H67)*NtoN2O*kgtoGg)</f>
        <v>3.6086263689411195E-2</v>
      </c>
      <c r="AB1424" s="28">
        <f>IF(('Activity data'!AU18*EF!$H49*EF!$H67)*NtoN2O*kgtoGg=0,"NO",('Activity data'!AU18*EF!$H49*EF!$H67)*NtoN2O*kgtoGg)</f>
        <v>3.7016911024810674E-2</v>
      </c>
      <c r="AC1424" s="28">
        <f>IF(('Activity data'!AV18*EF!$H49*EF!$H67)*NtoN2O*kgtoGg=0,"NO",('Activity data'!AV18*EF!$H49*EF!$H67)*NtoN2O*kgtoGg)</f>
        <v>3.8155809341092126E-2</v>
      </c>
      <c r="AD1424" s="28">
        <f>IF(('Activity data'!AW18*EF!$H49*EF!$H67)*NtoN2O*kgtoGg=0,"NO",('Activity data'!AW18*EF!$H49*EF!$H67)*NtoN2O*kgtoGg)</f>
        <v>3.9233830764231724E-2</v>
      </c>
      <c r="AE1424" s="28">
        <f>IF(('Activity data'!AX18*EF!$H49*EF!$H67)*NtoN2O*kgtoGg=0,"NO",('Activity data'!AX18*EF!$H49*EF!$H67)*NtoN2O*kgtoGg)</f>
        <v>4.0355813171267518E-2</v>
      </c>
      <c r="AF1424" s="28">
        <f>IF(('Activity data'!AY18*EF!$H49*EF!$H67)*NtoN2O*kgtoGg=0,"NO",('Activity data'!AY18*EF!$H49*EF!$H67)*NtoN2O*kgtoGg)</f>
        <v>4.1484374349525836E-2</v>
      </c>
      <c r="AG1424" s="28">
        <f>IF(('Activity data'!AZ18*EF!$H49*EF!$H67)*NtoN2O*kgtoGg=0,"NO",('Activity data'!AZ18*EF!$H49*EF!$H67)*NtoN2O*kgtoGg)</f>
        <v>4.2771472751828604E-2</v>
      </c>
      <c r="AH1424" s="28">
        <f>IF(('Activity data'!BA18*EF!$H49*EF!$H67)*NtoN2O*kgtoGg=0,"NO",('Activity data'!BA18*EF!$H49*EF!$H67)*NtoN2O*kgtoGg)</f>
        <v>4.3814962769238276E-2</v>
      </c>
      <c r="AI1424" s="28">
        <f>IF(('Activity data'!BB18*EF!$H49*EF!$H67)*NtoN2O*kgtoGg=0,"NO",('Activity data'!BB18*EF!$H49*EF!$H67)*NtoN2O*kgtoGg)</f>
        <v>4.4933097587032685E-2</v>
      </c>
      <c r="AJ1424" s="28">
        <f>IF(('Activity data'!BC18*EF!$H49*EF!$H67)*NtoN2O*kgtoGg=0,"NO",('Activity data'!BC18*EF!$H49*EF!$H67)*NtoN2O*kgtoGg)</f>
        <v>4.605144365721333E-2</v>
      </c>
      <c r="AK1424" s="28">
        <f>IF(('Activity data'!BD18*EF!$H49*EF!$H67)*NtoN2O*kgtoGg=0,"NO",('Activity data'!BD18*EF!$H49*EF!$H67)*NtoN2O*kgtoGg)</f>
        <v>4.7066448613575902E-2</v>
      </c>
      <c r="AL1424" s="28">
        <f>IF(('Activity data'!BE18*EF!$H49*EF!$H67)*NtoN2O*kgtoGg=0,"NO",('Activity data'!BE18*EF!$H49*EF!$H67)*NtoN2O*kgtoGg)</f>
        <v>4.8049972517734428E-2</v>
      </c>
      <c r="AM1424" s="28">
        <f>IF(('Activity data'!BF18*EF!$H49*EF!$H67)*NtoN2O*kgtoGg=0,"NO",('Activity data'!BF18*EF!$H49*EF!$H67)*NtoN2O*kgtoGg)</f>
        <v>4.906397015549574E-2</v>
      </c>
      <c r="AN1424" s="28">
        <f>IF(('Activity data'!BG18*EF!$H49*EF!$H67)*NtoN2O*kgtoGg=0,"NO",('Activity data'!BG18*EF!$H49*EF!$H67)*NtoN2O*kgtoGg)</f>
        <v>5.0135973159381467E-2</v>
      </c>
      <c r="AO1424" s="28">
        <f>IF(('Activity data'!BH18*EF!$H49*EF!$H67)*NtoN2O*kgtoGg=0,"NO",('Activity data'!BH18*EF!$H49*EF!$H67)*NtoN2O*kgtoGg)</f>
        <v>5.1078478193413449E-2</v>
      </c>
      <c r="AP1424" s="28">
        <f>IF(('Activity data'!BI18*EF!$H49*EF!$H67)*NtoN2O*kgtoGg=0,"NO",('Activity data'!BI18*EF!$H49*EF!$H67)*NtoN2O*kgtoGg)</f>
        <v>5.2014115964983336E-2</v>
      </c>
      <c r="AQ1424" s="28">
        <f>IF(('Activity data'!BJ18*EF!$H49*EF!$H67)*NtoN2O*kgtoGg=0,"NO",('Activity data'!BJ18*EF!$H49*EF!$H67)*NtoN2O*kgtoGg)</f>
        <v>5.2945374203471063E-2</v>
      </c>
      <c r="AR1424" s="28">
        <f>IF(('Activity data'!BK18*EF!$H49*EF!$H67)*NtoN2O*kgtoGg=0,"NO",('Activity data'!BK18*EF!$H49*EF!$H67)*NtoN2O*kgtoGg)</f>
        <v>5.395447419070433E-2</v>
      </c>
      <c r="AS1424" s="28">
        <f>IF(('Activity data'!BL18*EF!$H49*EF!$H67)*NtoN2O*kgtoGg=0,"NO",('Activity data'!BL18*EF!$H49*EF!$H67)*NtoN2O*kgtoGg)</f>
        <v>5.4978213341584196E-2</v>
      </c>
      <c r="AT1424" s="28">
        <f>IF(('Activity data'!BM18*EF!$H49*EF!$H67)*NtoN2O*kgtoGg=0,"NO",('Activity data'!BM18*EF!$H49*EF!$H67)*NtoN2O*kgtoGg)</f>
        <v>5.5217578440090585E-2</v>
      </c>
      <c r="AU1424" s="28">
        <f>IF(('Activity data'!BN18*EF!$H49*EF!$H67)*NtoN2O*kgtoGg=0,"NO",('Activity data'!BN18*EF!$H49*EF!$H67)*NtoN2O*kgtoGg)</f>
        <v>5.5391092315171642E-2</v>
      </c>
      <c r="AV1424" s="28">
        <f>IF(('Activity data'!BO18*EF!$H49*EF!$H67)*NtoN2O*kgtoGg=0,"NO",('Activity data'!BO18*EF!$H49*EF!$H67)*NtoN2O*kgtoGg)</f>
        <v>5.5651575498334646E-2</v>
      </c>
      <c r="AW1424" s="28">
        <f>IF(('Activity data'!BP18*EF!$H49*EF!$H67)*NtoN2O*kgtoGg=0,"NO",('Activity data'!BP18*EF!$H49*EF!$H67)*NtoN2O*kgtoGg)</f>
        <v>5.5854961155128016E-2</v>
      </c>
    </row>
    <row r="1425" spans="1:49" x14ac:dyDescent="0.25">
      <c r="A1425" s="102" t="s">
        <v>961</v>
      </c>
      <c r="B1425" s="102"/>
      <c r="C1425" s="102"/>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8">
        <f>IF(('Activity data'!AD19*EF!$H50*EF!$H68)*NtoN2O*kgtoGg=0,"NO",('Activity data'!AD19*EF!$H50*EF!$H68)*NtoN2O*kgtoGg)</f>
        <v>0.32879130142743862</v>
      </c>
      <c r="L1425" s="28">
        <f>IF(('Activity data'!AE19*EF!$H50*EF!$H68)*NtoN2O*kgtoGg=0,"NO",('Activity data'!AE19*EF!$H50*EF!$H68)*NtoN2O*kgtoGg)</f>
        <v>0.33618147320266517</v>
      </c>
      <c r="M1425" s="28">
        <f>IF(('Activity data'!AF19*EF!$H50*EF!$H68)*NtoN2O*kgtoGg=0,"NO",('Activity data'!AF19*EF!$H50*EF!$H68)*NtoN2O*kgtoGg)</f>
        <v>0.34286580262317662</v>
      </c>
      <c r="N1425" s="28">
        <f>IF(('Activity data'!AG19*EF!$H50*EF!$H68)*NtoN2O*kgtoGg=0,"NO",('Activity data'!AG19*EF!$H50*EF!$H68)*NtoN2O*kgtoGg)</f>
        <v>0.34631663130525719</v>
      </c>
      <c r="O1425" s="28">
        <f>IF(('Activity data'!AH19*EF!$H50*EF!$H68)*NtoN2O*kgtoGg=0,"NO",('Activity data'!AH19*EF!$H50*EF!$H68)*NtoN2O*kgtoGg)</f>
        <v>0.34986259378047058</v>
      </c>
      <c r="P1425" s="28">
        <f>IF(('Activity data'!AI19*EF!$H50*EF!$H68)*NtoN2O*kgtoGg=0,"NO",('Activity data'!AI19*EF!$H50*EF!$H68)*NtoN2O*kgtoGg)</f>
        <v>0.35692259519801384</v>
      </c>
      <c r="Q1425" s="28">
        <f>IF(('Activity data'!AJ19*EF!$H50*EF!$H68)*NtoN2O*kgtoGg=0,"NO",('Activity data'!AJ19*EF!$H50*EF!$H68)*NtoN2O*kgtoGg)</f>
        <v>0.36295954497520366</v>
      </c>
      <c r="R1425" s="28">
        <f>IF(('Activity data'!AK19*EF!$H50*EF!$H68)*NtoN2O*kgtoGg=0,"NO",('Activity data'!AK19*EF!$H50*EF!$H68)*NtoN2O*kgtoGg)</f>
        <v>0.36525102127555931</v>
      </c>
      <c r="S1425" s="28">
        <f>IF(('Activity data'!AL19*EF!$H50*EF!$H68)*NtoN2O*kgtoGg=0,"NO",('Activity data'!AL19*EF!$H50*EF!$H68)*NtoN2O*kgtoGg)</f>
        <v>0.35074524152454095</v>
      </c>
      <c r="T1425" s="28">
        <f>IF(('Activity data'!AM19*EF!$H50*EF!$H68)*NtoN2O*kgtoGg=0,"NO",('Activity data'!AM19*EF!$H50*EF!$H68)*NtoN2O*kgtoGg)</f>
        <v>0.36118344194798235</v>
      </c>
      <c r="U1425" s="28">
        <f>IF(('Activity data'!AN19*EF!$H50*EF!$H68)*NtoN2O*kgtoGg=0,"NO",('Activity data'!AN19*EF!$H50*EF!$H68)*NtoN2O*kgtoGg)</f>
        <v>0.36961966083970876</v>
      </c>
      <c r="V1425" s="28">
        <f>IF(('Activity data'!AO19*EF!$H50*EF!$H68)*NtoN2O*kgtoGg=0,"NO",('Activity data'!AO19*EF!$H50*EF!$H68)*NtoN2O*kgtoGg)</f>
        <v>0.37765888442551321</v>
      </c>
      <c r="W1425" s="28">
        <f>IF(('Activity data'!AP19*EF!$H50*EF!$H68)*NtoN2O*kgtoGg=0,"NO",('Activity data'!AP19*EF!$H50*EF!$H68)*NtoN2O*kgtoGg)</f>
        <v>0.38658550533232433</v>
      </c>
      <c r="X1425" s="28">
        <f>IF(('Activity data'!AQ19*EF!$H50*EF!$H68)*NtoN2O*kgtoGg=0,"NO",('Activity data'!AQ19*EF!$H50*EF!$H68)*NtoN2O*kgtoGg)</f>
        <v>0.39843478474254634</v>
      </c>
      <c r="Y1425" s="28">
        <f>IF(('Activity data'!AR19*EF!$H50*EF!$H68)*NtoN2O*kgtoGg=0,"NO",('Activity data'!AR19*EF!$H50*EF!$H68)*NtoN2O*kgtoGg)</f>
        <v>0.41088019341175391</v>
      </c>
      <c r="Z1425" s="28">
        <f>IF(('Activity data'!AS19*EF!$H50*EF!$H68)*NtoN2O*kgtoGg=0,"NO",('Activity data'!AS19*EF!$H50*EF!$H68)*NtoN2O*kgtoGg)</f>
        <v>0.42422078606736746</v>
      </c>
      <c r="AA1425" s="28">
        <f>IF(('Activity data'!AT19*EF!$H50*EF!$H68)*NtoN2O*kgtoGg=0,"NO",('Activity data'!AT19*EF!$H50*EF!$H68)*NtoN2O*kgtoGg)</f>
        <v>0.4365608627490552</v>
      </c>
      <c r="AB1425" s="28">
        <f>IF(('Activity data'!AU19*EF!$H50*EF!$H68)*NtoN2O*kgtoGg=0,"NO",('Activity data'!AU19*EF!$H50*EF!$H68)*NtoN2O*kgtoGg)</f>
        <v>0.45040527564099359</v>
      </c>
      <c r="AC1425" s="28">
        <f>IF(('Activity data'!AV19*EF!$H50*EF!$H68)*NtoN2O*kgtoGg=0,"NO",('Activity data'!AV19*EF!$H50*EF!$H68)*NtoN2O*kgtoGg)</f>
        <v>0.46610821416360254</v>
      </c>
      <c r="AD1425" s="28">
        <f>IF(('Activity data'!AW19*EF!$H50*EF!$H68)*NtoN2O*kgtoGg=0,"NO",('Activity data'!AW19*EF!$H50*EF!$H68)*NtoN2O*kgtoGg)</f>
        <v>0.48149963825345377</v>
      </c>
      <c r="AE1425" s="28">
        <f>IF(('Activity data'!AX19*EF!$H50*EF!$H68)*NtoN2O*kgtoGg=0,"NO",('Activity data'!AX19*EF!$H50*EF!$H68)*NtoN2O*kgtoGg)</f>
        <v>0.49761952403274901</v>
      </c>
      <c r="AF1425" s="28">
        <f>IF(('Activity data'!AY19*EF!$H50*EF!$H68)*NtoN2O*kgtoGg=0,"NO",('Activity data'!AY19*EF!$H50*EF!$H68)*NtoN2O*kgtoGg)</f>
        <v>0.51420726915291115</v>
      </c>
      <c r="AG1425" s="28">
        <f>IF(('Activity data'!AZ19*EF!$H50*EF!$H68)*NtoN2O*kgtoGg=0,"NO",('Activity data'!AZ19*EF!$H50*EF!$H68)*NtoN2O*kgtoGg)</f>
        <v>0.53247410489136104</v>
      </c>
      <c r="AH1425" s="28">
        <f>IF(('Activity data'!BA19*EF!$H50*EF!$H68)*NtoN2O*kgtoGg=0,"NO",('Activity data'!BA19*EF!$H50*EF!$H68)*NtoN2O*kgtoGg)</f>
        <v>0.5492684403625786</v>
      </c>
      <c r="AI1425" s="28">
        <f>IF(('Activity data'!BB19*EF!$H50*EF!$H68)*NtoN2O*kgtoGg=0,"NO",('Activity data'!BB19*EF!$H50*EF!$H68)*NtoN2O*kgtoGg)</f>
        <v>0.56683832060292816</v>
      </c>
      <c r="AJ1425" s="28">
        <f>IF(('Activity data'!BC19*EF!$H50*EF!$H68)*NtoN2O*kgtoGg=0,"NO",('Activity data'!BC19*EF!$H50*EF!$H68)*NtoN2O*kgtoGg)</f>
        <v>0.584861650511455</v>
      </c>
      <c r="AK1425" s="28">
        <f>IF(('Activity data'!BD19*EF!$H50*EF!$H68)*NtoN2O*kgtoGg=0,"NO",('Activity data'!BD19*EF!$H50*EF!$H68)*NtoN2O*kgtoGg)</f>
        <v>0.60246746038216259</v>
      </c>
      <c r="AL1425" s="28">
        <f>IF(('Activity data'!BE19*EF!$H50*EF!$H68)*NtoN2O*kgtoGg=0,"NO",('Activity data'!BE19*EF!$H50*EF!$H68)*NtoN2O*kgtoGg)</f>
        <v>0.62024062021411375</v>
      </c>
      <c r="AM1425" s="28">
        <f>IF(('Activity data'!BF19*EF!$H50*EF!$H68)*NtoN2O*kgtoGg=0,"NO",('Activity data'!BF19*EF!$H50*EF!$H68)*NtoN2O*kgtoGg)</f>
        <v>0.63872476172334525</v>
      </c>
      <c r="AN1425" s="28">
        <f>IF(('Activity data'!BG19*EF!$H50*EF!$H68)*NtoN2O*kgtoGg=0,"NO",('Activity data'!BG19*EF!$H50*EF!$H68)*NtoN2O*kgtoGg)</f>
        <v>0.65794922439522119</v>
      </c>
      <c r="AO1425" s="28">
        <f>IF(('Activity data'!BH19*EF!$H50*EF!$H68)*NtoN2O*kgtoGg=0,"NO",('Activity data'!BH19*EF!$H50*EF!$H68)*NtoN2O*kgtoGg)</f>
        <v>0.67647629594315495</v>
      </c>
      <c r="AP1425" s="28">
        <f>IF(('Activity data'!BI19*EF!$H50*EF!$H68)*NtoN2O*kgtoGg=0,"NO",('Activity data'!BI19*EF!$H50*EF!$H68)*NtoN2O*kgtoGg)</f>
        <v>0.69539916939277291</v>
      </c>
      <c r="AQ1425" s="28">
        <f>IF(('Activity data'!BJ19*EF!$H50*EF!$H68)*NtoN2O*kgtoGg=0,"NO",('Activity data'!BJ19*EF!$H50*EF!$H68)*NtoN2O*kgtoGg)</f>
        <v>0.71475050403818352</v>
      </c>
      <c r="AR1425" s="28">
        <f>IF(('Activity data'!BK19*EF!$H50*EF!$H68)*NtoN2O*kgtoGg=0,"NO",('Activity data'!BK19*EF!$H50*EF!$H68)*NtoN2O*kgtoGg)</f>
        <v>0.73533889699431976</v>
      </c>
      <c r="AS1425" s="28">
        <f>IF(('Activity data'!BL19*EF!$H50*EF!$H68)*NtoN2O*kgtoGg=0,"NO",('Activity data'!BL19*EF!$H50*EF!$H68)*NtoN2O*kgtoGg)</f>
        <v>0.75634294211031738</v>
      </c>
      <c r="AT1425" s="28">
        <f>IF(('Activity data'!BM19*EF!$H50*EF!$H68)*NtoN2O*kgtoGg=0,"NO",('Activity data'!BM19*EF!$H50*EF!$H68)*NtoN2O*kgtoGg)</f>
        <v>0.76999066398321547</v>
      </c>
      <c r="AU1425" s="28">
        <f>IF(('Activity data'!BN19*EF!$H50*EF!$H68)*NtoN2O*kgtoGg=0,"NO",('Activity data'!BN19*EF!$H50*EF!$H68)*NtoN2O*kgtoGg)</f>
        <v>0.78322712569021657</v>
      </c>
      <c r="AV1425" s="28">
        <f>IF(('Activity data'!BO19*EF!$H50*EF!$H68)*NtoN2O*kgtoGg=0,"NO",('Activity data'!BO19*EF!$H50*EF!$H68)*NtoN2O*kgtoGg)</f>
        <v>0.79761951278112875</v>
      </c>
      <c r="AW1425" s="28">
        <f>IF(('Activity data'!BP19*EF!$H50*EF!$H68)*NtoN2O*kgtoGg=0,"NO",('Activity data'!BP19*EF!$H50*EF!$H68)*NtoN2O*kgtoGg)</f>
        <v>0.8116941649813233</v>
      </c>
    </row>
    <row r="1426" spans="1:49" x14ac:dyDescent="0.25">
      <c r="A1426" s="102" t="s">
        <v>961</v>
      </c>
      <c r="B1426" s="102"/>
      <c r="C1426" s="102"/>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8">
        <f>IF(('Activity data'!AD20*EF!$H51*EF!$H69)*NtoN2O*kgtoGg=0,"NO",('Activity data'!AD20*EF!$H51*EF!$H69)*NtoN2O*kgtoGg)</f>
        <v>1.7130795703114865</v>
      </c>
      <c r="L1426" s="28">
        <f>IF(('Activity data'!AE20*EF!$H51*EF!$H69)*NtoN2O*kgtoGg=0,"NO",('Activity data'!AE20*EF!$H51*EF!$H69)*NtoN2O*kgtoGg)</f>
        <v>1.7448742149951937</v>
      </c>
      <c r="M1426" s="28">
        <f>IF(('Activity data'!AF20*EF!$H51*EF!$H69)*NtoN2O*kgtoGg=0,"NO",('Activity data'!AF20*EF!$H51*EF!$H69)*NtoN2O*kgtoGg)</f>
        <v>1.7656986639980343</v>
      </c>
      <c r="N1426" s="28">
        <f>IF(('Activity data'!AG20*EF!$H51*EF!$H69)*NtoN2O*kgtoGg=0,"NO",('Activity data'!AG20*EF!$H51*EF!$H69)*NtoN2O*kgtoGg)</f>
        <v>1.7427941986174933</v>
      </c>
      <c r="O1426" s="28">
        <f>IF(('Activity data'!AH20*EF!$H51*EF!$H69)*NtoN2O*kgtoGg=0,"NO",('Activity data'!AH20*EF!$H51*EF!$H69)*NtoN2O*kgtoGg)</f>
        <v>1.7205815318546955</v>
      </c>
      <c r="P1426" s="28">
        <f>IF(('Activity data'!AI20*EF!$H51*EF!$H69)*NtoN2O*kgtoGg=0,"NO",('Activity data'!AI20*EF!$H51*EF!$H69)*NtoN2O*kgtoGg)</f>
        <v>1.7425923100139877</v>
      </c>
      <c r="Q1426" s="28">
        <f>IF(('Activity data'!AJ20*EF!$H51*EF!$H69)*NtoN2O*kgtoGg=0,"NO",('Activity data'!AJ20*EF!$H51*EF!$H69)*NtoN2O*kgtoGg)</f>
        <v>1.7510736876348556</v>
      </c>
      <c r="R1426" s="28">
        <f>IF(('Activity data'!AK20*EF!$H51*EF!$H69)*NtoN2O*kgtoGg=0,"NO",('Activity data'!AK20*EF!$H51*EF!$H69)*NtoN2O*kgtoGg)</f>
        <v>1.7121897293862536</v>
      </c>
      <c r="S1426" s="28">
        <f>IF(('Activity data'!AL20*EF!$H51*EF!$H69)*NtoN2O*kgtoGg=0,"NO",('Activity data'!AL20*EF!$H51*EF!$H69)*NtoN2O*kgtoGg)</f>
        <v>1.4655218906646825</v>
      </c>
      <c r="T1426" s="28">
        <f>IF(('Activity data'!AM20*EF!$H51*EF!$H69)*NtoN2O*kgtoGg=0,"NO",('Activity data'!AM20*EF!$H51*EF!$H69)*NtoN2O*kgtoGg)</f>
        <v>1.5438535261882376</v>
      </c>
      <c r="U1426" s="28">
        <f>IF(('Activity data'!AN20*EF!$H51*EF!$H69)*NtoN2O*kgtoGg=0,"NO",('Activity data'!AN20*EF!$H51*EF!$H69)*NtoN2O*kgtoGg)</f>
        <v>1.5962945286475767</v>
      </c>
      <c r="V1426" s="28">
        <f>IF(('Activity data'!AO20*EF!$H51*EF!$H69)*NtoN2O*kgtoGg=0,"NO",('Activity data'!AO20*EF!$H51*EF!$H69)*NtoN2O*kgtoGg)</f>
        <v>1.642907889886944</v>
      </c>
      <c r="W1426" s="28">
        <f>IF(('Activity data'!AP20*EF!$H51*EF!$H69)*NtoN2O*kgtoGg=0,"NO",('Activity data'!AP20*EF!$H51*EF!$H69)*NtoN2O*kgtoGg)</f>
        <v>1.6991978110377575</v>
      </c>
      <c r="X1426" s="28">
        <f>IF(('Activity data'!AQ20*EF!$H51*EF!$H69)*NtoN2O*kgtoGg=0,"NO",('Activity data'!AQ20*EF!$H51*EF!$H69)*NtoN2O*kgtoGg)</f>
        <v>1.7890350626064766</v>
      </c>
      <c r="Y1426" s="28">
        <f>IF(('Activity data'!AR20*EF!$H51*EF!$H69)*NtoN2O*kgtoGg=0,"NO",('Activity data'!AR20*EF!$H51*EF!$H69)*NtoN2O*kgtoGg)</f>
        <v>1.8895080919073246</v>
      </c>
      <c r="Z1426" s="28">
        <f>IF(('Activity data'!AS20*EF!$H51*EF!$H69)*NtoN2O*kgtoGg=0,"NO",('Activity data'!AS20*EF!$H51*EF!$H69)*NtoN2O*kgtoGg)</f>
        <v>1.9987693788658938</v>
      </c>
      <c r="AA1426" s="28">
        <f>IF(('Activity data'!AT20*EF!$H51*EF!$H69)*NtoN2O*kgtoGg=0,"NO",('Activity data'!AT20*EF!$H51*EF!$H69)*NtoN2O*kgtoGg)</f>
        <v>2.0947103415895203</v>
      </c>
      <c r="AB1426" s="28">
        <f>IF(('Activity data'!AU20*EF!$H51*EF!$H69)*NtoN2O*kgtoGg=0,"NO",('Activity data'!AU20*EF!$H51*EF!$H69)*NtoN2O*kgtoGg)</f>
        <v>2.2064115736901493</v>
      </c>
      <c r="AC1426" s="28">
        <f>IF(('Activity data'!AV20*EF!$H51*EF!$H69)*NtoN2O*kgtoGg=0,"NO",('Activity data'!AV20*EF!$H51*EF!$H69)*NtoN2O*kgtoGg)</f>
        <v>2.3375745911599179</v>
      </c>
      <c r="AD1426" s="28">
        <f>IF(('Activity data'!AW20*EF!$H51*EF!$H69)*NtoN2O*kgtoGg=0,"NO",('Activity data'!AW20*EF!$H51*EF!$H69)*NtoN2O*kgtoGg)</f>
        <v>2.4674301417551581</v>
      </c>
      <c r="AE1426" s="28">
        <f>IF(('Activity data'!AX20*EF!$H51*EF!$H69)*NtoN2O*kgtoGg=0,"NO",('Activity data'!AX20*EF!$H51*EF!$H69)*NtoN2O*kgtoGg)</f>
        <v>2.6036408947859315</v>
      </c>
      <c r="AF1426" s="28">
        <f>IF(('Activity data'!AY20*EF!$H51*EF!$H69)*NtoN2O*kgtoGg=0,"NO",('Activity data'!AY20*EF!$H51*EF!$H69)*NtoN2O*kgtoGg)</f>
        <v>2.7431932989553216</v>
      </c>
      <c r="AG1426" s="28">
        <f>IF(('Activity data'!AZ20*EF!$H51*EF!$H69)*NtoN2O*kgtoGg=0,"NO",('Activity data'!AZ20*EF!$H51*EF!$H69)*NtoN2O*kgtoGg)</f>
        <v>2.8994590521514279</v>
      </c>
      <c r="AH1426" s="28">
        <f>IF(('Activity data'!BA20*EF!$H51*EF!$H69)*NtoN2O*kgtoGg=0,"NO",('Activity data'!BA20*EF!$H51*EF!$H69)*NtoN2O*kgtoGg)</f>
        <v>3.037455952913116</v>
      </c>
      <c r="AI1426" s="28">
        <f>IF(('Activity data'!BB20*EF!$H51*EF!$H69)*NtoN2O*kgtoGg=0,"NO",('Activity data'!BB20*EF!$H51*EF!$H69)*NtoN2O*kgtoGg)</f>
        <v>3.1860329911149803</v>
      </c>
      <c r="AJ1426" s="28">
        <f>IF(('Activity data'!BC20*EF!$H51*EF!$H69)*NtoN2O*kgtoGg=0,"NO",('Activity data'!BC20*EF!$H51*EF!$H69)*NtoN2O*kgtoGg)</f>
        <v>3.3377024540250857</v>
      </c>
      <c r="AK1426" s="28">
        <f>IF(('Activity data'!BD20*EF!$H51*EF!$H69)*NtoN2O*kgtoGg=0,"NO",('Activity data'!BD20*EF!$H51*EF!$H69)*NtoN2O*kgtoGg)</f>
        <v>3.4830302875985271</v>
      </c>
      <c r="AL1426" s="28">
        <f>IF(('Activity data'!BE20*EF!$H51*EF!$H69)*NtoN2O*kgtoGg=0,"NO",('Activity data'!BE20*EF!$H51*EF!$H69)*NtoN2O*kgtoGg)</f>
        <v>3.6284282503451957</v>
      </c>
      <c r="AM1426" s="28">
        <f>IF(('Activity data'!BF20*EF!$H51*EF!$H69)*NtoN2O*kgtoGg=0,"NO",('Activity data'!BF20*EF!$H51*EF!$H69)*NtoN2O*kgtoGg)</f>
        <v>3.7797085645009982</v>
      </c>
      <c r="AN1426" s="28">
        <f>IF(('Activity data'!BG20*EF!$H51*EF!$H69)*NtoN2O*kgtoGg=0,"NO",('Activity data'!BG20*EF!$H51*EF!$H69)*NtoN2O*kgtoGg)</f>
        <v>3.9406773028531807</v>
      </c>
      <c r="AO1426" s="28">
        <f>IF(('Activity data'!BH20*EF!$H51*EF!$H69)*NtoN2O*kgtoGg=0,"NO",('Activity data'!BH20*EF!$H51*EF!$H69)*NtoN2O*kgtoGg)</f>
        <v>4.09252605936598</v>
      </c>
      <c r="AP1426" s="28">
        <f>IF(('Activity data'!BI20*EF!$H51*EF!$H69)*NtoN2O*kgtoGg=0,"NO",('Activity data'!BI20*EF!$H51*EF!$H69)*NtoN2O*kgtoGg)</f>
        <v>4.2468797909937708</v>
      </c>
      <c r="AQ1426" s="28">
        <f>IF(('Activity data'!BJ20*EF!$H51*EF!$H69)*NtoN2O*kgtoGg=0,"NO",('Activity data'!BJ20*EF!$H51*EF!$H69)*NtoN2O*kgtoGg)</f>
        <v>4.4040525088231126</v>
      </c>
      <c r="AR1426" s="28">
        <f>IF(('Activity data'!BK20*EF!$H51*EF!$H69)*NtoN2O*kgtoGg=0,"NO",('Activity data'!BK20*EF!$H51*EF!$H69)*NtoN2O*kgtoGg)</f>
        <v>4.5723846640377745</v>
      </c>
      <c r="AS1426" s="28">
        <f>IF(('Activity data'!BL20*EF!$H51*EF!$H69)*NtoN2O*kgtoGg=0,"NO",('Activity data'!BL20*EF!$H51*EF!$H69)*NtoN2O*kgtoGg)</f>
        <v>4.746828077621343</v>
      </c>
      <c r="AT1426" s="28">
        <f>IF(('Activity data'!BM20*EF!$H51*EF!$H69)*NtoN2O*kgtoGg=0,"NO",('Activity data'!BM20*EF!$H51*EF!$H69)*NtoN2O*kgtoGg)</f>
        <v>4.8441966867749811</v>
      </c>
      <c r="AU1426" s="28">
        <f>IF(('Activity data'!BN20*EF!$H51*EF!$H69)*NtoN2O*kgtoGg=0,"NO",('Activity data'!BN20*EF!$H51*EF!$H69)*NtoN2O*kgtoGg)</f>
        <v>4.9364837725054729</v>
      </c>
      <c r="AV1426" s="28">
        <f>IF(('Activity data'!BO20*EF!$H51*EF!$H69)*NtoN2O*kgtoGg=0,"NO",('Activity data'!BO20*EF!$H51*EF!$H69)*NtoN2O*kgtoGg)</f>
        <v>5.0396527637872595</v>
      </c>
      <c r="AW1426" s="28">
        <f>IF(('Activity data'!BP20*EF!$H51*EF!$H69)*NtoN2O*kgtoGg=0,"NO",('Activity data'!BP20*EF!$H51*EF!$H69)*NtoN2O*kgtoGg)</f>
        <v>5.1386857535726884</v>
      </c>
    </row>
    <row r="1427" spans="1:49" x14ac:dyDescent="0.25">
      <c r="A1427" s="102" t="s">
        <v>961</v>
      </c>
      <c r="B1427" s="102"/>
      <c r="C1427" s="102"/>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8">
        <f>IF(('Activity data'!AD21*EF!$H52*EF!$H70)*NtoN2O*kgtoGg=0,"NO",('Activity data'!AD21*EF!$H52*EF!$H70)*NtoN2O*kgtoGg)</f>
        <v>1.3699637559476618E-2</v>
      </c>
      <c r="L1427" s="28">
        <f>IF(('Activity data'!AE21*EF!$H52*EF!$H70)*NtoN2O*kgtoGg=0,"NO",('Activity data'!AE21*EF!$H52*EF!$H70)*NtoN2O*kgtoGg)</f>
        <v>1.4007561383444394E-2</v>
      </c>
      <c r="M1427" s="28">
        <f>IF(('Activity data'!AF21*EF!$H52*EF!$H70)*NtoN2O*kgtoGg=0,"NO",('Activity data'!AF21*EF!$H52*EF!$H70)*NtoN2O*kgtoGg)</f>
        <v>1.4286075109299039E-2</v>
      </c>
      <c r="N1427" s="28">
        <f>IF(('Activity data'!AG21*EF!$H52*EF!$H70)*NtoN2O*kgtoGg=0,"NO",('Activity data'!AG21*EF!$H52*EF!$H70)*NtoN2O*kgtoGg)</f>
        <v>1.4429859637719061E-2</v>
      </c>
      <c r="O1427" s="28">
        <f>IF(('Activity data'!AH21*EF!$H52*EF!$H70)*NtoN2O*kgtoGg=0,"NO",('Activity data'!AH21*EF!$H52*EF!$H70)*NtoN2O*kgtoGg)</f>
        <v>1.4577608074186288E-2</v>
      </c>
      <c r="P1427" s="28">
        <f>IF(('Activity data'!AI21*EF!$H52*EF!$H70)*NtoN2O*kgtoGg=0,"NO",('Activity data'!AI21*EF!$H52*EF!$H70)*NtoN2O*kgtoGg)</f>
        <v>1.4871774799917255E-2</v>
      </c>
      <c r="Q1427" s="28">
        <f>IF(('Activity data'!AJ21*EF!$H52*EF!$H70)*NtoN2O*kgtoGg=0,"NO",('Activity data'!AJ21*EF!$H52*EF!$H70)*NtoN2O*kgtoGg)</f>
        <v>1.5123314373966834E-2</v>
      </c>
      <c r="R1427" s="28">
        <f>IF(('Activity data'!AK21*EF!$H52*EF!$H70)*NtoN2O*kgtoGg=0,"NO",('Activity data'!AK21*EF!$H52*EF!$H70)*NtoN2O*kgtoGg)</f>
        <v>1.5218792553148319E-2</v>
      </c>
      <c r="S1427" s="28">
        <f>IF(('Activity data'!AL21*EF!$H52*EF!$H70)*NtoN2O*kgtoGg=0,"NO",('Activity data'!AL21*EF!$H52*EF!$H70)*NtoN2O*kgtoGg)</f>
        <v>1.4614385063522554E-2</v>
      </c>
      <c r="T1427" s="28">
        <f>IF(('Activity data'!AM21*EF!$H52*EF!$H70)*NtoN2O*kgtoGg=0,"NO",('Activity data'!AM21*EF!$H52*EF!$H70)*NtoN2O*kgtoGg)</f>
        <v>1.5049310081165945E-2</v>
      </c>
      <c r="U1427" s="28">
        <f>IF(('Activity data'!AN21*EF!$H52*EF!$H70)*NtoN2O*kgtoGg=0,"NO",('Activity data'!AN21*EF!$H52*EF!$H70)*NtoN2O*kgtoGg)</f>
        <v>1.5400819201654545E-2</v>
      </c>
      <c r="V1427" s="28">
        <f>IF(('Activity data'!AO21*EF!$H52*EF!$H70)*NtoN2O*kgtoGg=0,"NO",('Activity data'!AO21*EF!$H52*EF!$H70)*NtoN2O*kgtoGg)</f>
        <v>1.5735786851063062E-2</v>
      </c>
      <c r="W1427" s="28">
        <f>IF(('Activity data'!AP21*EF!$H52*EF!$H70)*NtoN2O*kgtoGg=0,"NO",('Activity data'!AP21*EF!$H52*EF!$H70)*NtoN2O*kgtoGg)</f>
        <v>1.6107729388846862E-2</v>
      </c>
      <c r="X1427" s="28">
        <f>IF(('Activity data'!AQ21*EF!$H52*EF!$H70)*NtoN2O*kgtoGg=0,"NO",('Activity data'!AQ21*EF!$H52*EF!$H70)*NtoN2O*kgtoGg)</f>
        <v>1.6601449364272783E-2</v>
      </c>
      <c r="Y1427" s="28">
        <f>IF(('Activity data'!AR21*EF!$H52*EF!$H70)*NtoN2O*kgtoGg=0,"NO",('Activity data'!AR21*EF!$H52*EF!$H70)*NtoN2O*kgtoGg)</f>
        <v>1.7120008058823098E-2</v>
      </c>
      <c r="Z1427" s="28">
        <f>IF(('Activity data'!AS21*EF!$H52*EF!$H70)*NtoN2O*kgtoGg=0,"NO",('Activity data'!AS21*EF!$H52*EF!$H70)*NtoN2O*kgtoGg)</f>
        <v>1.7675866086140329E-2</v>
      </c>
      <c r="AA1427" s="28">
        <f>IF(('Activity data'!AT21*EF!$H52*EF!$H70)*NtoN2O*kgtoGg=0,"NO",('Activity data'!AT21*EF!$H52*EF!$H70)*NtoN2O*kgtoGg)</f>
        <v>1.8190035947877312E-2</v>
      </c>
      <c r="AB1427" s="28">
        <f>IF(('Activity data'!AU21*EF!$H52*EF!$H70)*NtoN2O*kgtoGg=0,"NO",('Activity data'!AU21*EF!$H52*EF!$H70)*NtoN2O*kgtoGg)</f>
        <v>1.8766886485041417E-2</v>
      </c>
      <c r="AC1427" s="28">
        <f>IF(('Activity data'!AV21*EF!$H52*EF!$H70)*NtoN2O*kgtoGg=0,"NO",('Activity data'!AV21*EF!$H52*EF!$H70)*NtoN2O*kgtoGg)</f>
        <v>1.9421175590150126E-2</v>
      </c>
      <c r="AD1427" s="28">
        <f>IF(('Activity data'!AW21*EF!$H52*EF!$H70)*NtoN2O*kgtoGg=0,"NO",('Activity data'!AW21*EF!$H52*EF!$H70)*NtoN2O*kgtoGg)</f>
        <v>2.0062484927227259E-2</v>
      </c>
      <c r="AE1427" s="28">
        <f>IF(('Activity data'!AX21*EF!$H52*EF!$H70)*NtoN2O*kgtoGg=0,"NO",('Activity data'!AX21*EF!$H52*EF!$H70)*NtoN2O*kgtoGg)</f>
        <v>2.0734146834697896E-2</v>
      </c>
      <c r="AF1427" s="28">
        <f>IF(('Activity data'!AY21*EF!$H52*EF!$H70)*NtoN2O*kgtoGg=0,"NO",('Activity data'!AY21*EF!$H52*EF!$H70)*NtoN2O*kgtoGg)</f>
        <v>2.1425302881371316E-2</v>
      </c>
      <c r="AG1427" s="28">
        <f>IF(('Activity data'!AZ21*EF!$H52*EF!$H70)*NtoN2O*kgtoGg=0,"NO",('Activity data'!AZ21*EF!$H52*EF!$H70)*NtoN2O*kgtoGg)</f>
        <v>2.2186421037140063E-2</v>
      </c>
      <c r="AH1427" s="28">
        <f>IF(('Activity data'!BA21*EF!$H52*EF!$H70)*NtoN2O*kgtoGg=0,"NO",('Activity data'!BA21*EF!$H52*EF!$H70)*NtoN2O*kgtoGg)</f>
        <v>2.2886185015107467E-2</v>
      </c>
      <c r="AI1427" s="28">
        <f>IF(('Activity data'!BB21*EF!$H52*EF!$H70)*NtoN2O*kgtoGg=0,"NO",('Activity data'!BB21*EF!$H52*EF!$H70)*NtoN2O*kgtoGg)</f>
        <v>2.3618263358455356E-2</v>
      </c>
      <c r="AJ1427" s="28">
        <f>IF(('Activity data'!BC21*EF!$H52*EF!$H70)*NtoN2O*kgtoGg=0,"NO",('Activity data'!BC21*EF!$H52*EF!$H70)*NtoN2O*kgtoGg)</f>
        <v>2.436923543797731E-2</v>
      </c>
      <c r="AK1427" s="28">
        <f>IF(('Activity data'!BD21*EF!$H52*EF!$H70)*NtoN2O*kgtoGg=0,"NO",('Activity data'!BD21*EF!$H52*EF!$H70)*NtoN2O*kgtoGg)</f>
        <v>2.5102810849256797E-2</v>
      </c>
      <c r="AL1427" s="28">
        <f>IF(('Activity data'!BE21*EF!$H52*EF!$H70)*NtoN2O*kgtoGg=0,"NO",('Activity data'!BE21*EF!$H52*EF!$H70)*NtoN2O*kgtoGg)</f>
        <v>2.5843359175588099E-2</v>
      </c>
      <c r="AM1427" s="28">
        <f>IF(('Activity data'!BF21*EF!$H52*EF!$H70)*NtoN2O*kgtoGg=0,"NO",('Activity data'!BF21*EF!$H52*EF!$H70)*NtoN2O*kgtoGg)</f>
        <v>2.6613531738472741E-2</v>
      </c>
      <c r="AN1427" s="28">
        <f>IF(('Activity data'!BG21*EF!$H52*EF!$H70)*NtoN2O*kgtoGg=0,"NO",('Activity data'!BG21*EF!$H52*EF!$H70)*NtoN2O*kgtoGg)</f>
        <v>2.7414551016467576E-2</v>
      </c>
      <c r="AO1427" s="28">
        <f>IF(('Activity data'!BH21*EF!$H52*EF!$H70)*NtoN2O*kgtoGg=0,"NO",('Activity data'!BH21*EF!$H52*EF!$H70)*NtoN2O*kgtoGg)</f>
        <v>2.8186512330964811E-2</v>
      </c>
      <c r="AP1427" s="28">
        <f>IF(('Activity data'!BI21*EF!$H52*EF!$H70)*NtoN2O*kgtoGg=0,"NO",('Activity data'!BI21*EF!$H52*EF!$H70)*NtoN2O*kgtoGg)</f>
        <v>2.8974965391365567E-2</v>
      </c>
      <c r="AQ1427" s="28">
        <f>IF(('Activity data'!BJ21*EF!$H52*EF!$H70)*NtoN2O*kgtoGg=0,"NO",('Activity data'!BJ21*EF!$H52*EF!$H70)*NtoN2O*kgtoGg)</f>
        <v>2.978127100159101E-2</v>
      </c>
      <c r="AR1427" s="28">
        <f>IF(('Activity data'!BK21*EF!$H52*EF!$H70)*NtoN2O*kgtoGg=0,"NO",('Activity data'!BK21*EF!$H52*EF!$H70)*NtoN2O*kgtoGg)</f>
        <v>3.0639120708096691E-2</v>
      </c>
      <c r="AS1427" s="28">
        <f>IF(('Activity data'!BL21*EF!$H52*EF!$H70)*NtoN2O*kgtoGg=0,"NO",('Activity data'!BL21*EF!$H52*EF!$H70)*NtoN2O*kgtoGg)</f>
        <v>3.1514289254596581E-2</v>
      </c>
      <c r="AT1427" s="28">
        <f>IF(('Activity data'!BM21*EF!$H52*EF!$H70)*NtoN2O*kgtoGg=0,"NO",('Activity data'!BM21*EF!$H52*EF!$H70)*NtoN2O*kgtoGg)</f>
        <v>3.2082944332634006E-2</v>
      </c>
      <c r="AU1427" s="28">
        <f>IF(('Activity data'!BN21*EF!$H52*EF!$H70)*NtoN2O*kgtoGg=0,"NO",('Activity data'!BN21*EF!$H52*EF!$H70)*NtoN2O*kgtoGg)</f>
        <v>3.2634463570425723E-2</v>
      </c>
      <c r="AV1427" s="28">
        <f>IF(('Activity data'!BO21*EF!$H52*EF!$H70)*NtoN2O*kgtoGg=0,"NO",('Activity data'!BO21*EF!$H52*EF!$H70)*NtoN2O*kgtoGg)</f>
        <v>3.3234146365880395E-2</v>
      </c>
      <c r="AW1427" s="28">
        <f>IF(('Activity data'!BP21*EF!$H52*EF!$H70)*NtoN2O*kgtoGg=0,"NO",('Activity data'!BP21*EF!$H52*EF!$H70)*NtoN2O*kgtoGg)</f>
        <v>3.3820590207555172E-2</v>
      </c>
    </row>
    <row r="1428" spans="1:49" x14ac:dyDescent="0.25">
      <c r="A1428" s="102" t="s">
        <v>961</v>
      </c>
      <c r="B1428" s="102"/>
      <c r="C1428" s="102"/>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8">
        <f>IF(('Activity data'!AD22*EF!$H53*EF!$H71)*NtoN2O*kgtoGg=0,"NO",('Activity data'!AD22*EF!$H53*EF!$H71)*NtoN2O*kgtoGg)</f>
        <v>7.1378315429645331E-2</v>
      </c>
      <c r="L1428" s="28">
        <f>IF(('Activity data'!AE22*EF!$H53*EF!$H71)*NtoN2O*kgtoGg=0,"NO",('Activity data'!AE22*EF!$H53*EF!$H71)*NtoN2O*kgtoGg)</f>
        <v>7.2703092291466473E-2</v>
      </c>
      <c r="M1428" s="28">
        <f>IF(('Activity data'!AF22*EF!$H53*EF!$H71)*NtoN2O*kgtoGg=0,"NO",('Activity data'!AF22*EF!$H53*EF!$H71)*NtoN2O*kgtoGg)</f>
        <v>7.3570777666584833E-2</v>
      </c>
      <c r="N1428" s="28">
        <f>IF(('Activity data'!AG22*EF!$H53*EF!$H71)*NtoN2O*kgtoGg=0,"NO",('Activity data'!AG22*EF!$H53*EF!$H71)*NtoN2O*kgtoGg)</f>
        <v>7.2616424942395619E-2</v>
      </c>
      <c r="O1428" s="28">
        <f>IF(('Activity data'!AH22*EF!$H53*EF!$H71)*NtoN2O*kgtoGg=0,"NO",('Activity data'!AH22*EF!$H53*EF!$H71)*NtoN2O*kgtoGg)</f>
        <v>7.1690897160612388E-2</v>
      </c>
      <c r="P1428" s="28">
        <f>IF(('Activity data'!AI22*EF!$H53*EF!$H71)*NtoN2O*kgtoGg=0,"NO",('Activity data'!AI22*EF!$H53*EF!$H71)*NtoN2O*kgtoGg)</f>
        <v>7.2608012917249581E-2</v>
      </c>
      <c r="Q1428" s="28">
        <f>IF(('Activity data'!AJ22*EF!$H53*EF!$H71)*NtoN2O*kgtoGg=0,"NO",('Activity data'!AJ22*EF!$H53*EF!$H71)*NtoN2O*kgtoGg)</f>
        <v>7.2961403651452372E-2</v>
      </c>
      <c r="R1428" s="28">
        <f>IF(('Activity data'!AK22*EF!$H53*EF!$H71)*NtoN2O*kgtoGg=0,"NO",('Activity data'!AK22*EF!$H53*EF!$H71)*NtoN2O*kgtoGg)</f>
        <v>7.1341238724427325E-2</v>
      </c>
      <c r="S1428" s="28">
        <f>IF(('Activity data'!AL22*EF!$H53*EF!$H71)*NtoN2O*kgtoGg=0,"NO",('Activity data'!AL22*EF!$H53*EF!$H71)*NtoN2O*kgtoGg)</f>
        <v>6.1063412111028503E-2</v>
      </c>
      <c r="T1428" s="28">
        <f>IF(('Activity data'!AM22*EF!$H53*EF!$H71)*NtoN2O*kgtoGg=0,"NO",('Activity data'!AM22*EF!$H53*EF!$H71)*NtoN2O*kgtoGg)</f>
        <v>6.4327230257843288E-2</v>
      </c>
      <c r="U1428" s="28">
        <f>IF(('Activity data'!AN22*EF!$H53*EF!$H71)*NtoN2O*kgtoGg=0,"NO",('Activity data'!AN22*EF!$H53*EF!$H71)*NtoN2O*kgtoGg)</f>
        <v>6.6512272026982414E-2</v>
      </c>
      <c r="V1428" s="28">
        <f>IF(('Activity data'!AO22*EF!$H53*EF!$H71)*NtoN2O*kgtoGg=0,"NO",('Activity data'!AO22*EF!$H53*EF!$H71)*NtoN2O*kgtoGg)</f>
        <v>6.8454495411956071E-2</v>
      </c>
      <c r="W1428" s="28">
        <f>IF(('Activity data'!AP22*EF!$H53*EF!$H71)*NtoN2O*kgtoGg=0,"NO",('Activity data'!AP22*EF!$H53*EF!$H71)*NtoN2O*kgtoGg)</f>
        <v>7.0799908793239955E-2</v>
      </c>
      <c r="X1428" s="28">
        <f>IF(('Activity data'!AQ22*EF!$H53*EF!$H71)*NtoN2O*kgtoGg=0,"NO",('Activity data'!AQ22*EF!$H53*EF!$H71)*NtoN2O*kgtoGg)</f>
        <v>7.4543127608603252E-2</v>
      </c>
      <c r="Y1428" s="28">
        <f>IF(('Activity data'!AR22*EF!$H53*EF!$H71)*NtoN2O*kgtoGg=0,"NO",('Activity data'!AR22*EF!$H53*EF!$H71)*NtoN2O*kgtoGg)</f>
        <v>7.8729503829471928E-2</v>
      </c>
      <c r="Z1428" s="28">
        <f>IF(('Activity data'!AS22*EF!$H53*EF!$H71)*NtoN2O*kgtoGg=0,"NO",('Activity data'!AS22*EF!$H53*EF!$H71)*NtoN2O*kgtoGg)</f>
        <v>8.3282057452745667E-2</v>
      </c>
      <c r="AA1428" s="28">
        <f>IF(('Activity data'!AT22*EF!$H53*EF!$H71)*NtoN2O*kgtoGg=0,"NO",('Activity data'!AT22*EF!$H53*EF!$H71)*NtoN2O*kgtoGg)</f>
        <v>8.7279597566230077E-2</v>
      </c>
      <c r="AB1428" s="28">
        <f>IF(('Activity data'!AU22*EF!$H53*EF!$H71)*NtoN2O*kgtoGg=0,"NO",('Activity data'!AU22*EF!$H53*EF!$H71)*NtoN2O*kgtoGg)</f>
        <v>9.1933815570422989E-2</v>
      </c>
      <c r="AC1428" s="28">
        <f>IF(('Activity data'!AV22*EF!$H53*EF!$H71)*NtoN2O*kgtoGg=0,"NO",('Activity data'!AV22*EF!$H53*EF!$H71)*NtoN2O*kgtoGg)</f>
        <v>9.7398941298330002E-2</v>
      </c>
      <c r="AD1428" s="28">
        <f>IF(('Activity data'!AW22*EF!$H53*EF!$H71)*NtoN2O*kgtoGg=0,"NO",('Activity data'!AW22*EF!$H53*EF!$H71)*NtoN2O*kgtoGg)</f>
        <v>0.10280958923979837</v>
      </c>
      <c r="AE1428" s="28">
        <f>IF(('Activity data'!AX22*EF!$H53*EF!$H71)*NtoN2O*kgtoGg=0,"NO",('Activity data'!AX22*EF!$H53*EF!$H71)*NtoN2O*kgtoGg)</f>
        <v>0.10848503728274725</v>
      </c>
      <c r="AF1428" s="28">
        <f>IF(('Activity data'!AY22*EF!$H53*EF!$H71)*NtoN2O*kgtoGg=0,"NO",('Activity data'!AY22*EF!$H53*EF!$H71)*NtoN2O*kgtoGg)</f>
        <v>0.11429972078980519</v>
      </c>
      <c r="AG1428" s="28">
        <f>IF(('Activity data'!AZ22*EF!$H53*EF!$H71)*NtoN2O*kgtoGg=0,"NO",('Activity data'!AZ22*EF!$H53*EF!$H71)*NtoN2O*kgtoGg)</f>
        <v>0.12081079383964298</v>
      </c>
      <c r="AH1428" s="28">
        <f>IF(('Activity data'!BA22*EF!$H53*EF!$H71)*NtoN2O*kgtoGg=0,"NO",('Activity data'!BA22*EF!$H53*EF!$H71)*NtoN2O*kgtoGg)</f>
        <v>0.12656066470471328</v>
      </c>
      <c r="AI1428" s="28">
        <f>IF(('Activity data'!BB22*EF!$H53*EF!$H71)*NtoN2O*kgtoGg=0,"NO",('Activity data'!BB22*EF!$H53*EF!$H71)*NtoN2O*kgtoGg)</f>
        <v>0.13275137462979095</v>
      </c>
      <c r="AJ1428" s="28">
        <f>IF(('Activity data'!BC22*EF!$H53*EF!$H71)*NtoN2O*kgtoGg=0,"NO",('Activity data'!BC22*EF!$H53*EF!$H71)*NtoN2O*kgtoGg)</f>
        <v>0.13907093558437875</v>
      </c>
      <c r="AK1428" s="28">
        <f>IF(('Activity data'!BD22*EF!$H53*EF!$H71)*NtoN2O*kgtoGg=0,"NO",('Activity data'!BD22*EF!$H53*EF!$H71)*NtoN2O*kgtoGg)</f>
        <v>0.14512626198327211</v>
      </c>
      <c r="AL1428" s="28">
        <f>IF(('Activity data'!BE22*EF!$H53*EF!$H71)*NtoN2O*kgtoGg=0,"NO",('Activity data'!BE22*EF!$H53*EF!$H71)*NtoN2O*kgtoGg)</f>
        <v>0.15118451043105</v>
      </c>
      <c r="AM1428" s="28">
        <f>IF(('Activity data'!BF22*EF!$H53*EF!$H71)*NtoN2O*kgtoGg=0,"NO",('Activity data'!BF22*EF!$H53*EF!$H71)*NtoN2O*kgtoGg)</f>
        <v>0.15748785685420838</v>
      </c>
      <c r="AN1428" s="28">
        <f>IF(('Activity data'!BG22*EF!$H53*EF!$H71)*NtoN2O*kgtoGg=0,"NO",('Activity data'!BG22*EF!$H53*EF!$H71)*NtoN2O*kgtoGg)</f>
        <v>0.16419488761888268</v>
      </c>
      <c r="AO1428" s="28">
        <f>IF(('Activity data'!BH22*EF!$H53*EF!$H71)*NtoN2O*kgtoGg=0,"NO",('Activity data'!BH22*EF!$H53*EF!$H71)*NtoN2O*kgtoGg)</f>
        <v>0.17052191914024933</v>
      </c>
      <c r="AP1428" s="28">
        <f>IF(('Activity data'!BI22*EF!$H53*EF!$H71)*NtoN2O*kgtoGg=0,"NO",('Activity data'!BI22*EF!$H53*EF!$H71)*NtoN2O*kgtoGg)</f>
        <v>0.17695332462474059</v>
      </c>
      <c r="AQ1428" s="28">
        <f>IF(('Activity data'!BJ22*EF!$H53*EF!$H71)*NtoN2O*kgtoGg=0,"NO",('Activity data'!BJ22*EF!$H53*EF!$H71)*NtoN2O*kgtoGg)</f>
        <v>0.18350218786762987</v>
      </c>
      <c r="AR1428" s="28">
        <f>IF(('Activity data'!BK22*EF!$H53*EF!$H71)*NtoN2O*kgtoGg=0,"NO",('Activity data'!BK22*EF!$H53*EF!$H71)*NtoN2O*kgtoGg)</f>
        <v>0.1905160276682408</v>
      </c>
      <c r="AS1428" s="28">
        <f>IF(('Activity data'!BL22*EF!$H53*EF!$H71)*NtoN2O*kgtoGg=0,"NO",('Activity data'!BL22*EF!$H53*EF!$H71)*NtoN2O*kgtoGg)</f>
        <v>0.19778450323422284</v>
      </c>
      <c r="AT1428" s="28">
        <f>IF(('Activity data'!BM22*EF!$H53*EF!$H71)*NtoN2O*kgtoGg=0,"NO",('Activity data'!BM22*EF!$H53*EF!$H71)*NtoN2O*kgtoGg)</f>
        <v>0.20184152861562438</v>
      </c>
      <c r="AU1428" s="28">
        <f>IF(('Activity data'!BN22*EF!$H53*EF!$H71)*NtoN2O*kgtoGg=0,"NO",('Activity data'!BN22*EF!$H53*EF!$H71)*NtoN2O*kgtoGg)</f>
        <v>0.20568682385439491</v>
      </c>
      <c r="AV1428" s="28">
        <f>IF(('Activity data'!BO22*EF!$H53*EF!$H71)*NtoN2O*kgtoGg=0,"NO",('Activity data'!BO22*EF!$H53*EF!$H71)*NtoN2O*kgtoGg)</f>
        <v>0.20998553182446936</v>
      </c>
      <c r="AW1428" s="28">
        <f>IF(('Activity data'!BP22*EF!$H53*EF!$H71)*NtoN2O*kgtoGg=0,"NO",('Activity data'!BP22*EF!$H53*EF!$H71)*NtoN2O*kgtoGg)</f>
        <v>0.21411190639886218</v>
      </c>
    </row>
    <row r="1429" spans="1:49" x14ac:dyDescent="0.25">
      <c r="A1429" s="102" t="s">
        <v>961</v>
      </c>
      <c r="B1429" s="102"/>
      <c r="C1429" s="102"/>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102" t="s">
        <v>961</v>
      </c>
      <c r="B1430" s="102"/>
      <c r="C1430" s="102"/>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102" t="s">
        <v>961</v>
      </c>
      <c r="B1431" s="102"/>
      <c r="C1431" s="102"/>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102" t="s">
        <v>961</v>
      </c>
      <c r="B1432" s="102"/>
      <c r="C1432" s="102"/>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102" t="s">
        <v>961</v>
      </c>
      <c r="B1433" s="102"/>
      <c r="C1433" s="102"/>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102" t="s">
        <v>961</v>
      </c>
      <c r="B1434" s="102"/>
      <c r="C1434" s="102"/>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102" t="s">
        <v>961</v>
      </c>
      <c r="B1435" s="102"/>
      <c r="C1435" s="102"/>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102" t="s">
        <v>961</v>
      </c>
      <c r="B1436" s="102"/>
      <c r="C1436" s="102"/>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102" t="s">
        <v>961</v>
      </c>
      <c r="B1437" s="102"/>
      <c r="C1437" s="102"/>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102" t="s">
        <v>961</v>
      </c>
      <c r="B1438" s="102"/>
      <c r="C1438" s="102"/>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102" t="s">
        <v>961</v>
      </c>
      <c r="B1439" s="102"/>
      <c r="C1439" s="102"/>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102" t="s">
        <v>961</v>
      </c>
      <c r="B1440" s="102"/>
      <c r="C1440" s="102"/>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102" t="s">
        <v>961</v>
      </c>
      <c r="B1441" s="102"/>
      <c r="C1441" s="102"/>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102" t="s">
        <v>961</v>
      </c>
      <c r="B1442" s="102"/>
      <c r="C1442" s="102"/>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102" t="s">
        <v>961</v>
      </c>
      <c r="B1443" s="102"/>
      <c r="C1443" s="102"/>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102" t="s">
        <v>961</v>
      </c>
      <c r="B1444" s="102"/>
      <c r="C1444" s="102"/>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102" t="s">
        <v>961</v>
      </c>
      <c r="B1445" s="102"/>
      <c r="C1445" s="102"/>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102" t="s">
        <v>961</v>
      </c>
      <c r="B1446" s="102"/>
      <c r="C1446" s="102"/>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102" t="s">
        <v>961</v>
      </c>
      <c r="B1447" s="102"/>
      <c r="C1447" s="102"/>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102" t="s">
        <v>961</v>
      </c>
      <c r="B1448" s="102"/>
      <c r="C1448" s="102"/>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102" t="s">
        <v>961</v>
      </c>
      <c r="B1449" s="102"/>
      <c r="C1449" s="102"/>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102" t="s">
        <v>961</v>
      </c>
      <c r="B1450" s="102"/>
      <c r="C1450" s="102"/>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102" t="s">
        <v>961</v>
      </c>
      <c r="B1451" s="102"/>
      <c r="C1451" s="102"/>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102" t="s">
        <v>961</v>
      </c>
      <c r="B1452" s="102"/>
      <c r="C1452" s="102"/>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102" t="s">
        <v>961</v>
      </c>
      <c r="B1453" s="102"/>
      <c r="C1453" s="102"/>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102" t="s">
        <v>961</v>
      </c>
      <c r="B1454" s="102"/>
      <c r="C1454" s="102"/>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102" t="s">
        <v>961</v>
      </c>
      <c r="B1455" s="102"/>
      <c r="C1455" s="102"/>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102" t="s">
        <v>961</v>
      </c>
      <c r="B1456" s="102"/>
      <c r="C1456" s="102"/>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102" t="s">
        <v>961</v>
      </c>
      <c r="B1457" s="102"/>
      <c r="C1457" s="102"/>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102" t="s">
        <v>961</v>
      </c>
      <c r="B1458" s="102"/>
      <c r="C1458" s="102"/>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102" t="s">
        <v>961</v>
      </c>
      <c r="B1459" s="102"/>
      <c r="C1459" s="102"/>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102" t="s">
        <v>961</v>
      </c>
      <c r="B1460" s="102"/>
      <c r="C1460" s="102"/>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102" t="s">
        <v>961</v>
      </c>
      <c r="B1461" s="102"/>
      <c r="C1461" s="102"/>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888.5196405131752</v>
      </c>
      <c r="M1461" s="22">
        <f>'Activity data'!AF45*EF!$H$149*CtoCO2*ttoGg</f>
        <v>891.96064822562096</v>
      </c>
      <c r="N1461" s="22">
        <f>'Activity data'!AG45*EF!$H$149*CtoCO2*ttoGg</f>
        <v>894.88916078976843</v>
      </c>
      <c r="O1461" s="22">
        <f>'Activity data'!AH45*EF!$H$149*CtoCO2*ttoGg</f>
        <v>895.84739945695708</v>
      </c>
      <c r="P1461" s="22">
        <f>'Activity data'!AI45*EF!$H$149*CtoCO2*ttoGg</f>
        <v>896.81728908321736</v>
      </c>
      <c r="Q1461" s="22">
        <f>'Activity data'!AJ45*EF!$H$149*CtoCO2*ttoGg</f>
        <v>899.77409431497051</v>
      </c>
      <c r="R1461" s="22">
        <f>'Activity data'!AK45*EF!$H$149*CtoCO2*ttoGg</f>
        <v>902.09125086952031</v>
      </c>
      <c r="S1461" s="22">
        <f>'Activity data'!AL45*EF!$H$149*CtoCO2*ttoGg</f>
        <v>902.24725498392274</v>
      </c>
      <c r="T1461" s="22">
        <f>'Activity data'!AM45*EF!$H$149*CtoCO2*ttoGg</f>
        <v>892.60902179925608</v>
      </c>
      <c r="U1461" s="22">
        <f>'Activity data'!AN45*EF!$H$149*CtoCO2*ttoGg</f>
        <v>897.88077216623924</v>
      </c>
      <c r="V1461" s="22">
        <f>'Activity data'!AO45*EF!$H$149*CtoCO2*ttoGg</f>
        <v>901.86785433623902</v>
      </c>
      <c r="W1461" s="22">
        <f>'Activity data'!AP45*EF!$H$149*CtoCO2*ttoGg</f>
        <v>905.54375743786386</v>
      </c>
      <c r="X1461" s="22">
        <f>'Activity data'!AQ45*EF!$H$149*CtoCO2*ttoGg</f>
        <v>909.62789125994425</v>
      </c>
      <c r="Y1461" s="22">
        <f>'Activity data'!AR45*EF!$H$149*CtoCO2*ttoGg</f>
        <v>915.17819871340487</v>
      </c>
      <c r="Z1461" s="22">
        <f>'Activity data'!AS45*EF!$H$149*CtoCO2*ttoGg</f>
        <v>920.99002879575733</v>
      </c>
      <c r="AA1461" s="22">
        <f>'Activity data'!AT45*EF!$H$149*CtoCO2*ttoGg</f>
        <v>927.07478216005029</v>
      </c>
      <c r="AB1461" s="22">
        <f>'Activity data'!AU45*EF!$H$149*CtoCO2*ttoGg</f>
        <v>932.48269891354084</v>
      </c>
      <c r="AC1461" s="22">
        <f>'Activity data'!AV45*EF!$H$149*CtoCO2*ttoGg</f>
        <v>938.44873038731919</v>
      </c>
      <c r="AD1461" s="22">
        <f>'Activity data'!AW45*EF!$H$149*CtoCO2*ttoGg</f>
        <v>945.07999666505555</v>
      </c>
      <c r="AE1461" s="22">
        <f>'Activity data'!AX45*EF!$H$149*CtoCO2*ttoGg</f>
        <v>951.43174054913004</v>
      </c>
      <c r="AF1461" s="22">
        <f>'Activity data'!AY45*EF!$H$149*CtoCO2*ttoGg</f>
        <v>957.88938710584625</v>
      </c>
      <c r="AG1461" s="22">
        <f>'Activity data'!AZ45*EF!$H$149*CtoCO2*ttoGg</f>
        <v>964.3285468230124</v>
      </c>
      <c r="AH1461" s="22">
        <f>'Activity data'!BA45*EF!$H$149*CtoCO2*ttoGg</f>
        <v>971.2274721173485</v>
      </c>
      <c r="AI1461" s="22">
        <f>'Activity data'!BB45*EF!$H$149*CtoCO2*ttoGg</f>
        <v>977.31823571713028</v>
      </c>
      <c r="AJ1461" s="22">
        <f>'Activity data'!BC45*EF!$H$149*CtoCO2*ttoGg</f>
        <v>983.57793052447698</v>
      </c>
      <c r="AK1461" s="22">
        <f>'Activity data'!BD45*EF!$H$149*CtoCO2*ttoGg</f>
        <v>989.80396855314598</v>
      </c>
      <c r="AL1461" s="22">
        <f>'Activity data'!BE45*EF!$H$149*CtoCO2*ttoGg</f>
        <v>995.6874985828008</v>
      </c>
      <c r="AM1461" s="22">
        <f>'Activity data'!BF45*EF!$H$149*CtoCO2*ttoGg</f>
        <v>1001.4527108587529</v>
      </c>
      <c r="AN1461" s="22">
        <f>'Activity data'!BG45*EF!$H$149*CtoCO2*ttoGg</f>
        <v>1007.2848843182181</v>
      </c>
      <c r="AO1461" s="22">
        <f>'Activity data'!BH45*EF!$H$149*CtoCO2*ttoGg</f>
        <v>1013.2376412307941</v>
      </c>
      <c r="AP1461" s="22">
        <f>'Activity data'!BI45*EF!$H$149*CtoCO2*ttoGg</f>
        <v>1018.7943384588782</v>
      </c>
      <c r="AQ1461" s="22">
        <f>'Activity data'!BJ45*EF!$H$149*CtoCO2*ttoGg</f>
        <v>1024.3150671694632</v>
      </c>
      <c r="AR1461" s="22">
        <f>'Activity data'!BK45*EF!$H$149*CtoCO2*ttoGg</f>
        <v>1029.8081254914655</v>
      </c>
      <c r="AS1461" s="22">
        <f>'Activity data'!BL45*EF!$H$149*CtoCO2*ttoGg</f>
        <v>1035.5032855203945</v>
      </c>
      <c r="AT1461" s="22">
        <f>'Activity data'!BM45*EF!$H$149*CtoCO2*ttoGg</f>
        <v>1041.199437822145</v>
      </c>
      <c r="AU1461" s="22">
        <f>'Activity data'!BN45*EF!$H$149*CtoCO2*ttoGg</f>
        <v>1044.7334229183193</v>
      </c>
      <c r="AV1461" s="22">
        <f>'Activity data'!BO45*EF!$H$149*CtoCO2*ttoGg</f>
        <v>1048.092878940131</v>
      </c>
      <c r="AW1461" s="22">
        <f>'Activity data'!BP45*EF!$H$149*CtoCO2*ttoGg</f>
        <v>1051.6990964077904</v>
      </c>
    </row>
    <row r="1462" spans="1:49" x14ac:dyDescent="0.25">
      <c r="A1462" s="102" t="s">
        <v>961</v>
      </c>
      <c r="B1462" s="102"/>
      <c r="C1462" s="102"/>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470.04378916185391</v>
      </c>
      <c r="M1462" s="22">
        <f>'Activity data'!AF46*EF!$H$150*CtoCO2*ttoGg</f>
        <v>469.95709010424787</v>
      </c>
      <c r="N1462" s="22">
        <f>'Activity data'!AG46*EF!$H$150*CtoCO2*ttoGg</f>
        <v>469.88330378909933</v>
      </c>
      <c r="O1462" s="22">
        <f>'Activity data'!AH46*EF!$H$150*CtoCO2*ttoGg</f>
        <v>469.85916016712889</v>
      </c>
      <c r="P1462" s="22">
        <f>'Activity data'!AI46*EF!$H$150*CtoCO2*ttoGg</f>
        <v>469.83472298953274</v>
      </c>
      <c r="Q1462" s="22">
        <f>'Activity data'!AJ46*EF!$H$150*CtoCO2*ttoGg</f>
        <v>469.76022381704024</v>
      </c>
      <c r="R1462" s="22">
        <f>'Activity data'!AK46*EF!$H$150*CtoCO2*ttoGg</f>
        <v>469.7018411261563</v>
      </c>
      <c r="S1462" s="22">
        <f>'Activity data'!AL46*EF!$H$150*CtoCO2*ttoGg</f>
        <v>469.69791047245496</v>
      </c>
      <c r="T1462" s="22">
        <f>'Activity data'!AM46*EF!$H$150*CtoCO2*ttoGg</f>
        <v>469.94075379160097</v>
      </c>
      <c r="U1462" s="22">
        <f>'Activity data'!AN46*EF!$H$150*CtoCO2*ttoGg</f>
        <v>469.80792764677761</v>
      </c>
      <c r="V1462" s="22">
        <f>'Activity data'!AO46*EF!$H$150*CtoCO2*ttoGg</f>
        <v>469.70746978802691</v>
      </c>
      <c r="W1462" s="22">
        <f>'Activity data'!AP46*EF!$H$150*CtoCO2*ttoGg</f>
        <v>469.61485234529096</v>
      </c>
      <c r="X1462" s="22">
        <f>'Activity data'!AQ46*EF!$H$150*CtoCO2*ttoGg</f>
        <v>469.51194918926763</v>
      </c>
      <c r="Y1462" s="22">
        <f>'Activity data'!AR46*EF!$H$150*CtoCO2*ttoGg</f>
        <v>469.37210456645607</v>
      </c>
      <c r="Z1462" s="22">
        <f>'Activity data'!AS46*EF!$H$150*CtoCO2*ttoGg</f>
        <v>469.22567066301434</v>
      </c>
      <c r="AA1462" s="22">
        <f>'Activity data'!AT46*EF!$H$150*CtoCO2*ttoGg</f>
        <v>469.07236022998597</v>
      </c>
      <c r="AB1462" s="22">
        <f>'Activity data'!AU46*EF!$H$150*CtoCO2*ttoGg</f>
        <v>468.93610325955154</v>
      </c>
      <c r="AC1462" s="22">
        <f>'Activity data'!AV46*EF!$H$150*CtoCO2*ttoGg</f>
        <v>468.78578412351658</v>
      </c>
      <c r="AD1462" s="22">
        <f>'Activity data'!AW46*EF!$H$150*CtoCO2*ttoGg</f>
        <v>468.61870384208186</v>
      </c>
      <c r="AE1462" s="22">
        <f>'Activity data'!AX46*EF!$H$150*CtoCO2*ttoGg</f>
        <v>468.45866636035458</v>
      </c>
      <c r="AF1462" s="22">
        <f>'Activity data'!AY46*EF!$H$150*CtoCO2*ttoGg</f>
        <v>468.29596057251365</v>
      </c>
      <c r="AG1462" s="22">
        <f>'Activity data'!AZ46*EF!$H$150*CtoCO2*ttoGg</f>
        <v>468.1337205760052</v>
      </c>
      <c r="AH1462" s="22">
        <f>'Activity data'!BA46*EF!$H$150*CtoCO2*ttoGg</f>
        <v>467.95989640253708</v>
      </c>
      <c r="AI1462" s="22">
        <f>'Activity data'!BB46*EF!$H$150*CtoCO2*ttoGg</f>
        <v>467.8064345366156</v>
      </c>
      <c r="AJ1462" s="22">
        <f>'Activity data'!BC46*EF!$H$150*CtoCO2*ttoGg</f>
        <v>467.64871630810501</v>
      </c>
      <c r="AK1462" s="22">
        <f>'Activity data'!BD46*EF!$H$150*CtoCO2*ttoGg</f>
        <v>467.49184609018818</v>
      </c>
      <c r="AL1462" s="22">
        <f>'Activity data'!BE46*EF!$H$150*CtoCO2*ttoGg</f>
        <v>467.34360564680793</v>
      </c>
      <c r="AM1462" s="22">
        <f>'Activity data'!BF46*EF!$H$150*CtoCO2*ttoGg</f>
        <v>467.19834631785739</v>
      </c>
      <c r="AN1462" s="22">
        <f>'Activity data'!BG46*EF!$H$150*CtoCO2*ttoGg</f>
        <v>467.05139984607189</v>
      </c>
      <c r="AO1462" s="22">
        <f>'Activity data'!BH46*EF!$H$150*CtoCO2*ttoGg</f>
        <v>466.90141517367164</v>
      </c>
      <c r="AP1462" s="22">
        <f>'Activity data'!BI46*EF!$H$150*CtoCO2*ttoGg</f>
        <v>466.76140955516212</v>
      </c>
      <c r="AQ1462" s="22">
        <f>'Activity data'!BJ46*EF!$H$150*CtoCO2*ttoGg</f>
        <v>466.62231019343295</v>
      </c>
      <c r="AR1462" s="22">
        <f>'Activity data'!BK46*EF!$H$150*CtoCO2*ttoGg</f>
        <v>466.48390801020918</v>
      </c>
      <c r="AS1462" s="22">
        <f>'Activity data'!BL46*EF!$H$150*CtoCO2*ttoGg</f>
        <v>466.34041370601517</v>
      </c>
      <c r="AT1462" s="22">
        <f>'Activity data'!BM46*EF!$H$150*CtoCO2*ttoGg</f>
        <v>466.19689440068032</v>
      </c>
      <c r="AU1462" s="22">
        <f>'Activity data'!BN46*EF!$H$150*CtoCO2*ttoGg</f>
        <v>466.10785270038889</v>
      </c>
      <c r="AV1462" s="22">
        <f>'Activity data'!BO46*EF!$H$150*CtoCO2*ttoGg</f>
        <v>466.02320840560674</v>
      </c>
      <c r="AW1462" s="22">
        <f>'Activity data'!BP46*EF!$H$150*CtoCO2*ttoGg</f>
        <v>465.93234675050559</v>
      </c>
    </row>
    <row r="1463" spans="1:49" x14ac:dyDescent="0.25">
      <c r="A1463" s="102" t="s">
        <v>961</v>
      </c>
      <c r="B1463" s="102"/>
      <c r="C1463" s="102"/>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6.6056660352543144</v>
      </c>
      <c r="M1463" s="22">
        <f>'Activity data'!AF47*ttokg*SNEF*NtoN2O*kgtoGg</f>
        <v>6.6042995522505379</v>
      </c>
      <c r="N1463" s="22">
        <f>'Activity data'!AG47*ttokg*SNEF*NtoN2O*kgtoGg</f>
        <v>6.6031365898338095</v>
      </c>
      <c r="O1463" s="22">
        <f>'Activity data'!AH47*ttokg*SNEF*NtoN2O*kgtoGg</f>
        <v>6.6027560568732087</v>
      </c>
      <c r="P1463" s="22">
        <f>'Activity data'!AI47*ttokg*SNEF*NtoN2O*kgtoGg</f>
        <v>6.6023708971175274</v>
      </c>
      <c r="Q1463" s="22">
        <f>'Activity data'!AJ47*ttokg*SNEF*NtoN2O*kgtoGg</f>
        <v>6.6011966991986881</v>
      </c>
      <c r="R1463" s="22">
        <f>'Activity data'!AK47*ttokg*SNEF*NtoN2O*kgtoGg</f>
        <v>6.6002765167075461</v>
      </c>
      <c r="S1463" s="22">
        <f>'Activity data'!AL47*ttokg*SNEF*NtoN2O*kgtoGg</f>
        <v>6.6002145648060502</v>
      </c>
      <c r="T1463" s="22">
        <f>'Activity data'!AM47*ttokg*SNEF*NtoN2O*kgtoGg</f>
        <v>6.6040420720172728</v>
      </c>
      <c r="U1463" s="22">
        <f>'Activity data'!AN47*ttokg*SNEF*NtoN2O*kgtoGg</f>
        <v>6.6019485697997204</v>
      </c>
      <c r="V1463" s="22">
        <f>'Activity data'!AO47*ttokg*SNEF*NtoN2O*kgtoGg</f>
        <v>6.6003652312909882</v>
      </c>
      <c r="W1463" s="22">
        <f>'Activity data'!AP47*ttokg*SNEF*NtoN2O*kgtoGg</f>
        <v>6.5989054673114653</v>
      </c>
      <c r="X1463" s="22">
        <f>'Activity data'!AQ47*ttokg*SNEF*NtoN2O*kgtoGg</f>
        <v>6.5972835879321101</v>
      </c>
      <c r="Y1463" s="22">
        <f>'Activity data'!AR47*ttokg*SNEF*NtoN2O*kgtoGg</f>
        <v>6.5950794659321978</v>
      </c>
      <c r="Z1463" s="22">
        <f>'Activity data'!AS47*ttokg*SNEF*NtoN2O*kgtoGg</f>
        <v>6.5927714888243178</v>
      </c>
      <c r="AA1463" s="22">
        <f>'Activity data'!AT47*ttokg*SNEF*NtoN2O*kgtoGg</f>
        <v>6.5903551292141982</v>
      </c>
      <c r="AB1463" s="22">
        <f>'Activity data'!AU47*ttokg*SNEF*NtoN2O*kgtoGg</f>
        <v>6.5882075529961197</v>
      </c>
      <c r="AC1463" s="22">
        <f>'Activity data'!AV47*ttokg*SNEF*NtoN2O*kgtoGg</f>
        <v>6.5858383398788654</v>
      </c>
      <c r="AD1463" s="22">
        <f>'Activity data'!AW47*ttokg*SNEF*NtoN2O*kgtoGg</f>
        <v>6.5832049506454569</v>
      </c>
      <c r="AE1463" s="22">
        <f>'Activity data'!AX47*ttokg*SNEF*NtoN2O*kgtoGg</f>
        <v>6.5806825645343991</v>
      </c>
      <c r="AF1463" s="22">
        <f>'Activity data'!AY47*ttokg*SNEF*NtoN2O*kgtoGg</f>
        <v>6.5781181226611025</v>
      </c>
      <c r="AG1463" s="22">
        <f>'Activity data'!AZ47*ttokg*SNEF*NtoN2O*kgtoGg</f>
        <v>6.5755610222279151</v>
      </c>
      <c r="AH1463" s="22">
        <f>'Activity data'!BA47*ttokg*SNEF*NtoN2O*kgtoGg</f>
        <v>6.5728213410220508</v>
      </c>
      <c r="AI1463" s="22">
        <f>'Activity data'!BB47*ttokg*SNEF*NtoN2O*kgtoGg</f>
        <v>6.5704025946446434</v>
      </c>
      <c r="AJ1463" s="22">
        <f>'Activity data'!BC47*ttokg*SNEF*NtoN2O*kgtoGg</f>
        <v>6.5679167627959911</v>
      </c>
      <c r="AK1463" s="22">
        <f>'Activity data'!BD47*ttokg*SNEF*NtoN2O*kgtoGg</f>
        <v>6.5654442966296829</v>
      </c>
      <c r="AL1463" s="22">
        <f>'Activity data'!BE47*ttokg*SNEF*NtoN2O*kgtoGg</f>
        <v>6.5631078462466625</v>
      </c>
      <c r="AM1463" s="22">
        <f>'Activity data'!BF47*ttokg*SNEF*NtoN2O*kgtoGg</f>
        <v>6.5608183818668682</v>
      </c>
      <c r="AN1463" s="22">
        <f>'Activity data'!BG47*ttokg*SNEF*NtoN2O*kgtoGg</f>
        <v>6.5585023260560664</v>
      </c>
      <c r="AO1463" s="22">
        <f>'Activity data'!BH47*ttokg*SNEF*NtoN2O*kgtoGg</f>
        <v>6.5561383844940604</v>
      </c>
      <c r="AP1463" s="22">
        <f>'Activity data'!BI47*ttokg*SNEF*NtoN2O*kgtoGg</f>
        <v>6.5539317250053788</v>
      </c>
      <c r="AQ1463" s="22">
        <f>'Activity data'!BJ47*ttokg*SNEF*NtoN2O*kgtoGg</f>
        <v>6.5517393492300551</v>
      </c>
      <c r="AR1463" s="22">
        <f>'Activity data'!BK47*ttokg*SNEF*NtoN2O*kgtoGg</f>
        <v>6.5495579618392012</v>
      </c>
      <c r="AS1463" s="22">
        <f>'Activity data'!BL47*ttokg*SNEF*NtoN2O*kgtoGg</f>
        <v>6.5472963164045943</v>
      </c>
      <c r="AT1463" s="22">
        <f>'Activity data'!BM47*ttokg*SNEF*NtoN2O*kgtoGg</f>
        <v>6.5450342769214798</v>
      </c>
      <c r="AU1463" s="22">
        <f>'Activity data'!BN47*ttokg*SNEF*NtoN2O*kgtoGg</f>
        <v>6.5436308710087152</v>
      </c>
      <c r="AV1463" s="22">
        <f>'Activity data'!BO47*ttokg*SNEF*NtoN2O*kgtoGg</f>
        <v>6.5422967735758233</v>
      </c>
      <c r="AW1463" s="22">
        <f>'Activity data'!BP47*ttokg*SNEF*NtoN2O*kgtoGg</f>
        <v>6.5408646829531705</v>
      </c>
    </row>
    <row r="1464" spans="1:49" x14ac:dyDescent="0.25">
      <c r="A1464" s="102" t="s">
        <v>961</v>
      </c>
      <c r="B1464" s="102"/>
      <c r="C1464" s="102"/>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4.3597395832678479E-2</v>
      </c>
      <c r="M1464" s="22">
        <f>'Activity data'!AF48*ttokg*ONEF*NtoN2O*kgtoGg</f>
        <v>4.3588377044853563E-2</v>
      </c>
      <c r="N1464" s="22">
        <f>'Activity data'!AG48*ttokg*ONEF*NtoN2O*kgtoGg</f>
        <v>4.3580701492903162E-2</v>
      </c>
      <c r="O1464" s="22">
        <f>'Activity data'!AH48*ttokg*ONEF*NtoN2O*kgtoGg</f>
        <v>4.3578189975363169E-2</v>
      </c>
      <c r="P1464" s="22">
        <f>'Activity data'!AI48*ttokg*ONEF*NtoN2O*kgtoGg</f>
        <v>4.3575647920975694E-2</v>
      </c>
      <c r="Q1464" s="22">
        <f>'Activity data'!AJ48*ttokg*ONEF*NtoN2O*kgtoGg</f>
        <v>4.3567898214711354E-2</v>
      </c>
      <c r="R1464" s="22">
        <f>'Activity data'!AK48*ttokg*ONEF*NtoN2O*kgtoGg</f>
        <v>4.3561825010269811E-2</v>
      </c>
      <c r="S1464" s="22">
        <f>'Activity data'!AL48*ttokg*ONEF*NtoN2O*kgtoGg</f>
        <v>4.3561416127719944E-2</v>
      </c>
      <c r="T1464" s="22">
        <f>'Activity data'!AM48*ttokg*ONEF*NtoN2O*kgtoGg</f>
        <v>4.358667767531401E-2</v>
      </c>
      <c r="U1464" s="22">
        <f>'Activity data'!AN48*ttokg*ONEF*NtoN2O*kgtoGg</f>
        <v>4.3572860560678155E-2</v>
      </c>
      <c r="V1464" s="22">
        <f>'Activity data'!AO48*ttokg*ONEF*NtoN2O*kgtoGg</f>
        <v>4.3562410526520524E-2</v>
      </c>
      <c r="W1464" s="22">
        <f>'Activity data'!AP48*ttokg*ONEF*NtoN2O*kgtoGg</f>
        <v>4.3552776084255673E-2</v>
      </c>
      <c r="X1464" s="22">
        <f>'Activity data'!AQ48*ttokg*ONEF*NtoN2O*kgtoGg</f>
        <v>4.3542071680351936E-2</v>
      </c>
      <c r="Y1464" s="22">
        <f>'Activity data'!AR48*ttokg*ONEF*NtoN2O*kgtoGg</f>
        <v>4.3527524475152499E-2</v>
      </c>
      <c r="Z1464" s="22">
        <f>'Activity data'!AS48*ttokg*ONEF*NtoN2O*kgtoGg</f>
        <v>4.3512291826240515E-2</v>
      </c>
      <c r="AA1464" s="22">
        <f>'Activity data'!AT48*ttokg*ONEF*NtoN2O*kgtoGg</f>
        <v>4.3496343852813708E-2</v>
      </c>
      <c r="AB1464" s="22">
        <f>'Activity data'!AU48*ttokg*ONEF*NtoN2O*kgtoGg</f>
        <v>4.3482169849774405E-2</v>
      </c>
      <c r="AC1464" s="22">
        <f>'Activity data'!AV48*ttokg*ONEF*NtoN2O*kgtoGg</f>
        <v>4.3466533043200514E-2</v>
      </c>
      <c r="AD1464" s="22">
        <f>'Activity data'!AW48*ttokg*ONEF*NtoN2O*kgtoGg</f>
        <v>4.3449152674260021E-2</v>
      </c>
      <c r="AE1464" s="22">
        <f>'Activity data'!AX48*ttokg*ONEF*NtoN2O*kgtoGg</f>
        <v>4.3432504925927033E-2</v>
      </c>
      <c r="AF1464" s="22">
        <f>'Activity data'!AY48*ttokg*ONEF*NtoN2O*kgtoGg</f>
        <v>4.3415579609563271E-2</v>
      </c>
      <c r="AG1464" s="22">
        <f>'Activity data'!AZ48*ttokg*ONEF*NtoN2O*kgtoGg</f>
        <v>4.3398702746704231E-2</v>
      </c>
      <c r="AH1464" s="22">
        <f>'Activity data'!BA48*ttokg*ONEF*NtoN2O*kgtoGg</f>
        <v>4.3380620850745545E-2</v>
      </c>
      <c r="AI1464" s="22">
        <f>'Activity data'!BB48*ttokg*ONEF*NtoN2O*kgtoGg</f>
        <v>4.3364657124654649E-2</v>
      </c>
      <c r="AJ1464" s="22">
        <f>'Activity data'!BC48*ttokg*ONEF*NtoN2O*kgtoGg</f>
        <v>4.3348250634453557E-2</v>
      </c>
      <c r="AK1464" s="22">
        <f>'Activity data'!BD48*ttokg*ONEF*NtoN2O*kgtoGg</f>
        <v>4.3331932357755919E-2</v>
      </c>
      <c r="AL1464" s="22">
        <f>'Activity data'!BE48*ttokg*ONEF*NtoN2O*kgtoGg</f>
        <v>4.3316511785227982E-2</v>
      </c>
      <c r="AM1464" s="22">
        <f>'Activity data'!BF48*ttokg*ONEF*NtoN2O*kgtoGg</f>
        <v>4.3301401320321335E-2</v>
      </c>
      <c r="AN1464" s="22">
        <f>'Activity data'!BG48*ttokg*ONEF*NtoN2O*kgtoGg</f>
        <v>4.328611535197005E-2</v>
      </c>
      <c r="AO1464" s="22">
        <f>'Activity data'!BH48*ttokg*ONEF*NtoN2O*kgtoGg</f>
        <v>4.3270513337660813E-2</v>
      </c>
      <c r="AP1464" s="22">
        <f>'Activity data'!BI48*ttokg*ONEF*NtoN2O*kgtoGg</f>
        <v>4.3255949385035505E-2</v>
      </c>
      <c r="AQ1464" s="22">
        <f>'Activity data'!BJ48*ttokg*ONEF*NtoN2O*kgtoGg</f>
        <v>4.3241479704918373E-2</v>
      </c>
      <c r="AR1464" s="22">
        <f>'Activity data'!BK48*ttokg*ONEF*NtoN2O*kgtoGg</f>
        <v>4.3227082548138743E-2</v>
      </c>
      <c r="AS1464" s="22">
        <f>'Activity data'!BL48*ttokg*ONEF*NtoN2O*kgtoGg</f>
        <v>4.3212155688270325E-2</v>
      </c>
      <c r="AT1464" s="22">
        <f>'Activity data'!BM48*ttokg*ONEF*NtoN2O*kgtoGg</f>
        <v>4.3197226227681768E-2</v>
      </c>
      <c r="AU1464" s="22">
        <f>'Activity data'!BN48*ttokg*ONEF*NtoN2O*kgtoGg</f>
        <v>4.3187963748657528E-2</v>
      </c>
      <c r="AV1464" s="22">
        <f>'Activity data'!BO48*ttokg*ONEF*NtoN2O*kgtoGg</f>
        <v>4.3179158705600441E-2</v>
      </c>
      <c r="AW1464" s="22">
        <f>'Activity data'!BP48*ttokg*ONEF*NtoN2O*kgtoGg</f>
        <v>4.3169706907490939E-2</v>
      </c>
    </row>
    <row r="1465" spans="1:49" x14ac:dyDescent="0.25">
      <c r="A1465" s="102" t="s">
        <v>961</v>
      </c>
      <c r="B1465" s="102"/>
      <c r="C1465" s="102"/>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2.9553948259346963</v>
      </c>
      <c r="M1465" s="22">
        <f>'Activity data'!AF85*CREF*NtoN2O*kgtoGg</f>
        <v>2.9655964240149095</v>
      </c>
      <c r="N1465" s="22">
        <f>'Activity data'!AG85*CREF*NtoN2O*kgtoGg</f>
        <v>2.9742786213968655</v>
      </c>
      <c r="O1465" s="22">
        <f>'Activity data'!AH85*CREF*NtoN2O*kgtoGg</f>
        <v>2.9771195234129291</v>
      </c>
      <c r="P1465" s="22">
        <f>'Activity data'!AI85*CREF*NtoN2O*kgtoGg</f>
        <v>2.9799949671713049</v>
      </c>
      <c r="Q1465" s="22">
        <f>'Activity data'!AJ85*CREF*NtoN2O*kgtoGg</f>
        <v>2.9887610441744785</v>
      </c>
      <c r="R1465" s="22">
        <f>'Activity data'!AK85*CREF*NtoN2O*kgtoGg</f>
        <v>2.9956307468412153</v>
      </c>
      <c r="S1465" s="22">
        <f>'Activity data'!AL85*CREF*NtoN2O*kgtoGg</f>
        <v>2.9960932541666816</v>
      </c>
      <c r="T1465" s="22">
        <f>'Activity data'!AM85*CREF*NtoN2O*kgtoGg</f>
        <v>2.9675186651595986</v>
      </c>
      <c r="U1465" s="22">
        <f>'Activity data'!AN85*CREF*NtoN2O*kgtoGg</f>
        <v>2.9831478886073279</v>
      </c>
      <c r="V1465" s="22">
        <f>'Activity data'!AO85*CREF*NtoN2O*kgtoGg</f>
        <v>2.9949684403788361</v>
      </c>
      <c r="W1465" s="22">
        <f>'Activity data'!AP85*CREF*NtoN2O*kgtoGg</f>
        <v>3.0058664357215821</v>
      </c>
      <c r="X1465" s="22">
        <f>'Activity data'!AQ85*CREF*NtoN2O*kgtoGg</f>
        <v>3.0179747177251275</v>
      </c>
      <c r="Y1465" s="22">
        <f>'Activity data'!AR85*CREF*NtoN2O*kgtoGg</f>
        <v>3.0344297828088291</v>
      </c>
      <c r="Z1465" s="22">
        <f>'Activity data'!AS85*CREF*NtoN2O*kgtoGg</f>
        <v>3.051660187261632</v>
      </c>
      <c r="AA1465" s="22">
        <f>'Activity data'!AT85*CREF*NtoN2O*kgtoGg</f>
        <v>3.0696997307404872</v>
      </c>
      <c r="AB1465" s="22">
        <f>'Activity data'!AU85*CREF*NtoN2O*kgtoGg</f>
        <v>3.0857326483566894</v>
      </c>
      <c r="AC1465" s="22">
        <f>'Activity data'!AV85*CREF*NtoN2O*kgtoGg</f>
        <v>3.1034202155798769</v>
      </c>
      <c r="AD1465" s="22">
        <f>'Activity data'!AW85*CREF*NtoN2O*kgtoGg</f>
        <v>3.1230800126456195</v>
      </c>
      <c r="AE1465" s="22">
        <f>'Activity data'!AX85*CREF*NtoN2O*kgtoGg</f>
        <v>3.1419111062172522</v>
      </c>
      <c r="AF1465" s="22">
        <f>'Activity data'!AY85*CREF*NtoN2O*kgtoGg</f>
        <v>3.1610561707509404</v>
      </c>
      <c r="AG1465" s="22">
        <f>'Activity data'!AZ85*CREF*NtoN2O*kgtoGg</f>
        <v>3.1801464271230016</v>
      </c>
      <c r="AH1465" s="22">
        <f>'Activity data'!BA85*CREF*NtoN2O*kgtoGg</f>
        <v>3.2005997561822985</v>
      </c>
      <c r="AI1465" s="22">
        <f>'Activity data'!BB85*CREF*NtoN2O*kgtoGg</f>
        <v>3.2186571182805661</v>
      </c>
      <c r="AJ1465" s="22">
        <f>'Activity data'!BC85*CREF*NtoN2O*kgtoGg</f>
        <v>3.2372153128171188</v>
      </c>
      <c r="AK1465" s="22">
        <f>'Activity data'!BD85*CREF*NtoN2O*kgtoGg</f>
        <v>3.2556737246860838</v>
      </c>
      <c r="AL1465" s="22">
        <f>'Activity data'!BE85*CREF*NtoN2O*kgtoGg</f>
        <v>3.2731166988585363</v>
      </c>
      <c r="AM1465" s="22">
        <f>'Activity data'!BF85*CREF*NtoN2O*kgtoGg</f>
        <v>3.2902088949247208</v>
      </c>
      <c r="AN1465" s="22">
        <f>'Activity data'!BG85*CREF*NtoN2O*kgtoGg</f>
        <v>3.3074996116389994</v>
      </c>
      <c r="AO1465" s="22">
        <f>'Activity data'!BH85*CREF*NtoN2O*kgtoGg</f>
        <v>3.3251478236065783</v>
      </c>
      <c r="AP1465" s="22">
        <f>'Activity data'!BI85*CREF*NtoN2O*kgtoGg</f>
        <v>3.3416218325340545</v>
      </c>
      <c r="AQ1465" s="22">
        <f>'Activity data'!BJ85*CREF*NtoN2O*kgtoGg</f>
        <v>3.3579892051532951</v>
      </c>
      <c r="AR1465" s="22">
        <f>'Activity data'!BK85*CREF*NtoN2O*kgtoGg</f>
        <v>3.3742745430296259</v>
      </c>
      <c r="AS1465" s="22">
        <f>'Activity data'!BL85*CREF*NtoN2O*kgtoGg</f>
        <v>3.391159054333535</v>
      </c>
      <c r="AT1465" s="22">
        <f>'Activity data'!BM85*CREF*NtoN2O*kgtoGg</f>
        <v>3.4080465074409378</v>
      </c>
      <c r="AU1465" s="22">
        <f>'Activity data'!BN85*CREF*NtoN2O*kgtoGg</f>
        <v>3.4185237567194666</v>
      </c>
      <c r="AV1465" s="22">
        <f>'Activity data'!BO85*CREF*NtoN2O*kgtoGg</f>
        <v>3.4284835774948501</v>
      </c>
      <c r="AW1465" s="22">
        <f>'Activity data'!BP85*CREF*NtoN2O*kgtoGg</f>
        <v>3.439174974977584</v>
      </c>
    </row>
    <row r="1466" spans="1:49" x14ac:dyDescent="0.25">
      <c r="A1466" s="102" t="s">
        <v>961</v>
      </c>
      <c r="B1466" s="102"/>
      <c r="C1466" s="102"/>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0.31910516055557447</v>
      </c>
      <c r="L1466" s="22">
        <f>'Activity data'!AE50*ManureNEF*NtoN2O*kgtoGg</f>
        <v>0.32125977651579962</v>
      </c>
      <c r="M1466" s="22">
        <f>'Activity data'!AF50*ManureNEF*NtoN2O*kgtoGg</f>
        <v>0.32314451970240549</v>
      </c>
      <c r="N1466" s="22">
        <f>'Activity data'!AG50*ManureNEF*NtoN2O*kgtoGg</f>
        <v>0.32338831518425315</v>
      </c>
      <c r="O1466" s="22">
        <f>'Activity data'!AH50*ManureNEF*NtoN2O*kgtoGg</f>
        <v>0.32380822899810918</v>
      </c>
      <c r="P1466" s="22">
        <f>'Activity data'!AI50*ManureNEF*NtoN2O*kgtoGg</f>
        <v>0.32621761700786678</v>
      </c>
      <c r="Q1466" s="22">
        <f>'Activity data'!AJ50*ManureNEF*NtoN2O*kgtoGg</f>
        <v>0.32814424518292917</v>
      </c>
      <c r="R1466" s="22">
        <f>'Activity data'!AK50*ManureNEF*NtoN2O*kgtoGg</f>
        <v>0.32816113797461788</v>
      </c>
      <c r="S1466" s="22">
        <f>'Activity data'!AL50*ManureNEF*NtoN2O*kgtoGg</f>
        <v>0.31946691799605059</v>
      </c>
      <c r="T1466" s="22">
        <f>'Activity data'!AM50*ManureNEF*NtoN2O*kgtoGg</f>
        <v>0.32366704753421133</v>
      </c>
      <c r="U1466" s="22">
        <f>'Activity data'!AN50*ManureNEF*NtoN2O*kgtoGg</f>
        <v>0.32684647343041223</v>
      </c>
      <c r="V1466" s="22">
        <f>'Activity data'!AO50*ManureNEF*NtoN2O*kgtoGg</f>
        <v>0.32984618652559566</v>
      </c>
      <c r="W1466" s="22">
        <f>'Activity data'!AP50*ManureNEF*NtoN2O*kgtoGg</f>
        <v>0.33332444228182462</v>
      </c>
      <c r="X1466" s="22">
        <f>'Activity data'!AQ50*ManureNEF*NtoN2O*kgtoGg</f>
        <v>0.33830825606612447</v>
      </c>
      <c r="Y1466" s="22">
        <f>'Activity data'!AR50*ManureNEF*NtoN2O*kgtoGg</f>
        <v>0.34349698611877544</v>
      </c>
      <c r="Z1466" s="22">
        <f>'Activity data'!AS50*ManureNEF*NtoN2O*kgtoGg</f>
        <v>0.34913311823129872</v>
      </c>
      <c r="AA1466" s="22">
        <f>'Activity data'!AT50*ManureNEF*NtoN2O*kgtoGg</f>
        <v>0.3542586043658163</v>
      </c>
      <c r="AB1466" s="22">
        <f>'Activity data'!AU50*ManureNEF*NtoN2O*kgtoGg</f>
        <v>0.36013116096519615</v>
      </c>
      <c r="AC1466" s="22">
        <f>'Activity data'!AV50*ManureNEF*NtoN2O*kgtoGg</f>
        <v>0.36691641068568986</v>
      </c>
      <c r="AD1466" s="22">
        <f>'Activity data'!AW50*ManureNEF*NtoN2O*kgtoGg</f>
        <v>0.3734489276960708</v>
      </c>
      <c r="AE1466" s="22">
        <f>'Activity data'!AX50*ManureNEF*NtoN2O*kgtoGg</f>
        <v>0.38032201074224209</v>
      </c>
      <c r="AF1466" s="22">
        <f>'Activity data'!AY50*ManureNEF*NtoN2O*kgtoGg</f>
        <v>0.3874035589263955</v>
      </c>
      <c r="AG1466" s="22">
        <f>'Activity data'!AZ50*ManureNEF*NtoN2O*kgtoGg</f>
        <v>0.39528331644509546</v>
      </c>
      <c r="AH1466" s="22">
        <f>'Activity data'!BA50*ManureNEF*NtoN2O*kgtoGg</f>
        <v>0.402417436180809</v>
      </c>
      <c r="AI1466" s="22">
        <f>'Activity data'!BB50*ManureNEF*NtoN2O*kgtoGg</f>
        <v>0.40983057953506236</v>
      </c>
      <c r="AJ1466" s="22">
        <f>'Activity data'!BC50*ManureNEF*NtoN2O*kgtoGg</f>
        <v>0.41743748809199982</v>
      </c>
      <c r="AK1466" s="22">
        <f>'Activity data'!BD50*ManureNEF*NtoN2O*kgtoGg</f>
        <v>0.42481700614270618</v>
      </c>
      <c r="AL1466" s="22">
        <f>'Activity data'!BE50*ManureNEF*NtoN2O*kgtoGg</f>
        <v>0.4322524543038212</v>
      </c>
      <c r="AM1466" s="22">
        <f>'Activity data'!BF50*ManureNEF*NtoN2O*kgtoGg</f>
        <v>0.44000331272539195</v>
      </c>
      <c r="AN1466" s="22">
        <f>'Activity data'!BG50*ManureNEF*NtoN2O*kgtoGg</f>
        <v>0.44801081079437804</v>
      </c>
      <c r="AO1466" s="22">
        <f>'Activity data'!BH50*ManureNEF*NtoN2O*kgtoGg</f>
        <v>0.45565879156165573</v>
      </c>
      <c r="AP1466" s="22">
        <f>'Activity data'!BI50*ManureNEF*NtoN2O*kgtoGg</f>
        <v>0.46346832830199552</v>
      </c>
      <c r="AQ1466" s="22">
        <f>'Activity data'!BJ50*ManureNEF*NtoN2O*kgtoGg</f>
        <v>0.47145349561124583</v>
      </c>
      <c r="AR1466" s="22">
        <f>'Activity data'!BK50*ManureNEF*NtoN2O*kgtoGg</f>
        <v>0.47999285299993844</v>
      </c>
      <c r="AS1466" s="22">
        <f>'Activity data'!BL50*ManureNEF*NtoN2O*kgtoGg</f>
        <v>0.4886261928960397</v>
      </c>
      <c r="AT1466" s="22">
        <f>'Activity data'!BM50*ManureNEF*NtoN2O*kgtoGg</f>
        <v>0.49379335063722096</v>
      </c>
      <c r="AU1466" s="22">
        <f>'Activity data'!BN50*ManureNEF*NtoN2O*kgtoGg</f>
        <v>0.4987597531133639</v>
      </c>
      <c r="AV1466" s="22">
        <f>'Activity data'!BO50*ManureNEF*NtoN2O*kgtoGg</f>
        <v>0.5042544828247203</v>
      </c>
      <c r="AW1466" s="22">
        <f>'Activity data'!BP50*ManureNEF*NtoN2O*kgtoGg</f>
        <v>0.50959085302689011</v>
      </c>
    </row>
    <row r="1467" spans="1:49" x14ac:dyDescent="0.25">
      <c r="A1467" s="102" t="s">
        <v>961</v>
      </c>
      <c r="B1467" s="102"/>
      <c r="C1467" s="102"/>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0.93305416014115006</v>
      </c>
      <c r="L1467" s="22">
        <f>'Activity data'!AE51*ManureNEF*NtoN2O*kgtoGg</f>
        <v>0.93935419421673338</v>
      </c>
      <c r="M1467" s="22">
        <f>'Activity data'!AF51*ManureNEF*NtoN2O*kgtoGg</f>
        <v>0.94486512819222468</v>
      </c>
      <c r="N1467" s="22">
        <f>'Activity data'!AG51*ManureNEF*NtoN2O*kgtoGg</f>
        <v>0.94557797905356933</v>
      </c>
      <c r="O1467" s="22">
        <f>'Activity data'!AH51*ManureNEF*NtoN2O*kgtoGg</f>
        <v>0.94680579476873028</v>
      </c>
      <c r="P1467" s="22">
        <f>'Activity data'!AI51*ManureNEF*NtoN2O*kgtoGg</f>
        <v>0.9538507748686591</v>
      </c>
      <c r="Q1467" s="22">
        <f>'Activity data'!AJ51*ManureNEF*NtoN2O*kgtoGg</f>
        <v>0.95948417932585228</v>
      </c>
      <c r="R1467" s="22">
        <f>'Activity data'!AK51*ManureNEF*NtoN2O*kgtoGg</f>
        <v>0.95953357335487388</v>
      </c>
      <c r="S1467" s="22">
        <f>'Activity data'!AL51*ManureNEF*NtoN2O*kgtoGg</f>
        <v>0.9341119283208017</v>
      </c>
      <c r="T1467" s="22">
        <f>'Activity data'!AM51*ManureNEF*NtoN2O*kgtoGg</f>
        <v>0.94639298429585894</v>
      </c>
      <c r="U1467" s="22">
        <f>'Activity data'!AN51*ManureNEF*NtoN2O*kgtoGg</f>
        <v>0.95568953266300471</v>
      </c>
      <c r="V1467" s="22">
        <f>'Activity data'!AO51*ManureNEF*NtoN2O*kgtoGg</f>
        <v>0.96446060605403905</v>
      </c>
      <c r="W1467" s="22">
        <f>'Activity data'!AP51*ManureNEF*NtoN2O*kgtoGg</f>
        <v>0.97463092419535036</v>
      </c>
      <c r="X1467" s="22">
        <f>'Activity data'!AQ51*ManureNEF*NtoN2O*kgtoGg</f>
        <v>0.98920344999441168</v>
      </c>
      <c r="Y1467" s="22">
        <f>'Activity data'!AR51*ManureNEF*NtoN2O*kgtoGg</f>
        <v>1.0043751449712224</v>
      </c>
      <c r="Z1467" s="22">
        <f>'Activity data'!AS51*ManureNEF*NtoN2O*kgtoGg</f>
        <v>1.0208550304909023</v>
      </c>
      <c r="AA1467" s="22">
        <f>'Activity data'!AT51*ManureNEF*NtoN2O*kgtoGg</f>
        <v>1.0358418021000837</v>
      </c>
      <c r="AB1467" s="22">
        <f>'Activity data'!AU51*ManureNEF*NtoN2O*kgtoGg</f>
        <v>1.0530129859072517</v>
      </c>
      <c r="AC1467" s="22">
        <f>'Activity data'!AV51*ManureNEF*NtoN2O*kgtoGg</f>
        <v>1.0728528577171612</v>
      </c>
      <c r="AD1467" s="22">
        <f>'Activity data'!AW51*ManureNEF*NtoN2O*kgtoGg</f>
        <v>1.0919537464715672</v>
      </c>
      <c r="AE1467" s="22">
        <f>'Activity data'!AX51*ManureNEF*NtoN2O*kgtoGg</f>
        <v>1.1120504403578721</v>
      </c>
      <c r="AF1467" s="22">
        <f>'Activity data'!AY51*ManureNEF*NtoN2O*kgtoGg</f>
        <v>1.1327566802129738</v>
      </c>
      <c r="AG1467" s="22">
        <f>'Activity data'!AZ51*ManureNEF*NtoN2O*kgtoGg</f>
        <v>1.1557968608259288</v>
      </c>
      <c r="AH1467" s="22">
        <f>'Activity data'!BA51*ManureNEF*NtoN2O*kgtoGg</f>
        <v>1.1766568183608164</v>
      </c>
      <c r="AI1467" s="22">
        <f>'Activity data'!BB51*ManureNEF*NtoN2O*kgtoGg</f>
        <v>1.1983326327988097</v>
      </c>
      <c r="AJ1467" s="22">
        <f>'Activity data'!BC51*ManureNEF*NtoN2O*kgtoGg</f>
        <v>1.2205750110245537</v>
      </c>
      <c r="AK1467" s="22">
        <f>'Activity data'!BD51*ManureNEF*NtoN2O*kgtoGg</f>
        <v>1.2421525060580416</v>
      </c>
      <c r="AL1467" s="22">
        <f>'Activity data'!BE51*ManureNEF*NtoN2O*kgtoGg</f>
        <v>1.2638935390991974</v>
      </c>
      <c r="AM1467" s="22">
        <f>'Activity data'!BF51*ManureNEF*NtoN2O*kgtoGg</f>
        <v>1.2865568225206274</v>
      </c>
      <c r="AN1467" s="22">
        <f>'Activity data'!BG51*ManureNEF*NtoN2O*kgtoGg</f>
        <v>1.3099705127680101</v>
      </c>
      <c r="AO1467" s="22">
        <f>'Activity data'!BH51*ManureNEF*NtoN2O*kgtoGg</f>
        <v>1.3323329849360066</v>
      </c>
      <c r="AP1467" s="22">
        <f>'Activity data'!BI51*ManureNEF*NtoN2O*kgtoGg</f>
        <v>1.3551678420460032</v>
      </c>
      <c r="AQ1467" s="22">
        <f>'Activity data'!BJ51*ManureNEF*NtoN2O*kgtoGg</f>
        <v>1.3785162378047791</v>
      </c>
      <c r="AR1467" s="22">
        <f>'Activity data'!BK51*ManureNEF*NtoN2O*kgtoGg</f>
        <v>1.4034850691536036</v>
      </c>
      <c r="AS1467" s="22">
        <f>'Activity data'!BL51*ManureNEF*NtoN2O*kgtoGg</f>
        <v>1.4287287026064286</v>
      </c>
      <c r="AT1467" s="22">
        <f>'Activity data'!BM51*ManureNEF*NtoN2O*kgtoGg</f>
        <v>1.4438373207751876</v>
      </c>
      <c r="AU1467" s="22">
        <f>'Activity data'!BN51*ManureNEF*NtoN2O*kgtoGg</f>
        <v>1.4583589364182332</v>
      </c>
      <c r="AV1467" s="22">
        <f>'Activity data'!BO51*ManureNEF*NtoN2O*kgtoGg</f>
        <v>1.4744253654509265</v>
      </c>
      <c r="AW1467" s="22">
        <f>'Activity data'!BP51*ManureNEF*NtoN2O*kgtoGg</f>
        <v>1.490028755908539</v>
      </c>
    </row>
    <row r="1468" spans="1:49" x14ac:dyDescent="0.25">
      <c r="A1468" s="102" t="s">
        <v>961</v>
      </c>
      <c r="B1468" s="102"/>
      <c r="C1468" s="102"/>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4.9913136648560473E-2</v>
      </c>
      <c r="L1468" s="22">
        <f>'Activity data'!AE52*ManureNEF*NtoN2O*kgtoGg</f>
        <v>5.0250152949583772E-2</v>
      </c>
      <c r="M1468" s="22">
        <f>'Activity data'!AF52*ManureNEF*NtoN2O*kgtoGg</f>
        <v>5.0544956844502678E-2</v>
      </c>
      <c r="N1468" s="22">
        <f>'Activity data'!AG52*ManureNEF*NtoN2O*kgtoGg</f>
        <v>5.0583090346256708E-2</v>
      </c>
      <c r="O1468" s="22">
        <f>'Activity data'!AH52*ManureNEF*NtoN2O*kgtoGg</f>
        <v>5.0648771564119566E-2</v>
      </c>
      <c r="P1468" s="22">
        <f>'Activity data'!AI52*ManureNEF*NtoN2O*kgtoGg</f>
        <v>5.1025638277152528E-2</v>
      </c>
      <c r="Q1468" s="22">
        <f>'Activity data'!AJ52*ManureNEF*NtoN2O*kgtoGg</f>
        <v>5.1326993652306703E-2</v>
      </c>
      <c r="R1468" s="22">
        <f>'Activity data'!AK52*ManureNEF*NtoN2O*kgtoGg</f>
        <v>5.1329635954356786E-2</v>
      </c>
      <c r="S1468" s="22">
        <f>'Activity data'!AL52*ManureNEF*NtoN2O*kgtoGg</f>
        <v>4.9969721282067128E-2</v>
      </c>
      <c r="T1468" s="22">
        <f>'Activity data'!AM52*ManureNEF*NtoN2O*kgtoGg</f>
        <v>5.0626688531405499E-2</v>
      </c>
      <c r="U1468" s="22">
        <f>'Activity data'!AN52*ManureNEF*NtoN2O*kgtoGg</f>
        <v>5.1124001451524841E-2</v>
      </c>
      <c r="V1468" s="22">
        <f>'Activity data'!AO52*ManureNEF*NtoN2O*kgtoGg</f>
        <v>5.1593204423252687E-2</v>
      </c>
      <c r="W1468" s="22">
        <f>'Activity data'!AP52*ManureNEF*NtoN2O*kgtoGg</f>
        <v>5.2137259099639094E-2</v>
      </c>
      <c r="X1468" s="22">
        <f>'Activity data'!AQ52*ManureNEF*NtoN2O*kgtoGg</f>
        <v>5.2916807064371608E-2</v>
      </c>
      <c r="Y1468" s="22">
        <f>'Activity data'!AR52*ManureNEF*NtoN2O*kgtoGg</f>
        <v>5.3728407201766935E-2</v>
      </c>
      <c r="Z1468" s="22">
        <f>'Activity data'!AS52*ManureNEF*NtoN2O*kgtoGg</f>
        <v>5.4609988157123229E-2</v>
      </c>
      <c r="AA1468" s="22">
        <f>'Activity data'!AT52*ManureNEF*NtoN2O*kgtoGg</f>
        <v>5.5411695937019619E-2</v>
      </c>
      <c r="AB1468" s="22">
        <f>'Activity data'!AU52*ManureNEF*NtoN2O*kgtoGg</f>
        <v>5.6330257452950339E-2</v>
      </c>
      <c r="AC1468" s="22">
        <f>'Activity data'!AV52*ManureNEF*NtoN2O*kgtoGg</f>
        <v>5.7391578729936159E-2</v>
      </c>
      <c r="AD1468" s="22">
        <f>'Activity data'!AW52*ManureNEF*NtoN2O*kgtoGg</f>
        <v>5.8413368580123831E-2</v>
      </c>
      <c r="AE1468" s="22">
        <f>'Activity data'!AX52*ManureNEF*NtoN2O*kgtoGg</f>
        <v>5.9488428390134962E-2</v>
      </c>
      <c r="AF1468" s="22">
        <f>'Activity data'!AY52*ManureNEF*NtoN2O*kgtoGg</f>
        <v>6.0596095472621583E-2</v>
      </c>
      <c r="AG1468" s="22">
        <f>'Activity data'!AZ52*ManureNEF*NtoN2O*kgtoGg</f>
        <v>6.1828615225995781E-2</v>
      </c>
      <c r="AH1468" s="22">
        <f>'Activity data'!BA52*ManureNEF*NtoN2O*kgtoGg</f>
        <v>6.2944505337631407E-2</v>
      </c>
      <c r="AI1468" s="22">
        <f>'Activity data'!BB52*ManureNEF*NtoN2O*kgtoGg</f>
        <v>6.4104039193467549E-2</v>
      </c>
      <c r="AJ1468" s="22">
        <f>'Activity data'!BC52*ManureNEF*NtoN2O*kgtoGg</f>
        <v>6.5293881017443309E-2</v>
      </c>
      <c r="AK1468" s="22">
        <f>'Activity data'!BD52*ManureNEF*NtoN2O*kgtoGg</f>
        <v>6.6448155339501103E-2</v>
      </c>
      <c r="AL1468" s="22">
        <f>'Activity data'!BE52*ManureNEF*NtoN2O*kgtoGg</f>
        <v>6.7611178022878776E-2</v>
      </c>
      <c r="AM1468" s="22">
        <f>'Activity data'!BF52*ManureNEF*NtoN2O*kgtoGg</f>
        <v>6.8823535901598024E-2</v>
      </c>
      <c r="AN1468" s="22">
        <f>'Activity data'!BG52*ManureNEF*NtoN2O*kgtoGg</f>
        <v>7.0076036314422829E-2</v>
      </c>
      <c r="AO1468" s="22">
        <f>'Activity data'!BH52*ManureNEF*NtoN2O*kgtoGg</f>
        <v>7.1272302487173145E-2</v>
      </c>
      <c r="AP1468" s="22">
        <f>'Activity data'!BI52*ManureNEF*NtoN2O*kgtoGg</f>
        <v>7.2493838590832138E-2</v>
      </c>
      <c r="AQ1468" s="22">
        <f>'Activity data'!BJ52*ManureNEF*NtoN2O*kgtoGg</f>
        <v>7.3742846116671951E-2</v>
      </c>
      <c r="AR1468" s="22">
        <f>'Activity data'!BK52*ManureNEF*NtoN2O*kgtoGg</f>
        <v>7.507853780993895E-2</v>
      </c>
      <c r="AS1468" s="22">
        <f>'Activity data'!BL52*ManureNEF*NtoN2O*kgtoGg</f>
        <v>7.6428929866329778E-2</v>
      </c>
      <c r="AT1468" s="22">
        <f>'Activity data'!BM52*ManureNEF*NtoN2O*kgtoGg</f>
        <v>7.7237155750145656E-2</v>
      </c>
      <c r="AU1468" s="22">
        <f>'Activity data'!BN52*ManureNEF*NtoN2O*kgtoGg</f>
        <v>7.8013980308582434E-2</v>
      </c>
      <c r="AV1468" s="22">
        <f>'Activity data'!BO52*ManureNEF*NtoN2O*kgtoGg</f>
        <v>7.8873443673111984E-2</v>
      </c>
      <c r="AW1468" s="22">
        <f>'Activity data'!BP52*ManureNEF*NtoN2O*kgtoGg</f>
        <v>7.970813708466469E-2</v>
      </c>
    </row>
    <row r="1469" spans="1:49" x14ac:dyDescent="0.25">
      <c r="A1469" s="102" t="s">
        <v>961</v>
      </c>
      <c r="B1469" s="102"/>
      <c r="C1469" s="102"/>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0.40197336823107255</v>
      </c>
      <c r="L1469" s="22">
        <f>'Activity data'!AE53*ManureNEF*NtoN2O*kgtoGg</f>
        <v>0.39992683453201888</v>
      </c>
      <c r="M1469" s="22">
        <f>'Activity data'!AF53*ManureNEF*NtoN2O*kgtoGg</f>
        <v>0.39619153570803745</v>
      </c>
      <c r="N1469" s="22">
        <f>'Activity data'!AG53*ManureNEF*NtoN2O*kgtoGg</f>
        <v>0.38596696743557218</v>
      </c>
      <c r="O1469" s="22">
        <f>'Activity data'!AH53*ManureNEF*NtoN2O*kgtoGg</f>
        <v>0.37615042112991043</v>
      </c>
      <c r="P1469" s="22">
        <f>'Activity data'!AI53*ManureNEF*NtoN2O*kgtoGg</f>
        <v>0.37293713836150383</v>
      </c>
      <c r="Q1469" s="22">
        <f>'Activity data'!AJ53*ManureNEF*NtoN2O*kgtoGg</f>
        <v>0.36774734482056881</v>
      </c>
      <c r="R1469" s="22">
        <f>'Activity data'!AK53*ManureNEF*NtoN2O*kgtoGg</f>
        <v>0.35608688957109119</v>
      </c>
      <c r="S1469" s="22">
        <f>'Activity data'!AL53*ManureNEF*NtoN2O*kgtoGg</f>
        <v>0.31696486473191704</v>
      </c>
      <c r="T1469" s="22">
        <f>'Activity data'!AM53*ManureNEF*NtoN2O*kgtoGg</f>
        <v>0.32470985028067645</v>
      </c>
      <c r="U1469" s="22">
        <f>'Activity data'!AN53*ManureNEF*NtoN2O*kgtoGg</f>
        <v>0.32889312054031467</v>
      </c>
      <c r="V1469" s="22">
        <f>'Activity data'!AO53*ManureNEF*NtoN2O*kgtoGg</f>
        <v>0.33221809700085297</v>
      </c>
      <c r="W1469" s="22">
        <f>'Activity data'!AP53*ManureNEF*NtoN2O*kgtoGg</f>
        <v>0.33668665148563554</v>
      </c>
      <c r="X1469" s="22">
        <f>'Activity data'!AQ53*ManureNEF*NtoN2O*kgtoGg</f>
        <v>0.34526566414363768</v>
      </c>
      <c r="Y1469" s="22">
        <f>'Activity data'!AR53*ManureNEF*NtoN2O*kgtoGg</f>
        <v>0.3546551951018343</v>
      </c>
      <c r="Z1469" s="22">
        <f>'Activity data'!AS53*ManureNEF*NtoN2O*kgtoGg</f>
        <v>0.36488607427670622</v>
      </c>
      <c r="AA1469" s="22">
        <f>'Activity data'!AT53*ManureNEF*NtoN2O*kgtoGg</f>
        <v>0.37322811475659617</v>
      </c>
      <c r="AB1469" s="22">
        <f>'Activity data'!AU53*ManureNEF*NtoN2O*kgtoGg</f>
        <v>0.38324164621633577</v>
      </c>
      <c r="AC1469" s="22">
        <f>'Activity data'!AV53*ManureNEF*NtoN2O*kgtoGg</f>
        <v>0.39530317301942447</v>
      </c>
      <c r="AD1469" s="22">
        <f>'Activity data'!AW53*ManureNEF*NtoN2O*kgtoGg</f>
        <v>0.40324844631367707</v>
      </c>
      <c r="AE1469" s="22">
        <f>'Activity data'!AX53*ManureNEF*NtoN2O*kgtoGg</f>
        <v>0.41136426834445033</v>
      </c>
      <c r="AF1469" s="22">
        <f>'Activity data'!AY53*ManureNEF*NtoN2O*kgtoGg</f>
        <v>0.41927237917692112</v>
      </c>
      <c r="AG1469" s="22">
        <f>'Activity data'!AZ53*ManureNEF*NtoN2O*kgtoGg</f>
        <v>0.428421433457634</v>
      </c>
      <c r="AH1469" s="22">
        <f>'Activity data'!BA53*ManureNEF*NtoN2O*kgtoGg</f>
        <v>0.43494110190191582</v>
      </c>
      <c r="AI1469" s="22">
        <f>'Activity data'!BB53*ManureNEF*NtoN2O*kgtoGg</f>
        <v>0.44180947123061814</v>
      </c>
      <c r="AJ1469" s="22">
        <f>'Activity data'!BC53*ManureNEF*NtoN2O*kgtoGg</f>
        <v>0.4483818832498262</v>
      </c>
      <c r="AK1469" s="22">
        <f>'Activity data'!BD53*ManureNEF*NtoN2O*kgtoGg</f>
        <v>0.45369176487192819</v>
      </c>
      <c r="AL1469" s="22">
        <f>'Activity data'!BE53*ManureNEF*NtoN2O*kgtoGg</f>
        <v>0.45841729176886709</v>
      </c>
      <c r="AM1469" s="22">
        <f>'Activity data'!BF53*ManureNEF*NtoN2O*kgtoGg</f>
        <v>0.46312160165358524</v>
      </c>
      <c r="AN1469" s="22">
        <f>'Activity data'!BG53*ManureNEF*NtoN2O*kgtoGg</f>
        <v>0.47036226337760684</v>
      </c>
      <c r="AO1469" s="22">
        <f>'Activity data'!BH53*ManureNEF*NtoN2O*kgtoGg</f>
        <v>0.47625895476630487</v>
      </c>
      <c r="AP1469" s="22">
        <f>'Activity data'!BI53*ManureNEF*NtoN2O*kgtoGg</f>
        <v>0.48192117394918943</v>
      </c>
      <c r="AQ1469" s="22">
        <f>'Activity data'!BJ53*ManureNEF*NtoN2O*kgtoGg</f>
        <v>0.48736750310542487</v>
      </c>
      <c r="AR1469" s="22">
        <f>'Activity data'!BK53*ManureNEF*NtoN2O*kgtoGg</f>
        <v>0.49331923171164554</v>
      </c>
      <c r="AS1469" s="22">
        <f>'Activity data'!BL53*ManureNEF*NtoN2O*kgtoGg</f>
        <v>0.49914888511282934</v>
      </c>
      <c r="AT1469" s="22">
        <f>'Activity data'!BM53*ManureNEF*NtoN2O*kgtoGg</f>
        <v>0.49794780494726931</v>
      </c>
      <c r="AU1469" s="22">
        <f>'Activity data'!BN53*ManureNEF*NtoN2O*kgtoGg</f>
        <v>0.49606316174761622</v>
      </c>
      <c r="AV1469" s="22">
        <f>'Activity data'!BO53*ManureNEF*NtoN2O*kgtoGg</f>
        <v>0.49481743932732059</v>
      </c>
      <c r="AW1469" s="22">
        <f>'Activity data'!BP53*ManureNEF*NtoN2O*kgtoGg</f>
        <v>0.49296371491806151</v>
      </c>
    </row>
    <row r="1470" spans="1:49" x14ac:dyDescent="0.25">
      <c r="A1470" s="102" t="s">
        <v>961</v>
      </c>
      <c r="B1470" s="102"/>
      <c r="C1470" s="102"/>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2.6734246327620794</v>
      </c>
      <c r="L1470" s="22">
        <f>'Activity data'!AE54*ManureNEF*NtoN2O*kgtoGg</f>
        <v>2.6598136474699339</v>
      </c>
      <c r="M1470" s="22">
        <f>'Activity data'!AF54*ManureNEF*NtoN2O*kgtoGg</f>
        <v>2.6349711064560761</v>
      </c>
      <c r="N1470" s="22">
        <f>'Activity data'!AG54*ManureNEF*NtoN2O*kgtoGg</f>
        <v>2.5669700525572687</v>
      </c>
      <c r="O1470" s="22">
        <f>'Activity data'!AH54*ManureNEF*NtoN2O*kgtoGg</f>
        <v>2.5016826510120014</v>
      </c>
      <c r="P1470" s="22">
        <f>'Activity data'!AI54*ManureNEF*NtoN2O*kgtoGg</f>
        <v>2.4803119086096084</v>
      </c>
      <c r="Q1470" s="22">
        <f>'Activity data'!AJ54*ManureNEF*NtoN2O*kgtoGg</f>
        <v>2.4457958859379039</v>
      </c>
      <c r="R1470" s="22">
        <f>'Activity data'!AK54*ManureNEF*NtoN2O*kgtoGg</f>
        <v>2.3682451058194229</v>
      </c>
      <c r="S1470" s="22">
        <f>'Activity data'!AL54*ManureNEF*NtoN2O*kgtoGg</f>
        <v>2.1080542743998265</v>
      </c>
      <c r="T1470" s="22">
        <f>'Activity data'!AM54*ManureNEF*NtoN2O*kgtoGg</f>
        <v>2.1595642419321464</v>
      </c>
      <c r="U1470" s="22">
        <f>'Activity data'!AN54*ManureNEF*NtoN2O*kgtoGg</f>
        <v>2.1873861292547638</v>
      </c>
      <c r="V1470" s="22">
        <f>'Activity data'!AO54*ManureNEF*NtoN2O*kgtoGg</f>
        <v>2.2094997185506768</v>
      </c>
      <c r="W1470" s="22">
        <f>'Activity data'!AP54*ManureNEF*NtoN2O*kgtoGg</f>
        <v>2.2392189601139396</v>
      </c>
      <c r="X1470" s="22">
        <f>'Activity data'!AQ54*ManureNEF*NtoN2O*kgtoGg</f>
        <v>2.2962758339700611</v>
      </c>
      <c r="Y1470" s="22">
        <f>'Activity data'!AR54*ManureNEF*NtoN2O*kgtoGg</f>
        <v>2.3587232629233519</v>
      </c>
      <c r="Z1470" s="22">
        <f>'Activity data'!AS54*ManureNEF*NtoN2O*kgtoGg</f>
        <v>2.4267662890603274</v>
      </c>
      <c r="AA1470" s="22">
        <f>'Activity data'!AT54*ManureNEF*NtoN2O*kgtoGg</f>
        <v>2.482247120053132</v>
      </c>
      <c r="AB1470" s="22">
        <f>'Activity data'!AU54*ManureNEF*NtoN2O*kgtoGg</f>
        <v>2.5488446207363533</v>
      </c>
      <c r="AC1470" s="22">
        <f>'Activity data'!AV54*ManureNEF*NtoN2O*kgtoGg</f>
        <v>2.6290628277434434</v>
      </c>
      <c r="AD1470" s="22">
        <f>'Activity data'!AW54*ManureNEF*NtoN2O*kgtoGg</f>
        <v>2.6819048591256602</v>
      </c>
      <c r="AE1470" s="22">
        <f>'Activity data'!AX54*ManureNEF*NtoN2O*kgtoGg</f>
        <v>2.7358811676250578</v>
      </c>
      <c r="AF1470" s="22">
        <f>'Activity data'!AY54*ManureNEF*NtoN2O*kgtoGg</f>
        <v>2.7884760407410969</v>
      </c>
      <c r="AG1470" s="22">
        <f>'Activity data'!AZ54*ManureNEF*NtoN2O*kgtoGg</f>
        <v>2.8493241192796606</v>
      </c>
      <c r="AH1470" s="22">
        <f>'Activity data'!BA54*ManureNEF*NtoN2O*kgtoGg</f>
        <v>2.8926848083051211</v>
      </c>
      <c r="AI1470" s="22">
        <f>'Activity data'!BB54*ManureNEF*NtoN2O*kgtoGg</f>
        <v>2.9383646199579787</v>
      </c>
      <c r="AJ1470" s="22">
        <f>'Activity data'!BC54*ManureNEF*NtoN2O*kgtoGg</f>
        <v>2.9820760933477084</v>
      </c>
      <c r="AK1470" s="22">
        <f>'Activity data'!BD54*ManureNEF*NtoN2O*kgtoGg</f>
        <v>3.0173907919011151</v>
      </c>
      <c r="AL1470" s="22">
        <f>'Activity data'!BE54*ManureNEF*NtoN2O*kgtoGg</f>
        <v>3.0488190928969017</v>
      </c>
      <c r="AM1470" s="22">
        <f>'Activity data'!BF54*ManureNEF*NtoN2O*kgtoGg</f>
        <v>3.0801062848352543</v>
      </c>
      <c r="AN1470" s="22">
        <f>'Activity data'!BG54*ManureNEF*NtoN2O*kgtoGg</f>
        <v>3.1282621203715273</v>
      </c>
      <c r="AO1470" s="22">
        <f>'Activity data'!BH54*ManureNEF*NtoN2O*kgtoGg</f>
        <v>3.1674795443509169</v>
      </c>
      <c r="AP1470" s="22">
        <f>'Activity data'!BI54*ManureNEF*NtoN2O*kgtoGg</f>
        <v>3.2051375521593344</v>
      </c>
      <c r="AQ1470" s="22">
        <f>'Activity data'!BJ54*ManureNEF*NtoN2O*kgtoGg</f>
        <v>3.2413597292365988</v>
      </c>
      <c r="AR1470" s="22">
        <f>'Activity data'!BK54*ManureNEF*NtoN2O*kgtoGg</f>
        <v>3.2809431920252043</v>
      </c>
      <c r="AS1470" s="22">
        <f>'Activity data'!BL54*ManureNEF*NtoN2O*kgtoGg</f>
        <v>3.319714763066774</v>
      </c>
      <c r="AT1470" s="22">
        <f>'Activity data'!BM54*ManureNEF*NtoN2O*kgtoGg</f>
        <v>3.3117266783967354</v>
      </c>
      <c r="AU1470" s="22">
        <f>'Activity data'!BN54*ManureNEF*NtoN2O*kgtoGg</f>
        <v>3.2991923864457724</v>
      </c>
      <c r="AV1470" s="22">
        <f>'Activity data'!BO54*ManureNEF*NtoN2O*kgtoGg</f>
        <v>3.2909073972718437</v>
      </c>
      <c r="AW1470" s="22">
        <f>'Activity data'!BP54*ManureNEF*NtoN2O*kgtoGg</f>
        <v>3.2785787384856291</v>
      </c>
    </row>
    <row r="1471" spans="1:49" x14ac:dyDescent="0.25">
      <c r="A1471" s="102" t="s">
        <v>961</v>
      </c>
      <c r="B1471" s="102"/>
      <c r="C1471" s="102"/>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0.34456271820054257</v>
      </c>
      <c r="L1471" s="22">
        <f>'Activity data'!AE55*ManureNEF*NtoN2O*kgtoGg</f>
        <v>0.35741698731572036</v>
      </c>
      <c r="M1471" s="22">
        <f>'Activity data'!AF55*ManureNEF*NtoN2O*kgtoGg</f>
        <v>0.36896489164513291</v>
      </c>
      <c r="N1471" s="22">
        <f>'Activity data'!AG55*ManureNEF*NtoN2O*kgtoGg</f>
        <v>0.37438401076610434</v>
      </c>
      <c r="O1471" s="22">
        <f>'Activity data'!AH55*ManureNEF*NtoN2O*kgtoGg</f>
        <v>0.37988604718806568</v>
      </c>
      <c r="P1471" s="22">
        <f>'Activity data'!AI55*ManureNEF*NtoN2O*kgtoGg</f>
        <v>0.39203102133073692</v>
      </c>
      <c r="Q1471" s="22">
        <f>'Activity data'!AJ55*ManureNEF*NtoN2O*kgtoGg</f>
        <v>0.40227536328848007</v>
      </c>
      <c r="R1471" s="22">
        <f>'Activity data'!AK55*ManureNEF*NtoN2O*kgtoGg</f>
        <v>0.40526591417131741</v>
      </c>
      <c r="S1471" s="22">
        <f>'Activity data'!AL55*ManureNEF*NtoN2O*kgtoGg</f>
        <v>0.37527481867018142</v>
      </c>
      <c r="T1471" s="22">
        <f>'Activity data'!AM55*ManureNEF*NtoN2O*kgtoGg</f>
        <v>0.39365996287351818</v>
      </c>
      <c r="U1471" s="22">
        <f>'Activity data'!AN55*ManureNEF*NtoN2O*kgtoGg</f>
        <v>0.40815819868382563</v>
      </c>
      <c r="V1471" s="22">
        <f>'Activity data'!AO55*ManureNEF*NtoN2O*kgtoGg</f>
        <v>0.42190781589388981</v>
      </c>
      <c r="W1471" s="22">
        <f>'Activity data'!AP55*ManureNEF*NtoN2O*kgtoGg</f>
        <v>0.4374457677220121</v>
      </c>
      <c r="X1471" s="22">
        <f>'Activity data'!AQ55*ManureNEF*NtoN2O*kgtoGg</f>
        <v>0.45882709525597559</v>
      </c>
      <c r="Y1471" s="22">
        <f>'Activity data'!AR55*ManureNEF*NtoN2O*kgtoGg</f>
        <v>0.48194951358683946</v>
      </c>
      <c r="Z1471" s="22">
        <f>'Activity data'!AS55*ManureNEF*NtoN2O*kgtoGg</f>
        <v>0.5069467882453319</v>
      </c>
      <c r="AA1471" s="22">
        <f>'Activity data'!AT55*ManureNEF*NtoN2O*kgtoGg</f>
        <v>0.53003801773568016</v>
      </c>
      <c r="AB1471" s="22">
        <f>'Activity data'!AU55*ManureNEF*NtoN2O*kgtoGg</f>
        <v>0.55623390953100238</v>
      </c>
      <c r="AC1471" s="22">
        <f>'Activity data'!AV55*ManureNEF*NtoN2O*kgtoGg</f>
        <v>0.58627034555980351</v>
      </c>
      <c r="AD1471" s="22">
        <f>'Activity data'!AW55*ManureNEF*NtoN2O*kgtoGg</f>
        <v>0.61782159985165686</v>
      </c>
      <c r="AE1471" s="22">
        <f>'Activity data'!AX55*ManureNEF*NtoN2O*kgtoGg</f>
        <v>0.65112867925188422</v>
      </c>
      <c r="AF1471" s="22">
        <f>'Activity data'!AY55*ManureNEF*NtoN2O*kgtoGg</f>
        <v>0.68568148380807281</v>
      </c>
      <c r="AG1471" s="22">
        <f>'Activity data'!AZ55*ManureNEF*NtoN2O*kgtoGg</f>
        <v>0.72398256864978949</v>
      </c>
      <c r="AH1471" s="22">
        <f>'Activity data'!BA55*ManureNEF*NtoN2O*kgtoGg</f>
        <v>0.75957681879798822</v>
      </c>
      <c r="AI1471" s="22">
        <f>'Activity data'!BB55*ManureNEF*NtoN2O*kgtoGg</f>
        <v>0.79748571472295215</v>
      </c>
      <c r="AJ1471" s="22">
        <f>'Activity data'!BC55*ManureNEF*NtoN2O*kgtoGg</f>
        <v>0.83666894668287939</v>
      </c>
      <c r="AK1471" s="22">
        <f>'Activity data'!BD55*ManureNEF*NtoN2O*kgtoGg</f>
        <v>0.87531443785412277</v>
      </c>
      <c r="AL1471" s="22">
        <f>'Activity data'!BE55*ManureNEF*NtoN2O*kgtoGg</f>
        <v>0.91464095810421253</v>
      </c>
      <c r="AM1471" s="22">
        <f>'Activity data'!BF55*ManureNEF*NtoN2O*kgtoGg</f>
        <v>0.95580463534177018</v>
      </c>
      <c r="AN1471" s="22">
        <f>'Activity data'!BG55*ManureNEF*NtoN2O*kgtoGg</f>
        <v>0.99803934996482946</v>
      </c>
      <c r="AO1471" s="22">
        <f>'Activity data'!BH55*ManureNEF*NtoN2O*kgtoGg</f>
        <v>1.0390605531241226</v>
      </c>
      <c r="AP1471" s="22">
        <f>'Activity data'!BI55*ManureNEF*NtoN2O*kgtoGg</f>
        <v>1.0811924287176657</v>
      </c>
      <c r="AQ1471" s="22">
        <f>'Activity data'!BJ55*ManureNEF*NtoN2O*kgtoGg</f>
        <v>1.1245143338669252</v>
      </c>
      <c r="AR1471" s="22">
        <f>'Activity data'!BK55*ManureNEF*NtoN2O*kgtoGg</f>
        <v>1.1707805213950246</v>
      </c>
      <c r="AS1471" s="22">
        <f>'Activity data'!BL55*ManureNEF*NtoN2O*kgtoGg</f>
        <v>1.2186517327491972</v>
      </c>
      <c r="AT1471" s="22">
        <f>'Activity data'!BM55*ManureNEF*NtoN2O*kgtoGg</f>
        <v>1.2508464245777533</v>
      </c>
      <c r="AU1471" s="22">
        <f>'Activity data'!BN55*ManureNEF*NtoN2O*kgtoGg</f>
        <v>1.2823366685557687</v>
      </c>
      <c r="AV1471" s="22">
        <f>'Activity data'!BO55*ManureNEF*NtoN2O*kgtoGg</f>
        <v>1.3165428948829248</v>
      </c>
      <c r="AW1471" s="22">
        <f>'Activity data'!BP55*ManureNEF*NtoN2O*kgtoGg</f>
        <v>1.3502550917336287</v>
      </c>
    </row>
    <row r="1472" spans="1:49" x14ac:dyDescent="0.25">
      <c r="A1472" s="102" t="s">
        <v>961</v>
      </c>
      <c r="B1472" s="102"/>
      <c r="C1472" s="102"/>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5.8351352726762881E-2</v>
      </c>
      <c r="L1472" s="22">
        <f>'Activity data'!AE56*ManureNEF*NtoN2O*kgtoGg</f>
        <v>5.838284383946888E-2</v>
      </c>
      <c r="M1472" s="22">
        <f>'Activity data'!AF56*ManureNEF*NtoN2O*kgtoGg</f>
        <v>5.8455239222652444E-2</v>
      </c>
      <c r="N1472" s="22">
        <f>'Activity data'!AG56*ManureNEF*NtoN2O*kgtoGg</f>
        <v>5.8562716913640872E-2</v>
      </c>
      <c r="O1472" s="22">
        <f>'Activity data'!AH56*ManureNEF*NtoN2O*kgtoGg</f>
        <v>5.8707782505400478E-2</v>
      </c>
      <c r="P1472" s="22">
        <f>'Activity data'!AI56*ManureNEF*NtoN2O*kgtoGg</f>
        <v>5.8893351419097517E-2</v>
      </c>
      <c r="Q1472" s="22">
        <f>'Activity data'!AJ56*ManureNEF*NtoN2O*kgtoGg</f>
        <v>5.909782905733385E-2</v>
      </c>
      <c r="R1472" s="22">
        <f>'Activity data'!AK56*ManureNEF*NtoN2O*kgtoGg</f>
        <v>5.9318039560246685E-2</v>
      </c>
      <c r="S1472" s="22">
        <f>'Activity data'!AL56*ManureNEF*NtoN2O*kgtoGg</f>
        <v>5.9536211182470676E-2</v>
      </c>
      <c r="T1472" s="22">
        <f>'Activity data'!AM56*ManureNEF*NtoN2O*kgtoGg</f>
        <v>5.9625496743982688E-2</v>
      </c>
      <c r="U1472" s="22">
        <f>'Activity data'!AN56*ManureNEF*NtoN2O*kgtoGg</f>
        <v>5.9726883271183619E-2</v>
      </c>
      <c r="V1472" s="22">
        <f>'Activity data'!AO56*ManureNEF*NtoN2O*kgtoGg</f>
        <v>5.9841544259393621E-2</v>
      </c>
      <c r="W1472" s="22">
        <f>'Activity data'!AP56*ManureNEF*NtoN2O*kgtoGg</f>
        <v>5.9970311446414445E-2</v>
      </c>
      <c r="X1472" s="22">
        <f>'Activity data'!AQ56*ManureNEF*NtoN2O*kgtoGg</f>
        <v>6.0115005305831533E-2</v>
      </c>
      <c r="Y1472" s="22">
        <f>'Activity data'!AR56*ManureNEF*NtoN2O*kgtoGg</f>
        <v>6.0205982501934943E-2</v>
      </c>
      <c r="Z1472" s="22">
        <f>'Activity data'!AS56*ManureNEF*NtoN2O*kgtoGg</f>
        <v>6.0308427456259674E-2</v>
      </c>
      <c r="AA1472" s="22">
        <f>'Activity data'!AT56*ManureNEF*NtoN2O*kgtoGg</f>
        <v>6.0419488984851388E-2</v>
      </c>
      <c r="AB1472" s="22">
        <f>'Activity data'!AU56*ManureNEF*NtoN2O*kgtoGg</f>
        <v>6.0541770911636386E-2</v>
      </c>
      <c r="AC1472" s="22">
        <f>'Activity data'!AV56*ManureNEF*NtoN2O*kgtoGg</f>
        <v>6.0675259234702413E-2</v>
      </c>
      <c r="AD1472" s="22">
        <f>'Activity data'!AW56*ManureNEF*NtoN2O*kgtoGg</f>
        <v>6.0763612545599144E-2</v>
      </c>
      <c r="AE1472" s="22">
        <f>'Activity data'!AX56*ManureNEF*NtoN2O*kgtoGg</f>
        <v>6.0860562125647062E-2</v>
      </c>
      <c r="AF1472" s="22">
        <f>'Activity data'!AY56*ManureNEF*NtoN2O*kgtoGg</f>
        <v>6.0965456696796608E-2</v>
      </c>
      <c r="AG1472" s="22">
        <f>'Activity data'!AZ56*ManureNEF*NtoN2O*kgtoGg</f>
        <v>6.1079431750386354E-2</v>
      </c>
      <c r="AH1472" s="22">
        <f>'Activity data'!BA56*ManureNEF*NtoN2O*kgtoGg</f>
        <v>6.1198454005462005E-2</v>
      </c>
      <c r="AI1472" s="22">
        <f>'Activity data'!BB56*ManureNEF*NtoN2O*kgtoGg</f>
        <v>6.1274601225536553E-2</v>
      </c>
      <c r="AJ1472" s="22">
        <f>'Activity data'!BC56*ManureNEF*NtoN2O*kgtoGg</f>
        <v>6.1357207979697827E-2</v>
      </c>
      <c r="AK1472" s="22">
        <f>'Activity data'!BD56*ManureNEF*NtoN2O*kgtoGg</f>
        <v>6.1445023192111883E-2</v>
      </c>
      <c r="AL1472" s="22">
        <f>'Activity data'!BE56*ManureNEF*NtoN2O*kgtoGg</f>
        <v>6.1538527566909175E-2</v>
      </c>
      <c r="AM1472" s="22">
        <f>'Activity data'!BF56*ManureNEF*NtoN2O*kgtoGg</f>
        <v>6.163815914834115E-2</v>
      </c>
      <c r="AN1472" s="22">
        <f>'Activity data'!BG56*ManureNEF*NtoN2O*kgtoGg</f>
        <v>6.1696880609150663E-2</v>
      </c>
      <c r="AO1472" s="22">
        <f>'Activity data'!BH56*ManureNEF*NtoN2O*kgtoGg</f>
        <v>6.1759449666934245E-2</v>
      </c>
      <c r="AP1472" s="22">
        <f>'Activity data'!BI56*ManureNEF*NtoN2O*kgtoGg</f>
        <v>6.1826968943055068E-2</v>
      </c>
      <c r="AQ1472" s="22">
        <f>'Activity data'!BJ56*ManureNEF*NtoN2O*kgtoGg</f>
        <v>6.1899319328770012E-2</v>
      </c>
      <c r="AR1472" s="22">
        <f>'Activity data'!BK56*ManureNEF*NtoN2O*kgtoGg</f>
        <v>6.1977277610442229E-2</v>
      </c>
      <c r="AS1472" s="22">
        <f>'Activity data'!BL56*ManureNEF*NtoN2O*kgtoGg</f>
        <v>6.2012413359244796E-2</v>
      </c>
      <c r="AT1472" s="22">
        <f>'Activity data'!BM56*ManureNEF*NtoN2O*kgtoGg</f>
        <v>6.2042910745793073E-2</v>
      </c>
      <c r="AU1472" s="22">
        <f>'Activity data'!BN56*ManureNEF*NtoN2O*kgtoGg</f>
        <v>6.2076578921359475E-2</v>
      </c>
      <c r="AV1472" s="22">
        <f>'Activity data'!BO56*ManureNEF*NtoN2O*kgtoGg</f>
        <v>6.2115070786636459E-2</v>
      </c>
      <c r="AW1472" s="22">
        <f>'Activity data'!BP56*ManureNEF*NtoN2O*kgtoGg</f>
        <v>6.2156607972806463E-2</v>
      </c>
    </row>
    <row r="1473" spans="1:49" x14ac:dyDescent="0.25">
      <c r="A1473" s="102" t="s">
        <v>961</v>
      </c>
      <c r="B1473" s="102"/>
      <c r="C1473" s="102"/>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4.7490069351463909E-2</v>
      </c>
      <c r="L1473" s="22">
        <f>'Activity data'!AE57*ManureNEF*NtoN2O*kgtoGg</f>
        <v>4.7515698836582541E-2</v>
      </c>
      <c r="M1473" s="22">
        <f>'Activity data'!AF57*ManureNEF*NtoN2O*kgtoGg</f>
        <v>4.7574618837704238E-2</v>
      </c>
      <c r="N1473" s="22">
        <f>'Activity data'!AG57*ManureNEF*NtoN2O*kgtoGg</f>
        <v>4.7662091068599664E-2</v>
      </c>
      <c r="O1473" s="22">
        <f>'Activity data'!AH57*ManureNEF*NtoN2O*kgtoGg</f>
        <v>4.7780154741355184E-2</v>
      </c>
      <c r="P1473" s="22">
        <f>'Activity data'!AI57*ManureNEF*NtoN2O*kgtoGg</f>
        <v>4.7931182612503523E-2</v>
      </c>
      <c r="Q1473" s="22">
        <f>'Activity data'!AJ57*ManureNEF*NtoN2O*kgtoGg</f>
        <v>4.809759961514163E-2</v>
      </c>
      <c r="R1473" s="22">
        <f>'Activity data'!AK57*ManureNEF*NtoN2O*kgtoGg</f>
        <v>4.8276821031039585E-2</v>
      </c>
      <c r="S1473" s="22">
        <f>'Activity data'!AL57*ManureNEF*NtoN2O*kgtoGg</f>
        <v>4.845438307520427E-2</v>
      </c>
      <c r="T1473" s="22">
        <f>'Activity data'!AM57*ManureNEF*NtoN2O*kgtoGg</f>
        <v>4.8527049385583491E-2</v>
      </c>
      <c r="U1473" s="22">
        <f>'Activity data'!AN57*ManureNEF*NtoN2O*kgtoGg</f>
        <v>4.8609564237134945E-2</v>
      </c>
      <c r="V1473" s="22">
        <f>'Activity data'!AO57*ManureNEF*NtoN2O*kgtoGg</f>
        <v>4.8702882695534688E-2</v>
      </c>
      <c r="W1473" s="22">
        <f>'Activity data'!AP57*ManureNEF*NtoN2O*kgtoGg</f>
        <v>4.8807681682294192E-2</v>
      </c>
      <c r="X1473" s="22">
        <f>'Activity data'!AQ57*ManureNEF*NtoN2O*kgtoGg</f>
        <v>4.8925442815452934E-2</v>
      </c>
      <c r="Y1473" s="22">
        <f>'Activity data'!AR57*ManureNEF*NtoN2O*kgtoGg</f>
        <v>4.899948588644365E-2</v>
      </c>
      <c r="Z1473" s="22">
        <f>'Activity data'!AS57*ManureNEF*NtoN2O*kgtoGg</f>
        <v>4.9082862153800644E-2</v>
      </c>
      <c r="AA1473" s="22">
        <f>'Activity data'!AT57*ManureNEF*NtoN2O*kgtoGg</f>
        <v>4.9173251141349877E-2</v>
      </c>
      <c r="AB1473" s="22">
        <f>'Activity data'!AU57*ManureNEF*NtoN2O*kgtoGg</f>
        <v>4.9272772007826496E-2</v>
      </c>
      <c r="AC1473" s="22">
        <f>'Activity data'!AV57*ManureNEF*NtoN2O*kgtoGg</f>
        <v>4.9381413357577224E-2</v>
      </c>
      <c r="AD1473" s="22">
        <f>'Activity data'!AW57*ManureNEF*NtoN2O*kgtoGg</f>
        <v>4.9453320942677535E-2</v>
      </c>
      <c r="AE1473" s="22">
        <f>'Activity data'!AX57*ManureNEF*NtoN2O*kgtoGg</f>
        <v>4.9532224722365882E-2</v>
      </c>
      <c r="AF1473" s="22">
        <f>'Activity data'!AY57*ManureNEF*NtoN2O*kgtoGg</f>
        <v>4.9617594644838996E-2</v>
      </c>
      <c r="AG1473" s="22">
        <f>'Activity data'!AZ57*ManureNEF*NtoN2O*kgtoGg</f>
        <v>4.9710354845697732E-2</v>
      </c>
      <c r="AH1473" s="22">
        <f>'Activity data'!BA57*ManureNEF*NtoN2O*kgtoGg</f>
        <v>4.9807222782493964E-2</v>
      </c>
      <c r="AI1473" s="22">
        <f>'Activity data'!BB57*ManureNEF*NtoN2O*kgtoGg</f>
        <v>4.9869196268853305E-2</v>
      </c>
      <c r="AJ1473" s="22">
        <f>'Activity data'!BC57*ManureNEF*NtoN2O*kgtoGg</f>
        <v>4.9936426937907168E-2</v>
      </c>
      <c r="AK1473" s="22">
        <f>'Activity data'!BD57*ManureNEF*NtoN2O*kgtoGg</f>
        <v>5.0007896583986924E-2</v>
      </c>
      <c r="AL1473" s="22">
        <f>'Activity data'!BE57*ManureNEF*NtoN2O*kgtoGg</f>
        <v>5.0083996434912091E-2</v>
      </c>
      <c r="AM1473" s="22">
        <f>'Activity data'!BF57*ManureNEF*NtoN2O*kgtoGg</f>
        <v>5.0165082999159477E-2</v>
      </c>
      <c r="AN1473" s="22">
        <f>'Activity data'!BG57*ManureNEF*NtoN2O*kgtoGg</f>
        <v>5.0212874286181063E-2</v>
      </c>
      <c r="AO1473" s="22">
        <f>'Activity data'!BH57*ManureNEF*NtoN2O*kgtoGg</f>
        <v>5.0263796994131166E-2</v>
      </c>
      <c r="AP1473" s="22">
        <f>'Activity data'!BI57*ManureNEF*NtoN2O*kgtoGg</f>
        <v>5.0318748506918774E-2</v>
      </c>
      <c r="AQ1473" s="22">
        <f>'Activity data'!BJ57*ManureNEF*NtoN2O*kgtoGg</f>
        <v>5.0377631886217578E-2</v>
      </c>
      <c r="AR1473" s="22">
        <f>'Activity data'!BK57*ManureNEF*NtoN2O*kgtoGg</f>
        <v>5.0441079330537687E-2</v>
      </c>
      <c r="AS1473" s="22">
        <f>'Activity data'!BL57*ManureNEF*NtoN2O*kgtoGg</f>
        <v>5.0469675054019239E-2</v>
      </c>
      <c r="AT1473" s="22">
        <f>'Activity data'!BM57*ManureNEF*NtoN2O*kgtoGg</f>
        <v>5.049449578112386E-2</v>
      </c>
      <c r="AU1473" s="22">
        <f>'Activity data'!BN57*ManureNEF*NtoN2O*kgtoGg</f>
        <v>5.0521897099480149E-2</v>
      </c>
      <c r="AV1473" s="22">
        <f>'Activity data'!BO57*ManureNEF*NtoN2O*kgtoGg</f>
        <v>5.055322424557103E-2</v>
      </c>
      <c r="AW1473" s="22">
        <f>'Activity data'!BP57*ManureNEF*NtoN2O*kgtoGg</f>
        <v>5.0587029868914744E-2</v>
      </c>
    </row>
    <row r="1474" spans="1:49" x14ac:dyDescent="0.25">
      <c r="A1474" s="102" t="s">
        <v>961</v>
      </c>
      <c r="B1474" s="102"/>
      <c r="C1474" s="102"/>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7.2124379000375856E-3</v>
      </c>
      <c r="L1474" s="22">
        <f>'Activity data'!AE58*ManureNEF*NtoN2O*kgtoGg</f>
        <v>7.2311842253661622E-3</v>
      </c>
      <c r="M1474" s="22">
        <f>'Activity data'!AF58*ManureNEF*NtoN2O*kgtoGg</f>
        <v>7.2564640106272402E-3</v>
      </c>
      <c r="N1474" s="22">
        <f>'Activity data'!AG58*ManureNEF*NtoN2O*kgtoGg</f>
        <v>7.287254147269725E-3</v>
      </c>
      <c r="O1474" s="22">
        <f>'Activity data'!AH58*ManureNEF*NtoN2O*kgtoGg</f>
        <v>7.3241333035294473E-3</v>
      </c>
      <c r="P1474" s="22">
        <f>'Activity data'!AI58*ManureNEF*NtoN2O*kgtoGg</f>
        <v>7.3677329801347495E-3</v>
      </c>
      <c r="Q1474" s="22">
        <f>'Activity data'!AJ58*ManureNEF*NtoN2O*kgtoGg</f>
        <v>7.4139400326720672E-3</v>
      </c>
      <c r="R1474" s="22">
        <f>'Activity data'!AK58*ManureNEF*NtoN2O*kgtoGg</f>
        <v>7.4622138016085145E-3</v>
      </c>
      <c r="S1474" s="22">
        <f>'Activity data'!AL58*ManureNEF*NtoN2O*kgtoGg</f>
        <v>7.509211214865451E-3</v>
      </c>
      <c r="T1474" s="22">
        <f>'Activity data'!AM58*ManureNEF*NtoN2O*kgtoGg</f>
        <v>7.5307669987204583E-3</v>
      </c>
      <c r="U1474" s="22">
        <f>'Activity data'!AN58*ManureNEF*NtoN2O*kgtoGg</f>
        <v>7.5540126929522231E-3</v>
      </c>
      <c r="V1474" s="22">
        <f>'Activity data'!AO58*ManureNEF*NtoN2O*kgtoGg</f>
        <v>7.5792072480240892E-3</v>
      </c>
      <c r="W1474" s="22">
        <f>'Activity data'!AP58*ManureNEF*NtoN2O*kgtoGg</f>
        <v>7.6065371736612122E-3</v>
      </c>
      <c r="X1474" s="22">
        <f>'Activity data'!AQ58*ManureNEF*NtoN2O*kgtoGg</f>
        <v>7.6363701343967012E-3</v>
      </c>
      <c r="Y1474" s="22">
        <f>'Activity data'!AR58*ManureNEF*NtoN2O*kgtoGg</f>
        <v>7.6555716504049104E-3</v>
      </c>
      <c r="Z1474" s="22">
        <f>'Activity data'!AS58*ManureNEF*NtoN2O*kgtoGg</f>
        <v>7.6765259853692923E-3</v>
      </c>
      <c r="AA1474" s="22">
        <f>'Activity data'!AT58*ManureNEF*NtoN2O*kgtoGg</f>
        <v>7.6987119024127136E-3</v>
      </c>
      <c r="AB1474" s="22">
        <f>'Activity data'!AU58*ManureNEF*NtoN2O*kgtoGg</f>
        <v>7.7226338019690602E-3</v>
      </c>
      <c r="AC1474" s="22">
        <f>'Activity data'!AV58*ManureNEF*NtoN2O*kgtoGg</f>
        <v>7.7482997485057862E-3</v>
      </c>
      <c r="AD1474" s="22">
        <f>'Activity data'!AW58*ManureNEF*NtoN2O*kgtoGg</f>
        <v>7.7651933997685552E-3</v>
      </c>
      <c r="AE1474" s="22">
        <f>'Activity data'!AX58*ManureNEF*NtoN2O*kgtoGg</f>
        <v>7.7834037435669879E-3</v>
      </c>
      <c r="AF1474" s="22">
        <f>'Activity data'!AY58*ManureNEF*NtoN2O*kgtoGg</f>
        <v>7.802817413015653E-3</v>
      </c>
      <c r="AG1474" s="22">
        <f>'Activity data'!AZ58*ManureNEF*NtoN2O*kgtoGg</f>
        <v>7.8236526131203795E-3</v>
      </c>
      <c r="AH1474" s="22">
        <f>'Activity data'!BA58*ManureNEF*NtoN2O*kgtoGg</f>
        <v>7.8451669042542294E-3</v>
      </c>
      <c r="AI1474" s="22">
        <f>'Activity data'!BB58*ManureNEF*NtoN2O*kgtoGg</f>
        <v>7.8585039220798909E-3</v>
      </c>
      <c r="AJ1474" s="22">
        <f>'Activity data'!BC58*ManureNEF*NtoN2O*kgtoGg</f>
        <v>7.8728299564684995E-3</v>
      </c>
      <c r="AK1474" s="22">
        <f>'Activity data'!BD58*ManureNEF*NtoN2O*kgtoGg</f>
        <v>7.8879188408277207E-3</v>
      </c>
      <c r="AL1474" s="22">
        <f>'Activity data'!BE58*ManureNEF*NtoN2O*kgtoGg</f>
        <v>7.9038640214346874E-3</v>
      </c>
      <c r="AM1474" s="22">
        <f>'Activity data'!BF58*ManureNEF*NtoN2O*kgtoGg</f>
        <v>7.9207498637461782E-3</v>
      </c>
      <c r="AN1474" s="22">
        <f>'Activity data'!BG58*ManureNEF*NtoN2O*kgtoGg</f>
        <v>7.9299570033797458E-3</v>
      </c>
      <c r="AO1474" s="22">
        <f>'Activity data'!BH58*ManureNEF*NtoN2O*kgtoGg</f>
        <v>7.9397231588042138E-3</v>
      </c>
      <c r="AP1474" s="22">
        <f>'Activity data'!BI58*ManureNEF*NtoN2O*kgtoGg</f>
        <v>7.9502533101027516E-3</v>
      </c>
      <c r="AQ1474" s="22">
        <f>'Activity data'!BJ58*ManureNEF*NtoN2O*kgtoGg</f>
        <v>7.9615278668621423E-3</v>
      </c>
      <c r="AR1474" s="22">
        <f>'Activity data'!BK58*ManureNEF*NtoN2O*kgtoGg</f>
        <v>7.9736901552170548E-3</v>
      </c>
      <c r="AS1474" s="22">
        <f>'Activity data'!BL58*ManureNEF*NtoN2O*kgtoGg</f>
        <v>7.9779384467945549E-3</v>
      </c>
      <c r="AT1474" s="22">
        <f>'Activity data'!BM58*ManureNEF*NtoN2O*kgtoGg</f>
        <v>7.9812454824287754E-3</v>
      </c>
      <c r="AU1474" s="22">
        <f>'Activity data'!BN58*ManureNEF*NtoN2O*kgtoGg</f>
        <v>7.9850348723730785E-3</v>
      </c>
      <c r="AV1474" s="22">
        <f>'Activity data'!BO58*ManureNEF*NtoN2O*kgtoGg</f>
        <v>7.9896072385955193E-3</v>
      </c>
      <c r="AW1474" s="22">
        <f>'Activity data'!BP58*ManureNEF*NtoN2O*kgtoGg</f>
        <v>7.9946414377677251E-3</v>
      </c>
    </row>
    <row r="1475" spans="1:49" x14ac:dyDescent="0.25">
      <c r="A1475" s="102" t="s">
        <v>961</v>
      </c>
      <c r="B1475" s="102"/>
      <c r="C1475" s="102"/>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8.7025704097551199E-2</v>
      </c>
      <c r="L1475" s="22">
        <f>'Activity data'!AE59*ManureNEF*NtoN2O*kgtoGg</f>
        <v>8.7251898372437478E-2</v>
      </c>
      <c r="M1475" s="22">
        <f>'Activity data'!AF59*ManureNEF*NtoN2O*kgtoGg</f>
        <v>8.7556925762935861E-2</v>
      </c>
      <c r="N1475" s="22">
        <f>'Activity data'!AG59*ManureNEF*NtoN2O*kgtoGg</f>
        <v>8.7928441380499503E-2</v>
      </c>
      <c r="O1475" s="22">
        <f>'Activity data'!AH59*ManureNEF*NtoN2O*kgtoGg</f>
        <v>8.8373427470433044E-2</v>
      </c>
      <c r="P1475" s="22">
        <f>'Activity data'!AI59*ManureNEF*NtoN2O*kgtoGg</f>
        <v>8.8899503758033641E-2</v>
      </c>
      <c r="Q1475" s="22">
        <f>'Activity data'!AJ59*ManureNEF*NtoN2O*kgtoGg</f>
        <v>8.9457040798499768E-2</v>
      </c>
      <c r="R1475" s="22">
        <f>'Activity data'!AK59*ManureNEF*NtoN2O*kgtoGg</f>
        <v>9.0039514961794118E-2</v>
      </c>
      <c r="S1475" s="22">
        <f>'Activity data'!AL59*ManureNEF*NtoN2O*kgtoGg</f>
        <v>9.0606588541648075E-2</v>
      </c>
      <c r="T1475" s="22">
        <f>'Activity data'!AM59*ManureNEF*NtoN2O*kgtoGg</f>
        <v>9.0866681909987077E-2</v>
      </c>
      <c r="U1475" s="22">
        <f>'Activity data'!AN59*ManureNEF*NtoN2O*kgtoGg</f>
        <v>9.1147165837307267E-2</v>
      </c>
      <c r="V1475" s="22">
        <f>'Activity data'!AO59*ManureNEF*NtoN2O*kgtoGg</f>
        <v>9.1451164835280221E-2</v>
      </c>
      <c r="W1475" s="22">
        <f>'Activity data'!AP59*ManureNEF*NtoN2O*kgtoGg</f>
        <v>9.1780929341327769E-2</v>
      </c>
      <c r="X1475" s="22">
        <f>'Activity data'!AQ59*ManureNEF*NtoN2O*kgtoGg</f>
        <v>9.2140895617544447E-2</v>
      </c>
      <c r="Y1475" s="22">
        <f>'Activity data'!AR59*ManureNEF*NtoN2O*kgtoGg</f>
        <v>9.2372582250207988E-2</v>
      </c>
      <c r="Z1475" s="22">
        <f>'Activity data'!AS59*ManureNEF*NtoN2O*kgtoGg</f>
        <v>9.2625418500508608E-2</v>
      </c>
      <c r="AA1475" s="22">
        <f>'Activity data'!AT59*ManureNEF*NtoN2O*kgtoGg</f>
        <v>9.2893115093326858E-2</v>
      </c>
      <c r="AB1475" s="22">
        <f>'Activity data'!AU59*ManureNEF*NtoN2O*kgtoGg</f>
        <v>9.3181758154257929E-2</v>
      </c>
      <c r="AC1475" s="22">
        <f>'Activity data'!AV59*ManureNEF*NtoN2O*kgtoGg</f>
        <v>9.3491444989645012E-2</v>
      </c>
      <c r="AD1475" s="22">
        <f>'Activity data'!AW59*ManureNEF*NtoN2O*kgtoGg</f>
        <v>9.3695284789210367E-2</v>
      </c>
      <c r="AE1475" s="22">
        <f>'Activity data'!AX59*ManureNEF*NtoN2O*kgtoGg</f>
        <v>9.3915011879118299E-2</v>
      </c>
      <c r="AF1475" s="22">
        <f>'Activity data'!AY59*ManureNEF*NtoN2O*kgtoGg</f>
        <v>9.4149258367795627E-2</v>
      </c>
      <c r="AG1475" s="22">
        <f>'Activity data'!AZ59*ManureNEF*NtoN2O*kgtoGg</f>
        <v>9.4400657129803389E-2</v>
      </c>
      <c r="AH1475" s="22">
        <f>'Activity data'!BA59*ManureNEF*NtoN2O*kgtoGg</f>
        <v>9.4660249844504385E-2</v>
      </c>
      <c r="AI1475" s="22">
        <f>'Activity data'!BB59*ManureNEF*NtoN2O*kgtoGg</f>
        <v>9.4821175093764906E-2</v>
      </c>
      <c r="AJ1475" s="22">
        <f>'Activity data'!BC59*ManureNEF*NtoN2O*kgtoGg</f>
        <v>9.4994033875618389E-2</v>
      </c>
      <c r="AK1475" s="22">
        <f>'Activity data'!BD59*ManureNEF*NtoN2O*kgtoGg</f>
        <v>9.5176097250528169E-2</v>
      </c>
      <c r="AL1475" s="22">
        <f>'Activity data'!BE59*ManureNEF*NtoN2O*kgtoGg</f>
        <v>9.5368492746824421E-2</v>
      </c>
      <c r="AM1475" s="22">
        <f>'Activity data'!BF59*ManureNEF*NtoN2O*kgtoGg</f>
        <v>9.5572238323119812E-2</v>
      </c>
      <c r="AN1475" s="22">
        <f>'Activity data'!BG59*ManureNEF*NtoN2O*kgtoGg</f>
        <v>9.5683332216812994E-2</v>
      </c>
      <c r="AO1475" s="22">
        <f>'Activity data'!BH59*ManureNEF*NtoN2O*kgtoGg</f>
        <v>9.5801171228242971E-2</v>
      </c>
      <c r="AP1475" s="22">
        <f>'Activity data'!BI59*ManureNEF*NtoN2O*kgtoGg</f>
        <v>9.5928228659268394E-2</v>
      </c>
      <c r="AQ1475" s="22">
        <f>'Activity data'!BJ59*ManureNEF*NtoN2O*kgtoGg</f>
        <v>9.6064268130799754E-2</v>
      </c>
      <c r="AR1475" s="22">
        <f>'Activity data'!BK59*ManureNEF*NtoN2O*kgtoGg</f>
        <v>9.6211019024491043E-2</v>
      </c>
      <c r="AS1475" s="22">
        <f>'Activity data'!BL59*ManureNEF*NtoN2O*kgtoGg</f>
        <v>9.6262279163000078E-2</v>
      </c>
      <c r="AT1475" s="22">
        <f>'Activity data'!BM59*ManureNEF*NtoN2O*kgtoGg</f>
        <v>9.6302182051389879E-2</v>
      </c>
      <c r="AU1475" s="22">
        <f>'Activity data'!BN59*ManureNEF*NtoN2O*kgtoGg</f>
        <v>9.634790505553549E-2</v>
      </c>
      <c r="AV1475" s="22">
        <f>'Activity data'!BO59*ManureNEF*NtoN2O*kgtoGg</f>
        <v>9.6403075497959345E-2</v>
      </c>
      <c r="AW1475" s="22">
        <f>'Activity data'!BP59*ManureNEF*NtoN2O*kgtoGg</f>
        <v>9.6463818444186472E-2</v>
      </c>
    </row>
    <row r="1476" spans="1:49" x14ac:dyDescent="0.25">
      <c r="A1476" s="102" t="s">
        <v>961</v>
      </c>
      <c r="B1476" s="102"/>
      <c r="C1476" s="102"/>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102" t="s">
        <v>961</v>
      </c>
      <c r="B1477" s="102"/>
      <c r="C1477" s="102"/>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102" t="s">
        <v>961</v>
      </c>
      <c r="B1478" s="102"/>
      <c r="C1478" s="102"/>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0.12512489027733434</v>
      </c>
      <c r="L1478" s="22">
        <f>'Activity data'!AE62*ManureNEF*NtoN2O*kgtoGg</f>
        <v>0.1249037465490002</v>
      </c>
      <c r="M1478" s="22">
        <f>'Activity data'!AF62*ManureNEF*NtoN2O*kgtoGg</f>
        <v>0.12420297117813216</v>
      </c>
      <c r="N1478" s="22">
        <f>'Activity data'!AG62*ManureNEF*NtoN2O*kgtoGg</f>
        <v>0.12146227380625023</v>
      </c>
      <c r="O1478" s="22">
        <f>'Activity data'!AH62*ManureNEF*NtoN2O*kgtoGg</f>
        <v>0.11887050141065171</v>
      </c>
      <c r="P1478" s="22">
        <f>'Activity data'!AI62*ManureNEF*NtoN2O*kgtoGg</f>
        <v>0.11845218382715161</v>
      </c>
      <c r="Q1478" s="22">
        <f>'Activity data'!AJ62*ManureNEF*NtoN2O*kgtoGg</f>
        <v>0.11743671165425351</v>
      </c>
      <c r="R1478" s="22">
        <f>'Activity data'!AK62*ManureNEF*NtoN2O*kgtoGg</f>
        <v>0.11430912679136991</v>
      </c>
      <c r="S1478" s="22">
        <f>'Activity data'!AL62*ManureNEF*NtoN2O*kgtoGg</f>
        <v>0.1019584522188007</v>
      </c>
      <c r="T1478" s="22">
        <f>'Activity data'!AM62*ManureNEF*NtoN2O*kgtoGg</f>
        <v>0.10415164096850968</v>
      </c>
      <c r="U1478" s="22">
        <f>'Activity data'!AN62*ManureNEF*NtoN2O*kgtoGg</f>
        <v>0.10516156472619907</v>
      </c>
      <c r="V1478" s="22">
        <f>'Activity data'!AO62*ManureNEF*NtoN2O*kgtoGg</f>
        <v>0.10589710072304019</v>
      </c>
      <c r="W1478" s="22">
        <f>'Activity data'!AP62*ManureNEF*NtoN2O*kgtoGg</f>
        <v>0.10702634667209501</v>
      </c>
      <c r="X1478" s="22">
        <f>'Activity data'!AQ62*ManureNEF*NtoN2O*kgtoGg</f>
        <v>0.10953406099380125</v>
      </c>
      <c r="Y1478" s="22">
        <f>'Activity data'!AR62*ManureNEF*NtoN2O*kgtoGg</f>
        <v>0.11235635375154626</v>
      </c>
      <c r="Z1478" s="22">
        <f>'Activity data'!AS62*ManureNEF*NtoN2O*kgtoGg</f>
        <v>0.11546203967262161</v>
      </c>
      <c r="AA1478" s="22">
        <f>'Activity data'!AT62*ManureNEF*NtoN2O*kgtoGg</f>
        <v>0.11794547104868178</v>
      </c>
      <c r="AB1478" s="22">
        <f>'Activity data'!AU62*ManureNEF*NtoN2O*kgtoGg</f>
        <v>0.12098722785949015</v>
      </c>
      <c r="AC1478" s="22">
        <f>'Activity data'!AV62*ManureNEF*NtoN2O*kgtoGg</f>
        <v>0.12470963867892285</v>
      </c>
      <c r="AD1478" s="22">
        <f>'Activity data'!AW62*ManureNEF*NtoN2O*kgtoGg</f>
        <v>0.12823307755990843</v>
      </c>
      <c r="AE1478" s="22">
        <f>'Activity data'!AX62*ManureNEF*NtoN2O*kgtoGg</f>
        <v>0.13190019989335749</v>
      </c>
      <c r="AF1478" s="22">
        <f>'Activity data'!AY62*ManureNEF*NtoN2O*kgtoGg</f>
        <v>0.13558882448809464</v>
      </c>
      <c r="AG1478" s="22">
        <f>'Activity data'!AZ62*ManureNEF*NtoN2O*kgtoGg</f>
        <v>0.139795617096279</v>
      </c>
      <c r="AH1478" s="22">
        <f>'Activity data'!BA62*ManureNEF*NtoN2O*kgtoGg</f>
        <v>0.14320619245252167</v>
      </c>
      <c r="AI1478" s="22">
        <f>'Activity data'!BB62*ManureNEF*NtoN2O*kgtoGg</f>
        <v>0.14686073920515186</v>
      </c>
      <c r="AJ1478" s="22">
        <f>'Activity data'!BC62*ManureNEF*NtoN2O*kgtoGg</f>
        <v>0.15051597642167761</v>
      </c>
      <c r="AK1478" s="22">
        <f>'Activity data'!BD62*ManureNEF*NtoN2O*kgtoGg</f>
        <v>0.15383345031493795</v>
      </c>
      <c r="AL1478" s="22">
        <f>'Activity data'!BE62*ManureNEF*NtoN2O*kgtoGg</f>
        <v>0.15704803055416769</v>
      </c>
      <c r="AM1478" s="22">
        <f>'Activity data'!BF62*ManureNEF*NtoN2O*kgtoGg</f>
        <v>0.16036221209585783</v>
      </c>
      <c r="AN1478" s="22">
        <f>'Activity data'!BG62*ManureNEF*NtoN2O*kgtoGg</f>
        <v>0.16386598018742685</v>
      </c>
      <c r="AO1478" s="22">
        <f>'Activity data'!BH62*ManureNEF*NtoN2O*kgtoGg</f>
        <v>0.16694649307070639</v>
      </c>
      <c r="AP1478" s="22">
        <f>'Activity data'!BI62*ManureNEF*NtoN2O*kgtoGg</f>
        <v>0.17000456077892223</v>
      </c>
      <c r="AQ1478" s="22">
        <f>'Activity data'!BJ62*ManureNEF*NtoN2O*kgtoGg</f>
        <v>0.17304831428445985</v>
      </c>
      <c r="AR1478" s="22">
        <f>'Activity data'!BK62*ManureNEF*NtoN2O*kgtoGg</f>
        <v>0.17634648819223331</v>
      </c>
      <c r="AS1478" s="22">
        <f>'Activity data'!BL62*ManureNEF*NtoN2O*kgtoGg</f>
        <v>0.17969250919958218</v>
      </c>
      <c r="AT1478" s="22">
        <f>'Activity data'!BM62*ManureNEF*NtoN2O*kgtoGg</f>
        <v>0.18047485756179946</v>
      </c>
      <c r="AU1478" s="22">
        <f>'Activity data'!BN62*ManureNEF*NtoN2O*kgtoGg</f>
        <v>0.18104197572914582</v>
      </c>
      <c r="AV1478" s="22">
        <f>'Activity data'!BO62*ManureNEF*NtoN2O*kgtoGg</f>
        <v>0.18189334709867436</v>
      </c>
      <c r="AW1478" s="22">
        <f>'Activity data'!BP62*ManureNEF*NtoN2O*kgtoGg</f>
        <v>0.18255809913012605</v>
      </c>
    </row>
    <row r="1479" spans="1:49" x14ac:dyDescent="0.25">
      <c r="A1479" s="102" t="s">
        <v>961</v>
      </c>
      <c r="B1479" s="102"/>
      <c r="C1479" s="102"/>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3.1744662482237319E-2</v>
      </c>
      <c r="L1479" s="22">
        <f>'Activity data'!AE63*ManureNEF*NtoN2O*kgtoGg</f>
        <v>3.1688557473869519E-2</v>
      </c>
      <c r="M1479" s="22">
        <f>'Activity data'!AF63*ManureNEF*NtoN2O*kgtoGg</f>
        <v>3.151076808620442E-2</v>
      </c>
      <c r="N1479" s="22">
        <f>'Activity data'!AG63*ManureNEF*NtoN2O*kgtoGg</f>
        <v>3.0815442696959246E-2</v>
      </c>
      <c r="O1479" s="22">
        <f>'Activity data'!AH63*ManureNEF*NtoN2O*kgtoGg</f>
        <v>3.0157900142902292E-2</v>
      </c>
      <c r="P1479" s="22">
        <f>'Activity data'!AI63*ManureNEF*NtoN2O*kgtoGg</f>
        <v>3.0051771374524052E-2</v>
      </c>
      <c r="Q1479" s="22">
        <f>'Activity data'!AJ63*ManureNEF*NtoN2O*kgtoGg</f>
        <v>2.9794142206440031E-2</v>
      </c>
      <c r="R1479" s="22">
        <f>'Activity data'!AK63*ManureNEF*NtoN2O*kgtoGg</f>
        <v>2.9000661983306687E-2</v>
      </c>
      <c r="S1479" s="22">
        <f>'Activity data'!AL63*ManureNEF*NtoN2O*kgtoGg</f>
        <v>2.5867248680284741E-2</v>
      </c>
      <c r="T1479" s="22">
        <f>'Activity data'!AM63*ManureNEF*NtoN2O*kgtoGg</f>
        <v>2.6423669041293948E-2</v>
      </c>
      <c r="U1479" s="22">
        <f>'Activity data'!AN63*ManureNEF*NtoN2O*kgtoGg</f>
        <v>2.6679890555251589E-2</v>
      </c>
      <c r="V1479" s="22">
        <f>'Activity data'!AO63*ManureNEF*NtoN2O*kgtoGg</f>
        <v>2.6866498846467711E-2</v>
      </c>
      <c r="W1479" s="22">
        <f>'Activity data'!AP63*ManureNEF*NtoN2O*kgtoGg</f>
        <v>2.7152992856034661E-2</v>
      </c>
      <c r="X1479" s="22">
        <f>'Activity data'!AQ63*ManureNEF*NtoN2O*kgtoGg</f>
        <v>2.7789209555749587E-2</v>
      </c>
      <c r="Y1479" s="22">
        <f>'Activity data'!AR63*ManureNEF*NtoN2O*kgtoGg</f>
        <v>2.8505236005979432E-2</v>
      </c>
      <c r="Z1479" s="22">
        <f>'Activity data'!AS63*ManureNEF*NtoN2O*kgtoGg</f>
        <v>2.9293160383949742E-2</v>
      </c>
      <c r="AA1479" s="22">
        <f>'Activity data'!AT63*ManureNEF*NtoN2O*kgtoGg</f>
        <v>2.9923216407624114E-2</v>
      </c>
      <c r="AB1479" s="22">
        <f>'Activity data'!AU63*ManureNEF*NtoN2O*kgtoGg</f>
        <v>3.0694921726191319E-2</v>
      </c>
      <c r="AC1479" s="22">
        <f>'Activity data'!AV63*ManureNEF*NtoN2O*kgtoGg</f>
        <v>3.1639311565984256E-2</v>
      </c>
      <c r="AD1479" s="22">
        <f>'Activity data'!AW63*ManureNEF*NtoN2O*kgtoGg</f>
        <v>3.2533221465171916E-2</v>
      </c>
      <c r="AE1479" s="22">
        <f>'Activity data'!AX63*ManureNEF*NtoN2O*kgtoGg</f>
        <v>3.3463584404938677E-2</v>
      </c>
      <c r="AF1479" s="22">
        <f>'Activity data'!AY63*ManureNEF*NtoN2O*kgtoGg</f>
        <v>3.4399402550505692E-2</v>
      </c>
      <c r="AG1479" s="22">
        <f>'Activity data'!AZ63*ManureNEF*NtoN2O*kgtoGg</f>
        <v>3.5466681899830918E-2</v>
      </c>
      <c r="AH1479" s="22">
        <f>'Activity data'!BA63*ManureNEF*NtoN2O*kgtoGg</f>
        <v>3.633195789179533E-2</v>
      </c>
      <c r="AI1479" s="22">
        <f>'Activity data'!BB63*ManureNEF*NtoN2O*kgtoGg</f>
        <v>3.7259130358685527E-2</v>
      </c>
      <c r="AJ1479" s="22">
        <f>'Activity data'!BC63*ManureNEF*NtoN2O*kgtoGg</f>
        <v>3.8186477998902742E-2</v>
      </c>
      <c r="AK1479" s="22">
        <f>'Activity data'!BD63*ManureNEF*NtoN2O*kgtoGg</f>
        <v>3.9028133794178674E-2</v>
      </c>
      <c r="AL1479" s="22">
        <f>'Activity data'!BE63*ManureNEF*NtoN2O*kgtoGg</f>
        <v>3.984368507650337E-2</v>
      </c>
      <c r="AM1479" s="22">
        <f>'Activity data'!BF63*ManureNEF*NtoN2O*kgtoGg</f>
        <v>4.0684505589613319E-2</v>
      </c>
      <c r="AN1479" s="22">
        <f>'Activity data'!BG63*ManureNEF*NtoN2O*kgtoGg</f>
        <v>4.1573424934408458E-2</v>
      </c>
      <c r="AO1479" s="22">
        <f>'Activity data'!BH63*ManureNEF*NtoN2O*kgtoGg</f>
        <v>4.2354962816560815E-2</v>
      </c>
      <c r="AP1479" s="22">
        <f>'Activity data'!BI63*ManureNEF*NtoN2O*kgtoGg</f>
        <v>4.3130806272087305E-2</v>
      </c>
      <c r="AQ1479" s="22">
        <f>'Activity data'!BJ63*ManureNEF*NtoN2O*kgtoGg</f>
        <v>4.3903018159732181E-2</v>
      </c>
      <c r="AR1479" s="22">
        <f>'Activity data'!BK63*ManureNEF*NtoN2O*kgtoGg</f>
        <v>4.4739777474988543E-2</v>
      </c>
      <c r="AS1479" s="22">
        <f>'Activity data'!BL63*ManureNEF*NtoN2O*kgtoGg</f>
        <v>4.5588675782122633E-2</v>
      </c>
      <c r="AT1479" s="22">
        <f>'Activity data'!BM63*ManureNEF*NtoN2O*kgtoGg</f>
        <v>4.5787160549198715E-2</v>
      </c>
      <c r="AU1479" s="22">
        <f>'Activity data'!BN63*ManureNEF*NtoN2O*kgtoGg</f>
        <v>4.5931040593928836E-2</v>
      </c>
      <c r="AV1479" s="22">
        <f>'Activity data'!BO63*ManureNEF*NtoN2O*kgtoGg</f>
        <v>4.6147036761540416E-2</v>
      </c>
      <c r="AW1479" s="22">
        <f>'Activity data'!BP63*ManureNEF*NtoN2O*kgtoGg</f>
        <v>4.6315686890432001E-2</v>
      </c>
    </row>
    <row r="1480" spans="1:49" x14ac:dyDescent="0.25">
      <c r="A1480" s="102" t="s">
        <v>961</v>
      </c>
      <c r="B1480" s="102"/>
      <c r="C1480" s="102"/>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0.1574619566019842</v>
      </c>
      <c r="L1480" s="22">
        <f>'Activity data'!AE64*ManureNEF*NtoN2O*kgtoGg</f>
        <v>0.16100119532971174</v>
      </c>
      <c r="M1480" s="22">
        <f>'Activity data'!AF64*ManureNEF*NtoN2O*kgtoGg</f>
        <v>0.16420239799096348</v>
      </c>
      <c r="N1480" s="22">
        <f>'Activity data'!AG64*ManureNEF*NtoN2O*kgtoGg</f>
        <v>0.16585503975435448</v>
      </c>
      <c r="O1480" s="22">
        <f>'Activity data'!AH64*ManureNEF*NtoN2O*kgtoGg</f>
        <v>0.16755324219146345</v>
      </c>
      <c r="P1480" s="22">
        <f>'Activity data'!AI64*ManureNEF*NtoN2O*kgtoGg</f>
        <v>0.1709343585165998</v>
      </c>
      <c r="Q1480" s="22">
        <f>'Activity data'!AJ64*ManureNEF*NtoN2O*kgtoGg</f>
        <v>0.17382552357996145</v>
      </c>
      <c r="R1480" s="22">
        <f>'Activity data'!AK64*ManureNEF*NtoN2O*kgtoGg</f>
        <v>0.17492293808026785</v>
      </c>
      <c r="S1480" s="22">
        <f>'Activity data'!AL64*ManureNEF*NtoN2O*kgtoGg</f>
        <v>0.16797595240358967</v>
      </c>
      <c r="T1480" s="22">
        <f>'Activity data'!AM64*ManureNEF*NtoN2O*kgtoGg</f>
        <v>0.17297492730025818</v>
      </c>
      <c r="U1480" s="22">
        <f>'Activity data'!AN64*ManureNEF*NtoN2O*kgtoGg</f>
        <v>0.17701513008922104</v>
      </c>
      <c r="V1480" s="22">
        <f>'Activity data'!AO64*ManureNEF*NtoN2O*kgtoGg</f>
        <v>0.18086520723507568</v>
      </c>
      <c r="W1480" s="22">
        <f>'Activity data'!AP64*ManureNEF*NtoN2O*kgtoGg</f>
        <v>0.18514026922037843</v>
      </c>
      <c r="X1480" s="22">
        <f>'Activity data'!AQ64*ManureNEF*NtoN2O*kgtoGg</f>
        <v>0.19081502616241675</v>
      </c>
      <c r="Y1480" s="22">
        <f>'Activity data'!AR64*ManureNEF*NtoN2O*kgtoGg</f>
        <v>0.19677527630059505</v>
      </c>
      <c r="Z1480" s="22">
        <f>'Activity data'!AS64*ManureNEF*NtoN2O*kgtoGg</f>
        <v>0.20316424040233105</v>
      </c>
      <c r="AA1480" s="22">
        <f>'Activity data'!AT64*ManureNEF*NtoN2O*kgtoGg</f>
        <v>0.2090740458335611</v>
      </c>
      <c r="AB1480" s="22">
        <f>'Activity data'!AU64*ManureNEF*NtoN2O*kgtoGg</f>
        <v>0.21570429527296558</v>
      </c>
      <c r="AC1480" s="22">
        <f>'Activity data'!AV64*ManureNEF*NtoN2O*kgtoGg</f>
        <v>0.22322461413005179</v>
      </c>
      <c r="AD1480" s="22">
        <f>'Activity data'!AW64*ManureNEF*NtoN2O*kgtoGg</f>
        <v>0.23059574512274245</v>
      </c>
      <c r="AE1480" s="22">
        <f>'Activity data'!AX64*ManureNEF*NtoN2O*kgtoGg</f>
        <v>0.23831574484289472</v>
      </c>
      <c r="AF1480" s="22">
        <f>'Activity data'!AY64*ManureNEF*NtoN2O*kgtoGg</f>
        <v>0.24625980781200643</v>
      </c>
      <c r="AG1480" s="22">
        <f>'Activity data'!AZ64*ManureNEF*NtoN2O*kgtoGg</f>
        <v>0.25500800669627088</v>
      </c>
      <c r="AH1480" s="22">
        <f>'Activity data'!BA64*ManureNEF*NtoN2O*kgtoGg</f>
        <v>0.26305100817364307</v>
      </c>
      <c r="AI1480" s="22">
        <f>'Activity data'!BB64*ManureNEF*NtoN2O*kgtoGg</f>
        <v>0.27146542700983761</v>
      </c>
      <c r="AJ1480" s="22">
        <f>'Activity data'!BC64*ManureNEF*NtoN2O*kgtoGg</f>
        <v>0.28009700813609817</v>
      </c>
      <c r="AK1480" s="22">
        <f>'Activity data'!BD64*ManureNEF*NtoN2O*kgtoGg</f>
        <v>0.28852863408778395</v>
      </c>
      <c r="AL1480" s="22">
        <f>'Activity data'!BE64*ManureNEF*NtoN2O*kgtoGg</f>
        <v>0.29704040587124897</v>
      </c>
      <c r="AM1480" s="22">
        <f>'Activity data'!BF64*ManureNEF*NtoN2O*kgtoGg</f>
        <v>0.30589267500220069</v>
      </c>
      <c r="AN1480" s="22">
        <f>'Activity data'!BG64*ManureNEF*NtoN2O*kgtoGg</f>
        <v>0.31509949249948005</v>
      </c>
      <c r="AO1480" s="22">
        <f>'Activity data'!BH64*ManureNEF*NtoN2O*kgtoGg</f>
        <v>0.32397232132243609</v>
      </c>
      <c r="AP1480" s="22">
        <f>'Activity data'!BI64*ManureNEF*NtoN2O*kgtoGg</f>
        <v>0.33303470425340953</v>
      </c>
      <c r="AQ1480" s="22">
        <f>'Activity data'!BJ64*ManureNEF*NtoN2O*kgtoGg</f>
        <v>0.34230228220604159</v>
      </c>
      <c r="AR1480" s="22">
        <f>'Activity data'!BK64*ManureNEF*NtoN2O*kgtoGg</f>
        <v>0.35216230168979662</v>
      </c>
      <c r="AS1480" s="22">
        <f>'Activity data'!BL64*ManureNEF*NtoN2O*kgtoGg</f>
        <v>0.36222138179977098</v>
      </c>
      <c r="AT1480" s="22">
        <f>'Activity data'!BM64*ManureNEF*NtoN2O*kgtoGg</f>
        <v>0.36875743363549901</v>
      </c>
      <c r="AU1480" s="22">
        <f>'Activity data'!BN64*ManureNEF*NtoN2O*kgtoGg</f>
        <v>0.37509652822170919</v>
      </c>
      <c r="AV1480" s="22">
        <f>'Activity data'!BO64*ManureNEF*NtoN2O*kgtoGg</f>
        <v>0.38198920884211868</v>
      </c>
      <c r="AW1480" s="22">
        <f>'Activity data'!BP64*ManureNEF*NtoN2O*kgtoGg</f>
        <v>0.3887297225488785</v>
      </c>
    </row>
    <row r="1481" spans="1:49" x14ac:dyDescent="0.25">
      <c r="A1481" s="102" t="s">
        <v>961</v>
      </c>
      <c r="B1481" s="102"/>
      <c r="C1481" s="102"/>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0.79145317534147697</v>
      </c>
      <c r="L1481" s="22">
        <f>'Activity data'!AE65*ManureNEF*NtoN2O*kgtoGg</f>
        <v>0.80614249446586472</v>
      </c>
      <c r="M1481" s="22">
        <f>'Activity data'!AF65*ManureNEF*NtoN2O*kgtoGg</f>
        <v>0.81576351649757217</v>
      </c>
      <c r="N1481" s="22">
        <f>'Activity data'!AG65*ManureNEF*NtoN2O*kgtoGg</f>
        <v>0.8051815142548906</v>
      </c>
      <c r="O1481" s="22">
        <f>'Activity data'!AH65*ManureNEF*NtoN2O*kgtoGg</f>
        <v>0.79491912717906921</v>
      </c>
      <c r="P1481" s="22">
        <f>'Activity data'!AI65*ManureNEF*NtoN2O*kgtoGg</f>
        <v>0.8050882404927846</v>
      </c>
      <c r="Q1481" s="22">
        <f>'Activity data'!AJ65*ManureNEF*NtoN2O*kgtoGg</f>
        <v>0.80900668851215218</v>
      </c>
      <c r="R1481" s="22">
        <f>'Activity data'!AK65*ManureNEF*NtoN2O*kgtoGg</f>
        <v>0.79104206342465233</v>
      </c>
      <c r="S1481" s="22">
        <f>'Activity data'!AL65*ManureNEF*NtoN2O*kgtoGg</f>
        <v>0.67708002243474696</v>
      </c>
      <c r="T1481" s="22">
        <f>'Activity data'!AM65*ManureNEF*NtoN2O*kgtoGg</f>
        <v>0.71326971422678453</v>
      </c>
      <c r="U1481" s="22">
        <f>'Activity data'!AN65*ManureNEF*NtoN2O*kgtoGg</f>
        <v>0.73749777615328771</v>
      </c>
      <c r="V1481" s="22">
        <f>'Activity data'!AO65*ManureNEF*NtoN2O*kgtoGg</f>
        <v>0.75903343240977361</v>
      </c>
      <c r="W1481" s="22">
        <f>'Activity data'!AP65*ManureNEF*NtoN2O*kgtoGg</f>
        <v>0.78503971816941975</v>
      </c>
      <c r="X1481" s="22">
        <f>'Activity data'!AQ65*ManureNEF*NtoN2O*kgtoGg</f>
        <v>0.8265450745172781</v>
      </c>
      <c r="Y1481" s="22">
        <f>'Activity data'!AR65*ManureNEF*NtoN2O*kgtoGg</f>
        <v>0.87296422483256353</v>
      </c>
      <c r="Z1481" s="22">
        <f>'Activity data'!AS65*ManureNEF*NtoN2O*kgtoGg</f>
        <v>0.92344360360977484</v>
      </c>
      <c r="AA1481" s="22">
        <f>'Activity data'!AT65*ManureNEF*NtoN2O*kgtoGg</f>
        <v>0.9677689116158269</v>
      </c>
      <c r="AB1481" s="22">
        <f>'Activity data'!AU65*ManureNEF*NtoN2O*kgtoGg</f>
        <v>1.0193755598811634</v>
      </c>
      <c r="AC1481" s="22">
        <f>'Activity data'!AV65*ManureNEF*NtoN2O*kgtoGg</f>
        <v>1.0799736712957677</v>
      </c>
      <c r="AD1481" s="22">
        <f>'Activity data'!AW65*ManureNEF*NtoN2O*kgtoGg</f>
        <v>1.1399677250662128</v>
      </c>
      <c r="AE1481" s="22">
        <f>'Activity data'!AX65*ManureNEF*NtoN2O*kgtoGg</f>
        <v>1.2028979209953241</v>
      </c>
      <c r="AF1481" s="22">
        <f>'Activity data'!AY65*ManureNEF*NtoN2O*kgtoGg</f>
        <v>1.2673719800644652</v>
      </c>
      <c r="AG1481" s="22">
        <f>'Activity data'!AZ65*ManureNEF*NtoN2O*kgtoGg</f>
        <v>1.3395677079848545</v>
      </c>
      <c r="AH1481" s="22">
        <f>'Activity data'!BA65*ManureNEF*NtoN2O*kgtoGg</f>
        <v>1.4033231150236891</v>
      </c>
      <c r="AI1481" s="22">
        <f>'Activity data'!BB65*ManureNEF*NtoN2O*kgtoGg</f>
        <v>1.4719666098768296</v>
      </c>
      <c r="AJ1481" s="22">
        <f>'Activity data'!BC65*ManureNEF*NtoN2O*kgtoGg</f>
        <v>1.5420388237441127</v>
      </c>
      <c r="AK1481" s="22">
        <f>'Activity data'!BD65*ManureNEF*NtoN2O*kgtoGg</f>
        <v>1.6091811663069184</v>
      </c>
      <c r="AL1481" s="22">
        <f>'Activity data'!BE65*ManureNEF*NtoN2O*kgtoGg</f>
        <v>1.6763559089740723</v>
      </c>
      <c r="AM1481" s="22">
        <f>'Activity data'!BF65*ManureNEF*NtoN2O*kgtoGg</f>
        <v>1.7462483337512213</v>
      </c>
      <c r="AN1481" s="22">
        <f>'Activity data'!BG65*ManureNEF*NtoN2O*kgtoGg</f>
        <v>1.8206168694032934</v>
      </c>
      <c r="AO1481" s="22">
        <f>'Activity data'!BH65*ManureNEF*NtoN2O*kgtoGg</f>
        <v>1.8907719180049514</v>
      </c>
      <c r="AP1481" s="22">
        <f>'Activity data'!BI65*ManureNEF*NtoN2O*kgtoGg</f>
        <v>1.9620842803375478</v>
      </c>
      <c r="AQ1481" s="22">
        <f>'Activity data'!BJ65*ManureNEF*NtoN2O*kgtoGg</f>
        <v>2.0346990314319551</v>
      </c>
      <c r="AR1481" s="22">
        <f>'Activity data'!BK65*ManureNEF*NtoN2O*kgtoGg</f>
        <v>2.1124695104369047</v>
      </c>
      <c r="AS1481" s="22">
        <f>'Activity data'!BL65*ManureNEF*NtoN2O*kgtoGg</f>
        <v>2.1930634279587973</v>
      </c>
      <c r="AT1481" s="22">
        <f>'Activity data'!BM65*ManureNEF*NtoN2O*kgtoGg</f>
        <v>2.2380483172942163</v>
      </c>
      <c r="AU1481" s="22">
        <f>'Activity data'!BN65*ManureNEF*NtoN2O*kgtoGg</f>
        <v>2.2806855119174227</v>
      </c>
      <c r="AV1481" s="22">
        <f>'Activity data'!BO65*ManureNEF*NtoN2O*kgtoGg</f>
        <v>2.3283502130567282</v>
      </c>
      <c r="AW1481" s="22">
        <f>'Activity data'!BP65*ManureNEF*NtoN2O*kgtoGg</f>
        <v>2.3741040563618498</v>
      </c>
    </row>
    <row r="1482" spans="1:49" x14ac:dyDescent="0.25">
      <c r="A1482" s="102" t="s">
        <v>961</v>
      </c>
      <c r="B1482" s="102"/>
      <c r="C1482" s="102"/>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102" t="s">
        <v>961</v>
      </c>
      <c r="B1483" s="102"/>
      <c r="C1483" s="102"/>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1.0786753296429479</v>
      </c>
      <c r="L1483" s="22">
        <f>'Activity data'!AE67*UDCPPEF*NtoN2O*kgtoGg</f>
        <v>1.0859586060309057</v>
      </c>
      <c r="M1483" s="22">
        <f>'Activity data'!AF67*UDCPPEF*NtoN2O*kgtoGg</f>
        <v>1.0923296279678898</v>
      </c>
      <c r="N1483" s="22">
        <f>'Activity data'!AG67*UDCPPEF*NtoN2O*kgtoGg</f>
        <v>1.0931537330099066</v>
      </c>
      <c r="O1483" s="22">
        <f>'Activity data'!AH67*UDCPPEF*NtoN2O*kgtoGg</f>
        <v>1.0945731731430408</v>
      </c>
      <c r="P1483" s="22">
        <f>'Activity data'!AI67*UDCPPEF*NtoN2O*kgtoGg</f>
        <v>1.1027176588076981</v>
      </c>
      <c r="Q1483" s="22">
        <f>'Activity data'!AJ67*UDCPPEF*NtoN2O*kgtoGg</f>
        <v>1.1092302651165924</v>
      </c>
      <c r="R1483" s="22">
        <f>'Activity data'!AK67*UDCPPEF*NtoN2O*kgtoGg</f>
        <v>1.109287368040317</v>
      </c>
      <c r="S1483" s="22">
        <f>'Activity data'!AL67*UDCPPEF*NtoN2O*kgtoGg</f>
        <v>1.0798981830298287</v>
      </c>
      <c r="T1483" s="22">
        <f>'Activity data'!AM67*UDCPPEF*NtoN2O*kgtoGg</f>
        <v>1.0940959356021487</v>
      </c>
      <c r="U1483" s="22">
        <f>'Activity data'!AN67*UDCPPEF*NtoN2O*kgtoGg</f>
        <v>1.1048433903618551</v>
      </c>
      <c r="V1483" s="22">
        <f>'Activity data'!AO67*UDCPPEF*NtoN2O*kgtoGg</f>
        <v>1.1149833596000451</v>
      </c>
      <c r="W1483" s="22">
        <f>'Activity data'!AP67*UDCPPEF*NtoN2O*kgtoGg</f>
        <v>1.1267409528269945</v>
      </c>
      <c r="X1483" s="22">
        <f>'Activity data'!AQ67*UDCPPEF*NtoN2O*kgtoGg</f>
        <v>1.1435878034617475</v>
      </c>
      <c r="Y1483" s="22">
        <f>'Activity data'!AR67*UDCPPEF*NtoN2O*kgtoGg</f>
        <v>1.1611273352268467</v>
      </c>
      <c r="Z1483" s="22">
        <f>'Activity data'!AS67*UDCPPEF*NtoN2O*kgtoGg</f>
        <v>1.1801792260010431</v>
      </c>
      <c r="AA1483" s="22">
        <f>'Activity data'!AT67*UDCPPEF*NtoN2O*kgtoGg</f>
        <v>1.1975049735261083</v>
      </c>
      <c r="AB1483" s="22">
        <f>'Activity data'!AU67*UDCPPEF*NtoN2O*kgtoGg</f>
        <v>1.2173560530719671</v>
      </c>
      <c r="AC1483" s="22">
        <f>'Activity data'!AV67*UDCPPEF*NtoN2O*kgtoGg</f>
        <v>1.2402923210603021</v>
      </c>
      <c r="AD1483" s="22">
        <f>'Activity data'!AW67*UDCPPEF*NtoN2O*kgtoGg</f>
        <v>1.2623742733775345</v>
      </c>
      <c r="AE1483" s="22">
        <f>'Activity data'!AX67*UDCPPEF*NtoN2O*kgtoGg</f>
        <v>1.2856074455004303</v>
      </c>
      <c r="AF1483" s="22">
        <f>'Activity data'!AY67*UDCPPEF*NtoN2O*kgtoGg</f>
        <v>1.3095452950439004</v>
      </c>
      <c r="AG1483" s="22">
        <f>'Activity data'!AZ67*UDCPPEF*NtoN2O*kgtoGg</f>
        <v>1.3361813419952935</v>
      </c>
      <c r="AH1483" s="22">
        <f>'Activity data'!BA67*UDCPPEF*NtoN2O*kgtoGg</f>
        <v>1.3602968998390941</v>
      </c>
      <c r="AI1483" s="22">
        <f>'Activity data'!BB67*UDCPPEF*NtoN2O*kgtoGg</f>
        <v>1.3853556448541151</v>
      </c>
      <c r="AJ1483" s="22">
        <f>'Activity data'!BC67*UDCPPEF*NtoN2O*kgtoGg</f>
        <v>1.4110693769069982</v>
      </c>
      <c r="AK1483" s="22">
        <f>'Activity data'!BD67*UDCPPEF*NtoN2O*kgtoGg</f>
        <v>1.4360144578705683</v>
      </c>
      <c r="AL1483" s="22">
        <f>'Activity data'!BE67*UDCPPEF*NtoN2O*kgtoGg</f>
        <v>1.4611486001146794</v>
      </c>
      <c r="AM1483" s="22">
        <f>'Activity data'!BF67*UDCPPEF*NtoN2O*kgtoGg</f>
        <v>1.4873489277695111</v>
      </c>
      <c r="AN1483" s="22">
        <f>'Activity data'!BG67*UDCPPEF*NtoN2O*kgtoGg</f>
        <v>1.5144167777664856</v>
      </c>
      <c r="AO1483" s="22">
        <f>'Activity data'!BH67*UDCPPEF*NtoN2O*kgtoGg</f>
        <v>1.540269346746828</v>
      </c>
      <c r="AP1483" s="22">
        <f>'Activity data'!BI67*UDCPPEF*NtoN2O*kgtoGg</f>
        <v>1.5666680254867089</v>
      </c>
      <c r="AQ1483" s="22">
        <f>'Activity data'!BJ67*UDCPPEF*NtoN2O*kgtoGg</f>
        <v>1.593660390525756</v>
      </c>
      <c r="AR1483" s="22">
        <f>'Activity data'!BK67*UDCPPEF*NtoN2O*kgtoGg</f>
        <v>1.6225260915070563</v>
      </c>
      <c r="AS1483" s="22">
        <f>'Activity data'!BL67*UDCPPEF*NtoN2O*kgtoGg</f>
        <v>1.6517094827819983</v>
      </c>
      <c r="AT1483" s="22">
        <f>'Activity data'!BM67*UDCPPEF*NtoN2O*kgtoGg</f>
        <v>1.6691760933817195</v>
      </c>
      <c r="AU1483" s="22">
        <f>'Activity data'!BN67*UDCPPEF*NtoN2O*kgtoGg</f>
        <v>1.6859640883447786</v>
      </c>
      <c r="AV1483" s="22">
        <f>'Activity data'!BO67*UDCPPEF*NtoN2O*kgtoGg</f>
        <v>1.7045379947409554</v>
      </c>
      <c r="AW1483" s="22">
        <f>'Activity data'!BP67*UDCPPEF*NtoN2O*kgtoGg</f>
        <v>1.7225765964260569</v>
      </c>
    </row>
    <row r="1484" spans="1:49" x14ac:dyDescent="0.25">
      <c r="A1484" s="102" t="s">
        <v>961</v>
      </c>
      <c r="B1484" s="102"/>
      <c r="C1484" s="102"/>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0.73458527987811684</v>
      </c>
      <c r="L1484" s="22">
        <f>'Activity data'!AE68*UDCPPEF*NtoN2O*kgtoGg</f>
        <v>0.73954524093113228</v>
      </c>
      <c r="M1484" s="22">
        <f>'Activity data'!AF68*UDCPPEF*NtoN2O*kgtoGg</f>
        <v>0.74388395046130973</v>
      </c>
      <c r="N1484" s="22">
        <f>'Activity data'!AG68*UDCPPEF*NtoN2O*kgtoGg</f>
        <v>0.7444451716335222</v>
      </c>
      <c r="O1484" s="22">
        <f>'Activity data'!AH68*UDCPPEF*NtoN2O*kgtoGg</f>
        <v>0.7454118200761205</v>
      </c>
      <c r="P1484" s="22">
        <f>'Activity data'!AI68*UDCPPEF*NtoN2O*kgtoGg</f>
        <v>0.75095827053903796</v>
      </c>
      <c r="Q1484" s="22">
        <f>'Activity data'!AJ68*UDCPPEF*NtoN2O*kgtoGg</f>
        <v>0.75539339999521871</v>
      </c>
      <c r="R1484" s="22">
        <f>'Activity data'!AK68*UDCPPEF*NtoN2O*kgtoGg</f>
        <v>0.75543228747697821</v>
      </c>
      <c r="S1484" s="22">
        <f>'Activity data'!AL68*UDCPPEF*NtoN2O*kgtoGg</f>
        <v>0.73541805140145267</v>
      </c>
      <c r="T1484" s="22">
        <f>'Activity data'!AM68*UDCPPEF*NtoN2O*kgtoGg</f>
        <v>0.74508681804547194</v>
      </c>
      <c r="U1484" s="22">
        <f>'Activity data'!AN68*UDCPPEF*NtoN2O*kgtoGg</f>
        <v>0.75240590827186049</v>
      </c>
      <c r="V1484" s="22">
        <f>'Activity data'!AO68*UDCPPEF*NtoN2O*kgtoGg</f>
        <v>0.75931129670162745</v>
      </c>
      <c r="W1484" s="22">
        <f>'Activity data'!AP68*UDCPPEF*NtoN2O*kgtoGg</f>
        <v>0.76731829813566454</v>
      </c>
      <c r="X1484" s="22">
        <f>'Activity data'!AQ68*UDCPPEF*NtoN2O*kgtoGg</f>
        <v>0.77879111868556206</v>
      </c>
      <c r="Y1484" s="22">
        <f>'Activity data'!AR68*UDCPPEF*NtoN2O*kgtoGg</f>
        <v>0.79073565982461014</v>
      </c>
      <c r="Z1484" s="22">
        <f>'Activity data'!AS68*UDCPPEF*NtoN2O*kgtoGg</f>
        <v>0.80371012779654638</v>
      </c>
      <c r="AA1484" s="22">
        <f>'Activity data'!AT68*UDCPPEF*NtoN2O*kgtoGg</f>
        <v>0.81550908040540082</v>
      </c>
      <c r="AB1484" s="22">
        <f>'Activity data'!AU68*UDCPPEF*NtoN2O*kgtoGg</f>
        <v>0.82902780139895904</v>
      </c>
      <c r="AC1484" s="22">
        <f>'Activity data'!AV68*UDCPPEF*NtoN2O*kgtoGg</f>
        <v>0.84464755683097381</v>
      </c>
      <c r="AD1484" s="22">
        <f>'Activity data'!AW68*UDCPPEF*NtoN2O*kgtoGg</f>
        <v>0.85968551744566435</v>
      </c>
      <c r="AE1484" s="22">
        <f>'Activity data'!AX68*UDCPPEF*NtoN2O*kgtoGg</f>
        <v>0.8755074666247592</v>
      </c>
      <c r="AF1484" s="22">
        <f>'Activity data'!AY68*UDCPPEF*NtoN2O*kgtoGg</f>
        <v>0.89180930594872954</v>
      </c>
      <c r="AG1484" s="22">
        <f>'Activity data'!AZ68*UDCPPEF*NtoN2O*kgtoGg</f>
        <v>0.90994863616879917</v>
      </c>
      <c r="AH1484" s="22">
        <f>'Activity data'!BA68*UDCPPEF*NtoN2O*kgtoGg</f>
        <v>0.9263714960611904</v>
      </c>
      <c r="AI1484" s="22">
        <f>'Activity data'!BB68*UDCPPEF*NtoN2O*kgtoGg</f>
        <v>0.94343667287055244</v>
      </c>
      <c r="AJ1484" s="22">
        <f>'Activity data'!BC68*UDCPPEF*NtoN2O*kgtoGg</f>
        <v>0.96094790033417754</v>
      </c>
      <c r="AK1484" s="22">
        <f>'Activity data'!BD68*UDCPPEF*NtoN2O*kgtoGg</f>
        <v>0.97793567114680158</v>
      </c>
      <c r="AL1484" s="22">
        <f>'Activity data'!BE68*UDCPPEF*NtoN2O*kgtoGg</f>
        <v>0.99505219398504785</v>
      </c>
      <c r="AM1484" s="22">
        <f>'Activity data'!BF68*UDCPPEF*NtoN2O*kgtoGg</f>
        <v>1.0128947963829298</v>
      </c>
      <c r="AN1484" s="22">
        <f>'Activity data'!BG68*UDCPPEF*NtoN2O*kgtoGg</f>
        <v>1.0313281874314744</v>
      </c>
      <c r="AO1484" s="22">
        <f>'Activity data'!BH68*UDCPPEF*NtoN2O*kgtoGg</f>
        <v>1.0489339637926334</v>
      </c>
      <c r="AP1484" s="22">
        <f>'Activity data'!BI68*UDCPPEF*NtoN2O*kgtoGg</f>
        <v>1.066911644636569</v>
      </c>
      <c r="AQ1484" s="22">
        <f>'Activity data'!BJ68*UDCPPEF*NtoN2O*kgtoGg</f>
        <v>1.0852936299122902</v>
      </c>
      <c r="AR1484" s="22">
        <f>'Activity data'!BK68*UDCPPEF*NtoN2O*kgtoGg</f>
        <v>1.1049513697822153</v>
      </c>
      <c r="AS1484" s="22">
        <f>'Activity data'!BL68*UDCPPEF*NtoN2O*kgtoGg</f>
        <v>1.1248254589157749</v>
      </c>
      <c r="AT1484" s="22">
        <f>'Activity data'!BM68*UDCPPEF*NtoN2O*kgtoGg</f>
        <v>1.1367203402422674</v>
      </c>
      <c r="AU1484" s="22">
        <f>'Activity data'!BN68*UDCPPEF*NtoN2O*kgtoGg</f>
        <v>1.1481530796770461</v>
      </c>
      <c r="AV1484" s="22">
        <f>'Activity data'!BO68*UDCPPEF*NtoN2O*kgtoGg</f>
        <v>1.1608020370171399</v>
      </c>
      <c r="AW1484" s="22">
        <f>'Activity data'!BP68*UDCPPEF*NtoN2O*kgtoGg</f>
        <v>1.1730864481863896</v>
      </c>
    </row>
    <row r="1485" spans="1:49" x14ac:dyDescent="0.25">
      <c r="A1485" s="102" t="s">
        <v>961</v>
      </c>
      <c r="B1485" s="102"/>
      <c r="C1485" s="102"/>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15.429280800788639</v>
      </c>
      <c r="L1485" s="22">
        <f>'Activity data'!AE69*UDCPPEF*NtoN2O*kgtoGg</f>
        <v>15.35072698203709</v>
      </c>
      <c r="M1485" s="22">
        <f>'Activity data'!AF69*UDCPPEF*NtoN2O*kgtoGg</f>
        <v>15.207351875662043</v>
      </c>
      <c r="N1485" s="22">
        <f>'Activity data'!AG69*UDCPPEF*NtoN2O*kgtoGg</f>
        <v>14.814893699547214</v>
      </c>
      <c r="O1485" s="22">
        <f>'Activity data'!AH69*UDCPPEF*NtoN2O*kgtoGg</f>
        <v>14.438096972663228</v>
      </c>
      <c r="P1485" s="22">
        <f>'Activity data'!AI69*UDCPPEF*NtoN2O*kgtoGg</f>
        <v>14.314758846199135</v>
      </c>
      <c r="Q1485" s="22">
        <f>'Activity data'!AJ69*UDCPPEF*NtoN2O*kgtoGg</f>
        <v>14.115554649678398</v>
      </c>
      <c r="R1485" s="22">
        <f>'Activity data'!AK69*UDCPPEF*NtoN2O*kgtoGg</f>
        <v>13.66798161990047</v>
      </c>
      <c r="S1485" s="22">
        <f>'Activity data'!AL69*UDCPPEF*NtoN2O*kgtoGg</f>
        <v>12.166328141225097</v>
      </c>
      <c r="T1485" s="22">
        <f>'Activity data'!AM69*UDCPPEF*NtoN2O*kgtoGg</f>
        <v>12.463610414813839</v>
      </c>
      <c r="U1485" s="22">
        <f>'Activity data'!AN69*UDCPPEF*NtoN2O*kgtoGg</f>
        <v>12.624180384375714</v>
      </c>
      <c r="V1485" s="22">
        <f>'Activity data'!AO69*UDCPPEF*NtoN2O*kgtoGg</f>
        <v>12.751805743467081</v>
      </c>
      <c r="W1485" s="22">
        <f>'Activity data'!AP69*UDCPPEF*NtoN2O*kgtoGg</f>
        <v>12.923326016620354</v>
      </c>
      <c r="X1485" s="22">
        <f>'Activity data'!AQ69*UDCPPEF*NtoN2O*kgtoGg</f>
        <v>13.25262145197801</v>
      </c>
      <c r="Y1485" s="22">
        <f>'Activity data'!AR69*UDCPPEF*NtoN2O*kgtoGg</f>
        <v>13.613027690777479</v>
      </c>
      <c r="Z1485" s="22">
        <f>'Activity data'!AS69*UDCPPEF*NtoN2O*kgtoGg</f>
        <v>14.005728103550339</v>
      </c>
      <c r="AA1485" s="22">
        <f>'Activity data'!AT69*UDCPPEF*NtoN2O*kgtoGg</f>
        <v>14.32592763712187</v>
      </c>
      <c r="AB1485" s="22">
        <f>'Activity data'!AU69*UDCPPEF*NtoN2O*kgtoGg</f>
        <v>14.710285410323998</v>
      </c>
      <c r="AC1485" s="22">
        <f>'Activity data'!AV69*UDCPPEF*NtoN2O*kgtoGg</f>
        <v>15.173253105796089</v>
      </c>
      <c r="AD1485" s="22">
        <f>'Activity data'!AW69*UDCPPEF*NtoN2O*kgtoGg</f>
        <v>15.47822319183811</v>
      </c>
      <c r="AE1485" s="22">
        <f>'Activity data'!AX69*UDCPPEF*NtoN2O*kgtoGg</f>
        <v>15.789739593019302</v>
      </c>
      <c r="AF1485" s="22">
        <f>'Activity data'!AY69*UDCPPEF*NtoN2O*kgtoGg</f>
        <v>16.093283241134344</v>
      </c>
      <c r="AG1485" s="22">
        <f>'Activity data'!AZ69*UDCPPEF*NtoN2O*kgtoGg</f>
        <v>16.444459062010196</v>
      </c>
      <c r="AH1485" s="22">
        <f>'Activity data'!BA69*UDCPPEF*NtoN2O*kgtoGg</f>
        <v>16.694708961891717</v>
      </c>
      <c r="AI1485" s="22">
        <f>'Activity data'!BB69*UDCPPEF*NtoN2O*kgtoGg</f>
        <v>16.95834334016514</v>
      </c>
      <c r="AJ1485" s="22">
        <f>'Activity data'!BC69*UDCPPEF*NtoN2O*kgtoGg</f>
        <v>17.210617740902418</v>
      </c>
      <c r="AK1485" s="22">
        <f>'Activity data'!BD69*UDCPPEF*NtoN2O*kgtoGg</f>
        <v>17.41443137892249</v>
      </c>
      <c r="AL1485" s="22">
        <f>'Activity data'!BE69*UDCPPEF*NtoN2O*kgtoGg</f>
        <v>17.595815239613078</v>
      </c>
      <c r="AM1485" s="22">
        <f>'Activity data'!BF69*UDCPPEF*NtoN2O*kgtoGg</f>
        <v>17.776384709935595</v>
      </c>
      <c r="AN1485" s="22">
        <f>'Activity data'!BG69*UDCPPEF*NtoN2O*kgtoGg</f>
        <v>18.054309099342483</v>
      </c>
      <c r="AO1485" s="22">
        <f>'Activity data'!BH69*UDCPPEF*NtoN2O*kgtoGg</f>
        <v>18.280646748605641</v>
      </c>
      <c r="AP1485" s="22">
        <f>'Activity data'!BI69*UDCPPEF*NtoN2O*kgtoGg</f>
        <v>18.497984454615345</v>
      </c>
      <c r="AQ1485" s="22">
        <f>'Activity data'!BJ69*UDCPPEF*NtoN2O*kgtoGg</f>
        <v>18.70703547273348</v>
      </c>
      <c r="AR1485" s="22">
        <f>'Activity data'!BK69*UDCPPEF*NtoN2O*kgtoGg</f>
        <v>18.935485661659122</v>
      </c>
      <c r="AS1485" s="22">
        <f>'Activity data'!BL69*UDCPPEF*NtoN2O*kgtoGg</f>
        <v>19.159250135643951</v>
      </c>
      <c r="AT1485" s="22">
        <f>'Activity data'!BM69*UDCPPEF*NtoN2O*kgtoGg</f>
        <v>19.11314806868306</v>
      </c>
      <c r="AU1485" s="22">
        <f>'Activity data'!BN69*UDCPPEF*NtoN2O*kgtoGg</f>
        <v>19.040808228696374</v>
      </c>
      <c r="AV1485" s="22">
        <f>'Activity data'!BO69*UDCPPEF*NtoN2O*kgtoGg</f>
        <v>18.992992620644625</v>
      </c>
      <c r="AW1485" s="22">
        <f>'Activity data'!BP69*UDCPPEF*NtoN2O*kgtoGg</f>
        <v>18.921839562511444</v>
      </c>
    </row>
    <row r="1486" spans="1:49" x14ac:dyDescent="0.25">
      <c r="A1486" s="102" t="s">
        <v>961</v>
      </c>
      <c r="B1486" s="102"/>
      <c r="C1486" s="102"/>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9.701944231797869</v>
      </c>
      <c r="L1486" s="22">
        <f>'Activity data'!AE70*UDCPPEF*NtoN2O*kgtoGg</f>
        <v>9.652549527108631</v>
      </c>
      <c r="M1486" s="22">
        <f>'Activity data'!AF70*UDCPPEF*NtoN2O*kgtoGg</f>
        <v>9.5623951443970494</v>
      </c>
      <c r="N1486" s="22">
        <f>'Activity data'!AG70*UDCPPEF*NtoN2O*kgtoGg</f>
        <v>9.3156171262158942</v>
      </c>
      <c r="O1486" s="22">
        <f>'Activity data'!AH70*UDCPPEF*NtoN2O*kgtoGg</f>
        <v>9.0786870399629098</v>
      </c>
      <c r="P1486" s="22">
        <f>'Activity data'!AI70*UDCPPEF*NtoN2O*kgtoGg</f>
        <v>9.0011319264058365</v>
      </c>
      <c r="Q1486" s="22">
        <f>'Activity data'!AJ70*UDCPPEF*NtoN2O*kgtoGg</f>
        <v>8.8758721667101366</v>
      </c>
      <c r="R1486" s="22">
        <f>'Activity data'!AK70*UDCPPEF*NtoN2O*kgtoGg</f>
        <v>8.5944378840220992</v>
      </c>
      <c r="S1486" s="22">
        <f>'Activity data'!AL70*UDCPPEF*NtoN2O*kgtoGg</f>
        <v>7.6501969635477565</v>
      </c>
      <c r="T1486" s="22">
        <f>'Activity data'!AM70*UDCPPEF*NtoN2O*kgtoGg</f>
        <v>7.8371282973344023</v>
      </c>
      <c r="U1486" s="22">
        <f>'Activity data'!AN70*UDCPPEF*NtoN2O*kgtoGg</f>
        <v>7.9380948239084157</v>
      </c>
      <c r="V1486" s="22">
        <f>'Activity data'!AO70*UDCPPEF*NtoN2O*kgtoGg</f>
        <v>8.0183457528048763</v>
      </c>
      <c r="W1486" s="22">
        <f>'Activity data'!AP70*UDCPPEF*NtoN2O*kgtoGg</f>
        <v>8.1261978391231704</v>
      </c>
      <c r="X1486" s="22">
        <f>'Activity data'!AQ70*UDCPPEF*NtoN2O*kgtoGg</f>
        <v>8.3332590748913482</v>
      </c>
      <c r="Y1486" s="22">
        <f>'Activity data'!AR70*UDCPPEF*NtoN2O*kgtoGg</f>
        <v>8.5598828089960346</v>
      </c>
      <c r="Z1486" s="22">
        <f>'Activity data'!AS70*UDCPPEF*NtoN2O*kgtoGg</f>
        <v>8.8068131457834475</v>
      </c>
      <c r="AA1486" s="22">
        <f>'Activity data'!AT70*UDCPPEF*NtoN2O*kgtoGg</f>
        <v>9.0081548711605581</v>
      </c>
      <c r="AB1486" s="22">
        <f>'Activity data'!AU70*UDCPPEF*NtoN2O*kgtoGg</f>
        <v>9.249839349446443</v>
      </c>
      <c r="AC1486" s="22">
        <f>'Activity data'!AV70*UDCPPEF*NtoN2O*kgtoGg</f>
        <v>9.5409538103592695</v>
      </c>
      <c r="AD1486" s="22">
        <f>'Activity data'!AW70*UDCPPEF*NtoN2O*kgtoGg</f>
        <v>9.7327192468269903</v>
      </c>
      <c r="AE1486" s="22">
        <f>'Activity data'!AX70*UDCPPEF*NtoN2O*kgtoGg</f>
        <v>9.9286010115425469</v>
      </c>
      <c r="AF1486" s="22">
        <f>'Activity data'!AY70*UDCPPEF*NtoN2O*kgtoGg</f>
        <v>10.119469502689464</v>
      </c>
      <c r="AG1486" s="22">
        <f>'Activity data'!AZ70*UDCPPEF*NtoN2O*kgtoGg</f>
        <v>10.340289142547157</v>
      </c>
      <c r="AH1486" s="22">
        <f>'Activity data'!BA70*UDCPPEF*NtoN2O*kgtoGg</f>
        <v>10.497646481752456</v>
      </c>
      <c r="AI1486" s="22">
        <f>'Activity data'!BB70*UDCPPEF*NtoN2O*kgtoGg</f>
        <v>10.663419991782989</v>
      </c>
      <c r="AJ1486" s="22">
        <f>'Activity data'!BC70*UDCPPEF*NtoN2O*kgtoGg</f>
        <v>10.822050338761844</v>
      </c>
      <c r="AK1486" s="22">
        <f>'Activity data'!BD70*UDCPPEF*NtoN2O*kgtoGg</f>
        <v>10.950208518995984</v>
      </c>
      <c r="AL1486" s="22">
        <f>'Activity data'!BE70*UDCPPEF*NtoN2O*kgtoGg</f>
        <v>11.064262837125854</v>
      </c>
      <c r="AM1486" s="22">
        <f>'Activity data'!BF70*UDCPPEF*NtoN2O*kgtoGg</f>
        <v>11.17780506593439</v>
      </c>
      <c r="AN1486" s="22">
        <f>'Activity data'!BG70*UDCPPEF*NtoN2O*kgtoGg</f>
        <v>11.352564146509573</v>
      </c>
      <c r="AO1486" s="22">
        <f>'Activity data'!BH70*UDCPPEF*NtoN2O*kgtoGg</f>
        <v>11.494885443208972</v>
      </c>
      <c r="AP1486" s="22">
        <f>'Activity data'!BI70*UDCPPEF*NtoN2O*kgtoGg</f>
        <v>11.631547568320162</v>
      </c>
      <c r="AQ1486" s="22">
        <f>'Activity data'!BJ70*UDCPPEF*NtoN2O*kgtoGg</f>
        <v>11.762999017390882</v>
      </c>
      <c r="AR1486" s="22">
        <f>'Activity data'!BK70*UDCPPEF*NtoN2O*kgtoGg</f>
        <v>11.906648680736627</v>
      </c>
      <c r="AS1486" s="22">
        <f>'Activity data'!BL70*UDCPPEF*NtoN2O*kgtoGg</f>
        <v>12.047351962742322</v>
      </c>
      <c r="AT1486" s="22">
        <f>'Activity data'!BM70*UDCPPEF*NtoN2O*kgtoGg</f>
        <v>12.018362945794602</v>
      </c>
      <c r="AU1486" s="22">
        <f>'Activity data'!BN70*UDCPPEF*NtoN2O*kgtoGg</f>
        <v>11.972875595972562</v>
      </c>
      <c r="AV1486" s="22">
        <f>'Activity data'!BO70*UDCPPEF*NtoN2O*kgtoGg</f>
        <v>11.942809103002656</v>
      </c>
      <c r="AW1486" s="22">
        <f>'Activity data'!BP70*UDCPPEF*NtoN2O*kgtoGg</f>
        <v>11.898068002568817</v>
      </c>
    </row>
    <row r="1487" spans="1:49" x14ac:dyDescent="0.25">
      <c r="A1487" s="102" t="s">
        <v>961</v>
      </c>
      <c r="B1487" s="102"/>
      <c r="C1487" s="102"/>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102" t="s">
        <v>961</v>
      </c>
      <c r="B1488" s="102"/>
      <c r="C1488" s="102"/>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5.7999838553710088</v>
      </c>
      <c r="L1488" s="22">
        <f>'Activity data'!AE72*UDSOEF*NtoN2O*kgtoGg</f>
        <v>5.8031139960917857</v>
      </c>
      <c r="M1488" s="22">
        <f>'Activity data'!AF72*UDSOEF*NtoN2O*kgtoGg</f>
        <v>5.8103099227335253</v>
      </c>
      <c r="N1488" s="22">
        <f>'Activity data'!AG72*UDSOEF*NtoN2O*kgtoGg</f>
        <v>5.8209929462353873</v>
      </c>
      <c r="O1488" s="22">
        <f>'Activity data'!AH72*UDSOEF*NtoN2O*kgtoGg</f>
        <v>5.8354121165006498</v>
      </c>
      <c r="P1488" s="22">
        <f>'Activity data'!AI72*UDSOEF*NtoN2O*kgtoGg</f>
        <v>5.8538572193681269</v>
      </c>
      <c r="Q1488" s="22">
        <f>'Activity data'!AJ72*UDSOEF*NtoN2O*kgtoGg</f>
        <v>5.8741818038916174</v>
      </c>
      <c r="R1488" s="22">
        <f>'Activity data'!AK72*UDSOEF*NtoN2O*kgtoGg</f>
        <v>5.8960701972534357</v>
      </c>
      <c r="S1488" s="22">
        <f>'Activity data'!AL72*UDSOEF*NtoN2O*kgtoGg</f>
        <v>5.9177559307877479</v>
      </c>
      <c r="T1488" s="22">
        <f>'Activity data'!AM72*UDSOEF*NtoN2O*kgtoGg</f>
        <v>5.9266307004561112</v>
      </c>
      <c r="U1488" s="22">
        <f>'Activity data'!AN72*UDSOEF*NtoN2O*kgtoGg</f>
        <v>5.9367082769549988</v>
      </c>
      <c r="V1488" s="22">
        <f>'Activity data'!AO72*UDSOEF*NtoN2O*kgtoGg</f>
        <v>5.9481053028915358</v>
      </c>
      <c r="W1488" s="22">
        <f>'Activity data'!AP72*UDSOEF*NtoN2O*kgtoGg</f>
        <v>5.960904450999025</v>
      </c>
      <c r="X1488" s="22">
        <f>'Activity data'!AQ72*UDSOEF*NtoN2O*kgtoGg</f>
        <v>5.9752866719651836</v>
      </c>
      <c r="Y1488" s="22">
        <f>'Activity data'!AR72*UDSOEF*NtoN2O*kgtoGg</f>
        <v>5.9843295860357024</v>
      </c>
      <c r="Z1488" s="22">
        <f>'Activity data'!AS72*UDSOEF*NtoN2O*kgtoGg</f>
        <v>5.9945123676402678</v>
      </c>
      <c r="AA1488" s="22">
        <f>'Activity data'!AT72*UDSOEF*NtoN2O*kgtoGg</f>
        <v>6.0055516159641433</v>
      </c>
      <c r="AB1488" s="22">
        <f>'Activity data'!AU72*UDSOEF*NtoN2O*kgtoGg</f>
        <v>6.0177061448313278</v>
      </c>
      <c r="AC1488" s="22">
        <f>'Activity data'!AV72*UDSOEF*NtoN2O*kgtoGg</f>
        <v>6.03097456248548</v>
      </c>
      <c r="AD1488" s="22">
        <f>'Activity data'!AW72*UDSOEF*NtoN2O*kgtoGg</f>
        <v>6.0397566686890718</v>
      </c>
      <c r="AE1488" s="22">
        <f>'Activity data'!AX72*UDSOEF*NtoN2O*kgtoGg</f>
        <v>6.0493932233323875</v>
      </c>
      <c r="AF1488" s="22">
        <f>'Activity data'!AY72*UDSOEF*NtoN2O*kgtoGg</f>
        <v>6.0598194909466505</v>
      </c>
      <c r="AG1488" s="22">
        <f>'Activity data'!AZ72*UDSOEF*NtoN2O*kgtoGg</f>
        <v>6.0711483366347876</v>
      </c>
      <c r="AH1488" s="22">
        <f>'Activity data'!BA72*UDSOEF*NtoN2O*kgtoGg</f>
        <v>6.0829788619886944</v>
      </c>
      <c r="AI1488" s="22">
        <f>'Activity data'!BB72*UDSOEF*NtoN2O*kgtoGg</f>
        <v>6.0905477121768259</v>
      </c>
      <c r="AJ1488" s="22">
        <f>'Activity data'!BC72*UDSOEF*NtoN2O*kgtoGg</f>
        <v>6.0987586244880356</v>
      </c>
      <c r="AK1488" s="22">
        <f>'Activity data'!BD72*UDSOEF*NtoN2O*kgtoGg</f>
        <v>6.1074872449990725</v>
      </c>
      <c r="AL1488" s="22">
        <f>'Activity data'!BE72*UDSOEF*NtoN2O*kgtoGg</f>
        <v>6.1167813545421765</v>
      </c>
      <c r="AM1488" s="22">
        <f>'Activity data'!BF72*UDSOEF*NtoN2O*kgtoGg</f>
        <v>6.1266844936604166</v>
      </c>
      <c r="AN1488" s="22">
        <f>'Activity data'!BG72*UDSOEF*NtoN2O*kgtoGg</f>
        <v>6.1325212653673837</v>
      </c>
      <c r="AO1488" s="22">
        <f>'Activity data'!BH72*UDSOEF*NtoN2O*kgtoGg</f>
        <v>6.1387404789422586</v>
      </c>
      <c r="AP1488" s="22">
        <f>'Activity data'!BI72*UDSOEF*NtoN2O*kgtoGg</f>
        <v>6.145451732291618</v>
      </c>
      <c r="AQ1488" s="22">
        <f>'Activity data'!BJ72*UDSOEF*NtoN2O*kgtoGg</f>
        <v>6.152643186293405</v>
      </c>
      <c r="AR1488" s="22">
        <f>'Activity data'!BK72*UDSOEF*NtoN2O*kgtoGg</f>
        <v>6.1603920516403416</v>
      </c>
      <c r="AS1488" s="22">
        <f>'Activity data'!BL72*UDSOEF*NtoN2O*kgtoGg</f>
        <v>6.1638844604068606</v>
      </c>
      <c r="AT1488" s="22">
        <f>'Activity data'!BM72*UDSOEF*NtoN2O*kgtoGg</f>
        <v>6.1669158271420823</v>
      </c>
      <c r="AU1488" s="22">
        <f>'Activity data'!BN72*UDSOEF*NtoN2O*kgtoGg</f>
        <v>6.1702623626652491</v>
      </c>
      <c r="AV1488" s="22">
        <f>'Activity data'!BO72*UDSOEF*NtoN2O*kgtoGg</f>
        <v>6.1740883613222994</v>
      </c>
      <c r="AW1488" s="22">
        <f>'Activity data'!BP72*UDSOEF*NtoN2O*kgtoGg</f>
        <v>6.1782170575379913</v>
      </c>
    </row>
    <row r="1489" spans="1:49" x14ac:dyDescent="0.25">
      <c r="A1489" s="102" t="s">
        <v>961</v>
      </c>
      <c r="B1489" s="102"/>
      <c r="C1489" s="102"/>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0.64744945388640951</v>
      </c>
      <c r="L1489" s="22">
        <f>'Activity data'!AE73*UDSOEF*NtoN2O*kgtoGg</f>
        <v>0.64779887001424552</v>
      </c>
      <c r="M1489" s="22">
        <f>'Activity data'!AF73*UDSOEF*NtoN2O*kgtoGg</f>
        <v>0.64860214790097404</v>
      </c>
      <c r="N1489" s="22">
        <f>'Activity data'!AG73*UDSOEF*NtoN2O*kgtoGg</f>
        <v>0.64979468876050261</v>
      </c>
      <c r="O1489" s="22">
        <f>'Activity data'!AH73*UDSOEF*NtoN2O*kgtoGg</f>
        <v>0.65140429391571231</v>
      </c>
      <c r="P1489" s="22">
        <f>'Activity data'!AI73*UDSOEF*NtoN2O*kgtoGg</f>
        <v>0.6534633120226967</v>
      </c>
      <c r="Q1489" s="22">
        <f>'Activity data'!AJ73*UDSOEF*NtoN2O*kgtoGg</f>
        <v>0.65573213577778644</v>
      </c>
      <c r="R1489" s="22">
        <f>'Activity data'!AK73*UDSOEF*NtoN2O*kgtoGg</f>
        <v>0.65817552677368318</v>
      </c>
      <c r="S1489" s="22">
        <f>'Activity data'!AL73*UDSOEF*NtoN2O*kgtoGg</f>
        <v>0.66059629494891092</v>
      </c>
      <c r="T1489" s="22">
        <f>'Activity data'!AM73*UDSOEF*NtoN2O*kgtoGg</f>
        <v>0.66158698128846494</v>
      </c>
      <c r="U1489" s="22">
        <f>'Activity data'!AN73*UDSOEF*NtoN2O*kgtoGg</f>
        <v>0.66271193638547965</v>
      </c>
      <c r="V1489" s="22">
        <f>'Activity data'!AO73*UDSOEF*NtoN2O*kgtoGg</f>
        <v>0.6639841809990068</v>
      </c>
      <c r="W1489" s="22">
        <f>'Activity data'!AP73*UDSOEF*NtoN2O*kgtoGg</f>
        <v>0.66541294384715366</v>
      </c>
      <c r="X1489" s="22">
        <f>'Activity data'!AQ73*UDSOEF*NtoN2O*kgtoGg</f>
        <v>0.66701842436958481</v>
      </c>
      <c r="Y1489" s="22">
        <f>'Activity data'!AR73*UDSOEF*NtoN2O*kgtoGg</f>
        <v>0.66802788058920459</v>
      </c>
      <c r="Z1489" s="22">
        <f>'Activity data'!AS73*UDSOEF*NtoN2O*kgtoGg</f>
        <v>0.66916457968239529</v>
      </c>
      <c r="AA1489" s="22">
        <f>'Activity data'!AT73*UDSOEF*NtoN2O*kgtoGg</f>
        <v>0.67039688575028045</v>
      </c>
      <c r="AB1489" s="22">
        <f>'Activity data'!AU73*UDSOEF*NtoN2O*kgtoGg</f>
        <v>0.671753690057592</v>
      </c>
      <c r="AC1489" s="22">
        <f>'Activity data'!AV73*UDSOEF*NtoN2O*kgtoGg</f>
        <v>0.67323483724322841</v>
      </c>
      <c r="AD1489" s="22">
        <f>'Activity data'!AW73*UDSOEF*NtoN2O*kgtoGg</f>
        <v>0.67421517960404742</v>
      </c>
      <c r="AE1489" s="22">
        <f>'Activity data'!AX73*UDSOEF*NtoN2O*kgtoGg</f>
        <v>0.6752909036399658</v>
      </c>
      <c r="AF1489" s="22">
        <f>'Activity data'!AY73*UDSOEF*NtoN2O*kgtoGg</f>
        <v>0.67645478296122918</v>
      </c>
      <c r="AG1489" s="22">
        <f>'Activity data'!AZ73*UDSOEF*NtoN2O*kgtoGg</f>
        <v>0.67771941664588264</v>
      </c>
      <c r="AH1489" s="22">
        <f>'Activity data'!BA73*UDSOEF*NtoN2O*kgtoGg</f>
        <v>0.67904005259428835</v>
      </c>
      <c r="AI1489" s="22">
        <f>'Activity data'!BB73*UDSOEF*NtoN2O*kgtoGg</f>
        <v>0.67988495976007579</v>
      </c>
      <c r="AJ1489" s="22">
        <f>'Activity data'!BC73*UDSOEF*NtoN2O*kgtoGg</f>
        <v>0.68080154001691195</v>
      </c>
      <c r="AK1489" s="22">
        <f>'Activity data'!BD73*UDSOEF*NtoN2O*kgtoGg</f>
        <v>0.68177591179517449</v>
      </c>
      <c r="AL1489" s="22">
        <f>'Activity data'!BE73*UDSOEF*NtoN2O*kgtoGg</f>
        <v>0.68281340884656228</v>
      </c>
      <c r="AM1489" s="22">
        <f>'Activity data'!BF73*UDSOEF*NtoN2O*kgtoGg</f>
        <v>0.68391889158129904</v>
      </c>
      <c r="AN1489" s="22">
        <f>'Activity data'!BG73*UDSOEF*NtoN2O*kgtoGg</f>
        <v>0.68457044764565533</v>
      </c>
      <c r="AO1489" s="22">
        <f>'Activity data'!BH73*UDSOEF*NtoN2O*kgtoGg</f>
        <v>0.68526469551479852</v>
      </c>
      <c r="AP1489" s="22">
        <f>'Activity data'!BI73*UDSOEF*NtoN2O*kgtoGg</f>
        <v>0.68601386955119048</v>
      </c>
      <c r="AQ1489" s="22">
        <f>'Activity data'!BJ73*UDSOEF*NtoN2O*kgtoGg</f>
        <v>0.68681664815923671</v>
      </c>
      <c r="AR1489" s="22">
        <f>'Activity data'!BK73*UDSOEF*NtoN2O*kgtoGg</f>
        <v>0.68768165033203899</v>
      </c>
      <c r="AS1489" s="22">
        <f>'Activity data'!BL73*UDSOEF*NtoN2O*kgtoGg</f>
        <v>0.68807150627043723</v>
      </c>
      <c r="AT1489" s="22">
        <f>'Activity data'!BM73*UDSOEF*NtoN2O*kgtoGg</f>
        <v>0.68840989630499416</v>
      </c>
      <c r="AU1489" s="22">
        <f>'Activity data'!BN73*UDSOEF*NtoN2O*kgtoGg</f>
        <v>0.68878346848224781</v>
      </c>
      <c r="AV1489" s="22">
        <f>'Activity data'!BO73*UDSOEF*NtoN2O*kgtoGg</f>
        <v>0.68921056290230964</v>
      </c>
      <c r="AW1489" s="22">
        <f>'Activity data'!BP73*UDSOEF*NtoN2O*kgtoGg</f>
        <v>0.68967144730764052</v>
      </c>
    </row>
    <row r="1490" spans="1:49" x14ac:dyDescent="0.25">
      <c r="A1490" s="102" t="s">
        <v>961</v>
      </c>
      <c r="B1490" s="102"/>
      <c r="C1490" s="102"/>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0.71689894789530229</v>
      </c>
      <c r="L1490" s="22">
        <f>'Activity data'!AE74*UDSOEF*NtoN2O*kgtoGg</f>
        <v>0.71876228746109427</v>
      </c>
      <c r="M1490" s="22">
        <f>'Activity data'!AF74*UDSOEF*NtoN2O*kgtoGg</f>
        <v>0.72127503720090047</v>
      </c>
      <c r="N1490" s="22">
        <f>'Activity data'!AG74*UDSOEF*NtoN2O*kgtoGg</f>
        <v>0.72433550259006296</v>
      </c>
      <c r="O1490" s="22">
        <f>'Activity data'!AH74*UDSOEF*NtoN2O*kgtoGg</f>
        <v>0.72800120185684258</v>
      </c>
      <c r="P1490" s="22">
        <f>'Activity data'!AI74*UDSOEF*NtoN2O*kgtoGg</f>
        <v>0.73233490465194795</v>
      </c>
      <c r="Q1490" s="22">
        <f>'Activity data'!AJ74*UDSOEF*NtoN2O*kgtoGg</f>
        <v>0.73692777433186207</v>
      </c>
      <c r="R1490" s="22">
        <f>'Activity data'!AK74*UDSOEF*NtoN2O*kgtoGg</f>
        <v>0.74172607064181018</v>
      </c>
      <c r="S1490" s="22">
        <f>'Activity data'!AL74*UDSOEF*NtoN2O*kgtoGg</f>
        <v>0.74639750027277085</v>
      </c>
      <c r="T1490" s="22">
        <f>'Activity data'!AM74*UDSOEF*NtoN2O*kgtoGg</f>
        <v>0.74854009324631066</v>
      </c>
      <c r="U1490" s="22">
        <f>'Activity data'!AN74*UDSOEF*NtoN2O*kgtoGg</f>
        <v>0.75085065923922678</v>
      </c>
      <c r="V1490" s="22">
        <f>'Activity data'!AO74*UDSOEF*NtoN2O*kgtoGg</f>
        <v>0.75335493730359926</v>
      </c>
      <c r="W1490" s="22">
        <f>'Activity data'!AP74*UDSOEF*NtoN2O*kgtoGg</f>
        <v>0.75607146605668685</v>
      </c>
      <c r="X1490" s="22">
        <f>'Activity data'!AQ74*UDSOEF*NtoN2O*kgtoGg</f>
        <v>0.75903679046714201</v>
      </c>
      <c r="Y1490" s="22">
        <f>'Activity data'!AR74*UDSOEF*NtoN2O*kgtoGg</f>
        <v>0.76094537488964475</v>
      </c>
      <c r="Z1490" s="22">
        <f>'Activity data'!AS74*UDSOEF*NtoN2O*kgtoGg</f>
        <v>0.76302818529273087</v>
      </c>
      <c r="AA1490" s="22">
        <f>'Activity data'!AT74*UDSOEF*NtoN2O*kgtoGg</f>
        <v>0.76523341198680583</v>
      </c>
      <c r="AB1490" s="22">
        <f>'Activity data'!AU74*UDSOEF*NtoN2O*kgtoGg</f>
        <v>0.76761119115957532</v>
      </c>
      <c r="AC1490" s="22">
        <f>'Activity data'!AV74*UDSOEF*NtoN2O*kgtoGg</f>
        <v>0.77016232439967147</v>
      </c>
      <c r="AD1490" s="22">
        <f>'Activity data'!AW74*UDSOEF*NtoN2O*kgtoGg</f>
        <v>0.77184151262759737</v>
      </c>
      <c r="AE1490" s="22">
        <f>'Activity data'!AX74*UDSOEF*NtoN2O*kgtoGg</f>
        <v>0.7736515769208151</v>
      </c>
      <c r="AF1490" s="22">
        <f>'Activity data'!AY74*UDSOEF*NtoN2O*kgtoGg</f>
        <v>0.77558124888408586</v>
      </c>
      <c r="AG1490" s="22">
        <f>'Activity data'!AZ74*UDSOEF*NtoN2O*kgtoGg</f>
        <v>0.77765221756919434</v>
      </c>
      <c r="AH1490" s="22">
        <f>'Activity data'!BA74*UDSOEF*NtoN2O*kgtoGg</f>
        <v>0.7797906862662336</v>
      </c>
      <c r="AI1490" s="22">
        <f>'Activity data'!BB74*UDSOEF*NtoN2O*kgtoGg</f>
        <v>0.7811163537007122</v>
      </c>
      <c r="AJ1490" s="22">
        <f>'Activity data'!BC74*UDSOEF*NtoN2O*kgtoGg</f>
        <v>0.78254032699837495</v>
      </c>
      <c r="AK1490" s="22">
        <f>'Activity data'!BD74*UDSOEF*NtoN2O*kgtoGg</f>
        <v>0.78404012574492399</v>
      </c>
      <c r="AL1490" s="22">
        <f>'Activity data'!BE74*UDSOEF*NtoN2O*kgtoGg</f>
        <v>0.78562503827513464</v>
      </c>
      <c r="AM1490" s="22">
        <f>'Activity data'!BF74*UDSOEF*NtoN2O*kgtoGg</f>
        <v>0.78730345031212023</v>
      </c>
      <c r="AN1490" s="22">
        <f>'Activity data'!BG74*UDSOEF*NtoN2O*kgtoGg</f>
        <v>0.78821861780581803</v>
      </c>
      <c r="AO1490" s="22">
        <f>'Activity data'!BH74*UDSOEF*NtoN2O*kgtoGg</f>
        <v>0.78918935012210545</v>
      </c>
      <c r="AP1490" s="22">
        <f>'Activity data'!BI74*UDSOEF*NtoN2O*kgtoGg</f>
        <v>0.79023602178732166</v>
      </c>
      <c r="AQ1490" s="22">
        <f>'Activity data'!BJ74*UDSOEF*NtoN2O*kgtoGg</f>
        <v>0.79135668556159844</v>
      </c>
      <c r="AR1490" s="22">
        <f>'Activity data'!BK74*UDSOEF*NtoN2O*kgtoGg</f>
        <v>0.79256558771735774</v>
      </c>
      <c r="AS1490" s="22">
        <f>'Activity data'!BL74*UDSOEF*NtoN2O*kgtoGg</f>
        <v>0.79298785766331426</v>
      </c>
      <c r="AT1490" s="22">
        <f>'Activity data'!BM74*UDSOEF*NtoN2O*kgtoGg</f>
        <v>0.79331656903659509</v>
      </c>
      <c r="AU1490" s="22">
        <f>'Activity data'!BN74*UDSOEF*NtoN2O*kgtoGg</f>
        <v>0.79369322526599873</v>
      </c>
      <c r="AV1490" s="22">
        <f>'Activity data'!BO74*UDSOEF*NtoN2O*kgtoGg</f>
        <v>0.79414770745075947</v>
      </c>
      <c r="AW1490" s="22">
        <f>'Activity data'!BP74*UDSOEF*NtoN2O*kgtoGg</f>
        <v>0.79464809471787612</v>
      </c>
    </row>
    <row r="1491" spans="1:49" x14ac:dyDescent="0.25">
      <c r="A1491" s="102" t="s">
        <v>961</v>
      </c>
      <c r="B1491" s="102"/>
      <c r="C1491" s="102"/>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1.1864531966682197</v>
      </c>
      <c r="L1491" s="22">
        <f>'Activity data'!AE75*UDSOEF*NtoN2O*kgtoGg</f>
        <v>1.1895369858002907</v>
      </c>
      <c r="M1491" s="22">
        <f>'Activity data'!AF75*UDSOEF*NtoN2O*kgtoGg</f>
        <v>1.1936955355791294</v>
      </c>
      <c r="N1491" s="22">
        <f>'Activity data'!AG75*UDSOEF*NtoN2O*kgtoGg</f>
        <v>1.1987605436321125</v>
      </c>
      <c r="O1491" s="22">
        <f>'Activity data'!AH75*UDSOEF*NtoN2O*kgtoGg</f>
        <v>1.2048272014586632</v>
      </c>
      <c r="P1491" s="22">
        <f>'Activity data'!AI75*UDSOEF*NtoN2O*kgtoGg</f>
        <v>1.2119993915556884</v>
      </c>
      <c r="Q1491" s="22">
        <f>'Activity data'!AJ75*UDSOEF*NtoN2O*kgtoGg</f>
        <v>1.2196004975827131</v>
      </c>
      <c r="R1491" s="22">
        <f>'Activity data'!AK75*UDSOEF*NtoN2O*kgtoGg</f>
        <v>1.2275415805096901</v>
      </c>
      <c r="S1491" s="22">
        <f>'Activity data'!AL75*UDSOEF*NtoN2O*kgtoGg</f>
        <v>1.2352727016599383</v>
      </c>
      <c r="T1491" s="22">
        <f>'Activity data'!AM75*UDSOEF*NtoN2O*kgtoGg</f>
        <v>1.238818649509462</v>
      </c>
      <c r="U1491" s="22">
        <f>'Activity data'!AN75*UDSOEF*NtoN2O*kgtoGg</f>
        <v>1.2426425892940813</v>
      </c>
      <c r="V1491" s="22">
        <f>'Activity data'!AO75*UDSOEF*NtoN2O*kgtoGg</f>
        <v>1.2467871186221595</v>
      </c>
      <c r="W1491" s="22">
        <f>'Activity data'!AP75*UDSOEF*NtoN2O*kgtoGg</f>
        <v>1.2512829185286929</v>
      </c>
      <c r="X1491" s="22">
        <f>'Activity data'!AQ75*UDSOEF*NtoN2O*kgtoGg</f>
        <v>1.2561904701944779</v>
      </c>
      <c r="Y1491" s="22">
        <f>'Activity data'!AR75*UDSOEF*NtoN2O*kgtoGg</f>
        <v>1.2593491386453628</v>
      </c>
      <c r="Z1491" s="22">
        <f>'Activity data'!AS75*UDSOEF*NtoN2O*kgtoGg</f>
        <v>1.2627961475551268</v>
      </c>
      <c r="AA1491" s="22">
        <f>'Activity data'!AT75*UDSOEF*NtoN2O*kgtoGg</f>
        <v>1.2664457529398805</v>
      </c>
      <c r="AB1491" s="22">
        <f>'Activity data'!AU75*UDSOEF*NtoN2O*kgtoGg</f>
        <v>1.2703809291718808</v>
      </c>
      <c r="AC1491" s="22">
        <f>'Activity data'!AV75*UDSOEF*NtoN2O*kgtoGg</f>
        <v>1.2746030028640307</v>
      </c>
      <c r="AD1491" s="22">
        <f>'Activity data'!AW75*UDSOEF*NtoN2O*kgtoGg</f>
        <v>1.2773820252725296</v>
      </c>
      <c r="AE1491" s="22">
        <f>'Activity data'!AX75*UDSOEF*NtoN2O*kgtoGg</f>
        <v>1.2803776449106503</v>
      </c>
      <c r="AF1491" s="22">
        <f>'Activity data'!AY75*UDSOEF*NtoN2O*kgtoGg</f>
        <v>1.2835712128131631</v>
      </c>
      <c r="AG1491" s="22">
        <f>'Activity data'!AZ75*UDSOEF*NtoN2O*kgtoGg</f>
        <v>1.2869986239202102</v>
      </c>
      <c r="AH1491" s="22">
        <f>'Activity data'!BA75*UDSOEF*NtoN2O*kgtoGg</f>
        <v>1.2905377461759007</v>
      </c>
      <c r="AI1491" s="22">
        <f>'Activity data'!BB75*UDSOEF*NtoN2O*kgtoGg</f>
        <v>1.2927316988521784</v>
      </c>
      <c r="AJ1491" s="22">
        <f>'Activity data'!BC75*UDSOEF*NtoN2O*kgtoGg</f>
        <v>1.2950883457351767</v>
      </c>
      <c r="AK1491" s="22">
        <f>'Activity data'!BD75*UDSOEF*NtoN2O*kgtoGg</f>
        <v>1.2975704821958689</v>
      </c>
      <c r="AL1491" s="22">
        <f>'Activity data'!BE75*UDSOEF*NtoN2O*kgtoGg</f>
        <v>1.3001934802396349</v>
      </c>
      <c r="AM1491" s="22">
        <f>'Activity data'!BF75*UDSOEF*NtoN2O*kgtoGg</f>
        <v>1.3029712180678941</v>
      </c>
      <c r="AN1491" s="22">
        <f>'Activity data'!BG75*UDSOEF*NtoN2O*kgtoGg</f>
        <v>1.3044858016805112</v>
      </c>
      <c r="AO1491" s="22">
        <f>'Activity data'!BH75*UDSOEF*NtoN2O*kgtoGg</f>
        <v>1.3060923439458467</v>
      </c>
      <c r="AP1491" s="22">
        <f>'Activity data'!BI75*UDSOEF*NtoN2O*kgtoGg</f>
        <v>1.3078245642911324</v>
      </c>
      <c r="AQ1491" s="22">
        <f>'Activity data'!BJ75*UDSOEF*NtoN2O*kgtoGg</f>
        <v>1.309679240073939</v>
      </c>
      <c r="AR1491" s="22">
        <f>'Activity data'!BK75*UDSOEF*NtoN2O*kgtoGg</f>
        <v>1.3116799485857458</v>
      </c>
      <c r="AS1491" s="22">
        <f>'Activity data'!BL75*UDSOEF*NtoN2O*kgtoGg</f>
        <v>1.3123787967688931</v>
      </c>
      <c r="AT1491" s="22">
        <f>'Activity data'!BM75*UDSOEF*NtoN2O*kgtoGg</f>
        <v>1.3129228074146826</v>
      </c>
      <c r="AU1491" s="22">
        <f>'Activity data'!BN75*UDSOEF*NtoN2O*kgtoGg</f>
        <v>1.3135461658234697</v>
      </c>
      <c r="AV1491" s="22">
        <f>'Activity data'!BO75*UDSOEF*NtoN2O*kgtoGg</f>
        <v>1.3142983246075228</v>
      </c>
      <c r="AW1491" s="22">
        <f>'Activity data'!BP75*UDSOEF*NtoN2O*kgtoGg</f>
        <v>1.3151264553704232</v>
      </c>
    </row>
    <row r="1492" spans="1:49" x14ac:dyDescent="0.25">
      <c r="A1492" s="102" t="s">
        <v>961</v>
      </c>
      <c r="B1492" s="102"/>
      <c r="C1492" s="102"/>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0.19181822763057532</v>
      </c>
      <c r="L1492" s="22">
        <f>'Activity data'!AE76*UDSOEF*NtoN2O*kgtoGg</f>
        <v>0.19311010534642395</v>
      </c>
      <c r="M1492" s="22">
        <f>'Activity data'!AF76*UDSOEF*NtoN2O*kgtoGg</f>
        <v>0.19389173119299405</v>
      </c>
      <c r="N1492" s="22">
        <f>'Activity data'!AG76*UDSOEF*NtoN2O*kgtoGg</f>
        <v>0.19286331841675533</v>
      </c>
      <c r="O1492" s="22">
        <f>'Activity data'!AH76*UDSOEF*NtoN2O*kgtoGg</f>
        <v>0.19181235815879408</v>
      </c>
      <c r="P1492" s="22">
        <f>'Activity data'!AI76*UDSOEF*NtoN2O*kgtoGg</f>
        <v>0.19246355732374573</v>
      </c>
      <c r="Q1492" s="22">
        <f>'Activity data'!AJ76*UDSOEF*NtoN2O*kgtoGg</f>
        <v>0.19254768245204176</v>
      </c>
      <c r="R1492" s="22">
        <f>'Activity data'!AK76*UDSOEF*NtoN2O*kgtoGg</f>
        <v>0.1907519738898287</v>
      </c>
      <c r="S1492" s="22">
        <f>'Activity data'!AL76*UDSOEF*NtoN2O*kgtoGg</f>
        <v>0.18088699682644091</v>
      </c>
      <c r="T1492" s="22">
        <f>'Activity data'!AM76*UDSOEF*NtoN2O*kgtoGg</f>
        <v>0.1838972381660133</v>
      </c>
      <c r="U1492" s="22">
        <f>'Activity data'!AN76*UDSOEF*NtoN2O*kgtoGg</f>
        <v>0.18587548996919678</v>
      </c>
      <c r="V1492" s="22">
        <f>'Activity data'!AO76*UDSOEF*NtoN2O*kgtoGg</f>
        <v>0.18760159282395869</v>
      </c>
      <c r="W1492" s="22">
        <f>'Activity data'!AP76*UDSOEF*NtoN2O*kgtoGg</f>
        <v>0.1896732782375587</v>
      </c>
      <c r="X1492" s="22">
        <f>'Activity data'!AQ76*UDSOEF*NtoN2O*kgtoGg</f>
        <v>0.1930022477976579</v>
      </c>
      <c r="Y1492" s="22">
        <f>'Activity data'!AR76*UDSOEF*NtoN2O*kgtoGg</f>
        <v>0.19680822491201644</v>
      </c>
      <c r="Z1492" s="22">
        <f>'Activity data'!AS76*UDSOEF*NtoN2O*kgtoGg</f>
        <v>0.20092114686502896</v>
      </c>
      <c r="AA1492" s="22">
        <f>'Activity data'!AT76*UDSOEF*NtoN2O*kgtoGg</f>
        <v>0.20449468327122119</v>
      </c>
      <c r="AB1492" s="22">
        <f>'Activity data'!AU76*UDSOEF*NtoN2O*kgtoGg</f>
        <v>0.20863723377024176</v>
      </c>
      <c r="AC1492" s="22">
        <f>'Activity data'!AV76*UDSOEF*NtoN2O*kgtoGg</f>
        <v>0.21348409201000912</v>
      </c>
      <c r="AD1492" s="22">
        <f>'Activity data'!AW76*UDSOEF*NtoN2O*kgtoGg</f>
        <v>0.21835511855598433</v>
      </c>
      <c r="AE1492" s="22">
        <f>'Activity data'!AX76*UDSOEF*NtoN2O*kgtoGg</f>
        <v>0.22343868148870985</v>
      </c>
      <c r="AF1492" s="22">
        <f>'Activity data'!AY76*UDSOEF*NtoN2O*kgtoGg</f>
        <v>0.22861834548683552</v>
      </c>
      <c r="AG1492" s="22">
        <f>'Activity data'!AZ76*UDSOEF*NtoN2O*kgtoGg</f>
        <v>0.23439670920107816</v>
      </c>
      <c r="AH1492" s="22">
        <f>'Activity data'!BA76*UDSOEF*NtoN2O*kgtoGg</f>
        <v>0.23945118587989581</v>
      </c>
      <c r="AI1492" s="22">
        <f>'Activity data'!BB76*UDSOEF*NtoN2O*kgtoGg</f>
        <v>0.24500563890300198</v>
      </c>
      <c r="AJ1492" s="22">
        <f>'Activity data'!BC76*UDSOEF*NtoN2O*kgtoGg</f>
        <v>0.25065226424650994</v>
      </c>
      <c r="AK1492" s="22">
        <f>'Activity data'!BD76*UDSOEF*NtoN2O*kgtoGg</f>
        <v>0.25603495440723167</v>
      </c>
      <c r="AL1492" s="22">
        <f>'Activity data'!BE76*UDSOEF*NtoN2O*kgtoGg</f>
        <v>0.26139389266760604</v>
      </c>
      <c r="AM1492" s="22">
        <f>'Activity data'!BF76*UDSOEF*NtoN2O*kgtoGg</f>
        <v>0.26694586167829398</v>
      </c>
      <c r="AN1492" s="22">
        <f>'Activity data'!BG76*UDSOEF*NtoN2O*kgtoGg</f>
        <v>0.2729875481925238</v>
      </c>
      <c r="AO1492" s="22">
        <f>'Activity data'!BH76*UDSOEF*NtoN2O*kgtoGg</f>
        <v>0.27866949697835908</v>
      </c>
      <c r="AP1492" s="22">
        <f>'Activity data'!BI76*UDSOEF*NtoN2O*kgtoGg</f>
        <v>0.28442636508269281</v>
      </c>
      <c r="AQ1492" s="22">
        <f>'Activity data'!BJ76*UDSOEF*NtoN2O*kgtoGg</f>
        <v>0.29026877942449542</v>
      </c>
      <c r="AR1492" s="22">
        <f>'Activity data'!BK76*UDSOEF*NtoN2O*kgtoGg</f>
        <v>0.2965076361345787</v>
      </c>
      <c r="AS1492" s="22">
        <f>'Activity data'!BL76*UDSOEF*NtoN2O*kgtoGg</f>
        <v>0.30314124222534444</v>
      </c>
      <c r="AT1492" s="22">
        <f>'Activity data'!BM76*UDSOEF*NtoN2O*kgtoGg</f>
        <v>0.30687944467675132</v>
      </c>
      <c r="AU1492" s="22">
        <f>'Activity data'!BN76*UDSOEF*NtoN2O*kgtoGg</f>
        <v>0.31041516575775774</v>
      </c>
      <c r="AV1492" s="22">
        <f>'Activity data'!BO76*UDSOEF*NtoN2O*kgtoGg</f>
        <v>0.31434593932944749</v>
      </c>
      <c r="AW1492" s="22">
        <f>'Activity data'!BP76*UDSOEF*NtoN2O*kgtoGg</f>
        <v>0.31810899011348942</v>
      </c>
    </row>
    <row r="1493" spans="1:49" x14ac:dyDescent="0.25">
      <c r="A1493" s="102" t="s">
        <v>961</v>
      </c>
      <c r="B1493" s="102"/>
      <c r="C1493" s="102"/>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102" t="s">
        <v>961</v>
      </c>
      <c r="B1494" s="102"/>
      <c r="C1494" s="102"/>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102" t="s">
        <v>961</v>
      </c>
      <c r="B1495" s="102"/>
      <c r="C1495" s="102"/>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102" t="s">
        <v>961</v>
      </c>
      <c r="B1496" s="102"/>
      <c r="C1496" s="102"/>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102" t="s">
        <v>961</v>
      </c>
      <c r="B1497" s="102"/>
      <c r="C1497" s="102"/>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102" t="s">
        <v>961</v>
      </c>
      <c r="B1498" s="102"/>
      <c r="C1498" s="102"/>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102" t="s">
        <v>961</v>
      </c>
      <c r="B1499" s="102"/>
      <c r="C1499" s="102"/>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102" t="s">
        <v>961</v>
      </c>
      <c r="B1500" s="102"/>
      <c r="C1500" s="102"/>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102" t="s">
        <v>961</v>
      </c>
      <c r="B1501" s="102"/>
      <c r="C1501" s="102"/>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102" t="s">
        <v>961</v>
      </c>
      <c r="B1502" s="102"/>
      <c r="C1502" s="102"/>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102" t="s">
        <v>961</v>
      </c>
      <c r="B1503" s="102"/>
      <c r="C1503" s="102"/>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102" t="s">
        <v>961</v>
      </c>
      <c r="B1504" s="102"/>
      <c r="C1504" s="102"/>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102" t="s">
        <v>961</v>
      </c>
      <c r="B1505" s="102"/>
      <c r="C1505" s="102"/>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102" t="s">
        <v>961</v>
      </c>
      <c r="B1506" s="102"/>
      <c r="C1506" s="102"/>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102" t="s">
        <v>961</v>
      </c>
      <c r="B1507" s="102"/>
      <c r="C1507" s="102"/>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102" t="s">
        <v>961</v>
      </c>
      <c r="B1508" s="102"/>
      <c r="C1508" s="102"/>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102" t="s">
        <v>961</v>
      </c>
      <c r="B1509" s="102"/>
      <c r="C1509" s="102"/>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102" t="s">
        <v>961</v>
      </c>
      <c r="B1510" s="102"/>
      <c r="C1510" s="102"/>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0.66056660352543128</v>
      </c>
      <c r="M1510" s="22">
        <f>'Activity data'!AF47*ttokg*FracGASF*MSVolatEF*NtoN2O*kgtoGg</f>
        <v>0.66042995522505377</v>
      </c>
      <c r="N1510" s="22">
        <f>'Activity data'!AG47*ttokg*FracGASF*MSVolatEF*NtoN2O*kgtoGg</f>
        <v>0.66031365898338112</v>
      </c>
      <c r="O1510" s="22">
        <f>'Activity data'!AH47*ttokg*FracGASF*MSVolatEF*NtoN2O*kgtoGg</f>
        <v>0.66027560568732091</v>
      </c>
      <c r="P1510" s="22">
        <f>'Activity data'!AI47*ttokg*FracGASF*MSVolatEF*NtoN2O*kgtoGg</f>
        <v>0.66023708971175277</v>
      </c>
      <c r="Q1510" s="22">
        <f>'Activity data'!AJ47*ttokg*FracGASF*MSVolatEF*NtoN2O*kgtoGg</f>
        <v>0.66011966991986881</v>
      </c>
      <c r="R1510" s="22">
        <f>'Activity data'!AK47*ttokg*FracGASF*MSVolatEF*NtoN2O*kgtoGg</f>
        <v>0.66002765167075472</v>
      </c>
      <c r="S1510" s="22">
        <f>'Activity data'!AL47*ttokg*FracGASF*MSVolatEF*NtoN2O*kgtoGg</f>
        <v>0.66002145648060517</v>
      </c>
      <c r="T1510" s="22">
        <f>'Activity data'!AM47*ttokg*FracGASF*MSVolatEF*NtoN2O*kgtoGg</f>
        <v>0.66040420720172732</v>
      </c>
      <c r="U1510" s="22">
        <f>'Activity data'!AN47*ttokg*FracGASF*MSVolatEF*NtoN2O*kgtoGg</f>
        <v>0.66019485697997204</v>
      </c>
      <c r="V1510" s="22">
        <f>'Activity data'!AO47*ttokg*FracGASF*MSVolatEF*NtoN2O*kgtoGg</f>
        <v>0.66003652312909888</v>
      </c>
      <c r="W1510" s="22">
        <f>'Activity data'!AP47*ttokg*FracGASF*MSVolatEF*NtoN2O*kgtoGg</f>
        <v>0.65989054673114655</v>
      </c>
      <c r="X1510" s="22">
        <f>'Activity data'!AQ47*ttokg*FracGASF*MSVolatEF*NtoN2O*kgtoGg</f>
        <v>0.65972835879321112</v>
      </c>
      <c r="Y1510" s="22">
        <f>'Activity data'!AR47*ttokg*FracGASF*MSVolatEF*NtoN2O*kgtoGg</f>
        <v>0.65950794659321976</v>
      </c>
      <c r="Z1510" s="22">
        <f>'Activity data'!AS47*ttokg*FracGASF*MSVolatEF*NtoN2O*kgtoGg</f>
        <v>0.65927714888243172</v>
      </c>
      <c r="AA1510" s="22">
        <f>'Activity data'!AT47*ttokg*FracGASF*MSVolatEF*NtoN2O*kgtoGg</f>
        <v>0.65903551292141993</v>
      </c>
      <c r="AB1510" s="22">
        <f>'Activity data'!AU47*ttokg*FracGASF*MSVolatEF*NtoN2O*kgtoGg</f>
        <v>0.65882075529961204</v>
      </c>
      <c r="AC1510" s="22">
        <f>'Activity data'!AV47*ttokg*FracGASF*MSVolatEF*NtoN2O*kgtoGg</f>
        <v>0.65858383398788667</v>
      </c>
      <c r="AD1510" s="22">
        <f>'Activity data'!AW47*ttokg*FracGASF*MSVolatEF*NtoN2O*kgtoGg</f>
        <v>0.65832049506454571</v>
      </c>
      <c r="AE1510" s="22">
        <f>'Activity data'!AX47*ttokg*FracGASF*MSVolatEF*NtoN2O*kgtoGg</f>
        <v>0.65806825645343991</v>
      </c>
      <c r="AF1510" s="22">
        <f>'Activity data'!AY47*ttokg*FracGASF*MSVolatEF*NtoN2O*kgtoGg</f>
        <v>0.65781181226611019</v>
      </c>
      <c r="AG1510" s="22">
        <f>'Activity data'!AZ47*ttokg*FracGASF*MSVolatEF*NtoN2O*kgtoGg</f>
        <v>0.65755610222279148</v>
      </c>
      <c r="AH1510" s="22">
        <f>'Activity data'!BA47*ttokg*FracGASF*MSVolatEF*NtoN2O*kgtoGg</f>
        <v>0.65728213410220515</v>
      </c>
      <c r="AI1510" s="22">
        <f>'Activity data'!BB47*ttokg*FracGASF*MSVolatEF*NtoN2O*kgtoGg</f>
        <v>0.65704025946446432</v>
      </c>
      <c r="AJ1510" s="22">
        <f>'Activity data'!BC47*ttokg*FracGASF*MSVolatEF*NtoN2O*kgtoGg</f>
        <v>0.65679167627959911</v>
      </c>
      <c r="AK1510" s="22">
        <f>'Activity data'!BD47*ttokg*FracGASF*MSVolatEF*NtoN2O*kgtoGg</f>
        <v>0.65654442966296833</v>
      </c>
      <c r="AL1510" s="22">
        <f>'Activity data'!BE47*ttokg*FracGASF*MSVolatEF*NtoN2O*kgtoGg</f>
        <v>0.6563107846246663</v>
      </c>
      <c r="AM1510" s="22">
        <f>'Activity data'!BF47*ttokg*FracGASF*MSVolatEF*NtoN2O*kgtoGg</f>
        <v>0.65608183818668697</v>
      </c>
      <c r="AN1510" s="22">
        <f>'Activity data'!BG47*ttokg*FracGASF*MSVolatEF*NtoN2O*kgtoGg</f>
        <v>0.6558502326056066</v>
      </c>
      <c r="AO1510" s="22">
        <f>'Activity data'!BH47*ttokg*FracGASF*MSVolatEF*NtoN2O*kgtoGg</f>
        <v>0.65561383844940613</v>
      </c>
      <c r="AP1510" s="22">
        <f>'Activity data'!BI47*ttokg*FracGASF*MSVolatEF*NtoN2O*kgtoGg</f>
        <v>0.65539317250053775</v>
      </c>
      <c r="AQ1510" s="22">
        <f>'Activity data'!BJ47*ttokg*FracGASF*MSVolatEF*NtoN2O*kgtoGg</f>
        <v>0.65517393492300557</v>
      </c>
      <c r="AR1510" s="22">
        <f>'Activity data'!BK47*ttokg*FracGASF*MSVolatEF*NtoN2O*kgtoGg</f>
        <v>0.65495579618392019</v>
      </c>
      <c r="AS1510" s="22">
        <f>'Activity data'!BL47*ttokg*FracGASF*MSVolatEF*NtoN2O*kgtoGg</f>
        <v>0.65472963164045961</v>
      </c>
      <c r="AT1510" s="22">
        <f>'Activity data'!BM47*ttokg*FracGASF*MSVolatEF*NtoN2O*kgtoGg</f>
        <v>0.65450342769214809</v>
      </c>
      <c r="AU1510" s="22">
        <f>'Activity data'!BN47*ttokg*FracGASF*MSVolatEF*NtoN2O*kgtoGg</f>
        <v>0.65436308710087154</v>
      </c>
      <c r="AV1510" s="22">
        <f>'Activity data'!BO47*ttokg*FracGASF*MSVolatEF*NtoN2O*kgtoGg</f>
        <v>0.65422967735758231</v>
      </c>
      <c r="AW1510" s="22">
        <f>'Activity data'!BP47*ttokg*FracGASF*MSVolatEF*NtoN2O*kgtoGg</f>
        <v>0.65408646829531714</v>
      </c>
    </row>
    <row r="1511" spans="1:49" x14ac:dyDescent="0.25">
      <c r="A1511" s="102" t="s">
        <v>961</v>
      </c>
      <c r="B1511" s="102"/>
      <c r="C1511" s="102"/>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8.7194791665356954E-3</v>
      </c>
      <c r="M1511" s="22">
        <f>'Activity data'!AF48*ttokg*FracGASM*MSVolatEF*NtoN2O*kgtoGg</f>
        <v>8.7176754089707108E-3</v>
      </c>
      <c r="N1511" s="22">
        <f>'Activity data'!AG48*ttokg*FracGASM*MSVolatEF*NtoN2O*kgtoGg</f>
        <v>8.7161402985806314E-3</v>
      </c>
      <c r="O1511" s="22">
        <f>'Activity data'!AH48*ttokg*FracGASM*MSVolatEF*NtoN2O*kgtoGg</f>
        <v>8.7156379950726372E-3</v>
      </c>
      <c r="P1511" s="22">
        <f>'Activity data'!AI48*ttokg*FracGASM*MSVolatEF*NtoN2O*kgtoGg</f>
        <v>8.7151295841951387E-3</v>
      </c>
      <c r="Q1511" s="22">
        <f>'Activity data'!AJ48*ttokg*FracGASM*MSVolatEF*NtoN2O*kgtoGg</f>
        <v>8.7135796429422714E-3</v>
      </c>
      <c r="R1511" s="22">
        <f>'Activity data'!AK48*ttokg*FracGASM*MSVolatEF*NtoN2O*kgtoGg</f>
        <v>8.7123650020539626E-3</v>
      </c>
      <c r="S1511" s="22">
        <f>'Activity data'!AL48*ttokg*FracGASM*MSVolatEF*NtoN2O*kgtoGg</f>
        <v>8.7122832255439892E-3</v>
      </c>
      <c r="T1511" s="22">
        <f>'Activity data'!AM48*ttokg*FracGASM*MSVolatEF*NtoN2O*kgtoGg</f>
        <v>8.7173355350628028E-3</v>
      </c>
      <c r="U1511" s="22">
        <f>'Activity data'!AN48*ttokg*FracGASM*MSVolatEF*NtoN2O*kgtoGg</f>
        <v>8.7145721121356327E-3</v>
      </c>
      <c r="V1511" s="22">
        <f>'Activity data'!AO48*ttokg*FracGASM*MSVolatEF*NtoN2O*kgtoGg</f>
        <v>8.7124821053041063E-3</v>
      </c>
      <c r="W1511" s="22">
        <f>'Activity data'!AP48*ttokg*FracGASM*MSVolatEF*NtoN2O*kgtoGg</f>
        <v>8.7105552168511343E-3</v>
      </c>
      <c r="X1511" s="22">
        <f>'Activity data'!AQ48*ttokg*FracGASM*MSVolatEF*NtoN2O*kgtoGg</f>
        <v>8.7084143360703897E-3</v>
      </c>
      <c r="Y1511" s="22">
        <f>'Activity data'!AR48*ttokg*FracGASM*MSVolatEF*NtoN2O*kgtoGg</f>
        <v>8.7055048950305004E-3</v>
      </c>
      <c r="Z1511" s="22">
        <f>'Activity data'!AS48*ttokg*FracGASM*MSVolatEF*NtoN2O*kgtoGg</f>
        <v>8.7024583652481006E-3</v>
      </c>
      <c r="AA1511" s="22">
        <f>'Activity data'!AT48*ttokg*FracGASM*MSVolatEF*NtoN2O*kgtoGg</f>
        <v>8.6992687705627434E-3</v>
      </c>
      <c r="AB1511" s="22">
        <f>'Activity data'!AU48*ttokg*FracGASM*MSVolatEF*NtoN2O*kgtoGg</f>
        <v>8.6964339699548802E-3</v>
      </c>
      <c r="AC1511" s="22">
        <f>'Activity data'!AV48*ttokg*FracGASM*MSVolatEF*NtoN2O*kgtoGg</f>
        <v>8.6933066086401032E-3</v>
      </c>
      <c r="AD1511" s="22">
        <f>'Activity data'!AW48*ttokg*FracGASM*MSVolatEF*NtoN2O*kgtoGg</f>
        <v>8.6898305348520055E-3</v>
      </c>
      <c r="AE1511" s="22">
        <f>'Activity data'!AX48*ttokg*FracGASM*MSVolatEF*NtoN2O*kgtoGg</f>
        <v>8.6865009851854087E-3</v>
      </c>
      <c r="AF1511" s="22">
        <f>'Activity data'!AY48*ttokg*FracGASM*MSVolatEF*NtoN2O*kgtoGg</f>
        <v>8.6831159219126538E-3</v>
      </c>
      <c r="AG1511" s="22">
        <f>'Activity data'!AZ48*ttokg*FracGASM*MSVolatEF*NtoN2O*kgtoGg</f>
        <v>8.6797405493408489E-3</v>
      </c>
      <c r="AH1511" s="22">
        <f>'Activity data'!BA48*ttokg*FracGASM*MSVolatEF*NtoN2O*kgtoGg</f>
        <v>8.6761241701491087E-3</v>
      </c>
      <c r="AI1511" s="22">
        <f>'Activity data'!BB48*ttokg*FracGASM*MSVolatEF*NtoN2O*kgtoGg</f>
        <v>8.672931424930929E-3</v>
      </c>
      <c r="AJ1511" s="22">
        <f>'Activity data'!BC48*ttokg*FracGASM*MSVolatEF*NtoN2O*kgtoGg</f>
        <v>8.6696501268907124E-3</v>
      </c>
      <c r="AK1511" s="22">
        <f>'Activity data'!BD48*ttokg*FracGASM*MSVolatEF*NtoN2O*kgtoGg</f>
        <v>8.6663864715511834E-3</v>
      </c>
      <c r="AL1511" s="22">
        <f>'Activity data'!BE48*ttokg*FracGASM*MSVolatEF*NtoN2O*kgtoGg</f>
        <v>8.6633023570455974E-3</v>
      </c>
      <c r="AM1511" s="22">
        <f>'Activity data'!BF48*ttokg*FracGASM*MSVolatEF*NtoN2O*kgtoGg</f>
        <v>8.6602802640642716E-3</v>
      </c>
      <c r="AN1511" s="22">
        <f>'Activity data'!BG48*ttokg*FracGASM*MSVolatEF*NtoN2O*kgtoGg</f>
        <v>8.6572230703940104E-3</v>
      </c>
      <c r="AO1511" s="22">
        <f>'Activity data'!BH48*ttokg*FracGASM*MSVolatEF*NtoN2O*kgtoGg</f>
        <v>8.6541026675321618E-3</v>
      </c>
      <c r="AP1511" s="22">
        <f>'Activity data'!BI48*ttokg*FracGASM*MSVolatEF*NtoN2O*kgtoGg</f>
        <v>8.651189877007099E-3</v>
      </c>
      <c r="AQ1511" s="22">
        <f>'Activity data'!BJ48*ttokg*FracGASM*MSVolatEF*NtoN2O*kgtoGg</f>
        <v>8.6482959409836767E-3</v>
      </c>
      <c r="AR1511" s="22">
        <f>'Activity data'!BK48*ttokg*FracGASM*MSVolatEF*NtoN2O*kgtoGg</f>
        <v>8.6454165096277492E-3</v>
      </c>
      <c r="AS1511" s="22">
        <f>'Activity data'!BL48*ttokg*FracGASM*MSVolatEF*NtoN2O*kgtoGg</f>
        <v>8.642431137654066E-3</v>
      </c>
      <c r="AT1511" s="22">
        <f>'Activity data'!BM48*ttokg*FracGASM*MSVolatEF*NtoN2O*kgtoGg</f>
        <v>8.6394452455363525E-3</v>
      </c>
      <c r="AU1511" s="22">
        <f>'Activity data'!BN48*ttokg*FracGASM*MSVolatEF*NtoN2O*kgtoGg</f>
        <v>8.6375927497315073E-3</v>
      </c>
      <c r="AV1511" s="22">
        <f>'Activity data'!BO48*ttokg*FracGASM*MSVolatEF*NtoN2O*kgtoGg</f>
        <v>8.635831741120089E-3</v>
      </c>
      <c r="AW1511" s="22">
        <f>'Activity data'!BP48*ttokg*FracGASM*MSVolatEF*NtoN2O*kgtoGg</f>
        <v>8.6339413814981846E-3</v>
      </c>
    </row>
    <row r="1512" spans="1:49" x14ac:dyDescent="0.25">
      <c r="A1512" s="102" t="s">
        <v>961</v>
      </c>
      <c r="B1512" s="102"/>
      <c r="C1512" s="102"/>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1.2055794850635659</v>
      </c>
      <c r="L1512" s="22">
        <f>SUM('Activity data'!AE50:AE65)*FracGASM*MSVolatEF*NtoN2O*kgtoGg</f>
        <v>1.2104278424184185</v>
      </c>
      <c r="M1512" s="22">
        <f>SUM('Activity data'!AF50:AF65)*FracGASM*MSVolatEF*NtoN2O*kgtoGg</f>
        <v>1.2110410080270337</v>
      </c>
      <c r="N1512" s="22">
        <f>SUM('Activity data'!AG50:AG65)*FracGASM*MSVolatEF*NtoN2O*kgtoGg</f>
        <v>1.1943250378730979</v>
      </c>
      <c r="O1512" s="22">
        <f>SUM('Activity data'!AH50:AH65)*FracGASM*MSVolatEF*NtoN2O*kgtoGg</f>
        <v>1.1785336367211481</v>
      </c>
      <c r="P1512" s="22">
        <f>SUM('Activity data'!AI50:AI65)*FracGASM*MSVolatEF*NtoN2O*kgtoGg</f>
        <v>1.1807984846872717</v>
      </c>
      <c r="Q1512" s="22">
        <f>SUM('Activity data'!AJ50:AJ65)*FracGASM*MSVolatEF*NtoN2O*kgtoGg</f>
        <v>1.1777806975328995</v>
      </c>
      <c r="R1512" s="22">
        <f>SUM('Activity data'!AK50:AK65)*FracGASM*MSVolatEF*NtoN2O*kgtoGg</f>
        <v>1.1565987272959932</v>
      </c>
      <c r="S1512" s="22">
        <f>SUM('Activity data'!AL50:AL65)*FracGASM*MSVolatEF*NtoN2O*kgtoGg</f>
        <v>1.0565661190304907</v>
      </c>
      <c r="T1512" s="22">
        <f>SUM('Activity data'!AM50:AM65)*FracGASM*MSVolatEF*NtoN2O*kgtoGg</f>
        <v>1.0843981444045876</v>
      </c>
      <c r="U1512" s="22">
        <f>SUM('Activity data'!AN50:AN65)*FracGASM*MSVolatEF*NtoN2O*kgtoGg</f>
        <v>1.1022978887172767</v>
      </c>
      <c r="V1512" s="22">
        <f>SUM('Activity data'!AO50:AO65)*FracGASM*MSVolatEF*NtoN2O*kgtoGg</f>
        <v>1.1179525333401792</v>
      </c>
      <c r="W1512" s="22">
        <f>SUM('Activity data'!AP50:AP65)*FracGASM*MSVolatEF*NtoN2O*kgtoGg</f>
        <v>1.1371937582920058</v>
      </c>
      <c r="X1512" s="22">
        <f>SUM('Activity data'!AQ50:AQ65)*FracGASM*MSVolatEF*NtoN2O*kgtoGg</f>
        <v>1.1688596383194103</v>
      </c>
      <c r="Y1512" s="22">
        <f>SUM('Activity data'!AR50:AR65)*FracGASM*MSVolatEF*NtoN2O*kgtoGg</f>
        <v>1.2033526446166931</v>
      </c>
      <c r="Z1512" s="22">
        <f>SUM('Activity data'!AS50:AS65)*FracGASM*MSVolatEF*NtoN2O*kgtoGg</f>
        <v>1.2408507133252609</v>
      </c>
      <c r="AA1512" s="22">
        <f>SUM('Activity data'!AT50:AT65)*FracGASM*MSVolatEF*NtoN2O*kgtoGg</f>
        <v>1.2731843133951926</v>
      </c>
      <c r="AB1512" s="22">
        <f>SUM('Activity data'!AU50:AU65)*FracGASM*MSVolatEF*NtoN2O*kgtoGg</f>
        <v>1.3110551040849183</v>
      </c>
      <c r="AC1512" s="22">
        <f>SUM('Activity data'!AV50:AV65)*FracGASM*MSVolatEF*NtoN2O*kgtoGg</f>
        <v>1.355728169291323</v>
      </c>
      <c r="AD1512" s="22">
        <f>SUM('Activity data'!AW50:AW65)*FracGASM*MSVolatEF*NtoN2O*kgtoGg</f>
        <v>1.3939596257860098</v>
      </c>
      <c r="AE1512" s="22">
        <f>SUM('Activity data'!AX50:AX65)*FracGASM*MSVolatEF*NtoN2O*kgtoGg</f>
        <v>1.4337807294637712</v>
      </c>
      <c r="AF1512" s="22">
        <f>SUM('Activity data'!AY50:AY65)*FracGASM*MSVolatEF*NtoN2O*kgtoGg</f>
        <v>1.47406827607512</v>
      </c>
      <c r="AG1512" s="22">
        <f>SUM('Activity data'!AZ50:AZ65)*FracGASM*MSVolatEF*NtoN2O*kgtoGg</f>
        <v>1.5194978047800693</v>
      </c>
      <c r="AH1512" s="22">
        <f>SUM('Activity data'!BA50:BA65)*FracGASM*MSVolatEF*NtoN2O*kgtoGg</f>
        <v>1.5577289711925291</v>
      </c>
      <c r="AI1512" s="22">
        <f>SUM('Activity data'!BB50:BB65)*FracGASM*MSVolatEF*NtoN2O*kgtoGg</f>
        <v>1.5982604880799263</v>
      </c>
      <c r="AJ1512" s="22">
        <f>SUM('Activity data'!BC50:BC65)*FracGASM*MSVolatEF*NtoN2O*kgtoGg</f>
        <v>1.6390864176929789</v>
      </c>
      <c r="AK1512" s="22">
        <f>SUM('Activity data'!BD50:BD65)*FracGASM*MSVolatEF*NtoN2O*kgtoGg</f>
        <v>1.6769805965077378</v>
      </c>
      <c r="AL1512" s="22">
        <f>SUM('Activity data'!BE50:BE65)*FracGASM*MSVolatEF*NtoN2O*kgtoGg</f>
        <v>1.7141634850883904</v>
      </c>
      <c r="AM1512" s="22">
        <f>SUM('Activity data'!BF50:BF65)*FracGASM*MSVolatEF*NtoN2O*kgtoGg</f>
        <v>1.7525800299502974</v>
      </c>
      <c r="AN1512" s="22">
        <f>SUM('Activity data'!BG50:BG65)*FracGASM*MSVolatEF*NtoN2O*kgtoGg</f>
        <v>1.7962799809461818</v>
      </c>
      <c r="AO1512" s="22">
        <f>SUM('Activity data'!BH50:BH65)*FracGASM*MSVolatEF*NtoN2O*kgtoGg</f>
        <v>1.8363745934977889</v>
      </c>
      <c r="AP1512" s="22">
        <f>SUM('Activity data'!BI50:BI65)*FracGASM*MSVolatEF*NtoN2O*kgtoGg</f>
        <v>1.8767319429652667</v>
      </c>
      <c r="AQ1512" s="22">
        <f>SUM('Activity data'!BJ50:BJ65)*FracGASM*MSVolatEF*NtoN2O*kgtoGg</f>
        <v>1.9174419078072971</v>
      </c>
      <c r="AR1512" s="22">
        <f>SUM('Activity data'!BK50:BK65)*FracGASM*MSVolatEF*NtoN2O*kgtoGg</f>
        <v>1.9611841098019933</v>
      </c>
      <c r="AS1512" s="22">
        <f>SUM('Activity data'!BL50:BL65)*FracGASM*MSVolatEF*NtoN2O*kgtoGg</f>
        <v>2.0057175014121866</v>
      </c>
      <c r="AT1512" s="22">
        <f>SUM('Activity data'!BM50:BM65)*FracGASM*MSVolatEF*NtoN2O*kgtoGg</f>
        <v>2.0250554676371522</v>
      </c>
      <c r="AU1512" s="22">
        <f>SUM('Activity data'!BN50:BN65)*FracGASM*MSVolatEF*NtoN2O*kgtoGg</f>
        <v>2.0424822718000586</v>
      </c>
      <c r="AV1512" s="22">
        <f>SUM('Activity data'!BO50:BO65)*FracGASM*MSVolatEF*NtoN2O*kgtoGg</f>
        <v>2.0630523613917346</v>
      </c>
      <c r="AW1512" s="22">
        <f>SUM('Activity data'!BP50:BP65)*FracGASM*MSVolatEF*NtoN2O*kgtoGg</f>
        <v>2.082006990762475</v>
      </c>
    </row>
    <row r="1513" spans="1:49" x14ac:dyDescent="0.25">
      <c r="A1513" s="102" t="s">
        <v>961</v>
      </c>
      <c r="B1513" s="102"/>
      <c r="C1513" s="102"/>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4.4098974147867755</v>
      </c>
      <c r="L1513" s="22">
        <f>SUM('Activity data'!AE66:AE81)*FracGASM*MSVolatEF*NtoN2O*kgtoGg</f>
        <v>4.4002705988392581</v>
      </c>
      <c r="M1513" s="22">
        <f>SUM('Activity data'!AF66:AF81)*FracGASM*MSVolatEF*NtoN2O*kgtoGg</f>
        <v>4.3810790490560496</v>
      </c>
      <c r="N1513" s="22">
        <f>SUM('Activity data'!AG66:AG81)*FracGASM*MSVolatEF*NtoN2O*kgtoGg</f>
        <v>4.3210884872533324</v>
      </c>
      <c r="O1513" s="22">
        <f>SUM('Activity data'!AH66:AH81)*FracGASM*MSVolatEF*NtoN2O*kgtoGg</f>
        <v>4.2648964492483783</v>
      </c>
      <c r="P1513" s="22">
        <f>SUM('Activity data'!AI66:AI81)*FracGASM*MSVolatEF*NtoN2O*kgtoGg</f>
        <v>4.2527084614653266</v>
      </c>
      <c r="Q1513" s="22">
        <f>SUM('Activity data'!AJ66:AJ81)*FracGASM*MSVolatEF*NtoN2O*kgtoGg</f>
        <v>4.2283311412429541</v>
      </c>
      <c r="R1513" s="22">
        <f>SUM('Activity data'!AK66:AK81)*FracGASM*MSVolatEF*NtoN2O*kgtoGg</f>
        <v>4.1624951000433894</v>
      </c>
      <c r="S1513" s="22">
        <f>SUM('Activity data'!AL66:AL81)*FracGASM*MSVolatEF*NtoN2O*kgtoGg</f>
        <v>3.918294133105289</v>
      </c>
      <c r="T1513" s="22">
        <f>SUM('Activity data'!AM66:AM81)*FracGASM*MSVolatEF*NtoN2O*kgtoGg</f>
        <v>3.9728149933985741</v>
      </c>
      <c r="U1513" s="22">
        <f>SUM('Activity data'!AN66:AN81)*FracGASM*MSVolatEF*NtoN2O*kgtoGg</f>
        <v>4.0046383553460947</v>
      </c>
      <c r="V1513" s="22">
        <f>SUM('Activity data'!AO66:AO81)*FracGASM*MSVolatEF*NtoN2O*kgtoGg</f>
        <v>4.0313393560711299</v>
      </c>
      <c r="W1513" s="22">
        <f>SUM('Activity data'!AP66:AP81)*FracGASM*MSVolatEF*NtoN2O*kgtoGg</f>
        <v>4.0659554364901567</v>
      </c>
      <c r="X1513" s="22">
        <f>SUM('Activity data'!AQ66:AQ81)*FracGASM*MSVolatEF*NtoN2O*kgtoGg</f>
        <v>4.127860980146191</v>
      </c>
      <c r="Y1513" s="22">
        <f>SUM('Activity data'!AR66:AR81)*FracGASM*MSVolatEF*NtoN2O*kgtoGg</f>
        <v>4.1932975047825973</v>
      </c>
      <c r="Z1513" s="22">
        <f>SUM('Activity data'!AS66:AS81)*FracGASM*MSVolatEF*NtoN2O*kgtoGg</f>
        <v>4.2646556600059613</v>
      </c>
      <c r="AA1513" s="22">
        <f>SUM('Activity data'!AT66:AT81)*FracGASM*MSVolatEF*NtoN2O*kgtoGg</f>
        <v>4.3240622404895737</v>
      </c>
      <c r="AB1513" s="22">
        <f>SUM('Activity data'!AU66:AU81)*FracGASM*MSVolatEF*NtoN2O*kgtoGg</f>
        <v>4.3947968135079751</v>
      </c>
      <c r="AC1513" s="22">
        <f>SUM('Activity data'!AV66:AV81)*FracGASM*MSVolatEF*NtoN2O*kgtoGg</f>
        <v>4.4793345574908621</v>
      </c>
      <c r="AD1513" s="22">
        <f>SUM('Activity data'!AW66:AW81)*FracGASM*MSVolatEF*NtoN2O*kgtoGg</f>
        <v>4.5365384381843912</v>
      </c>
      <c r="AE1513" s="22">
        <f>SUM('Activity data'!AX66:AX81)*FracGASM*MSVolatEF*NtoN2O*kgtoGg</f>
        <v>4.5953040720129232</v>
      </c>
      <c r="AF1513" s="22">
        <f>SUM('Activity data'!AY66:AY81)*FracGASM*MSVolatEF*NtoN2O*kgtoGg</f>
        <v>4.6531478649857521</v>
      </c>
      <c r="AG1513" s="22">
        <f>SUM('Activity data'!AZ66:AZ81)*FracGASM*MSVolatEF*NtoN2O*kgtoGg</f>
        <v>4.7195989933520908</v>
      </c>
      <c r="AH1513" s="22">
        <f>SUM('Activity data'!BA66:BA81)*FracGASM*MSVolatEF*NtoN2O*kgtoGg</f>
        <v>4.7691902048211627</v>
      </c>
      <c r="AI1513" s="22">
        <f>SUM('Activity data'!BB66:BB81)*FracGASM*MSVolatEF*NtoN2O*kgtoGg</f>
        <v>4.8198409519315524</v>
      </c>
      <c r="AJ1513" s="22">
        <f>SUM('Activity data'!BC66:BC81)*FracGASM*MSVolatEF*NtoN2O*kgtoGg</f>
        <v>4.8689648702732589</v>
      </c>
      <c r="AK1513" s="22">
        <f>SUM('Activity data'!BD66:BD81)*FracGASM*MSVolatEF*NtoN2O*kgtoGg</f>
        <v>4.9101688608077527</v>
      </c>
      <c r="AL1513" s="22">
        <f>SUM('Activity data'!BE66:BE81)*FracGASM*MSVolatEF*NtoN2O*kgtoGg</f>
        <v>4.9479174362838023</v>
      </c>
      <c r="AM1513" s="22">
        <f>SUM('Activity data'!BF66:BF81)*FracGASM*MSVolatEF*NtoN2O*kgtoGg</f>
        <v>4.9859362473479623</v>
      </c>
      <c r="AN1513" s="22">
        <f>SUM('Activity data'!BG66:BG81)*FracGASM*MSVolatEF*NtoN2O*kgtoGg</f>
        <v>5.0387466715290952</v>
      </c>
      <c r="AO1513" s="22">
        <f>SUM('Activity data'!BH66:BH81)*FracGASM*MSVolatEF*NtoN2O*kgtoGg</f>
        <v>5.0829929376217953</v>
      </c>
      <c r="AP1513" s="22">
        <f>SUM('Activity data'!BI66:BI81)*FracGASM*MSVolatEF*NtoN2O*kgtoGg</f>
        <v>5.1260297941923829</v>
      </c>
      <c r="AQ1513" s="22">
        <f>SUM('Activity data'!BJ66:BJ81)*FracGASM*MSVolatEF*NtoN2O*kgtoGg</f>
        <v>5.1679798732444908</v>
      </c>
      <c r="AR1513" s="22">
        <f>SUM('Activity data'!BK66:BK81)*FracGASM*MSVolatEF*NtoN2O*kgtoGg</f>
        <v>5.2136546695362291</v>
      </c>
      <c r="AS1513" s="22">
        <f>SUM('Activity data'!BL66:BL81)*FracGASM*MSVolatEF*NtoN2O*kgtoGg</f>
        <v>5.2573345909610909</v>
      </c>
      <c r="AT1513" s="22">
        <f>SUM('Activity data'!BM66:BM81)*FracGASM*MSVolatEF*NtoN2O*kgtoGg</f>
        <v>5.2543577680109008</v>
      </c>
      <c r="AU1513" s="22">
        <f>SUM('Activity data'!BN66:BN81)*FracGASM*MSVolatEF*NtoN2O*kgtoGg</f>
        <v>5.2470482911537353</v>
      </c>
      <c r="AV1513" s="22">
        <f>SUM('Activity data'!BO66:BO81)*FracGASM*MSVolatEF*NtoN2O*kgtoGg</f>
        <v>5.2442604689487187</v>
      </c>
      <c r="AW1513" s="22">
        <f>SUM('Activity data'!BP66:BP81)*FracGASM*MSVolatEF*NtoN2O*kgtoGg</f>
        <v>5.2376395842644694</v>
      </c>
    </row>
    <row r="1514" spans="1:49" x14ac:dyDescent="0.25">
      <c r="A1514" s="102" t="s">
        <v>961</v>
      </c>
      <c r="B1514" s="102"/>
      <c r="C1514" s="102"/>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2.278954782162738E-4</v>
      </c>
      <c r="M1514" s="22">
        <f>'Activity data'!AF47*FracLEACH*MSLeachEF*NtoN2O*kgtoGg</f>
        <v>2.2784833455264354E-4</v>
      </c>
      <c r="N1514" s="22">
        <f>'Activity data'!AG47*FracLEACH*MSLeachEF*NtoN2O*kgtoGg</f>
        <v>2.2780821234926642E-4</v>
      </c>
      <c r="O1514" s="22">
        <f>'Activity data'!AH47*FracLEACH*MSLeachEF*NtoN2O*kgtoGg</f>
        <v>2.2779508396212562E-4</v>
      </c>
      <c r="P1514" s="22">
        <f>'Activity data'!AI47*FracLEACH*MSLeachEF*NtoN2O*kgtoGg</f>
        <v>2.2778179595055463E-4</v>
      </c>
      <c r="Q1514" s="22">
        <f>'Activity data'!AJ47*FracLEACH*MSLeachEF*NtoN2O*kgtoGg</f>
        <v>2.2774128612235473E-4</v>
      </c>
      <c r="R1514" s="22">
        <f>'Activity data'!AK47*FracLEACH*MSLeachEF*NtoN2O*kgtoGg</f>
        <v>2.2770953982641034E-4</v>
      </c>
      <c r="S1514" s="22">
        <f>'Activity data'!AL47*FracLEACH*MSLeachEF*NtoN2O*kgtoGg</f>
        <v>2.2770740248580869E-4</v>
      </c>
      <c r="T1514" s="22">
        <f>'Activity data'!AM47*FracLEACH*MSLeachEF*NtoN2O*kgtoGg</f>
        <v>2.2783945148459591E-4</v>
      </c>
      <c r="U1514" s="22">
        <f>'Activity data'!AN47*FracLEACH*MSLeachEF*NtoN2O*kgtoGg</f>
        <v>2.2776722565809031E-4</v>
      </c>
      <c r="V1514" s="22">
        <f>'Activity data'!AO47*FracLEACH*MSLeachEF*NtoN2O*kgtoGg</f>
        <v>2.2771260047953912E-4</v>
      </c>
      <c r="W1514" s="22">
        <f>'Activity data'!AP47*FracLEACH*MSLeachEF*NtoN2O*kgtoGg</f>
        <v>2.2766223862224547E-4</v>
      </c>
      <c r="X1514" s="22">
        <f>'Activity data'!AQ47*FracLEACH*MSLeachEF*NtoN2O*kgtoGg</f>
        <v>2.276062837836578E-4</v>
      </c>
      <c r="Y1514" s="22">
        <f>'Activity data'!AR47*FracLEACH*MSLeachEF*NtoN2O*kgtoGg</f>
        <v>2.2753024157466073E-4</v>
      </c>
      <c r="Z1514" s="22">
        <f>'Activity data'!AS47*FracLEACH*MSLeachEF*NtoN2O*kgtoGg</f>
        <v>2.2745061636443892E-4</v>
      </c>
      <c r="AA1514" s="22">
        <f>'Activity data'!AT47*FracLEACH*MSLeachEF*NtoN2O*kgtoGg</f>
        <v>2.2736725195788982E-4</v>
      </c>
      <c r="AB1514" s="22">
        <f>'Activity data'!AU47*FracLEACH*MSLeachEF*NtoN2O*kgtoGg</f>
        <v>2.2729316057836611E-4</v>
      </c>
      <c r="AC1514" s="22">
        <f>'Activity data'!AV47*FracLEACH*MSLeachEF*NtoN2O*kgtoGg</f>
        <v>2.2721142272582082E-4</v>
      </c>
      <c r="AD1514" s="22">
        <f>'Activity data'!AW47*FracLEACH*MSLeachEF*NtoN2O*kgtoGg</f>
        <v>2.2712057079726826E-4</v>
      </c>
      <c r="AE1514" s="22">
        <f>'Activity data'!AX47*FracLEACH*MSLeachEF*NtoN2O*kgtoGg</f>
        <v>2.2703354847643673E-4</v>
      </c>
      <c r="AF1514" s="22">
        <f>'Activity data'!AY47*FracLEACH*MSLeachEF*NtoN2O*kgtoGg</f>
        <v>2.26945075231808E-4</v>
      </c>
      <c r="AG1514" s="22">
        <f>'Activity data'!AZ47*FracLEACH*MSLeachEF*NtoN2O*kgtoGg</f>
        <v>2.2685685526686305E-4</v>
      </c>
      <c r="AH1514" s="22">
        <f>'Activity data'!BA47*FracLEACH*MSLeachEF*NtoN2O*kgtoGg</f>
        <v>2.2676233626526071E-4</v>
      </c>
      <c r="AI1514" s="22">
        <f>'Activity data'!BB47*FracLEACH*MSLeachEF*NtoN2O*kgtoGg</f>
        <v>2.2667888951524015E-4</v>
      </c>
      <c r="AJ1514" s="22">
        <f>'Activity data'!BC47*FracLEACH*MSLeachEF*NtoN2O*kgtoGg</f>
        <v>2.2659312831646165E-4</v>
      </c>
      <c r="AK1514" s="22">
        <f>'Activity data'!BD47*FracLEACH*MSLeachEF*NtoN2O*kgtoGg</f>
        <v>2.2650782823372401E-4</v>
      </c>
      <c r="AL1514" s="22">
        <f>'Activity data'!BE47*FracLEACH*MSLeachEF*NtoN2O*kgtoGg</f>
        <v>2.2642722069550987E-4</v>
      </c>
      <c r="AM1514" s="22">
        <f>'Activity data'!BF47*FracLEACH*MSLeachEF*NtoN2O*kgtoGg</f>
        <v>2.2634823417440697E-4</v>
      </c>
      <c r="AN1514" s="22">
        <f>'Activity data'!BG47*FracLEACH*MSLeachEF*NtoN2O*kgtoGg</f>
        <v>2.2626833024893425E-4</v>
      </c>
      <c r="AO1514" s="22">
        <f>'Activity data'!BH47*FracLEACH*MSLeachEF*NtoN2O*kgtoGg</f>
        <v>2.2618677426504506E-4</v>
      </c>
      <c r="AP1514" s="22">
        <f>'Activity data'!BI47*FracLEACH*MSLeachEF*NtoN2O*kgtoGg</f>
        <v>2.2611064451268553E-4</v>
      </c>
      <c r="AQ1514" s="22">
        <f>'Activity data'!BJ47*FracLEACH*MSLeachEF*NtoN2O*kgtoGg</f>
        <v>2.2603500754843689E-4</v>
      </c>
      <c r="AR1514" s="22">
        <f>'Activity data'!BK47*FracLEACH*MSLeachEF*NtoN2O*kgtoGg</f>
        <v>2.2595974968345244E-4</v>
      </c>
      <c r="AS1514" s="22">
        <f>'Activity data'!BL47*FracLEACH*MSLeachEF*NtoN2O*kgtoGg</f>
        <v>2.2588172291595847E-4</v>
      </c>
      <c r="AT1514" s="22">
        <f>'Activity data'!BM47*FracLEACH*MSLeachEF*NtoN2O*kgtoGg</f>
        <v>2.25803682553791E-4</v>
      </c>
      <c r="AU1514" s="22">
        <f>'Activity data'!BN47*FracLEACH*MSLeachEF*NtoN2O*kgtoGg</f>
        <v>2.2575526504980067E-4</v>
      </c>
      <c r="AV1514" s="22">
        <f>'Activity data'!BO47*FracLEACH*MSLeachEF*NtoN2O*kgtoGg</f>
        <v>2.2570923868836588E-4</v>
      </c>
      <c r="AW1514" s="22">
        <f>'Activity data'!BP47*FracLEACH*MSLeachEF*NtoN2O*kgtoGg</f>
        <v>2.2565983156188431E-4</v>
      </c>
    </row>
    <row r="1515" spans="1:49" x14ac:dyDescent="0.25">
      <c r="A1515" s="102" t="s">
        <v>961</v>
      </c>
      <c r="B1515" s="102"/>
      <c r="C1515" s="102"/>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1.5041101562274073E-6</v>
      </c>
      <c r="M1515" s="22">
        <f>'Activity data'!AF48*FracLEACH*MSLeachEF*NtoN2O*kgtoGg</f>
        <v>1.5037990080474479E-6</v>
      </c>
      <c r="N1515" s="22">
        <f>'Activity data'!AG48*FracLEACH*MSLeachEF*NtoN2O*kgtoGg</f>
        <v>1.5035342015051588E-6</v>
      </c>
      <c r="O1515" s="22">
        <f>'Activity data'!AH48*FracLEACH*MSLeachEF*NtoN2O*kgtoGg</f>
        <v>1.5034475541500297E-6</v>
      </c>
      <c r="P1515" s="22">
        <f>'Activity data'!AI48*FracLEACH*MSLeachEF*NtoN2O*kgtoGg</f>
        <v>1.5033598532736611E-6</v>
      </c>
      <c r="Q1515" s="22">
        <f>'Activity data'!AJ48*FracLEACH*MSLeachEF*NtoN2O*kgtoGg</f>
        <v>1.5030924884075416E-6</v>
      </c>
      <c r="R1515" s="22">
        <f>'Activity data'!AK48*FracLEACH*MSLeachEF*NtoN2O*kgtoGg</f>
        <v>1.5028829628543084E-6</v>
      </c>
      <c r="S1515" s="22">
        <f>'Activity data'!AL48*FracLEACH*MSLeachEF*NtoN2O*kgtoGg</f>
        <v>1.5028688564063377E-6</v>
      </c>
      <c r="T1515" s="22">
        <f>'Activity data'!AM48*FracLEACH*MSLeachEF*NtoN2O*kgtoGg</f>
        <v>1.5037403797983331E-6</v>
      </c>
      <c r="U1515" s="22">
        <f>'Activity data'!AN48*FracLEACH*MSLeachEF*NtoN2O*kgtoGg</f>
        <v>1.5032636893433962E-6</v>
      </c>
      <c r="V1515" s="22">
        <f>'Activity data'!AO48*FracLEACH*MSLeachEF*NtoN2O*kgtoGg</f>
        <v>1.5029031631649579E-6</v>
      </c>
      <c r="W1515" s="22">
        <f>'Activity data'!AP48*FracLEACH*MSLeachEF*NtoN2O*kgtoGg</f>
        <v>1.5025707749068207E-6</v>
      </c>
      <c r="X1515" s="22">
        <f>'Activity data'!AQ48*FracLEACH*MSLeachEF*NtoN2O*kgtoGg</f>
        <v>1.5022014729721417E-6</v>
      </c>
      <c r="Y1515" s="22">
        <f>'Activity data'!AR48*FracLEACH*MSLeachEF*NtoN2O*kgtoGg</f>
        <v>1.5016995943927613E-6</v>
      </c>
      <c r="Z1515" s="22">
        <f>'Activity data'!AS48*FracLEACH*MSLeachEF*NtoN2O*kgtoGg</f>
        <v>1.5011740680052976E-6</v>
      </c>
      <c r="AA1515" s="22">
        <f>'Activity data'!AT48*FracLEACH*MSLeachEF*NtoN2O*kgtoGg</f>
        <v>1.5006238629220729E-6</v>
      </c>
      <c r="AB1515" s="22">
        <f>'Activity data'!AU48*FracLEACH*MSLeachEF*NtoN2O*kgtoGg</f>
        <v>1.5001348598172167E-6</v>
      </c>
      <c r="AC1515" s="22">
        <f>'Activity data'!AV48*FracLEACH*MSLeachEF*NtoN2O*kgtoGg</f>
        <v>1.4995953899904175E-6</v>
      </c>
      <c r="AD1515" s="22">
        <f>'Activity data'!AW48*FracLEACH*MSLeachEF*NtoN2O*kgtoGg</f>
        <v>1.4989957672619707E-6</v>
      </c>
      <c r="AE1515" s="22">
        <f>'Activity data'!AX48*FracLEACH*MSLeachEF*NtoN2O*kgtoGg</f>
        <v>1.4984214199444828E-6</v>
      </c>
      <c r="AF1515" s="22">
        <f>'Activity data'!AY48*FracLEACH*MSLeachEF*NtoN2O*kgtoGg</f>
        <v>1.497837496529933E-6</v>
      </c>
      <c r="AG1515" s="22">
        <f>'Activity data'!AZ48*FracLEACH*MSLeachEF*NtoN2O*kgtoGg</f>
        <v>1.497255244761296E-6</v>
      </c>
      <c r="AH1515" s="22">
        <f>'Activity data'!BA48*FracLEACH*MSLeachEF*NtoN2O*kgtoGg</f>
        <v>1.4966314193507213E-6</v>
      </c>
      <c r="AI1515" s="22">
        <f>'Activity data'!BB48*FracLEACH*MSLeachEF*NtoN2O*kgtoGg</f>
        <v>1.4960806708005854E-6</v>
      </c>
      <c r="AJ1515" s="22">
        <f>'Activity data'!BC48*FracLEACH*MSLeachEF*NtoN2O*kgtoGg</f>
        <v>1.4955146468886474E-6</v>
      </c>
      <c r="AK1515" s="22">
        <f>'Activity data'!BD48*FracLEACH*MSLeachEF*NtoN2O*kgtoGg</f>
        <v>1.494951666342579E-6</v>
      </c>
      <c r="AL1515" s="22">
        <f>'Activity data'!BE48*FracLEACH*MSLeachEF*NtoN2O*kgtoGg</f>
        <v>1.494419656590365E-6</v>
      </c>
      <c r="AM1515" s="22">
        <f>'Activity data'!BF48*FracLEACH*MSLeachEF*NtoN2O*kgtoGg</f>
        <v>1.493898345551086E-6</v>
      </c>
      <c r="AN1515" s="22">
        <f>'Activity data'!BG48*FracLEACH*MSLeachEF*NtoN2O*kgtoGg</f>
        <v>1.4933709796429669E-6</v>
      </c>
      <c r="AO1515" s="22">
        <f>'Activity data'!BH48*FracLEACH*MSLeachEF*NtoN2O*kgtoGg</f>
        <v>1.4928327101492978E-6</v>
      </c>
      <c r="AP1515" s="22">
        <f>'Activity data'!BI48*FracLEACH*MSLeachEF*NtoN2O*kgtoGg</f>
        <v>1.4923302537837247E-6</v>
      </c>
      <c r="AQ1515" s="22">
        <f>'Activity data'!BJ48*FracLEACH*MSLeachEF*NtoN2O*kgtoGg</f>
        <v>1.4918310498196839E-6</v>
      </c>
      <c r="AR1515" s="22">
        <f>'Activity data'!BK48*FracLEACH*MSLeachEF*NtoN2O*kgtoGg</f>
        <v>1.4913343479107866E-6</v>
      </c>
      <c r="AS1515" s="22">
        <f>'Activity data'!BL48*FracLEACH*MSLeachEF*NtoN2O*kgtoGg</f>
        <v>1.490819371245326E-6</v>
      </c>
      <c r="AT1515" s="22">
        <f>'Activity data'!BM48*FracLEACH*MSLeachEF*NtoN2O*kgtoGg</f>
        <v>1.490304304855021E-6</v>
      </c>
      <c r="AU1515" s="22">
        <f>'Activity data'!BN48*FracLEACH*MSLeachEF*NtoN2O*kgtoGg</f>
        <v>1.4899847493286845E-6</v>
      </c>
      <c r="AV1515" s="22">
        <f>'Activity data'!BO48*FracLEACH*MSLeachEF*NtoN2O*kgtoGg</f>
        <v>1.4896809753432154E-6</v>
      </c>
      <c r="AW1515" s="22">
        <f>'Activity data'!BP48*FracLEACH*MSLeachEF*NtoN2O*kgtoGg</f>
        <v>1.489354888308437E-6</v>
      </c>
    </row>
    <row r="1516" spans="1:49" x14ac:dyDescent="0.25">
      <c r="A1516" s="102" t="s">
        <v>961</v>
      </c>
      <c r="B1516" s="102"/>
      <c r="C1516" s="102"/>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0.20796246117346509</v>
      </c>
      <c r="L1516" s="22">
        <f>SUM('Activity data'!AE50:AE65)*FracLEACH*MSLeachEF*NtoN2O*kgtoGg</f>
        <v>0.20879880281717714</v>
      </c>
      <c r="M1516" s="22">
        <f>SUM('Activity data'!AF50:AF65)*FracLEACH*MSLeachEF*NtoN2O*kgtoGg</f>
        <v>0.20890457388466332</v>
      </c>
      <c r="N1516" s="22">
        <f>SUM('Activity data'!AG50:AG65)*FracLEACH*MSLeachEF*NtoN2O*kgtoGg</f>
        <v>0.20602106903310935</v>
      </c>
      <c r="O1516" s="22">
        <f>SUM('Activity data'!AH50:AH65)*FracLEACH*MSLeachEF*NtoN2O*kgtoGg</f>
        <v>0.20329705233439804</v>
      </c>
      <c r="P1516" s="22">
        <f>SUM('Activity data'!AI50:AI65)*FracLEACH*MSLeachEF*NtoN2O*kgtoGg</f>
        <v>0.2036877386085543</v>
      </c>
      <c r="Q1516" s="22">
        <f>SUM('Activity data'!AJ50:AJ65)*FracLEACH*MSLeachEF*NtoN2O*kgtoGg</f>
        <v>0.20316717032442511</v>
      </c>
      <c r="R1516" s="22">
        <f>SUM('Activity data'!AK50:AK65)*FracLEACH*MSLeachEF*NtoN2O*kgtoGg</f>
        <v>0.19951328045855884</v>
      </c>
      <c r="S1516" s="22">
        <f>SUM('Activity data'!AL50:AL65)*FracLEACH*MSLeachEF*NtoN2O*kgtoGg</f>
        <v>0.18225765553275963</v>
      </c>
      <c r="T1516" s="22">
        <f>SUM('Activity data'!AM50:AM65)*FracLEACH*MSLeachEF*NtoN2O*kgtoGg</f>
        <v>0.18705867990979133</v>
      </c>
      <c r="U1516" s="22">
        <f>SUM('Activity data'!AN50:AN65)*FracLEACH*MSLeachEF*NtoN2O*kgtoGg</f>
        <v>0.19014638580373017</v>
      </c>
      <c r="V1516" s="22">
        <f>SUM('Activity data'!AO50:AO65)*FracLEACH*MSLeachEF*NtoN2O*kgtoGg</f>
        <v>0.19284681200118092</v>
      </c>
      <c r="W1516" s="22">
        <f>SUM('Activity data'!AP50:AP65)*FracLEACH*MSLeachEF*NtoN2O*kgtoGg</f>
        <v>0.19616592330537094</v>
      </c>
      <c r="X1516" s="22">
        <f>SUM('Activity data'!AQ50:AQ65)*FracLEACH*MSLeachEF*NtoN2O*kgtoGg</f>
        <v>0.20162828761009829</v>
      </c>
      <c r="Y1516" s="22">
        <f>SUM('Activity data'!AR50:AR65)*FracLEACH*MSLeachEF*NtoN2O*kgtoGg</f>
        <v>0.20757833119637956</v>
      </c>
      <c r="Z1516" s="22">
        <f>SUM('Activity data'!AS50:AS65)*FracLEACH*MSLeachEF*NtoN2O*kgtoGg</f>
        <v>0.21404674804860749</v>
      </c>
      <c r="AA1516" s="22">
        <f>SUM('Activity data'!AT50:AT65)*FracLEACH*MSLeachEF*NtoN2O*kgtoGg</f>
        <v>0.21962429406067066</v>
      </c>
      <c r="AB1516" s="22">
        <f>SUM('Activity data'!AU50:AU65)*FracLEACH*MSLeachEF*NtoN2O*kgtoGg</f>
        <v>0.22615700545464837</v>
      </c>
      <c r="AC1516" s="22">
        <f>SUM('Activity data'!AV50:AV65)*FracLEACH*MSLeachEF*NtoN2O*kgtoGg</f>
        <v>0.23386310920275319</v>
      </c>
      <c r="AD1516" s="22">
        <f>SUM('Activity data'!AW50:AW65)*FracLEACH*MSLeachEF*NtoN2O*kgtoGg</f>
        <v>0.24045803544808661</v>
      </c>
      <c r="AE1516" s="22">
        <f>SUM('Activity data'!AX50:AX65)*FracLEACH*MSLeachEF*NtoN2O*kgtoGg</f>
        <v>0.2473271758325005</v>
      </c>
      <c r="AF1516" s="22">
        <f>SUM('Activity data'!AY50:AY65)*FracLEACH*MSLeachEF*NtoN2O*kgtoGg</f>
        <v>0.25427677762295814</v>
      </c>
      <c r="AG1516" s="22">
        <f>SUM('Activity data'!AZ50:AZ65)*FracLEACH*MSLeachEF*NtoN2O*kgtoGg</f>
        <v>0.26211337132456192</v>
      </c>
      <c r="AH1516" s="22">
        <f>SUM('Activity data'!BA50:BA65)*FracLEACH*MSLeachEF*NtoN2O*kgtoGg</f>
        <v>0.26870824753071121</v>
      </c>
      <c r="AI1516" s="22">
        <f>SUM('Activity data'!BB50:BB65)*FracLEACH*MSLeachEF*NtoN2O*kgtoGg</f>
        <v>0.27569993419378713</v>
      </c>
      <c r="AJ1516" s="22">
        <f>SUM('Activity data'!BC50:BC65)*FracLEACH*MSLeachEF*NtoN2O*kgtoGg</f>
        <v>0.28274240705203879</v>
      </c>
      <c r="AK1516" s="22">
        <f>SUM('Activity data'!BD50:BD65)*FracLEACH*MSLeachEF*NtoN2O*kgtoGg</f>
        <v>0.28927915289758471</v>
      </c>
      <c r="AL1516" s="22">
        <f>SUM('Activity data'!BE50:BE65)*FracLEACH*MSLeachEF*NtoN2O*kgtoGg</f>
        <v>0.29569320117774733</v>
      </c>
      <c r="AM1516" s="22">
        <f>SUM('Activity data'!BF50:BF65)*FracLEACH*MSLeachEF*NtoN2O*kgtoGg</f>
        <v>0.30232005516642629</v>
      </c>
      <c r="AN1516" s="22">
        <f>SUM('Activity data'!BG50:BG65)*FracLEACH*MSLeachEF*NtoN2O*kgtoGg</f>
        <v>0.30985829671321635</v>
      </c>
      <c r="AO1516" s="22">
        <f>SUM('Activity data'!BH50:BH65)*FracLEACH*MSLeachEF*NtoN2O*kgtoGg</f>
        <v>0.31677461737836854</v>
      </c>
      <c r="AP1516" s="22">
        <f>SUM('Activity data'!BI50:BI65)*FracLEACH*MSLeachEF*NtoN2O*kgtoGg</f>
        <v>0.32373626016150842</v>
      </c>
      <c r="AQ1516" s="22">
        <f>SUM('Activity data'!BJ50:BJ65)*FracLEACH*MSLeachEF*NtoN2O*kgtoGg</f>
        <v>0.33075872909675869</v>
      </c>
      <c r="AR1516" s="22">
        <f>SUM('Activity data'!BK50:BK65)*FracLEACH*MSLeachEF*NtoN2O*kgtoGg</f>
        <v>0.33830425894084387</v>
      </c>
      <c r="AS1516" s="22">
        <f>SUM('Activity data'!BL50:BL65)*FracLEACH*MSLeachEF*NtoN2O*kgtoGg</f>
        <v>0.34598626899360208</v>
      </c>
      <c r="AT1516" s="22">
        <f>SUM('Activity data'!BM50:BM65)*FracLEACH*MSLeachEF*NtoN2O*kgtoGg</f>
        <v>0.34932206816740874</v>
      </c>
      <c r="AU1516" s="22">
        <f>SUM('Activity data'!BN50:BN65)*FracLEACH*MSLeachEF*NtoN2O*kgtoGg</f>
        <v>0.35232819188551001</v>
      </c>
      <c r="AV1516" s="22">
        <f>SUM('Activity data'!BO50:BO65)*FracLEACH*MSLeachEF*NtoN2O*kgtoGg</f>
        <v>0.35587653234007416</v>
      </c>
      <c r="AW1516" s="22">
        <f>SUM('Activity data'!BP50:BP65)*FracLEACH*MSLeachEF*NtoN2O*kgtoGg</f>
        <v>0.35914620590652685</v>
      </c>
    </row>
    <row r="1517" spans="1:49" x14ac:dyDescent="0.25">
      <c r="A1517" s="102" t="s">
        <v>961</v>
      </c>
      <c r="B1517" s="102"/>
      <c r="C1517" s="102"/>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102" t="s">
        <v>961</v>
      </c>
      <c r="B1518" s="102"/>
      <c r="C1518" s="102"/>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0.10196112149474701</v>
      </c>
      <c r="M1518" s="22">
        <f>'Activity data'!AF85*FracLEACH*MSLeachEF*NtoN2O*kgtoGg</f>
        <v>0.10231307662851437</v>
      </c>
      <c r="N1518" s="22">
        <f>'Activity data'!AG85*FracLEACH*MSLeachEF*NtoN2O*kgtoGg</f>
        <v>0.10261261243819185</v>
      </c>
      <c r="O1518" s="22">
        <f>'Activity data'!AH85*FracLEACH*MSLeachEF*NtoN2O*kgtoGg</f>
        <v>0.10271062355774604</v>
      </c>
      <c r="P1518" s="22">
        <f>'Activity data'!AI85*FracLEACH*MSLeachEF*NtoN2O*kgtoGg</f>
        <v>0.10280982636740998</v>
      </c>
      <c r="Q1518" s="22">
        <f>'Activity data'!AJ85*FracLEACH*MSLeachEF*NtoN2O*kgtoGg</f>
        <v>0.10311225602401949</v>
      </c>
      <c r="R1518" s="22">
        <f>'Activity data'!AK85*FracLEACH*MSLeachEF*NtoN2O*kgtoGg</f>
        <v>0.10334926076602191</v>
      </c>
      <c r="S1518" s="22">
        <f>'Activity data'!AL85*FracLEACH*MSLeachEF*NtoN2O*kgtoGg</f>
        <v>0.1033652172687505</v>
      </c>
      <c r="T1518" s="22">
        <f>'Activity data'!AM85*FracLEACH*MSLeachEF*NtoN2O*kgtoGg</f>
        <v>0.10237939394800614</v>
      </c>
      <c r="U1518" s="22">
        <f>'Activity data'!AN85*FracLEACH*MSLeachEF*NtoN2O*kgtoGg</f>
        <v>0.10291860215695282</v>
      </c>
      <c r="V1518" s="22">
        <f>'Activity data'!AO85*FracLEACH*MSLeachEF*NtoN2O*kgtoGg</f>
        <v>0.10332641119306983</v>
      </c>
      <c r="W1518" s="22">
        <f>'Activity data'!AP85*FracLEACH*MSLeachEF*NtoN2O*kgtoGg</f>
        <v>0.10370239203239459</v>
      </c>
      <c r="X1518" s="22">
        <f>'Activity data'!AQ85*FracLEACH*MSLeachEF*NtoN2O*kgtoGg</f>
        <v>0.1041201277615169</v>
      </c>
      <c r="Y1518" s="22">
        <f>'Activity data'!AR85*FracLEACH*MSLeachEF*NtoN2O*kgtoGg</f>
        <v>0.1046878275069046</v>
      </c>
      <c r="Z1518" s="22">
        <f>'Activity data'!AS85*FracLEACH*MSLeachEF*NtoN2O*kgtoGg</f>
        <v>0.10528227646052629</v>
      </c>
      <c r="AA1518" s="22">
        <f>'Activity data'!AT85*FracLEACH*MSLeachEF*NtoN2O*kgtoGg</f>
        <v>0.1059046407105468</v>
      </c>
      <c r="AB1518" s="22">
        <f>'Activity data'!AU85*FracLEACH*MSLeachEF*NtoN2O*kgtoGg</f>
        <v>0.10645777636830578</v>
      </c>
      <c r="AC1518" s="22">
        <f>'Activity data'!AV85*FracLEACH*MSLeachEF*NtoN2O*kgtoGg</f>
        <v>0.10706799743750575</v>
      </c>
      <c r="AD1518" s="22">
        <f>'Activity data'!AW85*FracLEACH*MSLeachEF*NtoN2O*kgtoGg</f>
        <v>0.10774626043627387</v>
      </c>
      <c r="AE1518" s="22">
        <f>'Activity data'!AX85*FracLEACH*MSLeachEF*NtoN2O*kgtoGg</f>
        <v>0.10839593316449521</v>
      </c>
      <c r="AF1518" s="22">
        <f>'Activity data'!AY85*FracLEACH*MSLeachEF*NtoN2O*kgtoGg</f>
        <v>0.10905643789090745</v>
      </c>
      <c r="AG1518" s="22">
        <f>'Activity data'!AZ85*FracLEACH*MSLeachEF*NtoN2O*kgtoGg</f>
        <v>0.10971505173574356</v>
      </c>
      <c r="AH1518" s="22">
        <f>'Activity data'!BA85*FracLEACH*MSLeachEF*NtoN2O*kgtoGg</f>
        <v>0.11042069158828928</v>
      </c>
      <c r="AI1518" s="22">
        <f>'Activity data'!BB85*FracLEACH*MSLeachEF*NtoN2O*kgtoGg</f>
        <v>0.11104367058067952</v>
      </c>
      <c r="AJ1518" s="22">
        <f>'Activity data'!BC85*FracLEACH*MSLeachEF*NtoN2O*kgtoGg</f>
        <v>0.11168392829219058</v>
      </c>
      <c r="AK1518" s="22">
        <f>'Activity data'!BD85*FracLEACH*MSLeachEF*NtoN2O*kgtoGg</f>
        <v>0.11232074350166987</v>
      </c>
      <c r="AL1518" s="22">
        <f>'Activity data'!BE85*FracLEACH*MSLeachEF*NtoN2O*kgtoGg</f>
        <v>0.11292252611061948</v>
      </c>
      <c r="AM1518" s="22">
        <f>'Activity data'!BF85*FracLEACH*MSLeachEF*NtoN2O*kgtoGg</f>
        <v>0.11351220687490285</v>
      </c>
      <c r="AN1518" s="22">
        <f>'Activity data'!BG85*FracLEACH*MSLeachEF*NtoN2O*kgtoGg</f>
        <v>0.11410873660154547</v>
      </c>
      <c r="AO1518" s="22">
        <f>'Activity data'!BH85*FracLEACH*MSLeachEF*NtoN2O*kgtoGg</f>
        <v>0.11471759991442693</v>
      </c>
      <c r="AP1518" s="22">
        <f>'Activity data'!BI85*FracLEACH*MSLeachEF*NtoN2O*kgtoGg</f>
        <v>0.11528595322242488</v>
      </c>
      <c r="AQ1518" s="22">
        <f>'Activity data'!BJ85*FracLEACH*MSLeachEF*NtoN2O*kgtoGg</f>
        <v>0.1158506275777887</v>
      </c>
      <c r="AR1518" s="22">
        <f>'Activity data'!BK85*FracLEACH*MSLeachEF*NtoN2O*kgtoGg</f>
        <v>0.1164124717345221</v>
      </c>
      <c r="AS1518" s="22">
        <f>'Activity data'!BL85*FracLEACH*MSLeachEF*NtoN2O*kgtoGg</f>
        <v>0.11699498737450693</v>
      </c>
      <c r="AT1518" s="22">
        <f>'Activity data'!BM85*FracLEACH*MSLeachEF*NtoN2O*kgtoGg</f>
        <v>0.11757760450671237</v>
      </c>
      <c r="AU1518" s="22">
        <f>'Activity data'!BN85*FracLEACH*MSLeachEF*NtoN2O*kgtoGg</f>
        <v>0.11793906960682159</v>
      </c>
      <c r="AV1518" s="22">
        <f>'Activity data'!BO85*FracLEACH*MSLeachEF*NtoN2O*kgtoGg</f>
        <v>0.11828268342357233</v>
      </c>
      <c r="AW1518" s="22">
        <f>'Activity data'!BP85*FracLEACH*MSLeachEF*NtoN2O*kgtoGg</f>
        <v>0.11865153663672662</v>
      </c>
    </row>
    <row r="1519" spans="1:49" x14ac:dyDescent="0.25">
      <c r="A1519" s="102" t="s">
        <v>961</v>
      </c>
      <c r="B1519" s="102"/>
      <c r="C1519" s="102"/>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102" t="s">
        <v>961</v>
      </c>
      <c r="B1520" s="102"/>
      <c r="C1520" s="102"/>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102" t="s">
        <v>961</v>
      </c>
      <c r="B1521" s="102"/>
      <c r="C1521" s="102"/>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102" t="s">
        <v>961</v>
      </c>
      <c r="B1522" s="102"/>
      <c r="C1522" s="102"/>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102" t="s">
        <v>961</v>
      </c>
      <c r="B1523" s="102"/>
      <c r="C1523" s="102"/>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102" t="s">
        <v>961</v>
      </c>
      <c r="B1524" s="102"/>
      <c r="C1524" s="102"/>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102" t="s">
        <v>961</v>
      </c>
      <c r="B1525" s="102"/>
      <c r="C1525" s="102"/>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102" t="s">
        <v>961</v>
      </c>
      <c r="B1526" s="102"/>
      <c r="C1526" s="102"/>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102" t="s">
        <v>961</v>
      </c>
      <c r="B1527" s="102"/>
      <c r="C1527" s="102"/>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102" t="s">
        <v>961</v>
      </c>
      <c r="B1528" s="102"/>
      <c r="C1528" s="102"/>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102" t="s">
        <v>961</v>
      </c>
      <c r="B1529" s="102"/>
      <c r="C1529" s="102"/>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102" t="s">
        <v>961</v>
      </c>
      <c r="B1530" s="102"/>
      <c r="C1530" s="102"/>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102" t="s">
        <v>961</v>
      </c>
      <c r="B1531" s="102"/>
      <c r="C1531" s="102"/>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0.39650006889927725</v>
      </c>
      <c r="L1531" s="22">
        <f>Constants!$H63*'Activity data'!AE5*Constants!$H81*EF!$H206*MMVolatEF*NtoN2O*kgtoGg</f>
        <v>0.39917725962597483</v>
      </c>
      <c r="M1531" s="22">
        <f>Constants!$H63*'Activity data'!AF5*Constants!$H81*EF!$H206*MMVolatEF*NtoN2O*kgtoGg</f>
        <v>0.40151912336157097</v>
      </c>
      <c r="N1531" s="22">
        <f>Constants!$H63*'Activity data'!AG5*Constants!$H81*EF!$H206*MMVolatEF*NtoN2O*kgtoGg</f>
        <v>0.40182204834461305</v>
      </c>
      <c r="O1531" s="22">
        <f>Constants!$H63*'Activity data'!AH5*Constants!$H81*EF!$H206*MMVolatEF*NtoN2O*kgtoGg</f>
        <v>0.40234380692675509</v>
      </c>
      <c r="P1531" s="22">
        <f>Constants!$H63*'Activity data'!AI5*Constants!$H81*EF!$H206*MMVolatEF*NtoN2O*kgtoGg</f>
        <v>0.40533756143141658</v>
      </c>
      <c r="Q1531" s="22">
        <f>Constants!$H63*'Activity data'!AJ5*Constants!$H81*EF!$H206*MMVolatEF*NtoN2O*kgtoGg</f>
        <v>0.40773146882804268</v>
      </c>
      <c r="R1531" s="22">
        <f>Constants!$H63*'Activity data'!AK5*Constants!$H81*EF!$H206*MMVolatEF*NtoN2O*kgtoGg</f>
        <v>0.4077524587520438</v>
      </c>
      <c r="S1531" s="22">
        <f>Constants!$H63*'Activity data'!AL5*Constants!$H81*EF!$H206*MMVolatEF*NtoN2O*kgtoGg</f>
        <v>0.39694956601748077</v>
      </c>
      <c r="T1531" s="22">
        <f>Constants!$H63*'Activity data'!AM5*Constants!$H81*EF!$H206*MMVolatEF*NtoN2O*kgtoGg</f>
        <v>0.40216838368989699</v>
      </c>
      <c r="U1531" s="22">
        <f>Constants!$H63*'Activity data'!AN5*Constants!$H81*EF!$H206*MMVolatEF*NtoN2O*kgtoGg</f>
        <v>0.40611893900122115</v>
      </c>
      <c r="V1531" s="22">
        <f>Constants!$H63*'Activity data'!AO5*Constants!$H81*EF!$H206*MMVolatEF*NtoN2O*kgtoGg</f>
        <v>0.40984619445157972</v>
      </c>
      <c r="W1531" s="22">
        <f>Constants!$H63*'Activity data'!AP5*Constants!$H81*EF!$H206*MMVolatEF*NtoN2O*kgtoGg</f>
        <v>0.41416805701435672</v>
      </c>
      <c r="X1531" s="22">
        <f>Constants!$H63*'Activity data'!AQ5*Constants!$H81*EF!$H206*MMVolatEF*NtoN2O*kgtoGg</f>
        <v>0.42036063160455023</v>
      </c>
      <c r="Y1531" s="22">
        <f>Constants!$H63*'Activity data'!AR5*Constants!$H81*EF!$H206*MMVolatEF*NtoN2O*kgtoGg</f>
        <v>0.42680782230429931</v>
      </c>
      <c r="Z1531" s="22">
        <f>Constants!$H63*'Activity data'!AS5*Constants!$H81*EF!$H206*MMVolatEF*NtoN2O*kgtoGg</f>
        <v>0.43381092675754646</v>
      </c>
      <c r="AA1531" s="22">
        <f>Constants!$H63*'Activity data'!AT5*Constants!$H81*EF!$H206*MMVolatEF*NtoN2O*kgtoGg</f>
        <v>0.4401795345291673</v>
      </c>
      <c r="AB1531" s="22">
        <f>Constants!$H63*'Activity data'!AU5*Constants!$H81*EF!$H206*MMVolatEF*NtoN2O*kgtoGg</f>
        <v>0.44747640522914289</v>
      </c>
      <c r="AC1531" s="22">
        <f>Constants!$H63*'Activity data'!AV5*Constants!$H81*EF!$H206*MMVolatEF*NtoN2O*kgtoGg</f>
        <v>0.45590733118781618</v>
      </c>
      <c r="AD1531" s="22">
        <f>Constants!$H63*'Activity data'!AW5*Constants!$H81*EF!$H206*MMVolatEF*NtoN2O*kgtoGg</f>
        <v>0.46402422732384918</v>
      </c>
      <c r="AE1531" s="22">
        <f>Constants!$H63*'Activity data'!AX5*Constants!$H81*EF!$H206*MMVolatEF*NtoN2O*kgtoGg</f>
        <v>0.47256428946703954</v>
      </c>
      <c r="AF1531" s="22">
        <f>Constants!$H63*'Activity data'!AY5*Constants!$H81*EF!$H206*MMVolatEF*NtoN2O*kgtoGg</f>
        <v>0.48136337732272266</v>
      </c>
      <c r="AG1531" s="22">
        <f>Constants!$H63*'Activity data'!AZ5*Constants!$H81*EF!$H206*MMVolatEF*NtoN2O*kgtoGg</f>
        <v>0.49115427006051043</v>
      </c>
      <c r="AH1531" s="22">
        <f>Constants!$H63*'Activity data'!BA5*Constants!$H81*EF!$H206*MMVolatEF*NtoN2O*kgtoGg</f>
        <v>0.50001868003063199</v>
      </c>
      <c r="AI1531" s="22">
        <f>Constants!$H63*'Activity data'!BB5*Constants!$H81*EF!$H206*MMVolatEF*NtoN2O*kgtoGg</f>
        <v>0.50922978725811852</v>
      </c>
      <c r="AJ1531" s="22">
        <f>Constants!$H63*'Activity data'!BC5*Constants!$H81*EF!$H206*MMVolatEF*NtoN2O*kgtoGg</f>
        <v>0.51868165497998486</v>
      </c>
      <c r="AK1531" s="22">
        <f>Constants!$H63*'Activity data'!BD5*Constants!$H81*EF!$H206*MMVolatEF*NtoN2O*kgtoGg</f>
        <v>0.52785098151313881</v>
      </c>
      <c r="AL1531" s="22">
        <f>Constants!$H63*'Activity data'!BE5*Constants!$H81*EF!$H206*MMVolatEF*NtoN2O*kgtoGg</f>
        <v>0.53708980329541955</v>
      </c>
      <c r="AM1531" s="22">
        <f>Constants!$H63*'Activity data'!BF5*Constants!$H81*EF!$H206*MMVolatEF*NtoN2O*kgtoGg</f>
        <v>0.54672053409535659</v>
      </c>
      <c r="AN1531" s="22">
        <f>Constants!$H63*'Activity data'!BG5*Constants!$H81*EF!$H206*MMVolatEF*NtoN2O*kgtoGg</f>
        <v>0.55667014923331293</v>
      </c>
      <c r="AO1531" s="22">
        <f>Constants!$H63*'Activity data'!BH5*Constants!$H81*EF!$H206*MMVolatEF*NtoN2O*kgtoGg</f>
        <v>0.5661730507090722</v>
      </c>
      <c r="AP1531" s="22">
        <f>Constants!$H63*'Activity data'!BI5*Constants!$H81*EF!$H206*MMVolatEF*NtoN2O*kgtoGg</f>
        <v>0.57587669150956888</v>
      </c>
      <c r="AQ1531" s="22">
        <f>Constants!$H63*'Activity data'!BJ5*Constants!$H81*EF!$H206*MMVolatEF*NtoN2O*kgtoGg</f>
        <v>0.5857985598453167</v>
      </c>
      <c r="AR1531" s="22">
        <f>Constants!$H63*'Activity data'!BK5*Constants!$H81*EF!$H206*MMVolatEF*NtoN2O*kgtoGg</f>
        <v>0.59640903003350576</v>
      </c>
      <c r="AS1531" s="22">
        <f>Constants!$H63*'Activity data'!BL5*Constants!$H81*EF!$H206*MMVolatEF*NtoN2O*kgtoGg</f>
        <v>0.60713627699395989</v>
      </c>
      <c r="AT1531" s="22">
        <f>Constants!$H63*'Activity data'!BM5*Constants!$H81*EF!$H206*MMVolatEF*NtoN2O*kgtoGg</f>
        <v>0.61355666329177083</v>
      </c>
      <c r="AU1531" s="22">
        <f>Constants!$H63*'Activity data'!BN5*Constants!$H81*EF!$H206*MMVolatEF*NtoN2O*kgtoGg</f>
        <v>0.6197276036819036</v>
      </c>
      <c r="AV1531" s="22">
        <f>Constants!$H63*'Activity data'!BO5*Constants!$H81*EF!$H206*MMVolatEF*NtoN2O*kgtoGg</f>
        <v>0.62655501037549211</v>
      </c>
      <c r="AW1531" s="22">
        <f>Constants!$H63*'Activity data'!BP5*Constants!$H81*EF!$H206*MMVolatEF*NtoN2O*kgtoGg</f>
        <v>0.63318564946997902</v>
      </c>
    </row>
    <row r="1532" spans="1:49" x14ac:dyDescent="0.25">
      <c r="A1532" s="102" t="s">
        <v>961</v>
      </c>
      <c r="B1532" s="102"/>
      <c r="C1532" s="102"/>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3.1281584559645491E-2</v>
      </c>
      <c r="L1532" s="22">
        <f>Constants!$H64*'Activity data'!AE6*Constants!$H82*EF!$H207*MMVolatEF*NtoN2O*kgtoGg</f>
        <v>3.1492799574896264E-2</v>
      </c>
      <c r="M1532" s="22">
        <f>Constants!$H64*'Activity data'!AF6*Constants!$H82*EF!$H207*MMVolatEF*NtoN2O*kgtoGg</f>
        <v>3.1677559211068809E-2</v>
      </c>
      <c r="N1532" s="22">
        <f>Constants!$H64*'Activity data'!AG6*Constants!$H82*EF!$H207*MMVolatEF*NtoN2O*kgtoGg</f>
        <v>3.1701458257287304E-2</v>
      </c>
      <c r="O1532" s="22">
        <f>Constants!$H64*'Activity data'!AH6*Constants!$H82*EF!$H207*MMVolatEF*NtoN2O*kgtoGg</f>
        <v>3.1742622021148185E-2</v>
      </c>
      <c r="P1532" s="22">
        <f>Constants!$H64*'Activity data'!AI6*Constants!$H82*EF!$H207*MMVolatEF*NtoN2O*kgtoGg</f>
        <v>3.1978812105423256E-2</v>
      </c>
      <c r="Q1532" s="22">
        <f>Constants!$H64*'Activity data'!AJ6*Constants!$H82*EF!$H207*MMVolatEF*NtoN2O*kgtoGg</f>
        <v>3.2167677688381177E-2</v>
      </c>
      <c r="R1532" s="22">
        <f>Constants!$H64*'Activity data'!AK6*Constants!$H82*EF!$H207*MMVolatEF*NtoN2O*kgtoGg</f>
        <v>3.2169333673169188E-2</v>
      </c>
      <c r="S1532" s="22">
        <f>Constants!$H64*'Activity data'!AL6*Constants!$H82*EF!$H207*MMVolatEF*NtoN2O*kgtoGg</f>
        <v>3.1317047307865033E-2</v>
      </c>
      <c r="T1532" s="22">
        <f>Constants!$H64*'Activity data'!AM6*Constants!$H82*EF!$H207*MMVolatEF*NtoN2O*kgtoGg</f>
        <v>3.1728782132462323E-2</v>
      </c>
      <c r="U1532" s="22">
        <f>Constants!$H64*'Activity data'!AN6*Constants!$H82*EF!$H207*MMVolatEF*NtoN2O*kgtoGg</f>
        <v>3.2040458320493799E-2</v>
      </c>
      <c r="V1532" s="22">
        <f>Constants!$H64*'Activity data'!AO6*Constants!$H82*EF!$H207*MMVolatEF*NtoN2O*kgtoGg</f>
        <v>3.2334517428401308E-2</v>
      </c>
      <c r="W1532" s="22">
        <f>Constants!$H64*'Activity data'!AP6*Constants!$H82*EF!$H207*MMVolatEF*NtoN2O*kgtoGg</f>
        <v>3.2675487631982837E-2</v>
      </c>
      <c r="X1532" s="22">
        <f>Constants!$H64*'Activity data'!AQ6*Constants!$H82*EF!$H207*MMVolatEF*NtoN2O*kgtoGg</f>
        <v>3.316404630039068E-2</v>
      </c>
      <c r="Y1532" s="22">
        <f>Constants!$H64*'Activity data'!AR6*Constants!$H82*EF!$H207*MMVolatEF*NtoN2O*kgtoGg</f>
        <v>3.3672692721578558E-2</v>
      </c>
      <c r="Z1532" s="22">
        <f>Constants!$H64*'Activity data'!AS6*Constants!$H82*EF!$H207*MMVolatEF*NtoN2O*kgtoGg</f>
        <v>3.4225197554030251E-2</v>
      </c>
      <c r="AA1532" s="22">
        <f>Constants!$H64*'Activity data'!AT6*Constants!$H82*EF!$H207*MMVolatEF*NtoN2O*kgtoGg</f>
        <v>3.4727644232257139E-2</v>
      </c>
      <c r="AB1532" s="22">
        <f>Constants!$H64*'Activity data'!AU6*Constants!$H82*EF!$H207*MMVolatEF*NtoN2O*kgtoGg</f>
        <v>3.5303325539087042E-2</v>
      </c>
      <c r="AC1532" s="22">
        <f>Constants!$H64*'Activity data'!AV6*Constants!$H82*EF!$H207*MMVolatEF*NtoN2O*kgtoGg</f>
        <v>3.5968477310748759E-2</v>
      </c>
      <c r="AD1532" s="22">
        <f>Constants!$H64*'Activity data'!AW6*Constants!$H82*EF!$H207*MMVolatEF*NtoN2O*kgtoGg</f>
        <v>3.6608853927948493E-2</v>
      </c>
      <c r="AE1532" s="22">
        <f>Constants!$H64*'Activity data'!AX6*Constants!$H82*EF!$H207*MMVolatEF*NtoN2O*kgtoGg</f>
        <v>3.7282615919512485E-2</v>
      </c>
      <c r="AF1532" s="22">
        <f>Constants!$H64*'Activity data'!AY6*Constants!$H82*EF!$H207*MMVolatEF*NtoN2O*kgtoGg</f>
        <v>3.7976813556273109E-2</v>
      </c>
      <c r="AG1532" s="22">
        <f>Constants!$H64*'Activity data'!AZ6*Constants!$H82*EF!$H207*MMVolatEF*NtoN2O*kgtoGg</f>
        <v>3.8749258917863509E-2</v>
      </c>
      <c r="AH1532" s="22">
        <f>Constants!$H64*'Activity data'!BA6*Constants!$H82*EF!$H207*MMVolatEF*NtoN2O*kgtoGg</f>
        <v>3.9448610095333729E-2</v>
      </c>
      <c r="AI1532" s="22">
        <f>Constants!$H64*'Activity data'!BB6*Constants!$H82*EF!$H207*MMVolatEF*NtoN2O*kgtoGg</f>
        <v>4.0175313700769343E-2</v>
      </c>
      <c r="AJ1532" s="22">
        <f>Constants!$H64*'Activity data'!BC6*Constants!$H82*EF!$H207*MMVolatEF*NtoN2O*kgtoGg</f>
        <v>4.0921011930302946E-2</v>
      </c>
      <c r="AK1532" s="22">
        <f>Constants!$H64*'Activity data'!BD6*Constants!$H82*EF!$H207*MMVolatEF*NtoN2O*kgtoGg</f>
        <v>4.164441927824649E-2</v>
      </c>
      <c r="AL1532" s="22">
        <f>Constants!$H64*'Activity data'!BE6*Constants!$H82*EF!$H207*MMVolatEF*NtoN2O*kgtoGg</f>
        <v>4.2373309403325697E-2</v>
      </c>
      <c r="AM1532" s="22">
        <f>Constants!$H64*'Activity data'!BF6*Constants!$H82*EF!$H207*MMVolatEF*NtoN2O*kgtoGg</f>
        <v>4.313311890531582E-2</v>
      </c>
      <c r="AN1532" s="22">
        <f>Constants!$H64*'Activity data'!BG6*Constants!$H82*EF!$H207*MMVolatEF*NtoN2O*kgtoGg</f>
        <v>4.3918086555228081E-2</v>
      </c>
      <c r="AO1532" s="22">
        <f>Constants!$H64*'Activity data'!BH6*Constants!$H82*EF!$H207*MMVolatEF*NtoN2O*kgtoGg</f>
        <v>4.4667811055658022E-2</v>
      </c>
      <c r="AP1532" s="22">
        <f>Constants!$H64*'Activity data'!BI6*Constants!$H82*EF!$H207*MMVolatEF*NtoN2O*kgtoGg</f>
        <v>4.5433372739114561E-2</v>
      </c>
      <c r="AQ1532" s="22">
        <f>Constants!$H64*'Activity data'!BJ6*Constants!$H82*EF!$H207*MMVolatEF*NtoN2O*kgtoGg</f>
        <v>4.6216151325246931E-2</v>
      </c>
      <c r="AR1532" s="22">
        <f>Constants!$H64*'Activity data'!BK6*Constants!$H82*EF!$H207*MMVolatEF*NtoN2O*kgtoGg</f>
        <v>4.705325665370462E-2</v>
      </c>
      <c r="AS1532" s="22">
        <f>Constants!$H64*'Activity data'!BL6*Constants!$H82*EF!$H207*MMVolatEF*NtoN2O*kgtoGg</f>
        <v>4.7899575000677964E-2</v>
      </c>
      <c r="AT1532" s="22">
        <f>Constants!$H64*'Activity data'!BM6*Constants!$H82*EF!$H207*MMVolatEF*NtoN2O*kgtoGg</f>
        <v>4.8406106708069871E-2</v>
      </c>
      <c r="AU1532" s="22">
        <f>Constants!$H64*'Activity data'!BN6*Constants!$H82*EF!$H207*MMVolatEF*NtoN2O*kgtoGg</f>
        <v>4.8892958561998573E-2</v>
      </c>
      <c r="AV1532" s="22">
        <f>Constants!$H64*'Activity data'!BO6*Constants!$H82*EF!$H207*MMVolatEF*NtoN2O*kgtoGg</f>
        <v>4.9431601847487718E-2</v>
      </c>
      <c r="AW1532" s="22">
        <f>Constants!$H64*'Activity data'!BP6*Constants!$H82*EF!$H207*MMVolatEF*NtoN2O*kgtoGg</f>
        <v>4.9954721296355649E-2</v>
      </c>
    </row>
    <row r="1533" spans="1:49" x14ac:dyDescent="0.25">
      <c r="A1533" s="102" t="s">
        <v>961</v>
      </c>
      <c r="B1533" s="102"/>
      <c r="C1533" s="102"/>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2.8996787363609876E-4</v>
      </c>
      <c r="L1533" s="22">
        <f>Constants!$H65*'Activity data'!AE7*Constants!$H83*EF!$H208*MMVolatEF*NtoN2O*kgtoGg</f>
        <v>2.9192575299913116E-4</v>
      </c>
      <c r="M1533" s="22">
        <f>Constants!$H65*'Activity data'!AF7*Constants!$H83*EF!$H208*MMVolatEF*NtoN2O*kgtoGg</f>
        <v>2.9363840149788538E-4</v>
      </c>
      <c r="N1533" s="22">
        <f>Constants!$H65*'Activity data'!AG7*Constants!$H83*EF!$H208*MMVolatEF*NtoN2O*kgtoGg</f>
        <v>2.9385993617112721E-4</v>
      </c>
      <c r="O1533" s="22">
        <f>Constants!$H65*'Activity data'!AH7*Constants!$H83*EF!$H208*MMVolatEF*NtoN2O*kgtoGg</f>
        <v>2.9424150792478436E-4</v>
      </c>
      <c r="P1533" s="22">
        <f>Constants!$H65*'Activity data'!AI7*Constants!$H83*EF!$H208*MMVolatEF*NtoN2O*kgtoGg</f>
        <v>2.964308962654098E-4</v>
      </c>
      <c r="Q1533" s="22">
        <f>Constants!$H65*'Activity data'!AJ7*Constants!$H83*EF!$H208*MMVolatEF*NtoN2O*kgtoGg</f>
        <v>2.9818160526127053E-4</v>
      </c>
      <c r="R1533" s="22">
        <f>Constants!$H65*'Activity data'!AK7*Constants!$H83*EF!$H208*MMVolatEF*NtoN2O*kgtoGg</f>
        <v>2.9819695558301769E-4</v>
      </c>
      <c r="S1533" s="22">
        <f>Constants!$H65*'Activity data'!AL7*Constants!$H83*EF!$H208*MMVolatEF*NtoN2O*kgtoGg</f>
        <v>2.9029659923741555E-4</v>
      </c>
      <c r="T1533" s="22">
        <f>Constants!$H65*'Activity data'!AM7*Constants!$H83*EF!$H208*MMVolatEF*NtoN2O*kgtoGg</f>
        <v>2.9411321764952843E-4</v>
      </c>
      <c r="U1533" s="22">
        <f>Constants!$H65*'Activity data'!AN7*Constants!$H83*EF!$H208*MMVolatEF*NtoN2O*kgtoGg</f>
        <v>2.970023322125765E-4</v>
      </c>
      <c r="V1533" s="22">
        <f>Constants!$H65*'Activity data'!AO7*Constants!$H83*EF!$H208*MMVolatEF*NtoN2O*kgtoGg</f>
        <v>2.99728143434853E-4</v>
      </c>
      <c r="W1533" s="22">
        <f>Constants!$H65*'Activity data'!AP7*Constants!$H83*EF!$H208*MMVolatEF*NtoN2O*kgtoGg</f>
        <v>3.0288880189565705E-4</v>
      </c>
      <c r="X1533" s="22">
        <f>Constants!$H65*'Activity data'!AQ7*Constants!$H83*EF!$H208*MMVolatEF*NtoN2O*kgtoGg</f>
        <v>3.0741754684956394E-4</v>
      </c>
      <c r="Y1533" s="22">
        <f>Constants!$H65*'Activity data'!AR7*Constants!$H83*EF!$H208*MMVolatEF*NtoN2O*kgtoGg</f>
        <v>3.1213249729918828E-4</v>
      </c>
      <c r="Z1533" s="22">
        <f>Constants!$H65*'Activity data'!AS7*Constants!$H83*EF!$H208*MMVolatEF*NtoN2O*kgtoGg</f>
        <v>3.1725399781442622E-4</v>
      </c>
      <c r="AA1533" s="22">
        <f>Constants!$H65*'Activity data'!AT7*Constants!$H83*EF!$H208*MMVolatEF*NtoN2O*kgtoGg</f>
        <v>3.2191147910739512E-4</v>
      </c>
      <c r="AB1533" s="22">
        <f>Constants!$H65*'Activity data'!AU7*Constants!$H83*EF!$H208*MMVolatEF*NtoN2O*kgtoGg</f>
        <v>3.2724781634169446E-4</v>
      </c>
      <c r="AC1533" s="22">
        <f>Constants!$H65*'Activity data'!AV7*Constants!$H83*EF!$H208*MMVolatEF*NtoN2O*kgtoGg</f>
        <v>3.3341350927538441E-4</v>
      </c>
      <c r="AD1533" s="22">
        <f>Constants!$H65*'Activity data'!AW7*Constants!$H83*EF!$H208*MMVolatEF*NtoN2O*kgtoGg</f>
        <v>3.3934954636013071E-4</v>
      </c>
      <c r="AE1533" s="22">
        <f>Constants!$H65*'Activity data'!AX7*Constants!$H83*EF!$H208*MMVolatEF*NtoN2O*kgtoGg</f>
        <v>3.4559505261503654E-4</v>
      </c>
      <c r="AF1533" s="22">
        <f>Constants!$H65*'Activity data'!AY7*Constants!$H83*EF!$H208*MMVolatEF*NtoN2O*kgtoGg</f>
        <v>3.5202998919028807E-4</v>
      </c>
      <c r="AG1533" s="22">
        <f>Constants!$H65*'Activity data'!AZ7*Constants!$H83*EF!$H208*MMVolatEF*NtoN2O*kgtoGg</f>
        <v>3.5919025111926287E-4</v>
      </c>
      <c r="AH1533" s="22">
        <f>Constants!$H65*'Activity data'!BA7*Constants!$H83*EF!$H208*MMVolatEF*NtoN2O*kgtoGg</f>
        <v>3.6567295897152252E-4</v>
      </c>
      <c r="AI1533" s="22">
        <f>Constants!$H65*'Activity data'!BB7*Constants!$H83*EF!$H208*MMVolatEF*NtoN2O*kgtoGg</f>
        <v>3.7240921297521811E-4</v>
      </c>
      <c r="AJ1533" s="22">
        <f>Constants!$H65*'Activity data'!BC7*Constants!$H83*EF!$H208*MMVolatEF*NtoN2O*kgtoGg</f>
        <v>3.7932153960559638E-4</v>
      </c>
      <c r="AK1533" s="22">
        <f>Constants!$H65*'Activity data'!BD7*Constants!$H83*EF!$H208*MMVolatEF*NtoN2O*kgtoGg</f>
        <v>3.8602723861057959E-4</v>
      </c>
      <c r="AL1533" s="22">
        <f>Constants!$H65*'Activity data'!BE7*Constants!$H83*EF!$H208*MMVolatEF*NtoN2O*kgtoGg</f>
        <v>3.9278376078357157E-4</v>
      </c>
      <c r="AM1533" s="22">
        <f>Constants!$H65*'Activity data'!BF7*Constants!$H83*EF!$H208*MMVolatEF*NtoN2O*kgtoGg</f>
        <v>3.9982689330905129E-4</v>
      </c>
      <c r="AN1533" s="22">
        <f>Constants!$H65*'Activity data'!BG7*Constants!$H83*EF!$H208*MMVolatEF*NtoN2O*kgtoGg</f>
        <v>4.0710323188084528E-4</v>
      </c>
      <c r="AO1533" s="22">
        <f>Constants!$H65*'Activity data'!BH7*Constants!$H83*EF!$H208*MMVolatEF*NtoN2O*kgtoGg</f>
        <v>4.1405288044446054E-4</v>
      </c>
      <c r="AP1533" s="22">
        <f>Constants!$H65*'Activity data'!BI7*Constants!$H83*EF!$H208*MMVolatEF*NtoN2O*kgtoGg</f>
        <v>4.2114933340917202E-4</v>
      </c>
      <c r="AQ1533" s="22">
        <f>Constants!$H65*'Activity data'!BJ7*Constants!$H83*EF!$H208*MMVolatEF*NtoN2O*kgtoGg</f>
        <v>4.284053802285357E-4</v>
      </c>
      <c r="AR1533" s="22">
        <f>Constants!$H65*'Activity data'!BK7*Constants!$H83*EF!$H208*MMVolatEF*NtoN2O*kgtoGg</f>
        <v>4.3616501438771657E-4</v>
      </c>
      <c r="AS1533" s="22">
        <f>Constants!$H65*'Activity data'!BL7*Constants!$H83*EF!$H208*MMVolatEF*NtoN2O*kgtoGg</f>
        <v>4.4401004957201647E-4</v>
      </c>
      <c r="AT1533" s="22">
        <f>Constants!$H65*'Activity data'!BM7*Constants!$H83*EF!$H208*MMVolatEF*NtoN2O*kgtoGg</f>
        <v>4.4870539746405302E-4</v>
      </c>
      <c r="AU1533" s="22">
        <f>Constants!$H65*'Activity data'!BN7*Constants!$H83*EF!$H208*MMVolatEF*NtoN2O*kgtoGg</f>
        <v>4.5321832092514971E-4</v>
      </c>
      <c r="AV1533" s="22">
        <f>Constants!$H65*'Activity data'!BO7*Constants!$H83*EF!$H208*MMVolatEF*NtoN2O*kgtoGg</f>
        <v>4.5821133040150263E-4</v>
      </c>
      <c r="AW1533" s="22">
        <f>Constants!$H65*'Activity data'!BP7*Constants!$H83*EF!$H208*MMVolatEF*NtoN2O*kgtoGg</f>
        <v>4.630604400735748E-4</v>
      </c>
    </row>
    <row r="1534" spans="1:49" x14ac:dyDescent="0.25">
      <c r="A1534" s="102" t="s">
        <v>961</v>
      </c>
      <c r="B1534" s="102"/>
      <c r="C1534" s="102"/>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3.2482696422712933E-3</v>
      </c>
      <c r="L1534" s="22">
        <f>Constants!$H66*'Activity data'!AE8*Constants!$H84*EF!$H209*MMVolatEF*NtoN2O*kgtoGg</f>
        <v>3.2317319962183351E-3</v>
      </c>
      <c r="M1534" s="22">
        <f>Constants!$H66*'Activity data'!AF8*Constants!$H84*EF!$H209*MMVolatEF*NtoN2O*kgtoGg</f>
        <v>3.2015477632972725E-3</v>
      </c>
      <c r="N1534" s="22">
        <f>Constants!$H66*'Activity data'!AG8*Constants!$H84*EF!$H209*MMVolatEF*NtoN2O*kgtoGg</f>
        <v>3.1189249893783613E-3</v>
      </c>
      <c r="O1534" s="22">
        <f>Constants!$H66*'Activity data'!AH8*Constants!$H84*EF!$H209*MMVolatEF*NtoN2O*kgtoGg</f>
        <v>3.0395993626659438E-3</v>
      </c>
      <c r="P1534" s="22">
        <f>Constants!$H66*'Activity data'!AI8*Constants!$H84*EF!$H209*MMVolatEF*NtoN2O*kgtoGg</f>
        <v>3.013633441305081E-3</v>
      </c>
      <c r="Q1534" s="22">
        <f>Constants!$H66*'Activity data'!AJ8*Constants!$H84*EF!$H209*MMVolatEF*NtoN2O*kgtoGg</f>
        <v>2.9716957157217678E-3</v>
      </c>
      <c r="R1534" s="22">
        <f>Constants!$H66*'Activity data'!AK8*Constants!$H84*EF!$H209*MMVolatEF*NtoN2O*kgtoGg</f>
        <v>2.8774698147158886E-3</v>
      </c>
      <c r="S1534" s="22">
        <f>Constants!$H66*'Activity data'!AL8*Constants!$H84*EF!$H209*MMVolatEF*NtoN2O*kgtoGg</f>
        <v>2.5613322402579155E-3</v>
      </c>
      <c r="T1534" s="22">
        <f>Constants!$H66*'Activity data'!AM8*Constants!$H84*EF!$H209*MMVolatEF*NtoN2O*kgtoGg</f>
        <v>2.623917982066072E-3</v>
      </c>
      <c r="U1534" s="22">
        <f>Constants!$H66*'Activity data'!AN8*Constants!$H84*EF!$H209*MMVolatEF*NtoN2O*kgtoGg</f>
        <v>2.6577221861843617E-3</v>
      </c>
      <c r="V1534" s="22">
        <f>Constants!$H66*'Activity data'!AO8*Constants!$H84*EF!$H209*MMVolatEF*NtoN2O*kgtoGg</f>
        <v>2.6845906828351748E-3</v>
      </c>
      <c r="W1534" s="22">
        <f>Constants!$H66*'Activity data'!AP8*Constants!$H84*EF!$H209*MMVolatEF*NtoN2O*kgtoGg</f>
        <v>2.7207002140253378E-3</v>
      </c>
      <c r="X1534" s="22">
        <f>Constants!$H66*'Activity data'!AQ8*Constants!$H84*EF!$H209*MMVolatEF*NtoN2O*kgtoGg</f>
        <v>2.7900255688374769E-3</v>
      </c>
      <c r="Y1534" s="22">
        <f>Constants!$H66*'Activity data'!AR8*Constants!$H84*EF!$H209*MMVolatEF*NtoN2O*kgtoGg</f>
        <v>2.8659005664794695E-3</v>
      </c>
      <c r="Z1534" s="22">
        <f>Constants!$H66*'Activity data'!AS8*Constants!$H84*EF!$H209*MMVolatEF*NtoN2O*kgtoGg</f>
        <v>2.9485743375895451E-3</v>
      </c>
      <c r="AA1534" s="22">
        <f>Constants!$H66*'Activity data'!AT8*Constants!$H84*EF!$H209*MMVolatEF*NtoN2O*kgtoGg</f>
        <v>3.0159847657098681E-3</v>
      </c>
      <c r="AB1534" s="22">
        <f>Constants!$H66*'Activity data'!AU8*Constants!$H84*EF!$H209*MMVolatEF*NtoN2O*kgtoGg</f>
        <v>3.0969021916471581E-3</v>
      </c>
      <c r="AC1534" s="22">
        <f>Constants!$H66*'Activity data'!AV8*Constants!$H84*EF!$H209*MMVolatEF*NtoN2O*kgtoGg</f>
        <v>3.1943690749044406E-3</v>
      </c>
      <c r="AD1534" s="22">
        <f>Constants!$H66*'Activity data'!AW8*Constants!$H84*EF!$H209*MMVolatEF*NtoN2O*kgtoGg</f>
        <v>3.2585733035448653E-3</v>
      </c>
      <c r="AE1534" s="22">
        <f>Constants!$H66*'Activity data'!AX8*Constants!$H84*EF!$H209*MMVolatEF*NtoN2O*kgtoGg</f>
        <v>3.3241557037935383E-3</v>
      </c>
      <c r="AF1534" s="22">
        <f>Constants!$H66*'Activity data'!AY8*Constants!$H84*EF!$H209*MMVolatEF*NtoN2O*kgtoGg</f>
        <v>3.3880596297124936E-3</v>
      </c>
      <c r="AG1534" s="22">
        <f>Constants!$H66*'Activity data'!AZ8*Constants!$H84*EF!$H209*MMVolatEF*NtoN2O*kgtoGg</f>
        <v>3.4619913814758307E-3</v>
      </c>
      <c r="AH1534" s="22">
        <f>Constants!$H66*'Activity data'!BA8*Constants!$H84*EF!$H209*MMVolatEF*NtoN2O*kgtoGg</f>
        <v>3.5146755709245725E-3</v>
      </c>
      <c r="AI1534" s="22">
        <f>Constants!$H66*'Activity data'!BB8*Constants!$H84*EF!$H209*MMVolatEF*NtoN2O*kgtoGg</f>
        <v>3.5701775452979248E-3</v>
      </c>
      <c r="AJ1534" s="22">
        <f>Constants!$H66*'Activity data'!BC8*Constants!$H84*EF!$H209*MMVolatEF*NtoN2O*kgtoGg</f>
        <v>3.6232879454531405E-3</v>
      </c>
      <c r="AK1534" s="22">
        <f>Constants!$H66*'Activity data'!BD8*Constants!$H84*EF!$H209*MMVolatEF*NtoN2O*kgtoGg</f>
        <v>3.6661960797731564E-3</v>
      </c>
      <c r="AL1534" s="22">
        <f>Constants!$H66*'Activity data'!BE8*Constants!$H84*EF!$H209*MMVolatEF*NtoN2O*kgtoGg</f>
        <v>3.7043821557080172E-3</v>
      </c>
      <c r="AM1534" s="22">
        <f>Constants!$H66*'Activity data'!BF8*Constants!$H84*EF!$H209*MMVolatEF*NtoN2O*kgtoGg</f>
        <v>3.7423967810390727E-3</v>
      </c>
      <c r="AN1534" s="22">
        <f>Constants!$H66*'Activity data'!BG8*Constants!$H84*EF!$H209*MMVolatEF*NtoN2O*kgtoGg</f>
        <v>3.8009071788089443E-3</v>
      </c>
      <c r="AO1534" s="22">
        <f>Constants!$H66*'Activity data'!BH8*Constants!$H84*EF!$H209*MMVolatEF*NtoN2O*kgtoGg</f>
        <v>3.8485572102327672E-3</v>
      </c>
      <c r="AP1534" s="22">
        <f>Constants!$H66*'Activity data'!BI8*Constants!$H84*EF!$H209*MMVolatEF*NtoN2O*kgtoGg</f>
        <v>3.8943125167611257E-3</v>
      </c>
      <c r="AQ1534" s="22">
        <f>Constants!$H66*'Activity data'!BJ8*Constants!$H84*EF!$H209*MMVolatEF*NtoN2O*kgtoGg</f>
        <v>3.9383232574175748E-3</v>
      </c>
      <c r="AR1534" s="22">
        <f>Constants!$H66*'Activity data'!BK8*Constants!$H84*EF!$H209*MMVolatEF*NtoN2O*kgtoGg</f>
        <v>3.9864180340335002E-3</v>
      </c>
      <c r="AS1534" s="22">
        <f>Constants!$H66*'Activity data'!BL8*Constants!$H84*EF!$H209*MMVolatEF*NtoN2O*kgtoGg</f>
        <v>4.0335263443460959E-3</v>
      </c>
      <c r="AT1534" s="22">
        <f>Constants!$H66*'Activity data'!BM8*Constants!$H84*EF!$H209*MMVolatEF*NtoN2O*kgtoGg</f>
        <v>4.0238206460385395E-3</v>
      </c>
      <c r="AU1534" s="22">
        <f>Constants!$H66*'Activity data'!BN8*Constants!$H84*EF!$H209*MMVolatEF*NtoN2O*kgtoGg</f>
        <v>4.0085912060413426E-3</v>
      </c>
      <c r="AV1534" s="22">
        <f>Constants!$H66*'Activity data'!BO8*Constants!$H84*EF!$H209*MMVolatEF*NtoN2O*kgtoGg</f>
        <v>3.9985247622409742E-3</v>
      </c>
      <c r="AW1534" s="22">
        <f>Constants!$H66*'Activity data'!BP8*Constants!$H84*EF!$H209*MMVolatEF*NtoN2O*kgtoGg</f>
        <v>3.9835451710550415E-3</v>
      </c>
    </row>
    <row r="1535" spans="1:49" x14ac:dyDescent="0.25">
      <c r="A1535" s="102" t="s">
        <v>961</v>
      </c>
      <c r="B1535" s="102"/>
      <c r="C1535" s="102"/>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1.6169907052996448E-2</v>
      </c>
      <c r="L1535" s="22">
        <f>Constants!$H67*'Activity data'!AE9*Constants!$H85*EF!$H210*MMVolatEF*NtoN2O*kgtoGg</f>
        <v>1.6087582545181053E-2</v>
      </c>
      <c r="M1535" s="22">
        <f>Constants!$H67*'Activity data'!AF9*Constants!$H85*EF!$H210*MMVolatEF*NtoN2O*kgtoGg</f>
        <v>1.5937325240661746E-2</v>
      </c>
      <c r="N1535" s="22">
        <f>Constants!$H67*'Activity data'!AG9*Constants!$H85*EF!$H210*MMVolatEF*NtoN2O*kgtoGg</f>
        <v>1.5526028543693155E-2</v>
      </c>
      <c r="O1535" s="22">
        <f>Constants!$H67*'Activity data'!AH9*Constants!$H85*EF!$H210*MMVolatEF*NtoN2O*kgtoGg</f>
        <v>1.5131145066604845E-2</v>
      </c>
      <c r="P1535" s="22">
        <f>Constants!$H67*'Activity data'!AI9*Constants!$H85*EF!$H210*MMVolatEF*NtoN2O*kgtoGg</f>
        <v>1.5001886544009729E-2</v>
      </c>
      <c r="Q1535" s="22">
        <f>Constants!$H67*'Activity data'!AJ9*Constants!$H85*EF!$H210*MMVolatEF*NtoN2O*kgtoGg</f>
        <v>1.4793120277850224E-2</v>
      </c>
      <c r="R1535" s="22">
        <f>Constants!$H67*'Activity data'!AK9*Constants!$H85*EF!$H210*MMVolatEF*NtoN2O*kgtoGg</f>
        <v>1.4324063140036831E-2</v>
      </c>
      <c r="S1535" s="22">
        <f>Constants!$H67*'Activity data'!AL9*Constants!$H85*EF!$H210*MMVolatEF*NtoN2O*kgtoGg</f>
        <v>1.2750328272579596E-2</v>
      </c>
      <c r="T1535" s="22">
        <f>Constants!$H67*'Activity data'!AM9*Constants!$H85*EF!$H210*MMVolatEF*NtoN2O*kgtoGg</f>
        <v>1.3061880495557336E-2</v>
      </c>
      <c r="U1535" s="22">
        <f>Constants!$H67*'Activity data'!AN9*Constants!$H85*EF!$H210*MMVolatEF*NtoN2O*kgtoGg</f>
        <v>1.3230158039847359E-2</v>
      </c>
      <c r="V1535" s="22">
        <f>Constants!$H67*'Activity data'!AO9*Constants!$H85*EF!$H210*MMVolatEF*NtoN2O*kgtoGg</f>
        <v>1.3363909588008125E-2</v>
      </c>
      <c r="W1535" s="22">
        <f>Constants!$H67*'Activity data'!AP9*Constants!$H85*EF!$H210*MMVolatEF*NtoN2O*kgtoGg</f>
        <v>1.3543663065205281E-2</v>
      </c>
      <c r="X1535" s="22">
        <f>Constants!$H67*'Activity data'!AQ9*Constants!$H85*EF!$H210*MMVolatEF*NtoN2O*kgtoGg</f>
        <v>1.3888765124818915E-2</v>
      </c>
      <c r="Y1535" s="22">
        <f>Constants!$H67*'Activity data'!AR9*Constants!$H85*EF!$H210*MMVolatEF*NtoN2O*kgtoGg</f>
        <v>1.4266471348326726E-2</v>
      </c>
      <c r="Z1535" s="22">
        <f>Constants!$H67*'Activity data'!AS9*Constants!$H85*EF!$H210*MMVolatEF*NtoN2O*kgtoGg</f>
        <v>1.4678021909639079E-2</v>
      </c>
      <c r="AA1535" s="22">
        <f>Constants!$H67*'Activity data'!AT9*Constants!$H85*EF!$H210*MMVolatEF*NtoN2O*kgtoGg</f>
        <v>1.5013591451934262E-2</v>
      </c>
      <c r="AB1535" s="22">
        <f>Constants!$H67*'Activity data'!AU9*Constants!$H85*EF!$H210*MMVolatEF*NtoN2O*kgtoGg</f>
        <v>1.5416398915744074E-2</v>
      </c>
      <c r="AC1535" s="22">
        <f>Constants!$H67*'Activity data'!AV9*Constants!$H85*EF!$H210*MMVolatEF*NtoN2O*kgtoGg</f>
        <v>1.5901589683932116E-2</v>
      </c>
      <c r="AD1535" s="22">
        <f>Constants!$H67*'Activity data'!AW9*Constants!$H85*EF!$H210*MMVolatEF*NtoN2O*kgtoGg</f>
        <v>1.6221198744711653E-2</v>
      </c>
      <c r="AE1535" s="22">
        <f>Constants!$H67*'Activity data'!AX9*Constants!$H85*EF!$H210*MMVolatEF*NtoN2O*kgtoGg</f>
        <v>1.6547668352570915E-2</v>
      </c>
      <c r="AF1535" s="22">
        <f>Constants!$H67*'Activity data'!AY9*Constants!$H85*EF!$H210*MMVolatEF*NtoN2O*kgtoGg</f>
        <v>1.6865782504482438E-2</v>
      </c>
      <c r="AG1535" s="22">
        <f>Constants!$H67*'Activity data'!AZ9*Constants!$H85*EF!$H210*MMVolatEF*NtoN2O*kgtoGg</f>
        <v>1.7233815237578592E-2</v>
      </c>
      <c r="AH1535" s="22">
        <f>Constants!$H67*'Activity data'!BA9*Constants!$H85*EF!$H210*MMVolatEF*NtoN2O*kgtoGg</f>
        <v>1.7496077469587427E-2</v>
      </c>
      <c r="AI1535" s="22">
        <f>Constants!$H67*'Activity data'!BB9*Constants!$H85*EF!$H210*MMVolatEF*NtoN2O*kgtoGg</f>
        <v>1.7772366652971647E-2</v>
      </c>
      <c r="AJ1535" s="22">
        <f>Constants!$H67*'Activity data'!BC9*Constants!$H85*EF!$H210*MMVolatEF*NtoN2O*kgtoGg</f>
        <v>1.8036750564603077E-2</v>
      </c>
      <c r="AK1535" s="22">
        <f>Constants!$H67*'Activity data'!BD9*Constants!$H85*EF!$H210*MMVolatEF*NtoN2O*kgtoGg</f>
        <v>1.825034753165997E-2</v>
      </c>
      <c r="AL1535" s="22">
        <f>Constants!$H67*'Activity data'!BE9*Constants!$H85*EF!$H210*MMVolatEF*NtoN2O*kgtoGg</f>
        <v>1.8440438061876424E-2</v>
      </c>
      <c r="AM1535" s="22">
        <f>Constants!$H67*'Activity data'!BF9*Constants!$H85*EF!$H210*MMVolatEF*NtoN2O*kgtoGg</f>
        <v>1.862967510989065E-2</v>
      </c>
      <c r="AN1535" s="22">
        <f>Constants!$H67*'Activity data'!BG9*Constants!$H85*EF!$H210*MMVolatEF*NtoN2O*kgtoGg</f>
        <v>1.8920940244182623E-2</v>
      </c>
      <c r="AO1535" s="22">
        <f>Constants!$H67*'Activity data'!BH9*Constants!$H85*EF!$H210*MMVolatEF*NtoN2O*kgtoGg</f>
        <v>1.9158142405348286E-2</v>
      </c>
      <c r="AP1535" s="22">
        <f>Constants!$H67*'Activity data'!BI9*Constants!$H85*EF!$H210*MMVolatEF*NtoN2O*kgtoGg</f>
        <v>1.9385912613866938E-2</v>
      </c>
      <c r="AQ1535" s="22">
        <f>Constants!$H67*'Activity data'!BJ9*Constants!$H85*EF!$H210*MMVolatEF*NtoN2O*kgtoGg</f>
        <v>1.9604998362318136E-2</v>
      </c>
      <c r="AR1535" s="22">
        <f>Constants!$H67*'Activity data'!BK9*Constants!$H85*EF!$H210*MMVolatEF*NtoN2O*kgtoGg</f>
        <v>1.9844414467894381E-2</v>
      </c>
      <c r="AS1535" s="22">
        <f>Constants!$H67*'Activity data'!BL9*Constants!$H85*EF!$H210*MMVolatEF*NtoN2O*kgtoGg</f>
        <v>2.0078919937903877E-2</v>
      </c>
      <c r="AT1535" s="22">
        <f>Constants!$H67*'Activity data'!BM9*Constants!$H85*EF!$H210*MMVolatEF*NtoN2O*kgtoGg</f>
        <v>2.0030604909657669E-2</v>
      </c>
      <c r="AU1535" s="22">
        <f>Constants!$H67*'Activity data'!BN9*Constants!$H85*EF!$H210*MMVolatEF*NtoN2O*kgtoGg</f>
        <v>1.9954792659954267E-2</v>
      </c>
      <c r="AV1535" s="22">
        <f>Constants!$H67*'Activity data'!BO9*Constants!$H85*EF!$H210*MMVolatEF*NtoN2O*kgtoGg</f>
        <v>1.9904681838337764E-2</v>
      </c>
      <c r="AW1535" s="22">
        <f>Constants!$H67*'Activity data'!BP9*Constants!$H85*EF!$H210*MMVolatEF*NtoN2O*kgtoGg</f>
        <v>1.9830113337614693E-2</v>
      </c>
    </row>
    <row r="1536" spans="1:49" x14ac:dyDescent="0.25">
      <c r="A1536" s="102" t="s">
        <v>961</v>
      </c>
      <c r="B1536" s="102"/>
      <c r="C1536" s="102"/>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0.15881310952891459</v>
      </c>
      <c r="L1536" s="22">
        <f>Constants!$H68*'Activity data'!AE10*Constants!$H86*EF!$H211*MMVolatEF*NtoN2O*kgtoGg</f>
        <v>0.16473779708525871</v>
      </c>
      <c r="M1536" s="22">
        <f>Constants!$H68*'Activity data'!AF10*Constants!$H86*EF!$H211*MMVolatEF*NtoN2O*kgtoGg</f>
        <v>0.17006036536738212</v>
      </c>
      <c r="N1536" s="22">
        <f>Constants!$H68*'Activity data'!AG10*Constants!$H86*EF!$H211*MMVolatEF*NtoN2O*kgtoGg</f>
        <v>0.1725581026820969</v>
      </c>
      <c r="O1536" s="22">
        <f>Constants!$H68*'Activity data'!AH10*Constants!$H86*EF!$H211*MMVolatEF*NtoN2O*kgtoGg</f>
        <v>0.17509405758016705</v>
      </c>
      <c r="P1536" s="22">
        <f>Constants!$H68*'Activity data'!AI10*Constants!$H86*EF!$H211*MMVolatEF*NtoN2O*kgtoGg</f>
        <v>0.18069182253517682</v>
      </c>
      <c r="Q1536" s="22">
        <f>Constants!$H68*'Activity data'!AJ10*Constants!$H86*EF!$H211*MMVolatEF*NtoN2O*kgtoGg</f>
        <v>0.18541356320951116</v>
      </c>
      <c r="R1536" s="22">
        <f>Constants!$H68*'Activity data'!AK10*Constants!$H86*EF!$H211*MMVolatEF*NtoN2O*kgtoGg</f>
        <v>0.18679194415388084</v>
      </c>
      <c r="S1536" s="22">
        <f>Constants!$H68*'Activity data'!AL10*Constants!$H86*EF!$H211*MMVolatEF*NtoN2O*kgtoGg</f>
        <v>0.17296868678120739</v>
      </c>
      <c r="T1536" s="22">
        <f>Constants!$H68*'Activity data'!AM10*Constants!$H86*EF!$H211*MMVolatEF*NtoN2O*kgtoGg</f>
        <v>0.18144262132443914</v>
      </c>
      <c r="U1536" s="22">
        <f>Constants!$H68*'Activity data'!AN10*Constants!$H86*EF!$H211*MMVolatEF*NtoN2O*kgtoGg</f>
        <v>0.18812503294384797</v>
      </c>
      <c r="V1536" s="22">
        <f>Constants!$H68*'Activity data'!AO10*Constants!$H86*EF!$H211*MMVolatEF*NtoN2O*kgtoGg</f>
        <v>0.19446239722796549</v>
      </c>
      <c r="W1536" s="22">
        <f>Constants!$H68*'Activity data'!AP10*Constants!$H86*EF!$H211*MMVolatEF*NtoN2O*kgtoGg</f>
        <v>0.2016240264907645</v>
      </c>
      <c r="X1536" s="22">
        <f>Constants!$H68*'Activity data'!AQ10*Constants!$H86*EF!$H211*MMVolatEF*NtoN2O*kgtoGg</f>
        <v>0.21147893804143503</v>
      </c>
      <c r="Y1536" s="22">
        <f>Constants!$H68*'Activity data'!AR10*Constants!$H86*EF!$H211*MMVolatEF*NtoN2O*kgtoGg</f>
        <v>0.2221363393242273</v>
      </c>
      <c r="Z1536" s="22">
        <f>Constants!$H68*'Activity data'!AS10*Constants!$H86*EF!$H211*MMVolatEF*NtoN2O*kgtoGg</f>
        <v>0.23365788448441194</v>
      </c>
      <c r="AA1536" s="22">
        <f>Constants!$H68*'Activity data'!AT10*Constants!$H86*EF!$H211*MMVolatEF*NtoN2O*kgtoGg</f>
        <v>0.24430091045471902</v>
      </c>
      <c r="AB1536" s="22">
        <f>Constants!$H68*'Activity data'!AU10*Constants!$H86*EF!$H211*MMVolatEF*NtoN2O*kgtoGg</f>
        <v>0.25637491269914275</v>
      </c>
      <c r="AC1536" s="22">
        <f>Constants!$H68*'Activity data'!AV10*Constants!$H86*EF!$H211*MMVolatEF*NtoN2O*kgtoGg</f>
        <v>0.27021906806746643</v>
      </c>
      <c r="AD1536" s="22">
        <f>Constants!$H68*'Activity data'!AW10*Constants!$H86*EF!$H211*MMVolatEF*NtoN2O*kgtoGg</f>
        <v>0.28476142142999822</v>
      </c>
      <c r="AE1536" s="22">
        <f>Constants!$H68*'Activity data'!AX10*Constants!$H86*EF!$H211*MMVolatEF*NtoN2O*kgtoGg</f>
        <v>0.30011305574638969</v>
      </c>
      <c r="AF1536" s="22">
        <f>Constants!$H68*'Activity data'!AY10*Constants!$H86*EF!$H211*MMVolatEF*NtoN2O*kgtoGg</f>
        <v>0.31603885980078922</v>
      </c>
      <c r="AG1536" s="22">
        <f>Constants!$H68*'Activity data'!AZ10*Constants!$H86*EF!$H211*MMVolatEF*NtoN2O*kgtoGg</f>
        <v>0.33369229141350232</v>
      </c>
      <c r="AH1536" s="22">
        <f>Constants!$H68*'Activity data'!BA10*Constants!$H86*EF!$H211*MMVolatEF*NtoN2O*kgtoGg</f>
        <v>0.35009811029288379</v>
      </c>
      <c r="AI1536" s="22">
        <f>Constants!$H68*'Activity data'!BB10*Constants!$H86*EF!$H211*MMVolatEF*NtoN2O*kgtoGg</f>
        <v>0.3675707773071587</v>
      </c>
      <c r="AJ1536" s="22">
        <f>Constants!$H68*'Activity data'!BC10*Constants!$H86*EF!$H211*MMVolatEF*NtoN2O*kgtoGg</f>
        <v>0.38563080115839554</v>
      </c>
      <c r="AK1536" s="22">
        <f>Constants!$H68*'Activity data'!BD10*Constants!$H86*EF!$H211*MMVolatEF*NtoN2O*kgtoGg</f>
        <v>0.4034429737992129</v>
      </c>
      <c r="AL1536" s="22">
        <f>Constants!$H68*'Activity data'!BE10*Constants!$H86*EF!$H211*MMVolatEF*NtoN2O*kgtoGg</f>
        <v>0.42156904095031289</v>
      </c>
      <c r="AM1536" s="22">
        <f>Constants!$H68*'Activity data'!BF10*Constants!$H86*EF!$H211*MMVolatEF*NtoN2O*kgtoGg</f>
        <v>0.44054187589856841</v>
      </c>
      <c r="AN1536" s="22">
        <f>Constants!$H68*'Activity data'!BG10*Constants!$H86*EF!$H211*MMVolatEF*NtoN2O*kgtoGg</f>
        <v>0.4600083648860695</v>
      </c>
      <c r="AO1536" s="22">
        <f>Constants!$H68*'Activity data'!BH10*Constants!$H86*EF!$H211*MMVolatEF*NtoN2O*kgtoGg</f>
        <v>0.4789155318145385</v>
      </c>
      <c r="AP1536" s="22">
        <f>Constants!$H68*'Activity data'!BI10*Constants!$H86*EF!$H211*MMVolatEF*NtoN2O*kgtoGg</f>
        <v>0.4983346210539078</v>
      </c>
      <c r="AQ1536" s="22">
        <f>Constants!$H68*'Activity data'!BJ10*Constants!$H86*EF!$H211*MMVolatEF*NtoN2O*kgtoGg</f>
        <v>0.51830220925788251</v>
      </c>
      <c r="AR1536" s="22">
        <f>Constants!$H68*'Activity data'!BK10*Constants!$H86*EF!$H211*MMVolatEF*NtoN2O*kgtoGg</f>
        <v>0.53962685269510091</v>
      </c>
      <c r="AS1536" s="22">
        <f>Constants!$H68*'Activity data'!BL10*Constants!$H86*EF!$H211*MMVolatEF*NtoN2O*kgtoGg</f>
        <v>0.56169127095769178</v>
      </c>
      <c r="AT1536" s="22">
        <f>Constants!$H68*'Activity data'!BM10*Constants!$H86*EF!$H211*MMVolatEF*NtoN2O*kgtoGg</f>
        <v>0.57653019243567449</v>
      </c>
      <c r="AU1536" s="22">
        <f>Constants!$H68*'Activity data'!BN10*Constants!$H86*EF!$H211*MMVolatEF*NtoN2O*kgtoGg</f>
        <v>0.59104442540925484</v>
      </c>
      <c r="AV1536" s="22">
        <f>Constants!$H68*'Activity data'!BO10*Constants!$H86*EF!$H211*MMVolatEF*NtoN2O*kgtoGg</f>
        <v>0.60681048738089205</v>
      </c>
      <c r="AW1536" s="22">
        <f>Constants!$H68*'Activity data'!BP10*Constants!$H86*EF!$H211*MMVolatEF*NtoN2O*kgtoGg</f>
        <v>0.62234884521273104</v>
      </c>
    </row>
    <row r="1537" spans="1:49" x14ac:dyDescent="0.25">
      <c r="A1537" s="102" t="s">
        <v>961</v>
      </c>
      <c r="B1537" s="102"/>
      <c r="C1537" s="102"/>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1.1717139101759614E-4</v>
      </c>
      <c r="L1537" s="22">
        <f>Constants!$H69*'Activity data'!AE11*Constants!$H87*EF!$H212*MMVolatEF*NtoN2O*kgtoGg</f>
        <v>1.1723462618367247E-4</v>
      </c>
      <c r="M1537" s="22">
        <f>Constants!$H69*'Activity data'!AF11*Constants!$H87*EF!$H212*MMVolatEF*NtoN2O*kgtoGg</f>
        <v>1.1737999843906114E-4</v>
      </c>
      <c r="N1537" s="22">
        <f>Constants!$H69*'Activity data'!AG11*Constants!$H87*EF!$H212*MMVolatEF*NtoN2O*kgtoGg</f>
        <v>1.1759581709566441E-4</v>
      </c>
      <c r="O1537" s="22">
        <f>Constants!$H69*'Activity data'!AH11*Constants!$H87*EF!$H212*MMVolatEF*NtoN2O*kgtoGg</f>
        <v>1.178871134646596E-4</v>
      </c>
      <c r="P1537" s="22">
        <f>Constants!$H69*'Activity data'!AI11*Constants!$H87*EF!$H212*MMVolatEF*NtoN2O*kgtoGg</f>
        <v>1.182597418054167E-4</v>
      </c>
      <c r="Q1537" s="22">
        <f>Constants!$H69*'Activity data'!AJ11*Constants!$H87*EF!$H212*MMVolatEF*NtoN2O*kgtoGg</f>
        <v>1.1867033947255795E-4</v>
      </c>
      <c r="R1537" s="22">
        <f>Constants!$H69*'Activity data'!AK11*Constants!$H87*EF!$H212*MMVolatEF*NtoN2O*kgtoGg</f>
        <v>1.1911252923744314E-4</v>
      </c>
      <c r="S1537" s="22">
        <f>Constants!$H69*'Activity data'!AL11*Constants!$H87*EF!$H212*MMVolatEF*NtoN2O*kgtoGg</f>
        <v>1.1955062486439893E-4</v>
      </c>
      <c r="T1537" s="22">
        <f>Constants!$H69*'Activity data'!AM11*Constants!$H87*EF!$H212*MMVolatEF*NtoN2O*kgtoGg</f>
        <v>1.1972991314052751E-4</v>
      </c>
      <c r="U1537" s="22">
        <f>Constants!$H69*'Activity data'!AN11*Constants!$H87*EF!$H212*MMVolatEF*NtoN2O*kgtoGg</f>
        <v>1.1993350054454542E-4</v>
      </c>
      <c r="V1537" s="22">
        <f>Constants!$H69*'Activity data'!AO11*Constants!$H87*EF!$H212*MMVolatEF*NtoN2O*kgtoGg</f>
        <v>1.2016374349275828E-4</v>
      </c>
      <c r="W1537" s="22">
        <f>Constants!$H69*'Activity data'!AP11*Constants!$H87*EF!$H212*MMVolatEF*NtoN2O*kgtoGg</f>
        <v>1.2042231214139446E-4</v>
      </c>
      <c r="X1537" s="22">
        <f>Constants!$H69*'Activity data'!AQ11*Constants!$H87*EF!$H212*MMVolatEF*NtoN2O*kgtoGg</f>
        <v>1.207128620599027E-4</v>
      </c>
      <c r="Y1537" s="22">
        <f>Constants!$H69*'Activity data'!AR11*Constants!$H87*EF!$H212*MMVolatEF*NtoN2O*kgtoGg</f>
        <v>1.2089554719264044E-4</v>
      </c>
      <c r="Z1537" s="22">
        <f>Constants!$H69*'Activity data'!AS11*Constants!$H87*EF!$H212*MMVolatEF*NtoN2O*kgtoGg</f>
        <v>1.2110125995232866E-4</v>
      </c>
      <c r="AA1537" s="22">
        <f>Constants!$H69*'Activity data'!AT11*Constants!$H87*EF!$H212*MMVolatEF*NtoN2O*kgtoGg</f>
        <v>1.2132427506998271E-4</v>
      </c>
      <c r="AB1537" s="22">
        <f>Constants!$H69*'Activity data'!AU11*Constants!$H87*EF!$H212*MMVolatEF*NtoN2O*kgtoGg</f>
        <v>1.2156982110770359E-4</v>
      </c>
      <c r="AC1537" s="22">
        <f>Constants!$H69*'Activity data'!AV11*Constants!$H87*EF!$H212*MMVolatEF*NtoN2O*kgtoGg</f>
        <v>1.2183786994920164E-4</v>
      </c>
      <c r="AD1537" s="22">
        <f>Constants!$H69*'Activity data'!AW11*Constants!$H87*EF!$H212*MMVolatEF*NtoN2O*kgtoGg</f>
        <v>1.2201528623614288E-4</v>
      </c>
      <c r="AE1537" s="22">
        <f>Constants!$H69*'Activity data'!AX11*Constants!$H87*EF!$H212*MMVolatEF*NtoN2O*kgtoGg</f>
        <v>1.2220996410772502E-4</v>
      </c>
      <c r="AF1537" s="22">
        <f>Constants!$H69*'Activity data'!AY11*Constants!$H87*EF!$H212*MMVolatEF*NtoN2O*kgtoGg</f>
        <v>1.2242059577670001E-4</v>
      </c>
      <c r="AG1537" s="22">
        <f>Constants!$H69*'Activity data'!AZ11*Constants!$H87*EF!$H212*MMVolatEF*NtoN2O*kgtoGg</f>
        <v>1.2264946134615736E-4</v>
      </c>
      <c r="AH1537" s="22">
        <f>Constants!$H69*'Activity data'!BA11*Constants!$H87*EF!$H212*MMVolatEF*NtoN2O*kgtoGg</f>
        <v>1.2288846185835745E-4</v>
      </c>
      <c r="AI1537" s="22">
        <f>Constants!$H69*'Activity data'!BB11*Constants!$H87*EF!$H212*MMVolatEF*NtoN2O*kgtoGg</f>
        <v>1.2304136792276417E-4</v>
      </c>
      <c r="AJ1537" s="22">
        <f>Constants!$H69*'Activity data'!BC11*Constants!$H87*EF!$H212*MMVolatEF*NtoN2O*kgtoGg</f>
        <v>1.2320724493915228E-4</v>
      </c>
      <c r="AK1537" s="22">
        <f>Constants!$H69*'Activity data'!BD11*Constants!$H87*EF!$H212*MMVolatEF*NtoN2O*kgtoGg</f>
        <v>1.2338358070705196E-4</v>
      </c>
      <c r="AL1537" s="22">
        <f>Constants!$H69*'Activity data'!BE11*Constants!$H87*EF!$H212*MMVolatEF*NtoN2O*kgtoGg</f>
        <v>1.2357134049580156E-4</v>
      </c>
      <c r="AM1537" s="22">
        <f>Constants!$H69*'Activity data'!BF11*Constants!$H87*EF!$H212*MMVolatEF*NtoN2O*kgtoGg</f>
        <v>1.2377140391233165E-4</v>
      </c>
      <c r="AN1537" s="22">
        <f>Constants!$H69*'Activity data'!BG11*Constants!$H87*EF!$H212*MMVolatEF*NtoN2O*kgtoGg</f>
        <v>1.2388931849227042E-4</v>
      </c>
      <c r="AO1537" s="22">
        <f>Constants!$H69*'Activity data'!BH11*Constants!$H87*EF!$H212*MMVolatEF*NtoN2O*kgtoGg</f>
        <v>1.2401495917055069E-4</v>
      </c>
      <c r="AP1537" s="22">
        <f>Constants!$H69*'Activity data'!BI11*Constants!$H87*EF!$H212*MMVolatEF*NtoN2O*kgtoGg</f>
        <v>1.2415054004629534E-4</v>
      </c>
      <c r="AQ1537" s="22">
        <f>Constants!$H69*'Activity data'!BJ11*Constants!$H87*EF!$H212*MMVolatEF*NtoN2O*kgtoGg</f>
        <v>1.2429582194532134E-4</v>
      </c>
      <c r="AR1537" s="22">
        <f>Constants!$H69*'Activity data'!BK11*Constants!$H87*EF!$H212*MMVolatEF*NtoN2O*kgtoGg</f>
        <v>1.2445236467960286E-4</v>
      </c>
      <c r="AS1537" s="22">
        <f>Constants!$H69*'Activity data'!BL11*Constants!$H87*EF!$H212*MMVolatEF*NtoN2O*kgtoGg</f>
        <v>1.2452291839205781E-4</v>
      </c>
      <c r="AT1537" s="22">
        <f>Constants!$H69*'Activity data'!BM11*Constants!$H87*EF!$H212*MMVolatEF*NtoN2O*kgtoGg</f>
        <v>1.2458415812408247E-4</v>
      </c>
      <c r="AU1537" s="22">
        <f>Constants!$H69*'Activity data'!BN11*Constants!$H87*EF!$H212*MMVolatEF*NtoN2O*kgtoGg</f>
        <v>1.2465176490232825E-4</v>
      </c>
      <c r="AV1537" s="22">
        <f>Constants!$H69*'Activity data'!BO11*Constants!$H87*EF!$H212*MMVolatEF*NtoN2O*kgtoGg</f>
        <v>1.2472905780449089E-4</v>
      </c>
      <c r="AW1537" s="22">
        <f>Constants!$H69*'Activity data'!BP11*Constants!$H87*EF!$H212*MMVolatEF*NtoN2O*kgtoGg</f>
        <v>1.248124658088483E-4</v>
      </c>
    </row>
    <row r="1538" spans="1:49" x14ac:dyDescent="0.25">
      <c r="A1538" s="102" t="s">
        <v>961</v>
      </c>
      <c r="B1538" s="102"/>
      <c r="C1538" s="102"/>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8.0409045079441203E-4</v>
      </c>
      <c r="L1538" s="22">
        <f>Constants!$H70*'Activity data'!AE12*Constants!$H88*EF!$H213*MMVolatEF*NtoN2O*kgtoGg</f>
        <v>8.0452440308220838E-4</v>
      </c>
      <c r="M1538" s="22">
        <f>Constants!$H70*'Activity data'!AF12*Constants!$H88*EF!$H213*MMVolatEF*NtoN2O*kgtoGg</f>
        <v>8.055220223931452E-4</v>
      </c>
      <c r="N1538" s="22">
        <f>Constants!$H70*'Activity data'!AG12*Constants!$H88*EF!$H213*MMVolatEF*NtoN2O*kgtoGg</f>
        <v>8.0700308120255969E-4</v>
      </c>
      <c r="O1538" s="22">
        <f>Constants!$H70*'Activity data'!AH12*Constants!$H88*EF!$H213*MMVolatEF*NtoN2O*kgtoGg</f>
        <v>8.0900210695983646E-4</v>
      </c>
      <c r="P1538" s="22">
        <f>Constants!$H70*'Activity data'!AI12*Constants!$H88*EF!$H213*MMVolatEF*NtoN2O*kgtoGg</f>
        <v>8.1155927460883318E-4</v>
      </c>
      <c r="Q1538" s="22">
        <f>Constants!$H70*'Activity data'!AJ12*Constants!$H88*EF!$H213*MMVolatEF*NtoN2O*kgtoGg</f>
        <v>8.1437700733692851E-4</v>
      </c>
      <c r="R1538" s="22">
        <f>Constants!$H70*'Activity data'!AK12*Constants!$H88*EF!$H213*MMVolatEF*NtoN2O*kgtoGg</f>
        <v>8.1741154131570351E-4</v>
      </c>
      <c r="S1538" s="22">
        <f>Constants!$H70*'Activity data'!AL12*Constants!$H88*EF!$H213*MMVolatEF*NtoN2O*kgtoGg</f>
        <v>8.2041797921074454E-4</v>
      </c>
      <c r="T1538" s="22">
        <f>Constants!$H70*'Activity data'!AM12*Constants!$H88*EF!$H213*MMVolatEF*NtoN2O*kgtoGg</f>
        <v>8.2164834772922271E-4</v>
      </c>
      <c r="U1538" s="22">
        <f>Constants!$H70*'Activity data'!AN12*Constants!$H88*EF!$H213*MMVolatEF*NtoN2O*kgtoGg</f>
        <v>8.2304546938196678E-4</v>
      </c>
      <c r="V1538" s="22">
        <f>Constants!$H70*'Activity data'!AO12*Constants!$H88*EF!$H213*MMVolatEF*NtoN2O*kgtoGg</f>
        <v>8.2462551511166995E-4</v>
      </c>
      <c r="W1538" s="22">
        <f>Constants!$H70*'Activity data'!AP12*Constants!$H88*EF!$H213*MMVolatEF*NtoN2O*kgtoGg</f>
        <v>8.2639994639082011E-4</v>
      </c>
      <c r="X1538" s="22">
        <f>Constants!$H70*'Activity data'!AQ12*Constants!$H88*EF!$H213*MMVolatEF*NtoN2O*kgtoGg</f>
        <v>8.2839384962029086E-4</v>
      </c>
      <c r="Y1538" s="22">
        <f>Constants!$H70*'Activity data'!AR12*Constants!$H88*EF!$H213*MMVolatEF*NtoN2O*kgtoGg</f>
        <v>8.2964752911885125E-4</v>
      </c>
      <c r="Z1538" s="22">
        <f>Constants!$H70*'Activity data'!AS12*Constants!$H88*EF!$H213*MMVolatEF*NtoN2O*kgtoGg</f>
        <v>8.3105923605716848E-4</v>
      </c>
      <c r="AA1538" s="22">
        <f>Constants!$H70*'Activity data'!AT12*Constants!$H88*EF!$H213*MMVolatEF*NtoN2O*kgtoGg</f>
        <v>8.3258968068986462E-4</v>
      </c>
      <c r="AB1538" s="22">
        <f>Constants!$H70*'Activity data'!AU12*Constants!$H88*EF!$H213*MMVolatEF*NtoN2O*kgtoGg</f>
        <v>8.3427474410378356E-4</v>
      </c>
      <c r="AC1538" s="22">
        <f>Constants!$H70*'Activity data'!AV12*Constants!$H88*EF!$H213*MMVolatEF*NtoN2O*kgtoGg</f>
        <v>8.3611423335046113E-4</v>
      </c>
      <c r="AD1538" s="22">
        <f>Constants!$H70*'Activity data'!AW12*Constants!$H88*EF!$H213*MMVolatEF*NtoN2O*kgtoGg</f>
        <v>8.373317553147042E-4</v>
      </c>
      <c r="AE1538" s="22">
        <f>Constants!$H70*'Activity data'!AX12*Constants!$H88*EF!$H213*MMVolatEF*NtoN2O*kgtoGg</f>
        <v>8.3866773516576396E-4</v>
      </c>
      <c r="AF1538" s="22">
        <f>Constants!$H70*'Activity data'!AY12*Constants!$H88*EF!$H213*MMVolatEF*NtoN2O*kgtoGg</f>
        <v>8.4011319819378471E-4</v>
      </c>
      <c r="AG1538" s="22">
        <f>Constants!$H70*'Activity data'!AZ12*Constants!$H88*EF!$H213*MMVolatEF*NtoN2O*kgtoGg</f>
        <v>8.416837916408544E-4</v>
      </c>
      <c r="AH1538" s="22">
        <f>Constants!$H70*'Activity data'!BA12*Constants!$H88*EF!$H213*MMVolatEF*NtoN2O*kgtoGg</f>
        <v>8.4332393628645482E-4</v>
      </c>
      <c r="AI1538" s="22">
        <f>Constants!$H70*'Activity data'!BB12*Constants!$H88*EF!$H213*MMVolatEF*NtoN2O*kgtoGg</f>
        <v>8.4437325647622322E-4</v>
      </c>
      <c r="AJ1538" s="22">
        <f>Constants!$H70*'Activity data'!BC12*Constants!$H88*EF!$H213*MMVolatEF*NtoN2O*kgtoGg</f>
        <v>8.4551159002100391E-4</v>
      </c>
      <c r="AK1538" s="22">
        <f>Constants!$H70*'Activity data'!BD12*Constants!$H88*EF!$H213*MMVolatEF*NtoN2O*kgtoGg</f>
        <v>8.4672169690691037E-4</v>
      </c>
      <c r="AL1538" s="22">
        <f>Constants!$H70*'Activity data'!BE12*Constants!$H88*EF!$H213*MMVolatEF*NtoN2O*kgtoGg</f>
        <v>8.4801020130944032E-4</v>
      </c>
      <c r="AM1538" s="22">
        <f>Constants!$H70*'Activity data'!BF12*Constants!$H88*EF!$H213*MMVolatEF*NtoN2O*kgtoGg</f>
        <v>8.4938313954451667E-4</v>
      </c>
      <c r="AN1538" s="22">
        <f>Constants!$H70*'Activity data'!BG12*Constants!$H88*EF!$H213*MMVolatEF*NtoN2O*kgtoGg</f>
        <v>8.5019233014057226E-4</v>
      </c>
      <c r="AO1538" s="22">
        <f>Constants!$H70*'Activity data'!BH12*Constants!$H88*EF!$H213*MMVolatEF*NtoN2O*kgtoGg</f>
        <v>8.5105454120386272E-4</v>
      </c>
      <c r="AP1538" s="22">
        <f>Constants!$H70*'Activity data'!BI12*Constants!$H88*EF!$H213*MMVolatEF*NtoN2O*kgtoGg</f>
        <v>8.5198496702325278E-4</v>
      </c>
      <c r="AQ1538" s="22">
        <f>Constants!$H70*'Activity data'!BJ12*Constants!$H88*EF!$H213*MMVolatEF*NtoN2O*kgtoGg</f>
        <v>8.5298196626227814E-4</v>
      </c>
      <c r="AR1538" s="22">
        <f>Constants!$H70*'Activity data'!BK12*Constants!$H88*EF!$H213*MMVolatEF*NtoN2O*kgtoGg</f>
        <v>8.5405624315430654E-4</v>
      </c>
      <c r="AS1538" s="22">
        <f>Constants!$H70*'Activity data'!BL12*Constants!$H88*EF!$H213*MMVolatEF*NtoN2O*kgtoGg</f>
        <v>8.545404190778012E-4</v>
      </c>
      <c r="AT1538" s="22">
        <f>Constants!$H70*'Activity data'!BM12*Constants!$H88*EF!$H213*MMVolatEF*NtoN2O*kgtoGg</f>
        <v>8.5496067766910582E-4</v>
      </c>
      <c r="AU1538" s="22">
        <f>Constants!$H70*'Activity data'!BN12*Constants!$H88*EF!$H213*MMVolatEF*NtoN2O*kgtoGg</f>
        <v>8.5542463021182405E-4</v>
      </c>
      <c r="AV1538" s="22">
        <f>Constants!$H70*'Activity data'!BO12*Constants!$H88*EF!$H213*MMVolatEF*NtoN2O*kgtoGg</f>
        <v>8.5595505392706218E-4</v>
      </c>
      <c r="AW1538" s="22">
        <f>Constants!$H70*'Activity data'!BP12*Constants!$H88*EF!$H213*MMVolatEF*NtoN2O*kgtoGg</f>
        <v>8.5652744262400531E-4</v>
      </c>
    </row>
    <row r="1539" spans="1:49" x14ac:dyDescent="0.25">
      <c r="A1539" s="102" t="s">
        <v>961</v>
      </c>
      <c r="B1539" s="102"/>
      <c r="C1539" s="102"/>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1.4482807028187922E-5</v>
      </c>
      <c r="L1539" s="22">
        <f>Constants!$H71*'Activity data'!AE13*Constants!$H89*EF!$H214*MMVolatEF*NtoN2O*kgtoGg</f>
        <v>1.4520450251739282E-5</v>
      </c>
      <c r="M1539" s="22">
        <f>Constants!$H71*'Activity data'!AF13*Constants!$H89*EF!$H214*MMVolatEF*NtoN2O*kgtoGg</f>
        <v>1.4571212872745464E-5</v>
      </c>
      <c r="N1539" s="22">
        <f>Constants!$H71*'Activity data'!AG13*Constants!$H89*EF!$H214*MMVolatEF*NtoN2O*kgtoGg</f>
        <v>1.4633040456364911E-5</v>
      </c>
      <c r="O1539" s="22">
        <f>Constants!$H71*'Activity data'!AH13*Constants!$H89*EF!$H214*MMVolatEF*NtoN2O*kgtoGg</f>
        <v>1.4707094987006923E-5</v>
      </c>
      <c r="P1539" s="22">
        <f>Constants!$H71*'Activity data'!AI13*Constants!$H89*EF!$H214*MMVolatEF*NtoN2O*kgtoGg</f>
        <v>1.4794644538423194E-5</v>
      </c>
      <c r="Q1539" s="22">
        <f>Constants!$H71*'Activity data'!AJ13*Constants!$H89*EF!$H214*MMVolatEF*NtoN2O*kgtoGg</f>
        <v>1.4887429784482061E-5</v>
      </c>
      <c r="R1539" s="22">
        <f>Constants!$H71*'Activity data'!AK13*Constants!$H89*EF!$H214*MMVolatEF*NtoN2O*kgtoGg</f>
        <v>1.4984365063470914E-5</v>
      </c>
      <c r="S1539" s="22">
        <f>Constants!$H71*'Activity data'!AL13*Constants!$H89*EF!$H214*MMVolatEF*NtoN2O*kgtoGg</f>
        <v>1.5078737379247896E-5</v>
      </c>
      <c r="T1539" s="22">
        <f>Constants!$H71*'Activity data'!AM13*Constants!$H89*EF!$H214*MMVolatEF*NtoN2O*kgtoGg</f>
        <v>1.5122022085784052E-5</v>
      </c>
      <c r="U1539" s="22">
        <f>Constants!$H71*'Activity data'!AN13*Constants!$H89*EF!$H214*MMVolatEF*NtoN2O*kgtoGg</f>
        <v>1.5168700186651053E-5</v>
      </c>
      <c r="V1539" s="22">
        <f>Constants!$H71*'Activity data'!AO13*Constants!$H89*EF!$H214*MMVolatEF*NtoN2O*kgtoGg</f>
        <v>1.5219291662698976E-5</v>
      </c>
      <c r="W1539" s="22">
        <f>Constants!$H71*'Activity data'!AP13*Constants!$H89*EF!$H214*MMVolatEF*NtoN2O*kgtoGg</f>
        <v>1.5274171031448217E-5</v>
      </c>
      <c r="X1539" s="22">
        <f>Constants!$H71*'Activity data'!AQ13*Constants!$H89*EF!$H214*MMVolatEF*NtoN2O*kgtoGg</f>
        <v>1.5334076575093776E-5</v>
      </c>
      <c r="Y1539" s="22">
        <f>Constants!$H71*'Activity data'!AR13*Constants!$H89*EF!$H214*MMVolatEF*NtoN2O*kgtoGg</f>
        <v>1.5372633836154438E-5</v>
      </c>
      <c r="Z1539" s="22">
        <f>Constants!$H71*'Activity data'!AS13*Constants!$H89*EF!$H214*MMVolatEF*NtoN2O*kgtoGg</f>
        <v>1.5414710813994563E-5</v>
      </c>
      <c r="AA1539" s="22">
        <f>Constants!$H71*'Activity data'!AT13*Constants!$H89*EF!$H214*MMVolatEF*NtoN2O*kgtoGg</f>
        <v>1.5459260848218299E-5</v>
      </c>
      <c r="AB1539" s="22">
        <f>Constants!$H71*'Activity data'!AU13*Constants!$H89*EF!$H214*MMVolatEF*NtoN2O*kgtoGg</f>
        <v>1.550729679110253E-5</v>
      </c>
      <c r="AC1539" s="22">
        <f>Constants!$H71*'Activity data'!AV13*Constants!$H89*EF!$H214*MMVolatEF*NtoN2O*kgtoGg</f>
        <v>1.5558834836357002E-5</v>
      </c>
      <c r="AD1539" s="22">
        <f>Constants!$H71*'Activity data'!AW13*Constants!$H89*EF!$H214*MMVolatEF*NtoN2O*kgtoGg</f>
        <v>1.5592757830860554E-5</v>
      </c>
      <c r="AE1539" s="22">
        <f>Constants!$H71*'Activity data'!AX13*Constants!$H89*EF!$H214*MMVolatEF*NtoN2O*kgtoGg</f>
        <v>1.5629324786279091E-5</v>
      </c>
      <c r="AF1539" s="22">
        <f>Constants!$H71*'Activity data'!AY13*Constants!$H89*EF!$H214*MMVolatEF*NtoN2O*kgtoGg</f>
        <v>1.5668308058264363E-5</v>
      </c>
      <c r="AG1539" s="22">
        <f>Constants!$H71*'Activity data'!AZ13*Constants!$H89*EF!$H214*MMVolatEF*NtoN2O*kgtoGg</f>
        <v>1.5710145809478675E-5</v>
      </c>
      <c r="AH1539" s="22">
        <f>Constants!$H71*'Activity data'!BA13*Constants!$H89*EF!$H214*MMVolatEF*NtoN2O*kgtoGg</f>
        <v>1.5753347197297649E-5</v>
      </c>
      <c r="AI1539" s="22">
        <f>Constants!$H71*'Activity data'!BB13*Constants!$H89*EF!$H214*MMVolatEF*NtoN2O*kgtoGg</f>
        <v>1.5780128357590142E-5</v>
      </c>
      <c r="AJ1539" s="22">
        <f>Constants!$H71*'Activity data'!BC13*Constants!$H89*EF!$H214*MMVolatEF*NtoN2O*kgtoGg</f>
        <v>1.5808895494916665E-5</v>
      </c>
      <c r="AK1539" s="22">
        <f>Constants!$H71*'Activity data'!BD13*Constants!$H89*EF!$H214*MMVolatEF*NtoN2O*kgtoGg</f>
        <v>1.5839194459493418E-5</v>
      </c>
      <c r="AL1539" s="22">
        <f>Constants!$H71*'Activity data'!BE13*Constants!$H89*EF!$H214*MMVolatEF*NtoN2O*kgtoGg</f>
        <v>1.5871212894447166E-5</v>
      </c>
      <c r="AM1539" s="22">
        <f>Constants!$H71*'Activity data'!BF13*Constants!$H89*EF!$H214*MMVolatEF*NtoN2O*kgtoGg</f>
        <v>1.5905120208325659E-5</v>
      </c>
      <c r="AN1539" s="22">
        <f>Constants!$H71*'Activity data'!BG13*Constants!$H89*EF!$H214*MMVolatEF*NtoN2O*kgtoGg</f>
        <v>1.5923608440521578E-5</v>
      </c>
      <c r="AO1539" s="22">
        <f>Constants!$H71*'Activity data'!BH13*Constants!$H89*EF!$H214*MMVolatEF*NtoN2O*kgtoGg</f>
        <v>1.5943219194385969E-5</v>
      </c>
      <c r="AP1539" s="22">
        <f>Constants!$H71*'Activity data'!BI13*Constants!$H89*EF!$H214*MMVolatEF*NtoN2O*kgtoGg</f>
        <v>1.5964364076511548E-5</v>
      </c>
      <c r="AQ1539" s="22">
        <f>Constants!$H71*'Activity data'!BJ13*Constants!$H89*EF!$H214*MMVolatEF*NtoN2O*kgtoGg</f>
        <v>1.5987003748719161E-5</v>
      </c>
      <c r="AR1539" s="22">
        <f>Constants!$H71*'Activity data'!BK13*Constants!$H89*EF!$H214*MMVolatEF*NtoN2O*kgtoGg</f>
        <v>1.6011426014492075E-5</v>
      </c>
      <c r="AS1539" s="22">
        <f>Constants!$H71*'Activity data'!BL13*Constants!$H89*EF!$H214*MMVolatEF*NtoN2O*kgtoGg</f>
        <v>1.6019956720470997E-5</v>
      </c>
      <c r="AT1539" s="22">
        <f>Constants!$H71*'Activity data'!BM13*Constants!$H89*EF!$H214*MMVolatEF*NtoN2O*kgtoGg</f>
        <v>1.6026597354274649E-5</v>
      </c>
      <c r="AU1539" s="22">
        <f>Constants!$H71*'Activity data'!BN13*Constants!$H89*EF!$H214*MMVolatEF*NtoN2O*kgtoGg</f>
        <v>1.6034206571030276E-5</v>
      </c>
      <c r="AV1539" s="22">
        <f>Constants!$H71*'Activity data'!BO13*Constants!$H89*EF!$H214*MMVolatEF*NtoN2O*kgtoGg</f>
        <v>1.6043388029308272E-5</v>
      </c>
      <c r="AW1539" s="22">
        <f>Constants!$H71*'Activity data'!BP13*Constants!$H89*EF!$H214*MMVolatEF*NtoN2O*kgtoGg</f>
        <v>1.6053496862987396E-5</v>
      </c>
    </row>
    <row r="1540" spans="1:49" x14ac:dyDescent="0.25">
      <c r="A1540" s="102" t="s">
        <v>961</v>
      </c>
      <c r="B1540" s="102"/>
      <c r="C1540" s="102"/>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1.4734983248944019E-3</v>
      </c>
      <c r="L1540" s="22">
        <f>Constants!$H72*'Activity data'!AE14*Constants!$H90*EF!$H215*MMVolatEF*NtoN2O*kgtoGg</f>
        <v>1.4773281920422968E-3</v>
      </c>
      <c r="M1540" s="22">
        <f>Constants!$H72*'Activity data'!AF14*Constants!$H90*EF!$H215*MMVolatEF*NtoN2O*kgtoGg</f>
        <v>1.4824928425740808E-3</v>
      </c>
      <c r="N1540" s="22">
        <f>Constants!$H72*'Activity data'!AG14*Constants!$H90*EF!$H215*MMVolatEF*NtoN2O*kgtoGg</f>
        <v>1.4887832558011719E-3</v>
      </c>
      <c r="O1540" s="22">
        <f>Constants!$H72*'Activity data'!AH14*Constants!$H90*EF!$H215*MMVolatEF*NtoN2O*kgtoGg</f>
        <v>1.4963176534244689E-3</v>
      </c>
      <c r="P1540" s="22">
        <f>Constants!$H72*'Activity data'!AI14*Constants!$H90*EF!$H215*MMVolatEF*NtoN2O*kgtoGg</f>
        <v>1.5052250508030326E-3</v>
      </c>
      <c r="Q1540" s="22">
        <f>Constants!$H72*'Activity data'!AJ14*Constants!$H90*EF!$H215*MMVolatEF*NtoN2O*kgtoGg</f>
        <v>1.5146651340946602E-3</v>
      </c>
      <c r="R1540" s="22">
        <f>Constants!$H72*'Activity data'!AK14*Constants!$H90*EF!$H215*MMVolatEF*NtoN2O*kgtoGg</f>
        <v>1.5245274467620346E-3</v>
      </c>
      <c r="S1540" s="22">
        <f>Constants!$H72*'Activity data'!AL14*Constants!$H90*EF!$H215*MMVolatEF*NtoN2O*kgtoGg</f>
        <v>1.5341290004486333E-3</v>
      </c>
      <c r="T1540" s="22">
        <f>Constants!$H72*'Activity data'!AM14*Constants!$H90*EF!$H215*MMVolatEF*NtoN2O*kgtoGg</f>
        <v>1.5385328389069129E-3</v>
      </c>
      <c r="U1540" s="22">
        <f>Constants!$H72*'Activity data'!AN14*Constants!$H90*EF!$H215*MMVolatEF*NtoN2O*kgtoGg</f>
        <v>1.5432819254136169E-3</v>
      </c>
      <c r="V1540" s="22">
        <f>Constants!$H72*'Activity data'!AO14*Constants!$H90*EF!$H215*MMVolatEF*NtoN2O*kgtoGg</f>
        <v>1.5484291634501014E-3</v>
      </c>
      <c r="W1540" s="22">
        <f>Constants!$H72*'Activity data'!AP14*Constants!$H90*EF!$H215*MMVolatEF*NtoN2O*kgtoGg</f>
        <v>1.5540126568824096E-3</v>
      </c>
      <c r="X1540" s="22">
        <f>Constants!$H72*'Activity data'!AQ14*Constants!$H90*EF!$H215*MMVolatEF*NtoN2O*kgtoGg</f>
        <v>1.5601075194350781E-3</v>
      </c>
      <c r="Y1540" s="22">
        <f>Constants!$H72*'Activity data'!AR14*Constants!$H90*EF!$H215*MMVolatEF*NtoN2O*kgtoGg</f>
        <v>1.5640303818660153E-3</v>
      </c>
      <c r="Z1540" s="22">
        <f>Constants!$H72*'Activity data'!AS14*Constants!$H90*EF!$H215*MMVolatEF*NtoN2O*kgtoGg</f>
        <v>1.5683113445442707E-3</v>
      </c>
      <c r="AA1540" s="22">
        <f>Constants!$H72*'Activity data'!AT14*Constants!$H90*EF!$H215*MMVolatEF*NtoN2O*kgtoGg</f>
        <v>1.5728439189737231E-3</v>
      </c>
      <c r="AB1540" s="22">
        <f>Constants!$H72*'Activity data'!AU14*Constants!$H90*EF!$H215*MMVolatEF*NtoN2O*kgtoGg</f>
        <v>1.5777311539715299E-3</v>
      </c>
      <c r="AC1540" s="22">
        <f>Constants!$H72*'Activity data'!AV14*Constants!$H90*EF!$H215*MMVolatEF*NtoN2O*kgtoGg</f>
        <v>1.5829746971053286E-3</v>
      </c>
      <c r="AD1540" s="22">
        <f>Constants!$H72*'Activity data'!AW14*Constants!$H90*EF!$H215*MMVolatEF*NtoN2O*kgtoGg</f>
        <v>1.5864260636449165E-3</v>
      </c>
      <c r="AE1540" s="22">
        <f>Constants!$H72*'Activity data'!AX14*Constants!$H90*EF!$H215*MMVolatEF*NtoN2O*kgtoGg</f>
        <v>1.5901464299696787E-3</v>
      </c>
      <c r="AF1540" s="22">
        <f>Constants!$H72*'Activity data'!AY14*Constants!$H90*EF!$H215*MMVolatEF*NtoN2O*kgtoGg</f>
        <v>1.5941126352679608E-3</v>
      </c>
      <c r="AG1540" s="22">
        <f>Constants!$H72*'Activity data'!AZ14*Constants!$H90*EF!$H215*MMVolatEF*NtoN2O*kgtoGg</f>
        <v>1.5983692587396162E-3</v>
      </c>
      <c r="AH1540" s="22">
        <f>Constants!$H72*'Activity data'!BA14*Constants!$H90*EF!$H215*MMVolatEF*NtoN2O*kgtoGg</f>
        <v>1.6027646202507156E-3</v>
      </c>
      <c r="AI1540" s="22">
        <f>Constants!$H72*'Activity data'!BB14*Constants!$H90*EF!$H215*MMVolatEF*NtoN2O*kgtoGg</f>
        <v>1.6054893679293186E-3</v>
      </c>
      <c r="AJ1540" s="22">
        <f>Constants!$H72*'Activity data'!BC14*Constants!$H90*EF!$H215*MMVolatEF*NtoN2O*kgtoGg</f>
        <v>1.6084161713162683E-3</v>
      </c>
      <c r="AK1540" s="22">
        <f>Constants!$H72*'Activity data'!BD14*Constants!$H90*EF!$H215*MMVolatEF*NtoN2O*kgtoGg</f>
        <v>1.6114988246626113E-3</v>
      </c>
      <c r="AL1540" s="22">
        <f>Constants!$H72*'Activity data'!BE14*Constants!$H90*EF!$H215*MMVolatEF*NtoN2O*kgtoGg</f>
        <v>1.6147564190072887E-3</v>
      </c>
      <c r="AM1540" s="22">
        <f>Constants!$H72*'Activity data'!BF14*Constants!$H90*EF!$H215*MMVolatEF*NtoN2O*kgtoGg</f>
        <v>1.6182061901810947E-3</v>
      </c>
      <c r="AN1540" s="22">
        <f>Constants!$H72*'Activity data'!BG14*Constants!$H90*EF!$H215*MMVolatEF*NtoN2O*kgtoGg</f>
        <v>1.6200872053128935E-3</v>
      </c>
      <c r="AO1540" s="22">
        <f>Constants!$H72*'Activity data'!BH14*Constants!$H90*EF!$H215*MMVolatEF*NtoN2O*kgtoGg</f>
        <v>1.6220824271585524E-3</v>
      </c>
      <c r="AP1540" s="22">
        <f>Constants!$H72*'Activity data'!BI14*Constants!$H90*EF!$H215*MMVolatEF*NtoN2O*kgtoGg</f>
        <v>1.6242337330712453E-3</v>
      </c>
      <c r="AQ1540" s="22">
        <f>Constants!$H72*'Activity data'!BJ14*Constants!$H90*EF!$H215*MMVolatEF*NtoN2O*kgtoGg</f>
        <v>1.6265371207369889E-3</v>
      </c>
      <c r="AR1540" s="22">
        <f>Constants!$H72*'Activity data'!BK14*Constants!$H90*EF!$H215*MMVolatEF*NtoN2O*kgtoGg</f>
        <v>1.6290218716306845E-3</v>
      </c>
      <c r="AS1540" s="22">
        <f>Constants!$H72*'Activity data'!BL14*Constants!$H90*EF!$H215*MMVolatEF*NtoN2O*kgtoGg</f>
        <v>1.6298897959871744E-3</v>
      </c>
      <c r="AT1540" s="22">
        <f>Constants!$H72*'Activity data'!BM14*Constants!$H90*EF!$H215*MMVolatEF*NtoN2O*kgtoGg</f>
        <v>1.6305654221117833E-3</v>
      </c>
      <c r="AU1540" s="22">
        <f>Constants!$H72*'Activity data'!BN14*Constants!$H90*EF!$H215*MMVolatEF*NtoN2O*kgtoGg</f>
        <v>1.6313395930388258E-3</v>
      </c>
      <c r="AV1540" s="22">
        <f>Constants!$H72*'Activity data'!BO14*Constants!$H90*EF!$H215*MMVolatEF*NtoN2O*kgtoGg</f>
        <v>1.6322737257222465E-3</v>
      </c>
      <c r="AW1540" s="22">
        <f>Constants!$H72*'Activity data'!BP14*Constants!$H90*EF!$H215*MMVolatEF*NtoN2O*kgtoGg</f>
        <v>1.6333022107019772E-3</v>
      </c>
    </row>
    <row r="1541" spans="1:49" x14ac:dyDescent="0.25">
      <c r="A1541" s="102" t="s">
        <v>961</v>
      </c>
      <c r="B1541" s="102"/>
      <c r="C1541" s="102"/>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102" t="s">
        <v>961</v>
      </c>
      <c r="B1542" s="102"/>
      <c r="C1542" s="102"/>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102" t="s">
        <v>961</v>
      </c>
      <c r="B1543" s="102"/>
      <c r="C1543" s="102"/>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0.13127680408912967</v>
      </c>
      <c r="L1543" s="22">
        <f>Constants!$H75*'Activity data'!AE17*Constants!$H93*EF!$H218*MMVolatEF*NtoN2O*kgtoGg</f>
        <v>0.13104478756679175</v>
      </c>
      <c r="M1543" s="22">
        <f>Constants!$H75*'Activity data'!AF17*Constants!$H93*EF!$H218*MMVolatEF*NtoN2O*kgtoGg</f>
        <v>0.13030955774266942</v>
      </c>
      <c r="N1543" s="22">
        <f>Constants!$H75*'Activity data'!AG17*Constants!$H93*EF!$H218*MMVolatEF*NtoN2O*kgtoGg</f>
        <v>0.12743411073001928</v>
      </c>
      <c r="O1543" s="22">
        <f>Constants!$H75*'Activity data'!AH17*Constants!$H93*EF!$H218*MMVolatEF*NtoN2O*kgtoGg</f>
        <v>0.1247149107669546</v>
      </c>
      <c r="P1543" s="22">
        <f>Constants!$H75*'Activity data'!AI17*Constants!$H93*EF!$H218*MMVolatEF*NtoN2O*kgtoGg</f>
        <v>0.1242760261027246</v>
      </c>
      <c r="Q1543" s="22">
        <f>Constants!$H75*'Activity data'!AJ17*Constants!$H93*EF!$H218*MMVolatEF*NtoN2O*kgtoGg</f>
        <v>0.1232106270346093</v>
      </c>
      <c r="R1543" s="22">
        <f>Constants!$H75*'Activity data'!AK17*Constants!$H93*EF!$H218*MMVolatEF*NtoN2O*kgtoGg</f>
        <v>0.11992927074804736</v>
      </c>
      <c r="S1543" s="22">
        <f>Constants!$H75*'Activity data'!AL17*Constants!$H93*EF!$H218*MMVolatEF*NtoN2O*kgtoGg</f>
        <v>0.10697136059413564</v>
      </c>
      <c r="T1543" s="22">
        <f>Constants!$H75*'Activity data'!AM17*Constants!$H93*EF!$H218*MMVolatEF*NtoN2O*kgtoGg</f>
        <v>0.10927238007305687</v>
      </c>
      <c r="U1543" s="22">
        <f>Constants!$H75*'Activity data'!AN17*Constants!$H93*EF!$H218*MMVolatEF*NtoN2O*kgtoGg</f>
        <v>0.11033195793154126</v>
      </c>
      <c r="V1543" s="22">
        <f>Constants!$H75*'Activity data'!AO17*Constants!$H93*EF!$H218*MMVolatEF*NtoN2O*kgtoGg</f>
        <v>0.11110365742908961</v>
      </c>
      <c r="W1543" s="22">
        <f>Constants!$H75*'Activity data'!AP17*Constants!$H93*EF!$H218*MMVolatEF*NtoN2O*kgtoGg</f>
        <v>0.1122884240961687</v>
      </c>
      <c r="X1543" s="22">
        <f>Constants!$H75*'Activity data'!AQ17*Constants!$H93*EF!$H218*MMVolatEF*NtoN2O*kgtoGg</f>
        <v>0.11491943317032226</v>
      </c>
      <c r="Y1543" s="22">
        <f>Constants!$H75*'Activity data'!AR17*Constants!$H93*EF!$H218*MMVolatEF*NtoN2O*kgtoGg</f>
        <v>0.117880487302873</v>
      </c>
      <c r="Z1543" s="22">
        <f>Constants!$H75*'Activity data'!AS17*Constants!$H93*EF!$H218*MMVolatEF*NtoN2O*kgtoGg</f>
        <v>0.12113886796014842</v>
      </c>
      <c r="AA1543" s="22">
        <f>Constants!$H75*'Activity data'!AT17*Constants!$H93*EF!$H218*MMVolatEF*NtoN2O*kgtoGg</f>
        <v>0.12374440018879811</v>
      </c>
      <c r="AB1543" s="22">
        <f>Constants!$H75*'Activity data'!AU17*Constants!$H93*EF!$H218*MMVolatEF*NtoN2O*kgtoGg</f>
        <v>0.12693570858518674</v>
      </c>
      <c r="AC1543" s="22">
        <f>Constants!$H75*'Activity data'!AV17*Constants!$H93*EF!$H218*MMVolatEF*NtoN2O*kgtoGg</f>
        <v>0.13084113615278595</v>
      </c>
      <c r="AD1543" s="22">
        <f>Constants!$H75*'Activity data'!AW17*Constants!$H93*EF!$H218*MMVolatEF*NtoN2O*kgtoGg</f>
        <v>0.13453780909031221</v>
      </c>
      <c r="AE1543" s="22">
        <f>Constants!$H75*'Activity data'!AX17*Constants!$H93*EF!$H218*MMVolatEF*NtoN2O*kgtoGg</f>
        <v>0.13838522984786125</v>
      </c>
      <c r="AF1543" s="22">
        <f>Constants!$H75*'Activity data'!AY17*Constants!$H93*EF!$H218*MMVolatEF*NtoN2O*kgtoGg</f>
        <v>0.1422552100509078</v>
      </c>
      <c r="AG1543" s="22">
        <f>Constants!$H75*'Activity data'!AZ17*Constants!$H93*EF!$H218*MMVolatEF*NtoN2O*kgtoGg</f>
        <v>0.14666883461308858</v>
      </c>
      <c r="AH1543" s="22">
        <f>Constants!$H75*'Activity data'!BA17*Constants!$H93*EF!$H218*MMVolatEF*NtoN2O*kgtoGg</f>
        <v>0.15024709495665656</v>
      </c>
      <c r="AI1543" s="22">
        <f>Constants!$H75*'Activity data'!BB17*Constants!$H93*EF!$H218*MMVolatEF*NtoN2O*kgtoGg</f>
        <v>0.15408132184002271</v>
      </c>
      <c r="AJ1543" s="22">
        <f>Constants!$H75*'Activity data'!BC17*Constants!$H93*EF!$H218*MMVolatEF*NtoN2O*kgtoGg</f>
        <v>0.15791627313476184</v>
      </c>
      <c r="AK1543" s="22">
        <f>Constants!$H75*'Activity data'!BD17*Constants!$H93*EF!$H218*MMVolatEF*NtoN2O*kgtoGg</f>
        <v>0.16139685457136538</v>
      </c>
      <c r="AL1543" s="22">
        <f>Constants!$H75*'Activity data'!BE17*Constants!$H93*EF!$H218*MMVolatEF*NtoN2O*kgtoGg</f>
        <v>0.16476948346525533</v>
      </c>
      <c r="AM1543" s="22">
        <f>Constants!$H75*'Activity data'!BF17*Constants!$H93*EF!$H218*MMVolatEF*NtoN2O*kgtoGg</f>
        <v>0.1682466106779141</v>
      </c>
      <c r="AN1543" s="22">
        <f>Constants!$H75*'Activity data'!BG17*Constants!$H93*EF!$H218*MMVolatEF*NtoN2O*kgtoGg</f>
        <v>0.17192264568830376</v>
      </c>
      <c r="AO1543" s="22">
        <f>Constants!$H75*'Activity data'!BH17*Constants!$H93*EF!$H218*MMVolatEF*NtoN2O*kgtoGg</f>
        <v>0.17515461564548812</v>
      </c>
      <c r="AP1543" s="22">
        <f>Constants!$H75*'Activity data'!BI17*Constants!$H93*EF!$H218*MMVolatEF*NtoN2O*kgtoGg</f>
        <v>0.17836303688392388</v>
      </c>
      <c r="AQ1543" s="22">
        <f>Constants!$H75*'Activity data'!BJ17*Constants!$H93*EF!$H218*MMVolatEF*NtoN2O*kgtoGg</f>
        <v>0.18155644014490915</v>
      </c>
      <c r="AR1543" s="22">
        <f>Constants!$H75*'Activity data'!BK17*Constants!$H93*EF!$H218*MMVolatEF*NtoN2O*kgtoGg</f>
        <v>0.18501677268932123</v>
      </c>
      <c r="AS1543" s="22">
        <f>Constants!$H75*'Activity data'!BL17*Constants!$H93*EF!$H218*MMVolatEF*NtoN2O*kgtoGg</f>
        <v>0.1885273047927761</v>
      </c>
      <c r="AT1543" s="22">
        <f>Constants!$H75*'Activity data'!BM17*Constants!$H93*EF!$H218*MMVolatEF*NtoN2O*kgtoGg</f>
        <v>0.1893481182412324</v>
      </c>
      <c r="AU1543" s="22">
        <f>Constants!$H75*'Activity data'!BN17*Constants!$H93*EF!$H218*MMVolatEF*NtoN2O*kgtoGg</f>
        <v>0.18994311944670875</v>
      </c>
      <c r="AV1543" s="22">
        <f>Constants!$H75*'Activity data'!BO17*Constants!$H93*EF!$H218*MMVolatEF*NtoN2O*kgtoGg</f>
        <v>0.19083634950059308</v>
      </c>
      <c r="AW1543" s="22">
        <f>Constants!$H75*'Activity data'!BP17*Constants!$H93*EF!$H218*MMVolatEF*NtoN2O*kgtoGg</f>
        <v>0.19153378485504027</v>
      </c>
    </row>
    <row r="1544" spans="1:49" x14ac:dyDescent="0.25">
      <c r="A1544" s="102" t="s">
        <v>961</v>
      </c>
      <c r="B1544" s="102"/>
      <c r="C1544" s="102"/>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1.2775290998949166E-2</v>
      </c>
      <c r="L1544" s="22">
        <f>Constants!$H76*'Activity data'!AE18*Constants!$H94*EF!$H219*MMVolatEF*NtoN2O*kgtoGg</f>
        <v>1.2752712154118219E-2</v>
      </c>
      <c r="M1544" s="22">
        <f>Constants!$H76*'Activity data'!AF18*Constants!$H94*EF!$H219*MMVolatEF*NtoN2O*kgtoGg</f>
        <v>1.2681162766399339E-2</v>
      </c>
      <c r="N1544" s="22">
        <f>Constants!$H76*'Activity data'!AG18*Constants!$H94*EF!$H219*MMVolatEF*NtoN2O*kgtoGg</f>
        <v>1.2401336695117745E-2</v>
      </c>
      <c r="O1544" s="22">
        <f>Constants!$H76*'Activity data'!AH18*Constants!$H94*EF!$H219*MMVolatEF*NtoN2O*kgtoGg</f>
        <v>1.2136715911167996E-2</v>
      </c>
      <c r="P1544" s="22">
        <f>Constants!$H76*'Activity data'!AI18*Constants!$H94*EF!$H219*MMVolatEF*NtoN2O*kgtoGg</f>
        <v>1.2094005553162118E-2</v>
      </c>
      <c r="Q1544" s="22">
        <f>Constants!$H76*'Activity data'!AJ18*Constants!$H94*EF!$H219*MMVolatEF*NtoN2O*kgtoGg</f>
        <v>1.1990325522103915E-2</v>
      </c>
      <c r="R1544" s="22">
        <f>Constants!$H76*'Activity data'!AK18*Constants!$H94*EF!$H219*MMVolatEF*NtoN2O*kgtoGg</f>
        <v>1.1670998115233177E-2</v>
      </c>
      <c r="S1544" s="22">
        <f>Constants!$H76*'Activity data'!AL18*Constants!$H94*EF!$H219*MMVolatEF*NtoN2O*kgtoGg</f>
        <v>1.0409990322553617E-2</v>
      </c>
      <c r="T1544" s="22">
        <f>Constants!$H76*'Activity data'!AM18*Constants!$H94*EF!$H219*MMVolatEF*NtoN2O*kgtoGg</f>
        <v>1.0633915589789026E-2</v>
      </c>
      <c r="U1544" s="22">
        <f>Constants!$H76*'Activity data'!AN18*Constants!$H94*EF!$H219*MMVolatEF*NtoN2O*kgtoGg</f>
        <v>1.0737029125893931E-2</v>
      </c>
      <c r="V1544" s="22">
        <f>Constants!$H76*'Activity data'!AO18*Constants!$H94*EF!$H219*MMVolatEF*NtoN2O*kgtoGg</f>
        <v>1.0812127584554078E-2</v>
      </c>
      <c r="W1544" s="22">
        <f>Constants!$H76*'Activity data'!AP18*Constants!$H94*EF!$H219*MMVolatEF*NtoN2O*kgtoGg</f>
        <v>1.092742395425785E-2</v>
      </c>
      <c r="X1544" s="22">
        <f>Constants!$H76*'Activity data'!AQ18*Constants!$H94*EF!$H219*MMVolatEF*NtoN2O*kgtoGg</f>
        <v>1.1183462382191907E-2</v>
      </c>
      <c r="Y1544" s="22">
        <f>Constants!$H76*'Activity data'!AR18*Constants!$H94*EF!$H219*MMVolatEF*NtoN2O*kgtoGg</f>
        <v>1.1471619368260015E-2</v>
      </c>
      <c r="Z1544" s="22">
        <f>Constants!$H76*'Activity data'!AS18*Constants!$H94*EF!$H219*MMVolatEF*NtoN2O*kgtoGg</f>
        <v>1.1788710886223677E-2</v>
      </c>
      <c r="AA1544" s="22">
        <f>Constants!$H76*'Activity data'!AT18*Constants!$H94*EF!$H219*MMVolatEF*NtoN2O*kgtoGg</f>
        <v>1.2042270017702387E-2</v>
      </c>
      <c r="AB1544" s="22">
        <f>Constants!$H76*'Activity data'!AU18*Constants!$H94*EF!$H219*MMVolatEF*NtoN2O*kgtoGg</f>
        <v>1.2352834353223334E-2</v>
      </c>
      <c r="AC1544" s="22">
        <f>Constants!$H76*'Activity data'!AV18*Constants!$H94*EF!$H219*MMVolatEF*NtoN2O*kgtoGg</f>
        <v>1.2732893678993665E-2</v>
      </c>
      <c r="AD1544" s="22">
        <f>Constants!$H76*'Activity data'!AW18*Constants!$H94*EF!$H219*MMVolatEF*NtoN2O*kgtoGg</f>
        <v>1.3092637906715528E-2</v>
      </c>
      <c r="AE1544" s="22">
        <f>Constants!$H76*'Activity data'!AX18*Constants!$H94*EF!$H219*MMVolatEF*NtoN2O*kgtoGg</f>
        <v>1.3467052260524101E-2</v>
      </c>
      <c r="AF1544" s="22">
        <f>Constants!$H76*'Activity data'!AY18*Constants!$H94*EF!$H219*MMVolatEF*NtoN2O*kgtoGg</f>
        <v>1.384366200203278E-2</v>
      </c>
      <c r="AG1544" s="22">
        <f>Constants!$H76*'Activity data'!AZ18*Constants!$H94*EF!$H219*MMVolatEF*NtoN2O*kgtoGg</f>
        <v>1.4273176862127078E-2</v>
      </c>
      <c r="AH1544" s="22">
        <f>Constants!$H76*'Activity data'!BA18*Constants!$H94*EF!$H219*MMVolatEF*NtoN2O*kgtoGg</f>
        <v>1.4621397688161536E-2</v>
      </c>
      <c r="AI1544" s="22">
        <f>Constants!$H76*'Activity data'!BB18*Constants!$H94*EF!$H219*MMVolatEF*NtoN2O*kgtoGg</f>
        <v>1.4994528071178318E-2</v>
      </c>
      <c r="AJ1544" s="22">
        <f>Constants!$H76*'Activity data'!BC18*Constants!$H94*EF!$H219*MMVolatEF*NtoN2O*kgtoGg</f>
        <v>1.5367728950777933E-2</v>
      </c>
      <c r="AK1544" s="22">
        <f>Constants!$H76*'Activity data'!BD18*Constants!$H94*EF!$H219*MMVolatEF*NtoN2O*kgtoGg</f>
        <v>1.5706444087901172E-2</v>
      </c>
      <c r="AL1544" s="22">
        <f>Constants!$H76*'Activity data'!BE18*Constants!$H94*EF!$H219*MMVolatEF*NtoN2O*kgtoGg</f>
        <v>1.6034653750300141E-2</v>
      </c>
      <c r="AM1544" s="22">
        <f>Constants!$H76*'Activity data'!BF18*Constants!$H94*EF!$H219*MMVolatEF*NtoN2O*kgtoGg</f>
        <v>1.6373032737283407E-2</v>
      </c>
      <c r="AN1544" s="22">
        <f>Constants!$H76*'Activity data'!BG18*Constants!$H94*EF!$H219*MMVolatEF*NtoN2O*kgtoGg</f>
        <v>1.673076857116438E-2</v>
      </c>
      <c r="AO1544" s="22">
        <f>Constants!$H76*'Activity data'!BH18*Constants!$H94*EF!$H219*MMVolatEF*NtoN2O*kgtoGg</f>
        <v>1.7045289913981791E-2</v>
      </c>
      <c r="AP1544" s="22">
        <f>Constants!$H76*'Activity data'!BI18*Constants!$H94*EF!$H219*MMVolatEF*NtoN2O*kgtoGg</f>
        <v>1.7357519597303427E-2</v>
      </c>
      <c r="AQ1544" s="22">
        <f>Constants!$H76*'Activity data'!BJ18*Constants!$H94*EF!$H219*MMVolatEF*NtoN2O*kgtoGg</f>
        <v>1.7668287795989782E-2</v>
      </c>
      <c r="AR1544" s="22">
        <f>Constants!$H76*'Activity data'!BK18*Constants!$H94*EF!$H219*MMVolatEF*NtoN2O*kgtoGg</f>
        <v>1.8005032398471E-2</v>
      </c>
      <c r="AS1544" s="22">
        <f>Constants!$H76*'Activity data'!BL18*Constants!$H94*EF!$H219*MMVolatEF*NtoN2O*kgtoGg</f>
        <v>1.8346662205000568E-2</v>
      </c>
      <c r="AT1544" s="22">
        <f>Constants!$H76*'Activity data'!BM18*Constants!$H94*EF!$H219*MMVolatEF*NtoN2O*kgtoGg</f>
        <v>1.8426540221018993E-2</v>
      </c>
      <c r="AU1544" s="22">
        <f>Constants!$H76*'Activity data'!BN18*Constants!$H94*EF!$H219*MMVolatEF*NtoN2O*kgtoGg</f>
        <v>1.8484443165849414E-2</v>
      </c>
      <c r="AV1544" s="22">
        <f>Constants!$H76*'Activity data'!BO18*Constants!$H94*EF!$H219*MMVolatEF*NtoN2O*kgtoGg</f>
        <v>1.8571368452815044E-2</v>
      </c>
      <c r="AW1544" s="22">
        <f>Constants!$H76*'Activity data'!BP18*Constants!$H94*EF!$H219*MMVolatEF*NtoN2O*kgtoGg</f>
        <v>1.8639239846149461E-2</v>
      </c>
    </row>
    <row r="1545" spans="1:49" x14ac:dyDescent="0.25">
      <c r="A1545" s="102" t="s">
        <v>961</v>
      </c>
      <c r="B1545" s="102"/>
      <c r="C1545" s="102"/>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6.4639922525530427E-2</v>
      </c>
      <c r="L1545" s="22">
        <f>Constants!$H77*'Activity data'!AE19*Constants!$H95*EF!$H220*MMVolatEF*NtoN2O*kgtoGg</f>
        <v>6.6092820241884495E-2</v>
      </c>
      <c r="M1545" s="22">
        <f>Constants!$H77*'Activity data'!AF19*Constants!$H95*EF!$H220*MMVolatEF*NtoN2O*kgtoGg</f>
        <v>6.7406950311631311E-2</v>
      </c>
      <c r="N1545" s="22">
        <f>Constants!$H77*'Activity data'!AG19*Constants!$H95*EF!$H220*MMVolatEF*NtoN2O*kgtoGg</f>
        <v>6.8085378535523336E-2</v>
      </c>
      <c r="O1545" s="22">
        <f>Constants!$H77*'Activity data'!AH19*Constants!$H95*EF!$H220*MMVolatEF*NtoN2O*kgtoGg</f>
        <v>6.8782509933711544E-2</v>
      </c>
      <c r="P1545" s="22">
        <f>Constants!$H77*'Activity data'!AI19*Constants!$H95*EF!$H220*MMVolatEF*NtoN2O*kgtoGg</f>
        <v>7.0170496606956442E-2</v>
      </c>
      <c r="Q1545" s="22">
        <f>Constants!$H77*'Activity data'!AJ19*Constants!$H95*EF!$H220*MMVolatEF*NtoN2O*kgtoGg</f>
        <v>7.1357352719614867E-2</v>
      </c>
      <c r="R1545" s="22">
        <f>Constants!$H77*'Activity data'!AK19*Constants!$H95*EF!$H220*MMVolatEF*NtoN2O*kgtoGg</f>
        <v>7.1807853842609945E-2</v>
      </c>
      <c r="S1545" s="22">
        <f>Constants!$H77*'Activity data'!AL19*Constants!$H95*EF!$H220*MMVolatEF*NtoN2O*kgtoGg</f>
        <v>6.89560372793145E-2</v>
      </c>
      <c r="T1545" s="22">
        <f>Constants!$H77*'Activity data'!AM19*Constants!$H95*EF!$H220*MMVolatEF*NtoN2O*kgtoGg</f>
        <v>7.1008173280929857E-2</v>
      </c>
      <c r="U1545" s="22">
        <f>Constants!$H77*'Activity data'!AN19*Constants!$H95*EF!$H220*MMVolatEF*NtoN2O*kgtoGg</f>
        <v>7.2666722437194436E-2</v>
      </c>
      <c r="V1545" s="22">
        <f>Constants!$H77*'Activity data'!AO19*Constants!$H95*EF!$H220*MMVolatEF*NtoN2O*kgtoGg</f>
        <v>7.4247222856444403E-2</v>
      </c>
      <c r="W1545" s="22">
        <f>Constants!$H77*'Activity data'!AP19*Constants!$H95*EF!$H220*MMVolatEF*NtoN2O*kgtoGg</f>
        <v>7.600218438166105E-2</v>
      </c>
      <c r="X1545" s="22">
        <f>Constants!$H77*'Activity data'!AQ19*Constants!$H95*EF!$H220*MMVolatEF*NtoN2O*kgtoGg</f>
        <v>7.8331736592242102E-2</v>
      </c>
      <c r="Y1545" s="22">
        <f>Constants!$H77*'Activity data'!AR19*Constants!$H95*EF!$H220*MMVolatEF*NtoN2O*kgtoGg</f>
        <v>8.0778487004079483E-2</v>
      </c>
      <c r="Z1545" s="22">
        <f>Constants!$H77*'Activity data'!AS19*Constants!$H95*EF!$H220*MMVolatEF*NtoN2O*kgtoGg</f>
        <v>8.3401229369706939E-2</v>
      </c>
      <c r="AA1545" s="22">
        <f>Constants!$H77*'Activity data'!AT19*Constants!$H95*EF!$H220*MMVolatEF*NtoN2O*kgtoGg</f>
        <v>8.5827271656106763E-2</v>
      </c>
      <c r="AB1545" s="22">
        <f>Constants!$H77*'Activity data'!AU19*Constants!$H95*EF!$H220*MMVolatEF*NtoN2O*kgtoGg</f>
        <v>8.8549064394725929E-2</v>
      </c>
      <c r="AC1545" s="22">
        <f>Constants!$H77*'Activity data'!AV19*Constants!$H95*EF!$H220*MMVolatEF*NtoN2O*kgtoGg</f>
        <v>9.1636240743728642E-2</v>
      </c>
      <c r="AD1545" s="22">
        <f>Constants!$H77*'Activity data'!AW19*Constants!$H95*EF!$H220*MMVolatEF*NtoN2O*kgtoGg</f>
        <v>9.4662173779080358E-2</v>
      </c>
      <c r="AE1545" s="22">
        <f>Constants!$H77*'Activity data'!AX19*Constants!$H95*EF!$H220*MMVolatEF*NtoN2O*kgtoGg</f>
        <v>9.7831321391472395E-2</v>
      </c>
      <c r="AF1545" s="22">
        <f>Constants!$H77*'Activity data'!AY19*Constants!$H95*EF!$H220*MMVolatEF*NtoN2O*kgtoGg</f>
        <v>0.1010924495137356</v>
      </c>
      <c r="AG1545" s="22">
        <f>Constants!$H77*'Activity data'!AZ19*Constants!$H95*EF!$H220*MMVolatEF*NtoN2O*kgtoGg</f>
        <v>0.10468368456707709</v>
      </c>
      <c r="AH1545" s="22">
        <f>Constants!$H77*'Activity data'!BA19*Constants!$H95*EF!$H220*MMVolatEF*NtoN2O*kgtoGg</f>
        <v>0.10798542807128246</v>
      </c>
      <c r="AI1545" s="22">
        <f>Constants!$H77*'Activity data'!BB19*Constants!$H95*EF!$H220*MMVolatEF*NtoN2O*kgtoGg</f>
        <v>0.11143964262193619</v>
      </c>
      <c r="AJ1545" s="22">
        <f>Constants!$H77*'Activity data'!BC19*Constants!$H95*EF!$H220*MMVolatEF*NtoN2O*kgtoGg</f>
        <v>0.11498300476041527</v>
      </c>
      <c r="AK1545" s="22">
        <f>Constants!$H77*'Activity data'!BD19*Constants!$H95*EF!$H220*MMVolatEF*NtoN2O*kgtoGg</f>
        <v>0.11844428302751359</v>
      </c>
      <c r="AL1545" s="22">
        <f>Constants!$H77*'Activity data'!BE19*Constants!$H95*EF!$H220*MMVolatEF*NtoN2O*kgtoGg</f>
        <v>0.12193846206930534</v>
      </c>
      <c r="AM1545" s="22">
        <f>Constants!$H77*'Activity data'!BF19*Constants!$H95*EF!$H220*MMVolatEF*NtoN2O*kgtoGg</f>
        <v>0.12557241914152842</v>
      </c>
      <c r="AN1545" s="22">
        <f>Constants!$H77*'Activity data'!BG19*Constants!$H95*EF!$H220*MMVolatEF*NtoN2O*kgtoGg</f>
        <v>0.12935192234708767</v>
      </c>
      <c r="AO1545" s="22">
        <f>Constants!$H77*'Activity data'!BH19*Constants!$H95*EF!$H220*MMVolatEF*NtoN2O*kgtoGg</f>
        <v>0.13299431940651141</v>
      </c>
      <c r="AP1545" s="22">
        <f>Constants!$H77*'Activity data'!BI19*Constants!$H95*EF!$H220*MMVolatEF*NtoN2O*kgtoGg</f>
        <v>0.13671453058130023</v>
      </c>
      <c r="AQ1545" s="22">
        <f>Constants!$H77*'Activity data'!BJ19*Constants!$H95*EF!$H220*MMVolatEF*NtoN2O*kgtoGg</f>
        <v>0.14051897664424154</v>
      </c>
      <c r="AR1545" s="22">
        <f>Constants!$H77*'Activity data'!BK19*Constants!$H95*EF!$H220*MMVolatEF*NtoN2O*kgtoGg</f>
        <v>0.14456662668799888</v>
      </c>
      <c r="AS1545" s="22">
        <f>Constants!$H77*'Activity data'!BL19*Constants!$H95*EF!$H220*MMVolatEF*NtoN2O*kgtoGg</f>
        <v>0.14869599338087189</v>
      </c>
      <c r="AT1545" s="22">
        <f>Constants!$H77*'Activity data'!BM19*Constants!$H95*EF!$H220*MMVolatEF*NtoN2O*kgtoGg</f>
        <v>0.15137911693275455</v>
      </c>
      <c r="AU1545" s="22">
        <f>Constants!$H77*'Activity data'!BN19*Constants!$H95*EF!$H220*MMVolatEF*NtoN2O*kgtoGg</f>
        <v>0.1539813872955596</v>
      </c>
      <c r="AV1545" s="22">
        <f>Constants!$H77*'Activity data'!BO19*Constants!$H95*EF!$H220*MMVolatEF*NtoN2O*kgtoGg</f>
        <v>0.15681091101615385</v>
      </c>
      <c r="AW1545" s="22">
        <f>Constants!$H77*'Activity data'!BP19*Constants!$H95*EF!$H220*MMVolatEF*NtoN2O*kgtoGg</f>
        <v>0.15957796848952543</v>
      </c>
    </row>
    <row r="1546" spans="1:49" x14ac:dyDescent="0.25">
      <c r="A1546" s="102" t="s">
        <v>961</v>
      </c>
      <c r="B1546" s="102"/>
      <c r="C1546" s="102"/>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0.3124157271084777</v>
      </c>
      <c r="L1546" s="22">
        <f>Constants!$H78*'Activity data'!AE20*Constants!$H96*EF!$H221*MMVolatEF*NtoN2O*kgtoGg</f>
        <v>0.31821414255231495</v>
      </c>
      <c r="M1546" s="22">
        <f>Constants!$H78*'Activity data'!AF20*Constants!$H96*EF!$H221*MMVolatEF*NtoN2O*kgtoGg</f>
        <v>0.32201191440693633</v>
      </c>
      <c r="N1546" s="22">
        <f>Constants!$H78*'Activity data'!AG20*Constants!$H96*EF!$H221*MMVolatEF*NtoN2O*kgtoGg</f>
        <v>0.3178348082585094</v>
      </c>
      <c r="O1546" s="22">
        <f>Constants!$H78*'Activity data'!AH20*Constants!$H96*EF!$H221*MMVolatEF*NtoN2O*kgtoGg</f>
        <v>0.31378386599173785</v>
      </c>
      <c r="P1546" s="22">
        <f>Constants!$H78*'Activity data'!AI20*Constants!$H96*EF!$H221*MMVolatEF*NtoN2O*kgtoGg</f>
        <v>0.31779798966820449</v>
      </c>
      <c r="Q1546" s="22">
        <f>Constants!$H78*'Activity data'!AJ20*Constants!$H96*EF!$H221*MMVolatEF*NtoN2O*kgtoGg</f>
        <v>0.31934474546532327</v>
      </c>
      <c r="R1546" s="22">
        <f>Constants!$H78*'Activity data'!AK20*Constants!$H96*EF!$H221*MMVolatEF*NtoN2O*kgtoGg</f>
        <v>0.3122534460886785</v>
      </c>
      <c r="S1546" s="22">
        <f>Constants!$H78*'Activity data'!AL20*Constants!$H96*EF!$H221*MMVolatEF*NtoN2O*kgtoGg</f>
        <v>0.26726842990845273</v>
      </c>
      <c r="T1546" s="22">
        <f>Constants!$H78*'Activity data'!AM20*Constants!$H96*EF!$H221*MMVolatEF*NtoN2O*kgtoGg</f>
        <v>0.28155383456320437</v>
      </c>
      <c r="U1546" s="22">
        <f>Constants!$H78*'Activity data'!AN20*Constants!$H96*EF!$H221*MMVolatEF*NtoN2O*kgtoGg</f>
        <v>0.29111754321840305</v>
      </c>
      <c r="V1546" s="22">
        <f>Constants!$H78*'Activity data'!AO20*Constants!$H96*EF!$H221*MMVolatEF*NtoN2O*kgtoGg</f>
        <v>0.2996184601617527</v>
      </c>
      <c r="W1546" s="22">
        <f>Constants!$H78*'Activity data'!AP20*Constants!$H96*EF!$H221*MMVolatEF*NtoN2O*kgtoGg</f>
        <v>0.30988409927740257</v>
      </c>
      <c r="X1546" s="22">
        <f>Constants!$H78*'Activity data'!AQ20*Constants!$H96*EF!$H221*MMVolatEF*NtoN2O*kgtoGg</f>
        <v>0.32626779257260974</v>
      </c>
      <c r="Y1546" s="22">
        <f>Constants!$H78*'Activity data'!AR20*Constants!$H96*EF!$H221*MMVolatEF*NtoN2O*kgtoGg</f>
        <v>0.34459114138127506</v>
      </c>
      <c r="Z1546" s="22">
        <f>Constants!$H78*'Activity data'!AS20*Constants!$H96*EF!$H221*MMVolatEF*NtoN2O*kgtoGg</f>
        <v>0.36451721195122694</v>
      </c>
      <c r="AA1546" s="22">
        <f>Constants!$H78*'Activity data'!AT20*Constants!$H96*EF!$H221*MMVolatEF*NtoN2O*kgtoGg</f>
        <v>0.38201404405887901</v>
      </c>
      <c r="AB1546" s="22">
        <f>Constants!$H78*'Activity data'!AU20*Constants!$H96*EF!$H221*MMVolatEF*NtoN2O*kgtoGg</f>
        <v>0.40238508942677492</v>
      </c>
      <c r="AC1546" s="22">
        <f>Constants!$H78*'Activity data'!AV20*Constants!$H96*EF!$H221*MMVolatEF*NtoN2O*kgtoGg</f>
        <v>0.4263053965641187</v>
      </c>
      <c r="AD1546" s="22">
        <f>Constants!$H78*'Activity data'!AW20*Constants!$H96*EF!$H221*MMVolatEF*NtoN2O*kgtoGg</f>
        <v>0.44998725989455773</v>
      </c>
      <c r="AE1546" s="22">
        <f>Constants!$H78*'Activity data'!AX20*Constants!$H96*EF!$H221*MMVolatEF*NtoN2O*kgtoGg</f>
        <v>0.47482812670868052</v>
      </c>
      <c r="AF1546" s="22">
        <f>Constants!$H78*'Activity data'!AY20*Constants!$H96*EF!$H221*MMVolatEF*NtoN2O*kgtoGg</f>
        <v>0.50027841318334143</v>
      </c>
      <c r="AG1546" s="22">
        <f>Constants!$H78*'Activity data'!AZ20*Constants!$H96*EF!$H221*MMVolatEF*NtoN2O*kgtoGg</f>
        <v>0.52877672683612675</v>
      </c>
      <c r="AH1546" s="22">
        <f>Constants!$H78*'Activity data'!BA20*Constants!$H96*EF!$H221*MMVolatEF*NtoN2O*kgtoGg</f>
        <v>0.55394333487777203</v>
      </c>
      <c r="AI1546" s="22">
        <f>Constants!$H78*'Activity data'!BB20*Constants!$H96*EF!$H221*MMVolatEF*NtoN2O*kgtoGg</f>
        <v>0.58103945126716949</v>
      </c>
      <c r="AJ1546" s="22">
        <f>Constants!$H78*'Activity data'!BC20*Constants!$H96*EF!$H221*MMVolatEF*NtoN2O*kgtoGg</f>
        <v>0.60869953568846558</v>
      </c>
      <c r="AK1546" s="22">
        <f>Constants!$H78*'Activity data'!BD20*Constants!$H96*EF!$H221*MMVolatEF*NtoN2O*kgtoGg</f>
        <v>0.6352030919632573</v>
      </c>
      <c r="AL1546" s="22">
        <f>Constants!$H78*'Activity data'!BE20*Constants!$H96*EF!$H221*MMVolatEF*NtoN2O*kgtoGg</f>
        <v>0.66171943775292319</v>
      </c>
      <c r="AM1546" s="22">
        <f>Constants!$H78*'Activity data'!BF20*Constants!$H96*EF!$H221*MMVolatEF*NtoN2O*kgtoGg</f>
        <v>0.68930855279653469</v>
      </c>
      <c r="AN1546" s="22">
        <f>Constants!$H78*'Activity data'!BG20*Constants!$H96*EF!$H221*MMVolatEF*NtoN2O*kgtoGg</f>
        <v>0.71866455371182625</v>
      </c>
      <c r="AO1546" s="22">
        <f>Constants!$H78*'Activity data'!BH20*Constants!$H96*EF!$H221*MMVolatEF*NtoN2O*kgtoGg</f>
        <v>0.74635733605458598</v>
      </c>
      <c r="AP1546" s="22">
        <f>Constants!$H78*'Activity data'!BI20*Constants!$H96*EF!$H221*MMVolatEF*NtoN2O*kgtoGg</f>
        <v>0.7745069527648214</v>
      </c>
      <c r="AQ1546" s="22">
        <f>Constants!$H78*'Activity data'!BJ20*Constants!$H96*EF!$H221*MMVolatEF*NtoN2O*kgtoGg</f>
        <v>0.80317067030208755</v>
      </c>
      <c r="AR1546" s="22">
        <f>Constants!$H78*'Activity data'!BK20*Constants!$H96*EF!$H221*MMVolatEF*NtoN2O*kgtoGg</f>
        <v>0.83386954359351506</v>
      </c>
      <c r="AS1546" s="22">
        <f>Constants!$H78*'Activity data'!BL20*Constants!$H96*EF!$H221*MMVolatEF*NtoN2O*kgtoGg</f>
        <v>0.86568293208899882</v>
      </c>
      <c r="AT1546" s="22">
        <f>Constants!$H78*'Activity data'!BM20*Constants!$H96*EF!$H221*MMVolatEF*NtoN2O*kgtoGg</f>
        <v>0.88344012524771687</v>
      </c>
      <c r="AU1546" s="22">
        <f>Constants!$H78*'Activity data'!BN20*Constants!$H96*EF!$H221*MMVolatEF*NtoN2O*kgtoGg</f>
        <v>0.90027059680950883</v>
      </c>
      <c r="AV1546" s="22">
        <f>Constants!$H78*'Activity data'!BO20*Constants!$H96*EF!$H221*MMVolatEF*NtoN2O*kgtoGg</f>
        <v>0.91908561041712944</v>
      </c>
      <c r="AW1546" s="22">
        <f>Constants!$H78*'Activity data'!BP20*Constants!$H96*EF!$H221*MMVolatEF*NtoN2O*kgtoGg</f>
        <v>0.9371463380375723</v>
      </c>
    </row>
    <row r="1547" spans="1:49" x14ac:dyDescent="0.25">
      <c r="A1547" s="102" t="s">
        <v>961</v>
      </c>
      <c r="B1547" s="102"/>
      <c r="C1547" s="102"/>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8.9301817319657029E-2</v>
      </c>
      <c r="L1547" s="22">
        <f>Constants!$H63*'Activity data'!AE5*Constants!$H81*FracLEACHMM*MMLeachEF*NtoN2O*kgtoGg</f>
        <v>8.9904788204048389E-2</v>
      </c>
      <c r="M1547" s="22">
        <f>Constants!$H63*'Activity data'!AF5*Constants!$H81*FracLEACHMM*MMLeachEF*NtoN2O*kgtoGg</f>
        <v>9.0432234991344826E-2</v>
      </c>
      <c r="N1547" s="22">
        <f>Constants!$H63*'Activity data'!AG5*Constants!$H81*FracLEACHMM*MMLeachEF*NtoN2O*kgtoGg</f>
        <v>9.0500461338876806E-2</v>
      </c>
      <c r="O1547" s="22">
        <f>Constants!$H63*'Activity data'!AH5*Constants!$H81*FracLEACHMM*MMLeachEF*NtoN2O*kgtoGg</f>
        <v>9.0617974533052939E-2</v>
      </c>
      <c r="P1547" s="22">
        <f>Constants!$H63*'Activity data'!AI5*Constants!$H81*FracLEACHMM*MMLeachEF*NtoN2O*kgtoGg</f>
        <v>9.1292243565634368E-2</v>
      </c>
      <c r="Q1547" s="22">
        <f>Constants!$H63*'Activity data'!AJ5*Constants!$H81*FracLEACHMM*MMLeachEF*NtoN2O*kgtoGg</f>
        <v>9.1831411898207801E-2</v>
      </c>
      <c r="R1547" s="22">
        <f>Constants!$H63*'Activity data'!AK5*Constants!$H81*FracLEACHMM*MMLeachEF*NtoN2O*kgtoGg</f>
        <v>9.1836139358568436E-2</v>
      </c>
      <c r="S1547" s="22">
        <f>Constants!$H63*'Activity data'!AL5*Constants!$H81*FracLEACHMM*MMLeachEF*NtoN2O*kgtoGg</f>
        <v>8.9403055409342513E-2</v>
      </c>
      <c r="T1547" s="22">
        <f>Constants!$H63*'Activity data'!AM5*Constants!$H81*FracLEACHMM*MMLeachEF*NtoN2O*kgtoGg</f>
        <v>9.0578464795021837E-2</v>
      </c>
      <c r="U1547" s="22">
        <f>Constants!$H63*'Activity data'!AN5*Constants!$H81*FracLEACHMM*MMLeachEF*NtoN2O*kgtoGg</f>
        <v>9.1468229504779536E-2</v>
      </c>
      <c r="V1547" s="22">
        <f>Constants!$H63*'Activity data'!AO5*Constants!$H81*FracLEACHMM*MMLeachEF*NtoN2O*kgtoGg</f>
        <v>9.2307701453058486E-2</v>
      </c>
      <c r="W1547" s="22">
        <f>Constants!$H63*'Activity data'!AP5*Constants!$H81*FracLEACHMM*MMLeachEF*NtoN2O*kgtoGg</f>
        <v>9.3281093922152392E-2</v>
      </c>
      <c r="X1547" s="22">
        <f>Constants!$H63*'Activity data'!AQ5*Constants!$H81*FracLEACHMM*MMLeachEF*NtoN2O*kgtoGg</f>
        <v>9.4675817928952744E-2</v>
      </c>
      <c r="Y1547" s="22">
        <f>Constants!$H63*'Activity data'!AR5*Constants!$H81*FracLEACHMM*MMLeachEF*NtoN2O*kgtoGg</f>
        <v>9.6127887906373721E-2</v>
      </c>
      <c r="Z1547" s="22">
        <f>Constants!$H63*'Activity data'!AS5*Constants!$H81*FracLEACHMM*MMLeachEF*NtoN2O*kgtoGg</f>
        <v>9.7705163684132096E-2</v>
      </c>
      <c r="AA1547" s="22">
        <f>Constants!$H63*'Activity data'!AT5*Constants!$H81*FracLEACHMM*MMLeachEF*NtoN2O*kgtoGg</f>
        <v>9.9139534803866503E-2</v>
      </c>
      <c r="AB1547" s="22">
        <f>Constants!$H63*'Activity data'!AU5*Constants!$H81*FracLEACHMM*MMLeachEF*NtoN2O*kgtoGg</f>
        <v>0.10078297415070787</v>
      </c>
      <c r="AC1547" s="22">
        <f>Constants!$H63*'Activity data'!AV5*Constants!$H81*FracLEACHMM*MMLeachEF*NtoN2O*kgtoGg</f>
        <v>0.10268183134860724</v>
      </c>
      <c r="AD1547" s="22">
        <f>Constants!$H63*'Activity data'!AW5*Constants!$H81*FracLEACHMM*MMLeachEF*NtoN2O*kgtoGg</f>
        <v>0.10450996110897502</v>
      </c>
      <c r="AE1547" s="22">
        <f>Constants!$H63*'Activity data'!AX5*Constants!$H81*FracLEACHMM*MMLeachEF*NtoN2O*kgtoGg</f>
        <v>0.1064333985286125</v>
      </c>
      <c r="AF1547" s="22">
        <f>Constants!$H63*'Activity data'!AY5*Constants!$H81*FracLEACHMM*MMLeachEF*NtoN2O*kgtoGg</f>
        <v>0.10841517507268528</v>
      </c>
      <c r="AG1547" s="22">
        <f>Constants!$H63*'Activity data'!AZ5*Constants!$H81*FracLEACHMM*MMLeachEF*NtoN2O*kgtoGg</f>
        <v>0.11062033109470952</v>
      </c>
      <c r="AH1547" s="22">
        <f>Constants!$H63*'Activity data'!BA5*Constants!$H81*FracLEACHMM*MMLeachEF*NtoN2O*kgtoGg</f>
        <v>0.11261681982671894</v>
      </c>
      <c r="AI1547" s="22">
        <f>Constants!$H63*'Activity data'!BB5*Constants!$H81*FracLEACHMM*MMLeachEF*NtoN2O*kgtoGg</f>
        <v>0.11469139352660324</v>
      </c>
      <c r="AJ1547" s="22">
        <f>Constants!$H63*'Activity data'!BC5*Constants!$H81*FracLEACHMM*MMLeachEF*NtoN2O*kgtoGg</f>
        <v>0.11682019256305964</v>
      </c>
      <c r="AK1547" s="22">
        <f>Constants!$H63*'Activity data'!BD5*Constants!$H81*FracLEACHMM*MMLeachEF*NtoN2O*kgtoGg</f>
        <v>0.11888535619665287</v>
      </c>
      <c r="AL1547" s="22">
        <f>Constants!$H63*'Activity data'!BE5*Constants!$H81*FracLEACHMM*MMLeachEF*NtoN2O*kgtoGg</f>
        <v>0.12096617191338277</v>
      </c>
      <c r="AM1547" s="22">
        <f>Constants!$H63*'Activity data'!BF5*Constants!$H81*FracLEACHMM*MMLeachEF*NtoN2O*kgtoGg</f>
        <v>0.12313525542688207</v>
      </c>
      <c r="AN1547" s="22">
        <f>Constants!$H63*'Activity data'!BG5*Constants!$H81*FracLEACHMM*MMLeachEF*NtoN2O*kgtoGg</f>
        <v>0.12537615973723265</v>
      </c>
      <c r="AO1547" s="22">
        <f>Constants!$H63*'Activity data'!BH5*Constants!$H81*FracLEACHMM*MMLeachEF*NtoN2O*kgtoGg</f>
        <v>0.12751645286240365</v>
      </c>
      <c r="AP1547" s="22">
        <f>Constants!$H63*'Activity data'!BI5*Constants!$H81*FracLEACHMM*MMLeachEF*NtoN2O*kgtoGg</f>
        <v>0.12970195754720021</v>
      </c>
      <c r="AQ1547" s="22">
        <f>Constants!$H63*'Activity data'!BJ5*Constants!$H81*FracLEACHMM*MMLeachEF*NtoN2O*kgtoGg</f>
        <v>0.131936612577774</v>
      </c>
      <c r="AR1547" s="22">
        <f>Constants!$H63*'Activity data'!BK5*Constants!$H81*FracLEACHMM*MMLeachEF*NtoN2O*kgtoGg</f>
        <v>0.13432635811565444</v>
      </c>
      <c r="AS1547" s="22">
        <f>Constants!$H63*'Activity data'!BL5*Constants!$H81*FracLEACHMM*MMLeachEF*NtoN2O*kgtoGg</f>
        <v>0.13674240472836932</v>
      </c>
      <c r="AT1547" s="22">
        <f>Constants!$H63*'Activity data'!BM5*Constants!$H81*FracLEACHMM*MMLeachEF*NtoN2O*kgtoGg</f>
        <v>0.13818843767832675</v>
      </c>
      <c r="AU1547" s="22">
        <f>Constants!$H63*'Activity data'!BN5*Constants!$H81*FracLEACHMM*MMLeachEF*NtoN2O*kgtoGg</f>
        <v>0.13957828911754586</v>
      </c>
      <c r="AV1547" s="22">
        <f>Constants!$H63*'Activity data'!BO5*Constants!$H81*FracLEACHMM*MMLeachEF*NtoN2O*kgtoGg</f>
        <v>0.14111599332781352</v>
      </c>
      <c r="AW1547" s="22">
        <f>Constants!$H63*'Activity data'!BP5*Constants!$H81*FracLEACHMM*MMLeachEF*NtoN2O*kgtoGg</f>
        <v>0.14260938051125654</v>
      </c>
    </row>
    <row r="1548" spans="1:49" x14ac:dyDescent="0.25">
      <c r="A1548" s="102" t="s">
        <v>961</v>
      </c>
      <c r="B1548" s="102"/>
      <c r="C1548" s="102"/>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2.69668832410737E-2</v>
      </c>
      <c r="L1548" s="22">
        <f>Constants!$H64*'Activity data'!AE6*Constants!$H82*FracLEACHMM*MMLeachEF*NtoN2O*kgtoGg</f>
        <v>2.7148965150772641E-2</v>
      </c>
      <c r="M1548" s="22">
        <f>Constants!$H64*'Activity data'!AF6*Constants!$H82*FracLEACHMM*MMLeachEF*NtoN2O*kgtoGg</f>
        <v>2.730824069919725E-2</v>
      </c>
      <c r="N1548" s="22">
        <f>Constants!$H64*'Activity data'!AG6*Constants!$H82*FracLEACHMM*MMLeachEF*NtoN2O*kgtoGg</f>
        <v>2.7328843325247671E-2</v>
      </c>
      <c r="O1548" s="22">
        <f>Constants!$H64*'Activity data'!AH6*Constants!$H82*FracLEACHMM*MMLeachEF*NtoN2O*kgtoGg</f>
        <v>2.7364329328576024E-2</v>
      </c>
      <c r="P1548" s="22">
        <f>Constants!$H64*'Activity data'!AI6*Constants!$H82*FracLEACHMM*MMLeachEF*NtoN2O*kgtoGg</f>
        <v>2.756794147019246E-2</v>
      </c>
      <c r="Q1548" s="22">
        <f>Constants!$H64*'Activity data'!AJ6*Constants!$H82*FracLEACHMM*MMLeachEF*NtoN2O*kgtoGg</f>
        <v>2.7730756627914813E-2</v>
      </c>
      <c r="R1548" s="22">
        <f>Constants!$H64*'Activity data'!AK6*Constants!$H82*FracLEACHMM*MMLeachEF*NtoN2O*kgtoGg</f>
        <v>2.7732184201007922E-2</v>
      </c>
      <c r="S1548" s="22">
        <f>Constants!$H64*'Activity data'!AL6*Constants!$H82*FracLEACHMM*MMLeachEF*NtoN2O*kgtoGg</f>
        <v>2.6997454575745719E-2</v>
      </c>
      <c r="T1548" s="22">
        <f>Constants!$H64*'Activity data'!AM6*Constants!$H82*FracLEACHMM*MMLeachEF*NtoN2O*kgtoGg</f>
        <v>2.7352398390053725E-2</v>
      </c>
      <c r="U1548" s="22">
        <f>Constants!$H64*'Activity data'!AN6*Constants!$H82*FracLEACHMM*MMLeachEF*NtoN2O*kgtoGg</f>
        <v>2.7621084759046378E-2</v>
      </c>
      <c r="V1548" s="22">
        <f>Constants!$H64*'Activity data'!AO6*Constants!$H82*FracLEACHMM*MMLeachEF*NtoN2O*kgtoGg</f>
        <v>2.7874583990001138E-2</v>
      </c>
      <c r="W1548" s="22">
        <f>Constants!$H64*'Activity data'!AP6*Constants!$H82*FracLEACHMM*MMLeachEF*NtoN2O*kgtoGg</f>
        <v>2.8168523820674866E-2</v>
      </c>
      <c r="X1548" s="22">
        <f>Constants!$H64*'Activity data'!AQ6*Constants!$H82*FracLEACHMM*MMLeachEF*NtoN2O*kgtoGg</f>
        <v>2.8589695086543694E-2</v>
      </c>
      <c r="Y1548" s="22">
        <f>Constants!$H64*'Activity data'!AR6*Constants!$H82*FracLEACHMM*MMLeachEF*NtoN2O*kgtoGg</f>
        <v>2.9028183380671174E-2</v>
      </c>
      <c r="Z1548" s="22">
        <f>Constants!$H64*'Activity data'!AS6*Constants!$H82*FracLEACHMM*MMLeachEF*NtoN2O*kgtoGg</f>
        <v>2.9504480650026085E-2</v>
      </c>
      <c r="AA1548" s="22">
        <f>Constants!$H64*'Activity data'!AT6*Constants!$H82*FracLEACHMM*MMLeachEF*NtoN2O*kgtoGg</f>
        <v>2.9937624338152707E-2</v>
      </c>
      <c r="AB1548" s="22">
        <f>Constants!$H64*'Activity data'!AU6*Constants!$H82*FracLEACHMM*MMLeachEF*NtoN2O*kgtoGg</f>
        <v>3.0433901326799174E-2</v>
      </c>
      <c r="AC1548" s="22">
        <f>Constants!$H64*'Activity data'!AV6*Constants!$H82*FracLEACHMM*MMLeachEF*NtoN2O*kgtoGg</f>
        <v>3.1007308026507561E-2</v>
      </c>
      <c r="AD1548" s="22">
        <f>Constants!$H64*'Activity data'!AW6*Constants!$H82*FracLEACHMM*MMLeachEF*NtoN2O*kgtoGg</f>
        <v>3.1559356834438362E-2</v>
      </c>
      <c r="AE1548" s="22">
        <f>Constants!$H64*'Activity data'!AX6*Constants!$H82*FracLEACHMM*MMLeachEF*NtoN2O*kgtoGg</f>
        <v>3.2140186137510761E-2</v>
      </c>
      <c r="AF1548" s="22">
        <f>Constants!$H64*'Activity data'!AY6*Constants!$H82*FracLEACHMM*MMLeachEF*NtoN2O*kgtoGg</f>
        <v>3.2738632376097511E-2</v>
      </c>
      <c r="AG1548" s="22">
        <f>Constants!$H64*'Activity data'!AZ6*Constants!$H82*FracLEACHMM*MMLeachEF*NtoN2O*kgtoGg</f>
        <v>3.3404533549882341E-2</v>
      </c>
      <c r="AH1548" s="22">
        <f>Constants!$H64*'Activity data'!BA6*Constants!$H82*FracLEACHMM*MMLeachEF*NtoN2O*kgtoGg</f>
        <v>3.4007422495977352E-2</v>
      </c>
      <c r="AI1548" s="22">
        <f>Constants!$H64*'Activity data'!BB6*Constants!$H82*FracLEACHMM*MMLeachEF*NtoN2O*kgtoGg</f>
        <v>3.4633891121352886E-2</v>
      </c>
      <c r="AJ1548" s="22">
        <f>Constants!$H64*'Activity data'!BC6*Constants!$H82*FracLEACHMM*MMLeachEF*NtoN2O*kgtoGg</f>
        <v>3.5276734422674962E-2</v>
      </c>
      <c r="AK1548" s="22">
        <f>Constants!$H64*'Activity data'!BD6*Constants!$H82*FracLEACHMM*MMLeachEF*NtoN2O*kgtoGg</f>
        <v>3.5900361446764215E-2</v>
      </c>
      <c r="AL1548" s="22">
        <f>Constants!$H64*'Activity data'!BE6*Constants!$H82*FracLEACHMM*MMLeachEF*NtoN2O*kgtoGg</f>
        <v>3.6528715002866974E-2</v>
      </c>
      <c r="AM1548" s="22">
        <f>Constants!$H64*'Activity data'!BF6*Constants!$H82*FracLEACHMM*MMLeachEF*NtoN2O*kgtoGg</f>
        <v>3.718372319423778E-2</v>
      </c>
      <c r="AN1548" s="22">
        <f>Constants!$H64*'Activity data'!BG6*Constants!$H82*FracLEACHMM*MMLeachEF*NtoN2O*kgtoGg</f>
        <v>3.7860419444162144E-2</v>
      </c>
      <c r="AO1548" s="22">
        <f>Constants!$H64*'Activity data'!BH6*Constants!$H82*FracLEACHMM*MMLeachEF*NtoN2O*kgtoGg</f>
        <v>3.8506733668670703E-2</v>
      </c>
      <c r="AP1548" s="22">
        <f>Constants!$H64*'Activity data'!BI6*Constants!$H82*FracLEACHMM*MMLeachEF*NtoN2O*kgtoGg</f>
        <v>3.9166700637167727E-2</v>
      </c>
      <c r="AQ1548" s="22">
        <f>Constants!$H64*'Activity data'!BJ6*Constants!$H82*FracLEACHMM*MMLeachEF*NtoN2O*kgtoGg</f>
        <v>3.9841509763143906E-2</v>
      </c>
      <c r="AR1548" s="22">
        <f>Constants!$H64*'Activity data'!BK6*Constants!$H82*FracLEACHMM*MMLeachEF*NtoN2O*kgtoGg</f>
        <v>4.0563152287676402E-2</v>
      </c>
      <c r="AS1548" s="22">
        <f>Constants!$H64*'Activity data'!BL6*Constants!$H82*FracLEACHMM*MMLeachEF*NtoN2O*kgtoGg</f>
        <v>4.1292737069549959E-2</v>
      </c>
      <c r="AT1548" s="22">
        <f>Constants!$H64*'Activity data'!BM6*Constants!$H82*FracLEACHMM*MMLeachEF*NtoN2O*kgtoGg</f>
        <v>4.1729402334542996E-2</v>
      </c>
      <c r="AU1548" s="22">
        <f>Constants!$H64*'Activity data'!BN6*Constants!$H82*FracLEACHMM*MMLeachEF*NtoN2O*kgtoGg</f>
        <v>4.2149102208619463E-2</v>
      </c>
      <c r="AV1548" s="22">
        <f>Constants!$H64*'Activity data'!BO6*Constants!$H82*FracLEACHMM*MMLeachEF*NtoN2O*kgtoGg</f>
        <v>4.2613449868523889E-2</v>
      </c>
      <c r="AW1548" s="22">
        <f>Constants!$H64*'Activity data'!BP6*Constants!$H82*FracLEACHMM*MMLeachEF*NtoN2O*kgtoGg</f>
        <v>4.3064414910651432E-2</v>
      </c>
    </row>
    <row r="1549" spans="1:49" x14ac:dyDescent="0.25">
      <c r="A1549" s="102" t="s">
        <v>961</v>
      </c>
      <c r="B1549" s="102"/>
      <c r="C1549" s="102"/>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1.4498393681804938E-3</v>
      </c>
      <c r="L1549" s="22">
        <f>Constants!$H65*'Activity data'!AE7*Constants!$H83*FracLEACHMM*MMLeachEF*NtoN2O*kgtoGg</f>
        <v>1.4596287649956559E-3</v>
      </c>
      <c r="M1549" s="22">
        <f>Constants!$H65*'Activity data'!AF7*Constants!$H83*FracLEACHMM*MMLeachEF*NtoN2O*kgtoGg</f>
        <v>1.4681920074894272E-3</v>
      </c>
      <c r="N1549" s="22">
        <f>Constants!$H65*'Activity data'!AG7*Constants!$H83*FracLEACHMM*MMLeachEF*NtoN2O*kgtoGg</f>
        <v>1.4692996808556361E-3</v>
      </c>
      <c r="O1549" s="22">
        <f>Constants!$H65*'Activity data'!AH7*Constants!$H83*FracLEACHMM*MMLeachEF*NtoN2O*kgtoGg</f>
        <v>1.4712075396239221E-3</v>
      </c>
      <c r="P1549" s="22">
        <f>Constants!$H65*'Activity data'!AI7*Constants!$H83*FracLEACHMM*MMLeachEF*NtoN2O*kgtoGg</f>
        <v>1.4821544813270488E-3</v>
      </c>
      <c r="Q1549" s="22">
        <f>Constants!$H65*'Activity data'!AJ7*Constants!$H83*FracLEACHMM*MMLeachEF*NtoN2O*kgtoGg</f>
        <v>1.4909080263063527E-3</v>
      </c>
      <c r="R1549" s="22">
        <f>Constants!$H65*'Activity data'!AK7*Constants!$H83*FracLEACHMM*MMLeachEF*NtoN2O*kgtoGg</f>
        <v>1.4909847779150886E-3</v>
      </c>
      <c r="S1549" s="22">
        <f>Constants!$H65*'Activity data'!AL7*Constants!$H83*FracLEACHMM*MMLeachEF*NtoN2O*kgtoGg</f>
        <v>1.451482996187078E-3</v>
      </c>
      <c r="T1549" s="22">
        <f>Constants!$H65*'Activity data'!AM7*Constants!$H83*FracLEACHMM*MMLeachEF*NtoN2O*kgtoGg</f>
        <v>1.4705660882476425E-3</v>
      </c>
      <c r="U1549" s="22">
        <f>Constants!$H65*'Activity data'!AN7*Constants!$H83*FracLEACHMM*MMLeachEF*NtoN2O*kgtoGg</f>
        <v>1.4850116610628827E-3</v>
      </c>
      <c r="V1549" s="22">
        <f>Constants!$H65*'Activity data'!AO7*Constants!$H83*FracLEACHMM*MMLeachEF*NtoN2O*kgtoGg</f>
        <v>1.4986407171742647E-3</v>
      </c>
      <c r="W1549" s="22">
        <f>Constants!$H65*'Activity data'!AP7*Constants!$H83*FracLEACHMM*MMLeachEF*NtoN2O*kgtoGg</f>
        <v>1.5144440094782853E-3</v>
      </c>
      <c r="X1549" s="22">
        <f>Constants!$H65*'Activity data'!AQ7*Constants!$H83*FracLEACHMM*MMLeachEF*NtoN2O*kgtoGg</f>
        <v>1.5370877342478196E-3</v>
      </c>
      <c r="Y1549" s="22">
        <f>Constants!$H65*'Activity data'!AR7*Constants!$H83*FracLEACHMM*MMLeachEF*NtoN2O*kgtoGg</f>
        <v>1.5606624864959412E-3</v>
      </c>
      <c r="Z1549" s="22">
        <f>Constants!$H65*'Activity data'!AS7*Constants!$H83*FracLEACHMM*MMLeachEF*NtoN2O*kgtoGg</f>
        <v>1.5862699890721308E-3</v>
      </c>
      <c r="AA1549" s="22">
        <f>Constants!$H65*'Activity data'!AT7*Constants!$H83*FracLEACHMM*MMLeachEF*NtoN2O*kgtoGg</f>
        <v>1.6095573955369755E-3</v>
      </c>
      <c r="AB1549" s="22">
        <f>Constants!$H65*'Activity data'!AU7*Constants!$H83*FracLEACHMM*MMLeachEF*NtoN2O*kgtoGg</f>
        <v>1.6362390817084723E-3</v>
      </c>
      <c r="AC1549" s="22">
        <f>Constants!$H65*'Activity data'!AV7*Constants!$H83*FracLEACHMM*MMLeachEF*NtoN2O*kgtoGg</f>
        <v>1.6670675463769219E-3</v>
      </c>
      <c r="AD1549" s="22">
        <f>Constants!$H65*'Activity data'!AW7*Constants!$H83*FracLEACHMM*MMLeachEF*NtoN2O*kgtoGg</f>
        <v>1.6967477318006537E-3</v>
      </c>
      <c r="AE1549" s="22">
        <f>Constants!$H65*'Activity data'!AX7*Constants!$H83*FracLEACHMM*MMLeachEF*NtoN2O*kgtoGg</f>
        <v>1.7279752630751828E-3</v>
      </c>
      <c r="AF1549" s="22">
        <f>Constants!$H65*'Activity data'!AY7*Constants!$H83*FracLEACHMM*MMLeachEF*NtoN2O*kgtoGg</f>
        <v>1.7601499459514404E-3</v>
      </c>
      <c r="AG1549" s="22">
        <f>Constants!$H65*'Activity data'!AZ7*Constants!$H83*FracLEACHMM*MMLeachEF*NtoN2O*kgtoGg</f>
        <v>1.7959512555963141E-3</v>
      </c>
      <c r="AH1549" s="22">
        <f>Constants!$H65*'Activity data'!BA7*Constants!$H83*FracLEACHMM*MMLeachEF*NtoN2O*kgtoGg</f>
        <v>1.8283647948576127E-3</v>
      </c>
      <c r="AI1549" s="22">
        <f>Constants!$H65*'Activity data'!BB7*Constants!$H83*FracLEACHMM*MMLeachEF*NtoN2O*kgtoGg</f>
        <v>1.8620460648760904E-3</v>
      </c>
      <c r="AJ1549" s="22">
        <f>Constants!$H65*'Activity data'!BC7*Constants!$H83*FracLEACHMM*MMLeachEF*NtoN2O*kgtoGg</f>
        <v>1.8966076980279822E-3</v>
      </c>
      <c r="AK1549" s="22">
        <f>Constants!$H65*'Activity data'!BD7*Constants!$H83*FracLEACHMM*MMLeachEF*NtoN2O*kgtoGg</f>
        <v>1.9301361930528979E-3</v>
      </c>
      <c r="AL1549" s="22">
        <f>Constants!$H65*'Activity data'!BE7*Constants!$H83*FracLEACHMM*MMLeachEF*NtoN2O*kgtoGg</f>
        <v>1.9639188039178583E-3</v>
      </c>
      <c r="AM1549" s="22">
        <f>Constants!$H65*'Activity data'!BF7*Constants!$H83*FracLEACHMM*MMLeachEF*NtoN2O*kgtoGg</f>
        <v>1.9991344665452565E-3</v>
      </c>
      <c r="AN1549" s="22">
        <f>Constants!$H65*'Activity data'!BG7*Constants!$H83*FracLEACHMM*MMLeachEF*NtoN2O*kgtoGg</f>
        <v>2.0355161594042262E-3</v>
      </c>
      <c r="AO1549" s="22">
        <f>Constants!$H65*'Activity data'!BH7*Constants!$H83*FracLEACHMM*MMLeachEF*NtoN2O*kgtoGg</f>
        <v>2.0702644022223028E-3</v>
      </c>
      <c r="AP1549" s="22">
        <f>Constants!$H65*'Activity data'!BI7*Constants!$H83*FracLEACHMM*MMLeachEF*NtoN2O*kgtoGg</f>
        <v>2.1057466670458603E-3</v>
      </c>
      <c r="AQ1549" s="22">
        <f>Constants!$H65*'Activity data'!BJ7*Constants!$H83*FracLEACHMM*MMLeachEF*NtoN2O*kgtoGg</f>
        <v>2.1420269011426783E-3</v>
      </c>
      <c r="AR1549" s="22">
        <f>Constants!$H65*'Activity data'!BK7*Constants!$H83*FracLEACHMM*MMLeachEF*NtoN2O*kgtoGg</f>
        <v>2.1808250719385831E-3</v>
      </c>
      <c r="AS1549" s="22">
        <f>Constants!$H65*'Activity data'!BL7*Constants!$H83*FracLEACHMM*MMLeachEF*NtoN2O*kgtoGg</f>
        <v>2.2200502478600822E-3</v>
      </c>
      <c r="AT1549" s="22">
        <f>Constants!$H65*'Activity data'!BM7*Constants!$H83*FracLEACHMM*MMLeachEF*NtoN2O*kgtoGg</f>
        <v>2.2435269873202655E-3</v>
      </c>
      <c r="AU1549" s="22">
        <f>Constants!$H65*'Activity data'!BN7*Constants!$H83*FracLEACHMM*MMLeachEF*NtoN2O*kgtoGg</f>
        <v>2.2660916046257488E-3</v>
      </c>
      <c r="AV1549" s="22">
        <f>Constants!$H65*'Activity data'!BO7*Constants!$H83*FracLEACHMM*MMLeachEF*NtoN2O*kgtoGg</f>
        <v>2.2910566520075136E-3</v>
      </c>
      <c r="AW1549" s="22">
        <f>Constants!$H65*'Activity data'!BP7*Constants!$H83*FracLEACHMM*MMLeachEF*NtoN2O*kgtoGg</f>
        <v>2.3153022003678742E-3</v>
      </c>
    </row>
    <row r="1550" spans="1:49" x14ac:dyDescent="0.25">
      <c r="A1550" s="102" t="s">
        <v>961</v>
      </c>
      <c r="B1550" s="102"/>
      <c r="C1550" s="102"/>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3.0452527896293373E-2</v>
      </c>
      <c r="L1550" s="22">
        <f>Constants!$H66*'Activity data'!AE8*Constants!$H84*FracLEACHMM*MMLeachEF*NtoN2O*kgtoGg</f>
        <v>3.0297487464546878E-2</v>
      </c>
      <c r="M1550" s="22">
        <f>Constants!$H66*'Activity data'!AF8*Constants!$H84*FracLEACHMM*MMLeachEF*NtoN2O*kgtoGg</f>
        <v>3.0014510280911927E-2</v>
      </c>
      <c r="N1550" s="22">
        <f>Constants!$H66*'Activity data'!AG8*Constants!$H84*FracLEACHMM*MMLeachEF*NtoN2O*kgtoGg</f>
        <v>2.9239921775422131E-2</v>
      </c>
      <c r="O1550" s="22">
        <f>Constants!$H66*'Activity data'!AH8*Constants!$H84*FracLEACHMM*MMLeachEF*NtoN2O*kgtoGg</f>
        <v>2.8496244024993216E-2</v>
      </c>
      <c r="P1550" s="22">
        <f>Constants!$H66*'Activity data'!AI8*Constants!$H84*FracLEACHMM*MMLeachEF*NtoN2O*kgtoGg</f>
        <v>2.8252813512235145E-2</v>
      </c>
      <c r="Q1550" s="22">
        <f>Constants!$H66*'Activity data'!AJ8*Constants!$H84*FracLEACHMM*MMLeachEF*NtoN2O*kgtoGg</f>
        <v>2.7859647334891578E-2</v>
      </c>
      <c r="R1550" s="22">
        <f>Constants!$H66*'Activity data'!AK8*Constants!$H84*FracLEACHMM*MMLeachEF*NtoN2O*kgtoGg</f>
        <v>2.6976279512961457E-2</v>
      </c>
      <c r="S1550" s="22">
        <f>Constants!$H66*'Activity data'!AL8*Constants!$H84*FracLEACHMM*MMLeachEF*NtoN2O*kgtoGg</f>
        <v>2.4012489752417959E-2</v>
      </c>
      <c r="T1550" s="22">
        <f>Constants!$H66*'Activity data'!AM8*Constants!$H84*FracLEACHMM*MMLeachEF*NtoN2O*kgtoGg</f>
        <v>2.4599231081869424E-2</v>
      </c>
      <c r="U1550" s="22">
        <f>Constants!$H66*'Activity data'!AN8*Constants!$H84*FracLEACHMM*MMLeachEF*NtoN2O*kgtoGg</f>
        <v>2.4916145495478388E-2</v>
      </c>
      <c r="V1550" s="22">
        <f>Constants!$H66*'Activity data'!AO8*Constants!$H84*FracLEACHMM*MMLeachEF*NtoN2O*kgtoGg</f>
        <v>2.5168037651579767E-2</v>
      </c>
      <c r="W1550" s="22">
        <f>Constants!$H66*'Activity data'!AP8*Constants!$H84*FracLEACHMM*MMLeachEF*NtoN2O*kgtoGg</f>
        <v>2.5506564506487542E-2</v>
      </c>
      <c r="X1550" s="22">
        <f>Constants!$H66*'Activity data'!AQ8*Constants!$H84*FracLEACHMM*MMLeachEF*NtoN2O*kgtoGg</f>
        <v>2.6156489707851342E-2</v>
      </c>
      <c r="Y1550" s="22">
        <f>Constants!$H66*'Activity data'!AR8*Constants!$H84*FracLEACHMM*MMLeachEF*NtoN2O*kgtoGg</f>
        <v>2.6867817810745018E-2</v>
      </c>
      <c r="Z1550" s="22">
        <f>Constants!$H66*'Activity data'!AS8*Constants!$H84*FracLEACHMM*MMLeachEF*NtoN2O*kgtoGg</f>
        <v>2.7642884414901984E-2</v>
      </c>
      <c r="AA1550" s="22">
        <f>Constants!$H66*'Activity data'!AT8*Constants!$H84*FracLEACHMM*MMLeachEF*NtoN2O*kgtoGg</f>
        <v>2.8274857178530011E-2</v>
      </c>
      <c r="AB1550" s="22">
        <f>Constants!$H66*'Activity data'!AU8*Constants!$H84*FracLEACHMM*MMLeachEF*NtoN2O*kgtoGg</f>
        <v>2.903345804669211E-2</v>
      </c>
      <c r="AC1550" s="22">
        <f>Constants!$H66*'Activity data'!AV8*Constants!$H84*FracLEACHMM*MMLeachEF*NtoN2O*kgtoGg</f>
        <v>2.9947210077229128E-2</v>
      </c>
      <c r="AD1550" s="22">
        <f>Constants!$H66*'Activity data'!AW8*Constants!$H84*FracLEACHMM*MMLeachEF*NtoN2O*kgtoGg</f>
        <v>3.0549124720733112E-2</v>
      </c>
      <c r="AE1550" s="22">
        <f>Constants!$H66*'Activity data'!AX8*Constants!$H84*FracLEACHMM*MMLeachEF*NtoN2O*kgtoGg</f>
        <v>3.1163959723064422E-2</v>
      </c>
      <c r="AF1550" s="22">
        <f>Constants!$H66*'Activity data'!AY8*Constants!$H84*FracLEACHMM*MMLeachEF*NtoN2O*kgtoGg</f>
        <v>3.1763059028554627E-2</v>
      </c>
      <c r="AG1550" s="22">
        <f>Constants!$H66*'Activity data'!AZ8*Constants!$H84*FracLEACHMM*MMLeachEF*NtoN2O*kgtoGg</f>
        <v>3.2456169201335913E-2</v>
      </c>
      <c r="AH1550" s="22">
        <f>Constants!$H66*'Activity data'!BA8*Constants!$H84*FracLEACHMM*MMLeachEF*NtoN2O*kgtoGg</f>
        <v>3.2950083477417874E-2</v>
      </c>
      <c r="AI1550" s="22">
        <f>Constants!$H66*'Activity data'!BB8*Constants!$H84*FracLEACHMM*MMLeachEF*NtoN2O*kgtoGg</f>
        <v>3.3470414487168046E-2</v>
      </c>
      <c r="AJ1550" s="22">
        <f>Constants!$H66*'Activity data'!BC8*Constants!$H84*FracLEACHMM*MMLeachEF*NtoN2O*kgtoGg</f>
        <v>3.3968324488623199E-2</v>
      </c>
      <c r="AK1550" s="22">
        <f>Constants!$H66*'Activity data'!BD8*Constants!$H84*FracLEACHMM*MMLeachEF*NtoN2O*kgtoGg</f>
        <v>3.4370588247873347E-2</v>
      </c>
      <c r="AL1550" s="22">
        <f>Constants!$H66*'Activity data'!BE8*Constants!$H84*FracLEACHMM*MMLeachEF*NtoN2O*kgtoGg</f>
        <v>3.4728582709762659E-2</v>
      </c>
      <c r="AM1550" s="22">
        <f>Constants!$H66*'Activity data'!BF8*Constants!$H84*FracLEACHMM*MMLeachEF*NtoN2O*kgtoGg</f>
        <v>3.5084969822241303E-2</v>
      </c>
      <c r="AN1550" s="22">
        <f>Constants!$H66*'Activity data'!BG8*Constants!$H84*FracLEACHMM*MMLeachEF*NtoN2O*kgtoGg</f>
        <v>3.563350480133385E-2</v>
      </c>
      <c r="AO1550" s="22">
        <f>Constants!$H66*'Activity data'!BH8*Constants!$H84*FracLEACHMM*MMLeachEF*NtoN2O*kgtoGg</f>
        <v>3.6080223845932187E-2</v>
      </c>
      <c r="AP1550" s="22">
        <f>Constants!$H66*'Activity data'!BI8*Constants!$H84*FracLEACHMM*MMLeachEF*NtoN2O*kgtoGg</f>
        <v>3.6509179844635559E-2</v>
      </c>
      <c r="AQ1550" s="22">
        <f>Constants!$H66*'Activity data'!BJ8*Constants!$H84*FracLEACHMM*MMLeachEF*NtoN2O*kgtoGg</f>
        <v>3.6921780538289761E-2</v>
      </c>
      <c r="AR1550" s="22">
        <f>Constants!$H66*'Activity data'!BK8*Constants!$H84*FracLEACHMM*MMLeachEF*NtoN2O*kgtoGg</f>
        <v>3.7372669069064057E-2</v>
      </c>
      <c r="AS1550" s="22">
        <f>Constants!$H66*'Activity data'!BL8*Constants!$H84*FracLEACHMM*MMLeachEF*NtoN2O*kgtoGg</f>
        <v>3.781430947824465E-2</v>
      </c>
      <c r="AT1550" s="22">
        <f>Constants!$H66*'Activity data'!BM8*Constants!$H84*FracLEACHMM*MMLeachEF*NtoN2O*kgtoGg</f>
        <v>3.7723318556611311E-2</v>
      </c>
      <c r="AU1550" s="22">
        <f>Constants!$H66*'Activity data'!BN8*Constants!$H84*FracLEACHMM*MMLeachEF*NtoN2O*kgtoGg</f>
        <v>3.7580542556637592E-2</v>
      </c>
      <c r="AV1550" s="22">
        <f>Constants!$H66*'Activity data'!BO8*Constants!$H84*FracLEACHMM*MMLeachEF*NtoN2O*kgtoGg</f>
        <v>3.7486169646009135E-2</v>
      </c>
      <c r="AW1550" s="22">
        <f>Constants!$H66*'Activity data'!BP8*Constants!$H84*FracLEACHMM*MMLeachEF*NtoN2O*kgtoGg</f>
        <v>3.7345735978641013E-2</v>
      </c>
    </row>
    <row r="1551" spans="1:49" x14ac:dyDescent="0.25">
      <c r="A1551" s="102" t="s">
        <v>961</v>
      </c>
      <c r="B1551" s="102"/>
      <c r="C1551" s="102"/>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4.0424767632491129E-2</v>
      </c>
      <c r="L1551" s="22">
        <f>Constants!$H67*'Activity data'!AE9*Constants!$H85*FracLEACHMM*MMLeachEF*NtoN2O*kgtoGg</f>
        <v>4.0218956362952633E-2</v>
      </c>
      <c r="M1551" s="22">
        <f>Constants!$H67*'Activity data'!AF9*Constants!$H85*FracLEACHMM*MMLeachEF*NtoN2O*kgtoGg</f>
        <v>3.9843313101654371E-2</v>
      </c>
      <c r="N1551" s="22">
        <f>Constants!$H67*'Activity data'!AG9*Constants!$H85*FracLEACHMM*MMLeachEF*NtoN2O*kgtoGg</f>
        <v>3.8815071359232893E-2</v>
      </c>
      <c r="O1551" s="22">
        <f>Constants!$H67*'Activity data'!AH9*Constants!$H85*FracLEACHMM*MMLeachEF*NtoN2O*kgtoGg</f>
        <v>3.7827862666512127E-2</v>
      </c>
      <c r="P1551" s="22">
        <f>Constants!$H67*'Activity data'!AI9*Constants!$H85*FracLEACHMM*MMLeachEF*NtoN2O*kgtoGg</f>
        <v>3.7504716360024323E-2</v>
      </c>
      <c r="Q1551" s="22">
        <f>Constants!$H67*'Activity data'!AJ9*Constants!$H85*FracLEACHMM*MMLeachEF*NtoN2O*kgtoGg</f>
        <v>3.6982800694625562E-2</v>
      </c>
      <c r="R1551" s="22">
        <f>Constants!$H67*'Activity data'!AK9*Constants!$H85*FracLEACHMM*MMLeachEF*NtoN2O*kgtoGg</f>
        <v>3.5810157850092082E-2</v>
      </c>
      <c r="S1551" s="22">
        <f>Constants!$H67*'Activity data'!AL9*Constants!$H85*FracLEACHMM*MMLeachEF*NtoN2O*kgtoGg</f>
        <v>3.1875820681448994E-2</v>
      </c>
      <c r="T1551" s="22">
        <f>Constants!$H67*'Activity data'!AM9*Constants!$H85*FracLEACHMM*MMLeachEF*NtoN2O*kgtoGg</f>
        <v>3.2654701238893337E-2</v>
      </c>
      <c r="U1551" s="22">
        <f>Constants!$H67*'Activity data'!AN9*Constants!$H85*FracLEACHMM*MMLeachEF*NtoN2O*kgtoGg</f>
        <v>3.307539509961839E-2</v>
      </c>
      <c r="V1551" s="22">
        <f>Constants!$H67*'Activity data'!AO9*Constants!$H85*FracLEACHMM*MMLeachEF*NtoN2O*kgtoGg</f>
        <v>3.3409773970020318E-2</v>
      </c>
      <c r="W1551" s="22">
        <f>Constants!$H67*'Activity data'!AP9*Constants!$H85*FracLEACHMM*MMLeachEF*NtoN2O*kgtoGg</f>
        <v>3.3859157663013208E-2</v>
      </c>
      <c r="X1551" s="22">
        <f>Constants!$H67*'Activity data'!AQ9*Constants!$H85*FracLEACHMM*MMLeachEF*NtoN2O*kgtoGg</f>
        <v>3.4721912812047291E-2</v>
      </c>
      <c r="Y1551" s="22">
        <f>Constants!$H67*'Activity data'!AR9*Constants!$H85*FracLEACHMM*MMLeachEF*NtoN2O*kgtoGg</f>
        <v>3.5666178370816821E-2</v>
      </c>
      <c r="Z1551" s="22">
        <f>Constants!$H67*'Activity data'!AS9*Constants!$H85*FracLEACHMM*MMLeachEF*NtoN2O*kgtoGg</f>
        <v>3.6695054774097693E-2</v>
      </c>
      <c r="AA1551" s="22">
        <f>Constants!$H67*'Activity data'!AT9*Constants!$H85*FracLEACHMM*MMLeachEF*NtoN2O*kgtoGg</f>
        <v>3.7533978629835658E-2</v>
      </c>
      <c r="AB1551" s="22">
        <f>Constants!$H67*'Activity data'!AU9*Constants!$H85*FracLEACHMM*MMLeachEF*NtoN2O*kgtoGg</f>
        <v>3.8540997289360182E-2</v>
      </c>
      <c r="AC1551" s="22">
        <f>Constants!$H67*'Activity data'!AV9*Constants!$H85*FracLEACHMM*MMLeachEF*NtoN2O*kgtoGg</f>
        <v>3.9753974209830296E-2</v>
      </c>
      <c r="AD1551" s="22">
        <f>Constants!$H67*'Activity data'!AW9*Constants!$H85*FracLEACHMM*MMLeachEF*NtoN2O*kgtoGg</f>
        <v>4.0552996861779135E-2</v>
      </c>
      <c r="AE1551" s="22">
        <f>Constants!$H67*'Activity data'!AX9*Constants!$H85*FracLEACHMM*MMLeachEF*NtoN2O*kgtoGg</f>
        <v>4.1369170881427282E-2</v>
      </c>
      <c r="AF1551" s="22">
        <f>Constants!$H67*'Activity data'!AY9*Constants!$H85*FracLEACHMM*MMLeachEF*NtoN2O*kgtoGg</f>
        <v>4.2164456261206094E-2</v>
      </c>
      <c r="AG1551" s="22">
        <f>Constants!$H67*'Activity data'!AZ9*Constants!$H85*FracLEACHMM*MMLeachEF*NtoN2O*kgtoGg</f>
        <v>4.3084538093946481E-2</v>
      </c>
      <c r="AH1551" s="22">
        <f>Constants!$H67*'Activity data'!BA9*Constants!$H85*FracLEACHMM*MMLeachEF*NtoN2O*kgtoGg</f>
        <v>4.3740193673968565E-2</v>
      </c>
      <c r="AI1551" s="22">
        <f>Constants!$H67*'Activity data'!BB9*Constants!$H85*FracLEACHMM*MMLeachEF*NtoN2O*kgtoGg</f>
        <v>4.4430916632429117E-2</v>
      </c>
      <c r="AJ1551" s="22">
        <f>Constants!$H67*'Activity data'!BC9*Constants!$H85*FracLEACHMM*MMLeachEF*NtoN2O*kgtoGg</f>
        <v>4.5091876411507692E-2</v>
      </c>
      <c r="AK1551" s="22">
        <f>Constants!$H67*'Activity data'!BD9*Constants!$H85*FracLEACHMM*MMLeachEF*NtoN2O*kgtoGg</f>
        <v>4.5625868829149929E-2</v>
      </c>
      <c r="AL1551" s="22">
        <f>Constants!$H67*'Activity data'!BE9*Constants!$H85*FracLEACHMM*MMLeachEF*NtoN2O*kgtoGg</f>
        <v>4.610109515469106E-2</v>
      </c>
      <c r="AM1551" s="22">
        <f>Constants!$H67*'Activity data'!BF9*Constants!$H85*FracLEACHMM*MMLeachEF*NtoN2O*kgtoGg</f>
        <v>4.6574187774726626E-2</v>
      </c>
      <c r="AN1551" s="22">
        <f>Constants!$H67*'Activity data'!BG9*Constants!$H85*FracLEACHMM*MMLeachEF*NtoN2O*kgtoGg</f>
        <v>4.730235061045656E-2</v>
      </c>
      <c r="AO1551" s="22">
        <f>Constants!$H67*'Activity data'!BH9*Constants!$H85*FracLEACHMM*MMLeachEF*NtoN2O*kgtoGg</f>
        <v>4.7895356013370721E-2</v>
      </c>
      <c r="AP1551" s="22">
        <f>Constants!$H67*'Activity data'!BI9*Constants!$H85*FracLEACHMM*MMLeachEF*NtoN2O*kgtoGg</f>
        <v>4.8464781534667351E-2</v>
      </c>
      <c r="AQ1551" s="22">
        <f>Constants!$H67*'Activity data'!BJ9*Constants!$H85*FracLEACHMM*MMLeachEF*NtoN2O*kgtoGg</f>
        <v>4.9012495905795345E-2</v>
      </c>
      <c r="AR1551" s="22">
        <f>Constants!$H67*'Activity data'!BK9*Constants!$H85*FracLEACHMM*MMLeachEF*NtoN2O*kgtoGg</f>
        <v>4.9611036169735952E-2</v>
      </c>
      <c r="AS1551" s="22">
        <f>Constants!$H67*'Activity data'!BL9*Constants!$H85*FracLEACHMM*MMLeachEF*NtoN2O*kgtoGg</f>
        <v>5.019729984475968E-2</v>
      </c>
      <c r="AT1551" s="22">
        <f>Constants!$H67*'Activity data'!BM9*Constants!$H85*FracLEACHMM*MMLeachEF*NtoN2O*kgtoGg</f>
        <v>5.0076512274144176E-2</v>
      </c>
      <c r="AU1551" s="22">
        <f>Constants!$H67*'Activity data'!BN9*Constants!$H85*FracLEACHMM*MMLeachEF*NtoN2O*kgtoGg</f>
        <v>4.9886981649885677E-2</v>
      </c>
      <c r="AV1551" s="22">
        <f>Constants!$H67*'Activity data'!BO9*Constants!$H85*FracLEACHMM*MMLeachEF*NtoN2O*kgtoGg</f>
        <v>4.9761704595844405E-2</v>
      </c>
      <c r="AW1551" s="22">
        <f>Constants!$H67*'Activity data'!BP9*Constants!$H85*FracLEACHMM*MMLeachEF*NtoN2O*kgtoGg</f>
        <v>4.9575283344036727E-2</v>
      </c>
    </row>
    <row r="1552" spans="1:49" x14ac:dyDescent="0.25">
      <c r="A1552" s="102" t="s">
        <v>961</v>
      </c>
      <c r="B1552" s="102"/>
      <c r="C1552" s="102"/>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4.2088279910489731E-2</v>
      </c>
      <c r="L1552" s="22">
        <f>Constants!$H68*'Activity data'!AE10*Constants!$H86*FracLEACHMM*MMLeachEF*NtoN2O*kgtoGg</f>
        <v>4.3658426789379527E-2</v>
      </c>
      <c r="M1552" s="22">
        <f>Constants!$H68*'Activity data'!AF10*Constants!$H86*FracLEACHMM*MMLeachEF*NtoN2O*kgtoGg</f>
        <v>4.5069001422451092E-2</v>
      </c>
      <c r="N1552" s="22">
        <f>Constants!$H68*'Activity data'!AG10*Constants!$H86*FracLEACHMM*MMLeachEF*NtoN2O*kgtoGg</f>
        <v>4.5730945940485053E-2</v>
      </c>
      <c r="O1552" s="22">
        <f>Constants!$H68*'Activity data'!AH10*Constants!$H86*FracLEACHMM*MMLeachEF*NtoN2O*kgtoGg</f>
        <v>4.6403018793330496E-2</v>
      </c>
      <c r="P1552" s="22">
        <f>Constants!$H68*'Activity data'!AI10*Constants!$H86*FracLEACHMM*MMLeachEF*NtoN2O*kgtoGg</f>
        <v>4.788652540684897E-2</v>
      </c>
      <c r="Q1552" s="22">
        <f>Constants!$H68*'Activity data'!AJ10*Constants!$H86*FracLEACHMM*MMLeachEF*NtoN2O*kgtoGg</f>
        <v>4.9137870108527694E-2</v>
      </c>
      <c r="R1552" s="22">
        <f>Constants!$H68*'Activity data'!AK10*Constants!$H86*FracLEACHMM*MMLeachEF*NtoN2O*kgtoGg</f>
        <v>4.9503165411805869E-2</v>
      </c>
      <c r="S1552" s="22">
        <f>Constants!$H68*'Activity data'!AL10*Constants!$H86*FracLEACHMM*MMLeachEF*NtoN2O*kgtoGg</f>
        <v>4.5839757980885354E-2</v>
      </c>
      <c r="T1552" s="22">
        <f>Constants!$H68*'Activity data'!AM10*Constants!$H86*FracLEACHMM*MMLeachEF*NtoN2O*kgtoGg</f>
        <v>4.8085500350999781E-2</v>
      </c>
      <c r="U1552" s="22">
        <f>Constants!$H68*'Activity data'!AN10*Constants!$H86*FracLEACHMM*MMLeachEF*NtoN2O*kgtoGg</f>
        <v>4.9856457493952649E-2</v>
      </c>
      <c r="V1552" s="22">
        <f>Constants!$H68*'Activity data'!AO10*Constants!$H86*FracLEACHMM*MMLeachEF*NtoN2O*kgtoGg</f>
        <v>5.1535970996810648E-2</v>
      </c>
      <c r="W1552" s="22">
        <f>Constants!$H68*'Activity data'!AP10*Constants!$H86*FracLEACHMM*MMLeachEF*NtoN2O*kgtoGg</f>
        <v>5.3433929282004737E-2</v>
      </c>
      <c r="X1552" s="22">
        <f>Constants!$H68*'Activity data'!AQ10*Constants!$H86*FracLEACHMM*MMLeachEF*NtoN2O*kgtoGg</f>
        <v>5.6045654957977475E-2</v>
      </c>
      <c r="Y1552" s="22">
        <f>Constants!$H68*'Activity data'!AR10*Constants!$H86*FracLEACHMM*MMLeachEF*NtoN2O*kgtoGg</f>
        <v>5.8870054591226323E-2</v>
      </c>
      <c r="Z1552" s="22">
        <f>Constants!$H68*'Activity data'!AS10*Constants!$H86*FracLEACHMM*MMLeachEF*NtoN2O*kgtoGg</f>
        <v>6.1923467619543808E-2</v>
      </c>
      <c r="AA1552" s="22">
        <f>Constants!$H68*'Activity data'!AT10*Constants!$H86*FracLEACHMM*MMLeachEF*NtoN2O*kgtoGg</f>
        <v>6.4744057541003291E-2</v>
      </c>
      <c r="AB1552" s="22">
        <f>Constants!$H68*'Activity data'!AU10*Constants!$H86*FracLEACHMM*MMLeachEF*NtoN2O*kgtoGg</f>
        <v>6.7943881457369987E-2</v>
      </c>
      <c r="AC1552" s="22">
        <f>Constants!$H68*'Activity data'!AV10*Constants!$H86*FracLEACHMM*MMLeachEF*NtoN2O*kgtoGg</f>
        <v>7.1612827226360365E-2</v>
      </c>
      <c r="AD1552" s="22">
        <f>Constants!$H68*'Activity data'!AW10*Constants!$H86*FracLEACHMM*MMLeachEF*NtoN2O*kgtoGg</f>
        <v>7.5466807799469487E-2</v>
      </c>
      <c r="AE1552" s="22">
        <f>Constants!$H68*'Activity data'!AX10*Constants!$H86*FracLEACHMM*MMLeachEF*NtoN2O*kgtoGg</f>
        <v>7.9535262123601499E-2</v>
      </c>
      <c r="AF1552" s="22">
        <f>Constants!$H68*'Activity data'!AY10*Constants!$H86*FracLEACHMM*MMLeachEF*NtoN2O*kgtoGg</f>
        <v>8.3755881572647323E-2</v>
      </c>
      <c r="AG1552" s="22">
        <f>Constants!$H68*'Activity data'!AZ10*Constants!$H86*FracLEACHMM*MMLeachEF*NtoN2O*kgtoGg</f>
        <v>8.8434352848101333E-2</v>
      </c>
      <c r="AH1552" s="22">
        <f>Constants!$H68*'Activity data'!BA10*Constants!$H86*FracLEACHMM*MMLeachEF*NtoN2O*kgtoGg</f>
        <v>9.2782184706594648E-2</v>
      </c>
      <c r="AI1552" s="22">
        <f>Constants!$H68*'Activity data'!BB10*Constants!$H86*FracLEACHMM*MMLeachEF*NtoN2O*kgtoGg</f>
        <v>9.7412750169741713E-2</v>
      </c>
      <c r="AJ1552" s="22">
        <f>Constants!$H68*'Activity data'!BC10*Constants!$H86*FracLEACHMM*MMLeachEF*NtoN2O*kgtoGg</f>
        <v>0.10219897557201296</v>
      </c>
      <c r="AK1552" s="22">
        <f>Constants!$H68*'Activity data'!BD10*Constants!$H86*FracLEACHMM*MMLeachEF*NtoN2O*kgtoGg</f>
        <v>0.10691951602452639</v>
      </c>
      <c r="AL1552" s="22">
        <f>Constants!$H68*'Activity data'!BE10*Constants!$H86*FracLEACHMM*MMLeachEF*NtoN2O*kgtoGg</f>
        <v>0.11172324406810413</v>
      </c>
      <c r="AM1552" s="22">
        <f>Constants!$H68*'Activity data'!BF10*Constants!$H86*FracLEACHMM*MMLeachEF*NtoN2O*kgtoGg</f>
        <v>0.11675138053848984</v>
      </c>
      <c r="AN1552" s="22">
        <f>Constants!$H68*'Activity data'!BG10*Constants!$H86*FracLEACHMM*MMLeachEF*NtoN2O*kgtoGg</f>
        <v>0.12191034405107851</v>
      </c>
      <c r="AO1552" s="22">
        <f>Constants!$H68*'Activity data'!BH10*Constants!$H86*FracLEACHMM*MMLeachEF*NtoN2O*kgtoGg</f>
        <v>0.12692107733600846</v>
      </c>
      <c r="AP1552" s="22">
        <f>Constants!$H68*'Activity data'!BI10*Constants!$H86*FracLEACHMM*MMLeachEF*NtoN2O*kgtoGg</f>
        <v>0.13206747907789079</v>
      </c>
      <c r="AQ1552" s="22">
        <f>Constants!$H68*'Activity data'!BJ10*Constants!$H86*FracLEACHMM*MMLeachEF*NtoN2O*kgtoGg</f>
        <v>0.13735924273618794</v>
      </c>
      <c r="AR1552" s="22">
        <f>Constants!$H68*'Activity data'!BK10*Constants!$H86*FracLEACHMM*MMLeachEF*NtoN2O*kgtoGg</f>
        <v>0.14301065000753557</v>
      </c>
      <c r="AS1552" s="22">
        <f>Constants!$H68*'Activity data'!BL10*Constants!$H86*FracLEACHMM*MMLeachEF*NtoN2O*kgtoGg</f>
        <v>0.14885811067783355</v>
      </c>
      <c r="AT1552" s="22">
        <f>Constants!$H68*'Activity data'!BM10*Constants!$H86*FracLEACHMM*MMLeachEF*NtoN2O*kgtoGg</f>
        <v>0.15279068704125651</v>
      </c>
      <c r="AU1552" s="22">
        <f>Constants!$H68*'Activity data'!BN10*Constants!$H86*FracLEACHMM*MMLeachEF*NtoN2O*kgtoGg</f>
        <v>0.15663721521446686</v>
      </c>
      <c r="AV1552" s="22">
        <f>Constants!$H68*'Activity data'!BO10*Constants!$H86*FracLEACHMM*MMLeachEF*NtoN2O*kgtoGg</f>
        <v>0.16081550018928234</v>
      </c>
      <c r="AW1552" s="22">
        <f>Constants!$H68*'Activity data'!BP10*Constants!$H86*FracLEACHMM*MMLeachEF*NtoN2O*kgtoGg</f>
        <v>0.16493343954400999</v>
      </c>
    </row>
    <row r="1553" spans="1:49" x14ac:dyDescent="0.25">
      <c r="A1553" s="102" t="s">
        <v>961</v>
      </c>
      <c r="B1553" s="102"/>
      <c r="C1553" s="102"/>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4.3939271631598543E-3</v>
      </c>
      <c r="L1553" s="22">
        <f>Constants!$H69*'Activity data'!AE11*Constants!$H87*FracLEACHMM*MMLeachEF*NtoN2O*kgtoGg</f>
        <v>4.3962984818877171E-3</v>
      </c>
      <c r="M1553" s="22">
        <f>Constants!$H69*'Activity data'!AF11*Constants!$H87*FracLEACHMM*MMLeachEF*NtoN2O*kgtoGg</f>
        <v>4.4017499414647923E-3</v>
      </c>
      <c r="N1553" s="22">
        <f>Constants!$H69*'Activity data'!AG11*Constants!$H87*FracLEACHMM*MMLeachEF*NtoN2O*kgtoGg</f>
        <v>4.4098431410874153E-3</v>
      </c>
      <c r="O1553" s="22">
        <f>Constants!$H69*'Activity data'!AH11*Constants!$H87*FracLEACHMM*MMLeachEF*NtoN2O*kgtoGg</f>
        <v>4.4207667549247352E-3</v>
      </c>
      <c r="P1553" s="22">
        <f>Constants!$H69*'Activity data'!AI11*Constants!$H87*FracLEACHMM*MMLeachEF*NtoN2O*kgtoGg</f>
        <v>4.4347403177031263E-3</v>
      </c>
      <c r="Q1553" s="22">
        <f>Constants!$H69*'Activity data'!AJ11*Constants!$H87*FracLEACHMM*MMLeachEF*NtoN2O*kgtoGg</f>
        <v>4.4501377302209226E-3</v>
      </c>
      <c r="R1553" s="22">
        <f>Constants!$H69*'Activity data'!AK11*Constants!$H87*FracLEACHMM*MMLeachEF*NtoN2O*kgtoGg</f>
        <v>4.4667198464041179E-3</v>
      </c>
      <c r="S1553" s="22">
        <f>Constants!$H69*'Activity data'!AL11*Constants!$H87*FracLEACHMM*MMLeachEF*NtoN2O*kgtoGg</f>
        <v>4.4831484324149608E-3</v>
      </c>
      <c r="T1553" s="22">
        <f>Constants!$H69*'Activity data'!AM11*Constants!$H87*FracLEACHMM*MMLeachEF*NtoN2O*kgtoGg</f>
        <v>4.4898717427697809E-3</v>
      </c>
      <c r="U1553" s="22">
        <f>Constants!$H69*'Activity data'!AN11*Constants!$H87*FracLEACHMM*MMLeachEF*NtoN2O*kgtoGg</f>
        <v>4.4975062704204526E-3</v>
      </c>
      <c r="V1553" s="22">
        <f>Constants!$H69*'Activity data'!AO11*Constants!$H87*FracLEACHMM*MMLeachEF*NtoN2O*kgtoGg</f>
        <v>4.5061403809784359E-3</v>
      </c>
      <c r="W1553" s="22">
        <f>Constants!$H69*'Activity data'!AP11*Constants!$H87*FracLEACHMM*MMLeachEF*NtoN2O*kgtoGg</f>
        <v>4.5158367053022919E-3</v>
      </c>
      <c r="X1553" s="22">
        <f>Constants!$H69*'Activity data'!AQ11*Constants!$H87*FracLEACHMM*MMLeachEF*NtoN2O*kgtoGg</f>
        <v>4.526732327246351E-3</v>
      </c>
      <c r="Y1553" s="22">
        <f>Constants!$H69*'Activity data'!AR11*Constants!$H87*FracLEACHMM*MMLeachEF*NtoN2O*kgtoGg</f>
        <v>4.5335830197240166E-3</v>
      </c>
      <c r="Z1553" s="22">
        <f>Constants!$H69*'Activity data'!AS11*Constants!$H87*FracLEACHMM*MMLeachEF*NtoN2O*kgtoGg</f>
        <v>4.5412972482123245E-3</v>
      </c>
      <c r="AA1553" s="22">
        <f>Constants!$H69*'Activity data'!AT11*Constants!$H87*FracLEACHMM*MMLeachEF*NtoN2O*kgtoGg</f>
        <v>4.5496603151243516E-3</v>
      </c>
      <c r="AB1553" s="22">
        <f>Constants!$H69*'Activity data'!AU11*Constants!$H87*FracLEACHMM*MMLeachEF*NtoN2O*kgtoGg</f>
        <v>4.558868291538884E-3</v>
      </c>
      <c r="AC1553" s="22">
        <f>Constants!$H69*'Activity data'!AV11*Constants!$H87*FracLEACHMM*MMLeachEF*NtoN2O*kgtoGg</f>
        <v>4.5689201230950608E-3</v>
      </c>
      <c r="AD1553" s="22">
        <f>Constants!$H69*'Activity data'!AW11*Constants!$H87*FracLEACHMM*MMLeachEF*NtoN2O*kgtoGg</f>
        <v>4.5755732338553573E-3</v>
      </c>
      <c r="AE1553" s="22">
        <f>Constants!$H69*'Activity data'!AX11*Constants!$H87*FracLEACHMM*MMLeachEF*NtoN2O*kgtoGg</f>
        <v>4.5828736540396882E-3</v>
      </c>
      <c r="AF1553" s="22">
        <f>Constants!$H69*'Activity data'!AY11*Constants!$H87*FracLEACHMM*MMLeachEF*NtoN2O*kgtoGg</f>
        <v>4.5907723416262498E-3</v>
      </c>
      <c r="AG1553" s="22">
        <f>Constants!$H69*'Activity data'!AZ11*Constants!$H87*FracLEACHMM*MMLeachEF*NtoN2O*kgtoGg</f>
        <v>4.5993548004809003E-3</v>
      </c>
      <c r="AH1553" s="22">
        <f>Constants!$H69*'Activity data'!BA11*Constants!$H87*FracLEACHMM*MMLeachEF*NtoN2O*kgtoGg</f>
        <v>4.608317319688404E-3</v>
      </c>
      <c r="AI1553" s="22">
        <f>Constants!$H69*'Activity data'!BB11*Constants!$H87*FracLEACHMM*MMLeachEF*NtoN2O*kgtoGg</f>
        <v>4.614051297103656E-3</v>
      </c>
      <c r="AJ1553" s="22">
        <f>Constants!$H69*'Activity data'!BC11*Constants!$H87*FracLEACHMM*MMLeachEF*NtoN2O*kgtoGg</f>
        <v>4.6202716852182099E-3</v>
      </c>
      <c r="AK1553" s="22">
        <f>Constants!$H69*'Activity data'!BD11*Constants!$H87*FracLEACHMM*MMLeachEF*NtoN2O*kgtoGg</f>
        <v>4.6268842765144489E-3</v>
      </c>
      <c r="AL1553" s="22">
        <f>Constants!$H69*'Activity data'!BE11*Constants!$H87*FracLEACHMM*MMLeachEF*NtoN2O*kgtoGg</f>
        <v>4.6339252685925585E-3</v>
      </c>
      <c r="AM1553" s="22">
        <f>Constants!$H69*'Activity data'!BF11*Constants!$H87*FracLEACHMM*MMLeachEF*NtoN2O*kgtoGg</f>
        <v>4.6414276467124371E-3</v>
      </c>
      <c r="AN1553" s="22">
        <f>Constants!$H69*'Activity data'!BG11*Constants!$H87*FracLEACHMM*MMLeachEF*NtoN2O*kgtoGg</f>
        <v>4.6458494434601398E-3</v>
      </c>
      <c r="AO1553" s="22">
        <f>Constants!$H69*'Activity data'!BH11*Constants!$H87*FracLEACHMM*MMLeachEF*NtoN2O*kgtoGg</f>
        <v>4.650560968895651E-3</v>
      </c>
      <c r="AP1553" s="22">
        <f>Constants!$H69*'Activity data'!BI11*Constants!$H87*FracLEACHMM*MMLeachEF*NtoN2O*kgtoGg</f>
        <v>4.6556452517360746E-3</v>
      </c>
      <c r="AQ1553" s="22">
        <f>Constants!$H69*'Activity data'!BJ11*Constants!$H87*FracLEACHMM*MMLeachEF*NtoN2O*kgtoGg</f>
        <v>4.6610933229495489E-3</v>
      </c>
      <c r="AR1553" s="22">
        <f>Constants!$H69*'Activity data'!BK11*Constants!$H87*FracLEACHMM*MMLeachEF*NtoN2O*kgtoGg</f>
        <v>4.6669636754851076E-3</v>
      </c>
      <c r="AS1553" s="22">
        <f>Constants!$H69*'Activity data'!BL11*Constants!$H87*FracLEACHMM*MMLeachEF*NtoN2O*kgtoGg</f>
        <v>4.6696094397021678E-3</v>
      </c>
      <c r="AT1553" s="22">
        <f>Constants!$H69*'Activity data'!BM11*Constants!$H87*FracLEACHMM*MMLeachEF*NtoN2O*kgtoGg</f>
        <v>4.671905929653092E-3</v>
      </c>
      <c r="AU1553" s="22">
        <f>Constants!$H69*'Activity data'!BN11*Constants!$H87*FracLEACHMM*MMLeachEF*NtoN2O*kgtoGg</f>
        <v>4.6744411838373096E-3</v>
      </c>
      <c r="AV1553" s="22">
        <f>Constants!$H69*'Activity data'!BO11*Constants!$H87*FracLEACHMM*MMLeachEF*NtoN2O*kgtoGg</f>
        <v>4.6773396676684084E-3</v>
      </c>
      <c r="AW1553" s="22">
        <f>Constants!$H69*'Activity data'!BP11*Constants!$H87*FracLEACHMM*MMLeachEF*NtoN2O*kgtoGg</f>
        <v>4.6804674678318113E-3</v>
      </c>
    </row>
    <row r="1554" spans="1:49" x14ac:dyDescent="0.25">
      <c r="A1554" s="102" t="s">
        <v>961</v>
      </c>
      <c r="B1554" s="102"/>
      <c r="C1554" s="102"/>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3.6549565945200539E-3</v>
      </c>
      <c r="L1554" s="22">
        <f>Constants!$H70*'Activity data'!AE12*Constants!$H88*FracLEACHMM*MMLeachEF*NtoN2O*kgtoGg</f>
        <v>3.6569291049191287E-3</v>
      </c>
      <c r="M1554" s="22">
        <f>Constants!$H70*'Activity data'!AF12*Constants!$H88*FracLEACHMM*MMLeachEF*NtoN2O*kgtoGg</f>
        <v>3.6614637381506597E-3</v>
      </c>
      <c r="N1554" s="22">
        <f>Constants!$H70*'Activity data'!AG12*Constants!$H88*FracLEACHMM*MMLeachEF*NtoN2O*kgtoGg</f>
        <v>3.6681958236479987E-3</v>
      </c>
      <c r="O1554" s="22">
        <f>Constants!$H70*'Activity data'!AH12*Constants!$H88*FracLEACHMM*MMLeachEF*NtoN2O*kgtoGg</f>
        <v>3.677282304362893E-3</v>
      </c>
      <c r="P1554" s="22">
        <f>Constants!$H70*'Activity data'!AI12*Constants!$H88*FracLEACHMM*MMLeachEF*NtoN2O*kgtoGg</f>
        <v>3.6889057936765148E-3</v>
      </c>
      <c r="Q1554" s="22">
        <f>Constants!$H70*'Activity data'!AJ12*Constants!$H88*FracLEACHMM*MMLeachEF*NtoN2O*kgtoGg</f>
        <v>3.7017136697133114E-3</v>
      </c>
      <c r="R1554" s="22">
        <f>Constants!$H70*'Activity data'!AK12*Constants!$H88*FracLEACHMM*MMLeachEF*NtoN2O*kgtoGg</f>
        <v>3.7155070059804707E-3</v>
      </c>
      <c r="S1554" s="22">
        <f>Constants!$H70*'Activity data'!AL12*Constants!$H88*FracLEACHMM*MMLeachEF*NtoN2O*kgtoGg</f>
        <v>3.7291726327761108E-3</v>
      </c>
      <c r="T1554" s="22">
        <f>Constants!$H70*'Activity data'!AM12*Constants!$H88*FracLEACHMM*MMLeachEF*NtoN2O*kgtoGg</f>
        <v>3.734765216951012E-3</v>
      </c>
      <c r="U1554" s="22">
        <f>Constants!$H70*'Activity data'!AN12*Constants!$H88*FracLEACHMM*MMLeachEF*NtoN2O*kgtoGg</f>
        <v>3.7411157699180305E-3</v>
      </c>
      <c r="V1554" s="22">
        <f>Constants!$H70*'Activity data'!AO12*Constants!$H88*FracLEACHMM*MMLeachEF*NtoN2O*kgtoGg</f>
        <v>3.7482977959621354E-3</v>
      </c>
      <c r="W1554" s="22">
        <f>Constants!$H70*'Activity data'!AP12*Constants!$H88*FracLEACHMM*MMLeachEF*NtoN2O*kgtoGg</f>
        <v>3.7563633926855455E-3</v>
      </c>
      <c r="X1554" s="22">
        <f>Constants!$H70*'Activity data'!AQ12*Constants!$H88*FracLEACHMM*MMLeachEF*NtoN2O*kgtoGg</f>
        <v>3.7654265891831403E-3</v>
      </c>
      <c r="Y1554" s="22">
        <f>Constants!$H70*'Activity data'!AR12*Constants!$H88*FracLEACHMM*MMLeachEF*NtoN2O*kgtoGg</f>
        <v>3.7711251323584139E-3</v>
      </c>
      <c r="Z1554" s="22">
        <f>Constants!$H70*'Activity data'!AS12*Constants!$H88*FracLEACHMM*MMLeachEF*NtoN2O*kgtoGg</f>
        <v>3.7775419820780388E-3</v>
      </c>
      <c r="AA1554" s="22">
        <f>Constants!$H70*'Activity data'!AT12*Constants!$H88*FracLEACHMM*MMLeachEF*NtoN2O*kgtoGg</f>
        <v>3.7844985485902928E-3</v>
      </c>
      <c r="AB1554" s="22">
        <f>Constants!$H70*'Activity data'!AU12*Constants!$H88*FracLEACHMM*MMLeachEF*NtoN2O*kgtoGg</f>
        <v>3.7921579277444711E-3</v>
      </c>
      <c r="AC1554" s="22">
        <f>Constants!$H70*'Activity data'!AV12*Constants!$H88*FracLEACHMM*MMLeachEF*NtoN2O*kgtoGg</f>
        <v>3.8005192425020961E-3</v>
      </c>
      <c r="AD1554" s="22">
        <f>Constants!$H70*'Activity data'!AW12*Constants!$H88*FracLEACHMM*MMLeachEF*NtoN2O*kgtoGg</f>
        <v>3.8060534332486559E-3</v>
      </c>
      <c r="AE1554" s="22">
        <f>Constants!$H70*'Activity data'!AX12*Constants!$H88*FracLEACHMM*MMLeachEF*NtoN2O*kgtoGg</f>
        <v>3.812126068935291E-3</v>
      </c>
      <c r="AF1554" s="22">
        <f>Constants!$H70*'Activity data'!AY12*Constants!$H88*FracLEACHMM*MMLeachEF*NtoN2O*kgtoGg</f>
        <v>3.8186963554262946E-3</v>
      </c>
      <c r="AG1554" s="22">
        <f>Constants!$H70*'Activity data'!AZ12*Constants!$H88*FracLEACHMM*MMLeachEF*NtoN2O*kgtoGg</f>
        <v>3.8258354165493381E-3</v>
      </c>
      <c r="AH1554" s="22">
        <f>Constants!$H70*'Activity data'!BA12*Constants!$H88*FracLEACHMM*MMLeachEF*NtoN2O*kgtoGg</f>
        <v>3.8332906194838865E-3</v>
      </c>
      <c r="AI1554" s="22">
        <f>Constants!$H70*'Activity data'!BB12*Constants!$H88*FracLEACHMM*MMLeachEF*NtoN2O*kgtoGg</f>
        <v>3.8380602567101062E-3</v>
      </c>
      <c r="AJ1554" s="22">
        <f>Constants!$H70*'Activity data'!BC12*Constants!$H88*FracLEACHMM*MMLeachEF*NtoN2O*kgtoGg</f>
        <v>3.8432345000954712E-3</v>
      </c>
      <c r="AK1554" s="22">
        <f>Constants!$H70*'Activity data'!BD12*Constants!$H88*FracLEACHMM*MMLeachEF*NtoN2O*kgtoGg</f>
        <v>3.8487349859405015E-3</v>
      </c>
      <c r="AL1554" s="22">
        <f>Constants!$H70*'Activity data'!BE12*Constants!$H88*FracLEACHMM*MMLeachEF*NtoN2O*kgtoGg</f>
        <v>3.854591824133819E-3</v>
      </c>
      <c r="AM1554" s="22">
        <f>Constants!$H70*'Activity data'!BF12*Constants!$H88*FracLEACHMM*MMLeachEF*NtoN2O*kgtoGg</f>
        <v>3.860832452475075E-3</v>
      </c>
      <c r="AN1554" s="22">
        <f>Constants!$H70*'Activity data'!BG12*Constants!$H88*FracLEACHMM*MMLeachEF*NtoN2O*kgtoGg</f>
        <v>3.8645105915480556E-3</v>
      </c>
      <c r="AO1554" s="22">
        <f>Constants!$H70*'Activity data'!BH12*Constants!$H88*FracLEACHMM*MMLeachEF*NtoN2O*kgtoGg</f>
        <v>3.868429732744831E-3</v>
      </c>
      <c r="AP1554" s="22">
        <f>Constants!$H70*'Activity data'!BI12*Constants!$H88*FracLEACHMM*MMLeachEF*NtoN2O*kgtoGg</f>
        <v>3.8726589410147858E-3</v>
      </c>
      <c r="AQ1554" s="22">
        <f>Constants!$H70*'Activity data'!BJ12*Constants!$H88*FracLEACHMM*MMLeachEF*NtoN2O*kgtoGg</f>
        <v>3.8771907557376274E-3</v>
      </c>
      <c r="AR1554" s="22">
        <f>Constants!$H70*'Activity data'!BK12*Constants!$H88*FracLEACHMM*MMLeachEF*NtoN2O*kgtoGg</f>
        <v>3.8820738325195756E-3</v>
      </c>
      <c r="AS1554" s="22">
        <f>Constants!$H70*'Activity data'!BL12*Constants!$H88*FracLEACHMM*MMLeachEF*NtoN2O*kgtoGg</f>
        <v>3.8842746321718241E-3</v>
      </c>
      <c r="AT1554" s="22">
        <f>Constants!$H70*'Activity data'!BM12*Constants!$H88*FracLEACHMM*MMLeachEF*NtoN2O*kgtoGg</f>
        <v>3.8861848984959361E-3</v>
      </c>
      <c r="AU1554" s="22">
        <f>Constants!$H70*'Activity data'!BN12*Constants!$H88*FracLEACHMM*MMLeachEF*NtoN2O*kgtoGg</f>
        <v>3.8882937736901091E-3</v>
      </c>
      <c r="AV1554" s="22">
        <f>Constants!$H70*'Activity data'!BO12*Constants!$H88*FracLEACHMM*MMLeachEF*NtoN2O*kgtoGg</f>
        <v>3.8907047905775548E-3</v>
      </c>
      <c r="AW1554" s="22">
        <f>Constants!$H70*'Activity data'!BP12*Constants!$H88*FracLEACHMM*MMLeachEF*NtoN2O*kgtoGg</f>
        <v>3.893306557381843E-3</v>
      </c>
    </row>
    <row r="1555" spans="1:49" x14ac:dyDescent="0.25">
      <c r="A1555" s="102" t="s">
        <v>961</v>
      </c>
      <c r="B1555" s="102"/>
      <c r="C1555" s="102"/>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5.4310526355704706E-4</v>
      </c>
      <c r="L1555" s="22">
        <f>Constants!$H71*'Activity data'!AE13*Constants!$H89*FracLEACHMM*MMLeachEF*NtoN2O*kgtoGg</f>
        <v>5.4451688444022309E-4</v>
      </c>
      <c r="M1555" s="22">
        <f>Constants!$H71*'Activity data'!AF13*Constants!$H89*FracLEACHMM*MMLeachEF*NtoN2O*kgtoGg</f>
        <v>5.4642048272795488E-4</v>
      </c>
      <c r="N1555" s="22">
        <f>Constants!$H71*'Activity data'!AG13*Constants!$H89*FracLEACHMM*MMLeachEF*NtoN2O*kgtoGg</f>
        <v>5.4873901711368408E-4</v>
      </c>
      <c r="O1555" s="22">
        <f>Constants!$H71*'Activity data'!AH13*Constants!$H89*FracLEACHMM*MMLeachEF*NtoN2O*kgtoGg</f>
        <v>5.5151606201275956E-4</v>
      </c>
      <c r="P1555" s="22">
        <f>Constants!$H71*'Activity data'!AI13*Constants!$H89*FracLEACHMM*MMLeachEF*NtoN2O*kgtoGg</f>
        <v>5.5479917019086967E-4</v>
      </c>
      <c r="Q1555" s="22">
        <f>Constants!$H71*'Activity data'!AJ13*Constants!$H89*FracLEACHMM*MMLeachEF*NtoN2O*kgtoGg</f>
        <v>5.5827861691807733E-4</v>
      </c>
      <c r="R1555" s="22">
        <f>Constants!$H71*'Activity data'!AK13*Constants!$H89*FracLEACHMM*MMLeachEF*NtoN2O*kgtoGg</f>
        <v>5.6191368988015911E-4</v>
      </c>
      <c r="S1555" s="22">
        <f>Constants!$H71*'Activity data'!AL13*Constants!$H89*FracLEACHMM*MMLeachEF*NtoN2O*kgtoGg</f>
        <v>5.6545265172179603E-4</v>
      </c>
      <c r="T1555" s="22">
        <f>Constants!$H71*'Activity data'!AM13*Constants!$H89*FracLEACHMM*MMLeachEF*NtoN2O*kgtoGg</f>
        <v>5.6707582821690196E-4</v>
      </c>
      <c r="U1555" s="22">
        <f>Constants!$H71*'Activity data'!AN13*Constants!$H89*FracLEACHMM*MMLeachEF*NtoN2O*kgtoGg</f>
        <v>5.688262569994144E-4</v>
      </c>
      <c r="V1555" s="22">
        <f>Constants!$H71*'Activity data'!AO13*Constants!$H89*FracLEACHMM*MMLeachEF*NtoN2O*kgtoGg</f>
        <v>5.7072343735121143E-4</v>
      </c>
      <c r="W1555" s="22">
        <f>Constants!$H71*'Activity data'!AP13*Constants!$H89*FracLEACHMM*MMLeachEF*NtoN2O*kgtoGg</f>
        <v>5.7278141367930822E-4</v>
      </c>
      <c r="X1555" s="22">
        <f>Constants!$H71*'Activity data'!AQ13*Constants!$H89*FracLEACHMM*MMLeachEF*NtoN2O*kgtoGg</f>
        <v>5.7502787156601661E-4</v>
      </c>
      <c r="Y1555" s="22">
        <f>Constants!$H71*'Activity data'!AR13*Constants!$H89*FracLEACHMM*MMLeachEF*NtoN2O*kgtoGg</f>
        <v>5.7647376885579151E-4</v>
      </c>
      <c r="Z1555" s="22">
        <f>Constants!$H71*'Activity data'!AS13*Constants!$H89*FracLEACHMM*MMLeachEF*NtoN2O*kgtoGg</f>
        <v>5.7805165552479612E-4</v>
      </c>
      <c r="AA1555" s="22">
        <f>Constants!$H71*'Activity data'!AT13*Constants!$H89*FracLEACHMM*MMLeachEF*NtoN2O*kgtoGg</f>
        <v>5.7972228180818623E-4</v>
      </c>
      <c r="AB1555" s="22">
        <f>Constants!$H71*'Activity data'!AU13*Constants!$H89*FracLEACHMM*MMLeachEF*NtoN2O*kgtoGg</f>
        <v>5.8152362966634491E-4</v>
      </c>
      <c r="AC1555" s="22">
        <f>Constants!$H71*'Activity data'!AV13*Constants!$H89*FracLEACHMM*MMLeachEF*NtoN2O*kgtoGg</f>
        <v>5.8345630636338756E-4</v>
      </c>
      <c r="AD1555" s="22">
        <f>Constants!$H71*'Activity data'!AW13*Constants!$H89*FracLEACHMM*MMLeachEF*NtoN2O*kgtoGg</f>
        <v>5.8472841865727081E-4</v>
      </c>
      <c r="AE1555" s="22">
        <f>Constants!$H71*'Activity data'!AX13*Constants!$H89*FracLEACHMM*MMLeachEF*NtoN2O*kgtoGg</f>
        <v>5.8609967948546591E-4</v>
      </c>
      <c r="AF1555" s="22">
        <f>Constants!$H71*'Activity data'!AY13*Constants!$H89*FracLEACHMM*MMLeachEF*NtoN2O*kgtoGg</f>
        <v>5.8756155218491358E-4</v>
      </c>
      <c r="AG1555" s="22">
        <f>Constants!$H71*'Activity data'!AZ13*Constants!$H89*FracLEACHMM*MMLeachEF*NtoN2O*kgtoGg</f>
        <v>5.8913046785545045E-4</v>
      </c>
      <c r="AH1555" s="22">
        <f>Constants!$H71*'Activity data'!BA13*Constants!$H89*FracLEACHMM*MMLeachEF*NtoN2O*kgtoGg</f>
        <v>5.907505198986619E-4</v>
      </c>
      <c r="AI1555" s="22">
        <f>Constants!$H71*'Activity data'!BB13*Constants!$H89*FracLEACHMM*MMLeachEF*NtoN2O*kgtoGg</f>
        <v>5.9175481340963034E-4</v>
      </c>
      <c r="AJ1555" s="22">
        <f>Constants!$H71*'Activity data'!BC13*Constants!$H89*FracLEACHMM*MMLeachEF*NtoN2O*kgtoGg</f>
        <v>5.9283358105937484E-4</v>
      </c>
      <c r="AK1555" s="22">
        <f>Constants!$H71*'Activity data'!BD13*Constants!$H89*FracLEACHMM*MMLeachEF*NtoN2O*kgtoGg</f>
        <v>5.9396979223100309E-4</v>
      </c>
      <c r="AL1555" s="22">
        <f>Constants!$H71*'Activity data'!BE13*Constants!$H89*FracLEACHMM*MMLeachEF*NtoN2O*kgtoGg</f>
        <v>5.951704835417687E-4</v>
      </c>
      <c r="AM1555" s="22">
        <f>Constants!$H71*'Activity data'!BF13*Constants!$H89*FracLEACHMM*MMLeachEF*NtoN2O*kgtoGg</f>
        <v>5.9644200781221212E-4</v>
      </c>
      <c r="AN1555" s="22">
        <f>Constants!$H71*'Activity data'!BG13*Constants!$H89*FracLEACHMM*MMLeachEF*NtoN2O*kgtoGg</f>
        <v>5.9713531651955909E-4</v>
      </c>
      <c r="AO1555" s="22">
        <f>Constants!$H71*'Activity data'!BH13*Constants!$H89*FracLEACHMM*MMLeachEF*NtoN2O*kgtoGg</f>
        <v>5.9787071978947392E-4</v>
      </c>
      <c r="AP1555" s="22">
        <f>Constants!$H71*'Activity data'!BI13*Constants!$H89*FracLEACHMM*MMLeachEF*NtoN2O*kgtoGg</f>
        <v>5.9866365286918302E-4</v>
      </c>
      <c r="AQ1555" s="22">
        <f>Constants!$H71*'Activity data'!BJ13*Constants!$H89*FracLEACHMM*MMLeachEF*NtoN2O*kgtoGg</f>
        <v>5.995126405769686E-4</v>
      </c>
      <c r="AR1555" s="22">
        <f>Constants!$H71*'Activity data'!BK13*Constants!$H89*FracLEACHMM*MMLeachEF*NtoN2O*kgtoGg</f>
        <v>6.0042847554345289E-4</v>
      </c>
      <c r="AS1555" s="22">
        <f>Constants!$H71*'Activity data'!BL13*Constants!$H89*FracLEACHMM*MMLeachEF*NtoN2O*kgtoGg</f>
        <v>6.0074837701766222E-4</v>
      </c>
      <c r="AT1555" s="22">
        <f>Constants!$H71*'Activity data'!BM13*Constants!$H89*FracLEACHMM*MMLeachEF*NtoN2O*kgtoGg</f>
        <v>6.009974007852993E-4</v>
      </c>
      <c r="AU1555" s="22">
        <f>Constants!$H71*'Activity data'!BN13*Constants!$H89*FracLEACHMM*MMLeachEF*NtoN2O*kgtoGg</f>
        <v>6.0128274641363551E-4</v>
      </c>
      <c r="AV1555" s="22">
        <f>Constants!$H71*'Activity data'!BO13*Constants!$H89*FracLEACHMM*MMLeachEF*NtoN2O*kgtoGg</f>
        <v>6.0162705109906029E-4</v>
      </c>
      <c r="AW1555" s="22">
        <f>Constants!$H71*'Activity data'!BP13*Constants!$H89*FracLEACHMM*MMLeachEF*NtoN2O*kgtoGg</f>
        <v>6.0200613236202735E-4</v>
      </c>
    </row>
    <row r="1556" spans="1:49" x14ac:dyDescent="0.25">
      <c r="A1556" s="102" t="s">
        <v>961</v>
      </c>
      <c r="B1556" s="102"/>
      <c r="C1556" s="102"/>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6.697719658610918E-3</v>
      </c>
      <c r="L1556" s="22">
        <f>Constants!$H72*'Activity data'!AE14*Constants!$H90*FracLEACHMM*MMLeachEF*NtoN2O*kgtoGg</f>
        <v>6.7151281456468035E-3</v>
      </c>
      <c r="M1556" s="22">
        <f>Constants!$H72*'Activity data'!AF14*Constants!$H90*FracLEACHMM*MMLeachEF*NtoN2O*kgtoGg</f>
        <v>6.7386038298821848E-3</v>
      </c>
      <c r="N1556" s="22">
        <f>Constants!$H72*'Activity data'!AG14*Constants!$H90*FracLEACHMM*MMLeachEF*NtoN2O*kgtoGg</f>
        <v>6.7671966172780547E-3</v>
      </c>
      <c r="O1556" s="22">
        <f>Constants!$H72*'Activity data'!AH14*Constants!$H90*FracLEACHMM*MMLeachEF*NtoN2O*kgtoGg</f>
        <v>6.801443879202132E-3</v>
      </c>
      <c r="P1556" s="22">
        <f>Constants!$H72*'Activity data'!AI14*Constants!$H90*FracLEACHMM*MMLeachEF*NtoN2O*kgtoGg</f>
        <v>6.8419320491046936E-3</v>
      </c>
      <c r="Q1556" s="22">
        <f>Constants!$H72*'Activity data'!AJ14*Constants!$H90*FracLEACHMM*MMLeachEF*NtoN2O*kgtoGg</f>
        <v>6.8848415186120908E-3</v>
      </c>
      <c r="R1556" s="22">
        <f>Constants!$H72*'Activity data'!AK14*Constants!$H90*FracLEACHMM*MMLeachEF*NtoN2O*kgtoGg</f>
        <v>6.9296702125547019E-3</v>
      </c>
      <c r="S1556" s="22">
        <f>Constants!$H72*'Activity data'!AL14*Constants!$H90*FracLEACHMM*MMLeachEF*NtoN2O*kgtoGg</f>
        <v>6.9733136384028775E-3</v>
      </c>
      <c r="T1556" s="22">
        <f>Constants!$H72*'Activity data'!AM14*Constants!$H90*FracLEACHMM*MMLeachEF*NtoN2O*kgtoGg</f>
        <v>6.9933310859405127E-3</v>
      </c>
      <c r="U1556" s="22">
        <f>Constants!$H72*'Activity data'!AN14*Constants!$H90*FracLEACHMM*MMLeachEF*NtoN2O*kgtoGg</f>
        <v>7.0149178427891682E-3</v>
      </c>
      <c r="V1556" s="22">
        <f>Constants!$H72*'Activity data'!AO14*Constants!$H90*FracLEACHMM*MMLeachEF*NtoN2O*kgtoGg</f>
        <v>7.0383143793186411E-3</v>
      </c>
      <c r="W1556" s="22">
        <f>Constants!$H72*'Activity data'!AP14*Constants!$H90*FracLEACHMM*MMLeachEF*NtoN2O*kgtoGg</f>
        <v>7.0636938949200419E-3</v>
      </c>
      <c r="X1556" s="22">
        <f>Constants!$H72*'Activity data'!AQ14*Constants!$H90*FracLEACHMM*MMLeachEF*NtoN2O*kgtoGg</f>
        <v>7.0913978156139906E-3</v>
      </c>
      <c r="Y1556" s="22">
        <f>Constants!$H72*'Activity data'!AR14*Constants!$H90*FracLEACHMM*MMLeachEF*NtoN2O*kgtoGg</f>
        <v>7.1092290084818878E-3</v>
      </c>
      <c r="Z1556" s="22">
        <f>Constants!$H72*'Activity data'!AS14*Constants!$H90*FracLEACHMM*MMLeachEF*NtoN2O*kgtoGg</f>
        <v>7.1286879297466866E-3</v>
      </c>
      <c r="AA1556" s="22">
        <f>Constants!$H72*'Activity data'!AT14*Constants!$H90*FracLEACHMM*MMLeachEF*NtoN2O*kgtoGg</f>
        <v>7.1492905407896492E-3</v>
      </c>
      <c r="AB1556" s="22">
        <f>Constants!$H72*'Activity data'!AU14*Constants!$H90*FracLEACHMM*MMLeachEF*NtoN2O*kgtoGg</f>
        <v>7.1715052453251351E-3</v>
      </c>
      <c r="AC1556" s="22">
        <f>Constants!$H72*'Activity data'!AV14*Constants!$H90*FracLEACHMM*MMLeachEF*NtoN2O*kgtoGg</f>
        <v>7.1953395322969481E-3</v>
      </c>
      <c r="AD1556" s="22">
        <f>Constants!$H72*'Activity data'!AW14*Constants!$H90*FracLEACHMM*MMLeachEF*NtoN2O*kgtoGg</f>
        <v>7.2110275620223471E-3</v>
      </c>
      <c r="AE1556" s="22">
        <f>Constants!$H72*'Activity data'!AX14*Constants!$H90*FracLEACHMM*MMLeachEF*NtoN2O*kgtoGg</f>
        <v>7.2279383180439954E-3</v>
      </c>
      <c r="AF1556" s="22">
        <f>Constants!$H72*'Activity data'!AY14*Constants!$H90*FracLEACHMM*MMLeachEF*NtoN2O*kgtoGg</f>
        <v>7.2459665239452764E-3</v>
      </c>
      <c r="AG1556" s="22">
        <f>Constants!$H72*'Activity data'!AZ14*Constants!$H90*FracLEACHMM*MMLeachEF*NtoN2O*kgtoGg</f>
        <v>7.2653148124528005E-3</v>
      </c>
      <c r="AH1556" s="22">
        <f>Constants!$H72*'Activity data'!BA14*Constants!$H90*FracLEACHMM*MMLeachEF*NtoN2O*kgtoGg</f>
        <v>7.2852937284123434E-3</v>
      </c>
      <c r="AI1556" s="22">
        <f>Constants!$H72*'Activity data'!BB14*Constants!$H90*FracLEACHMM*MMLeachEF*NtoN2O*kgtoGg</f>
        <v>7.2976789451332669E-3</v>
      </c>
      <c r="AJ1556" s="22">
        <f>Constants!$H72*'Activity data'!BC14*Constants!$H90*FracLEACHMM*MMLeachEF*NtoN2O*kgtoGg</f>
        <v>7.3109825968921283E-3</v>
      </c>
      <c r="AK1556" s="22">
        <f>Constants!$H72*'Activity data'!BD14*Constants!$H90*FracLEACHMM*MMLeachEF*NtoN2O*kgtoGg</f>
        <v>7.3249946575573233E-3</v>
      </c>
      <c r="AL1556" s="22">
        <f>Constants!$H72*'Activity data'!BE14*Constants!$H90*FracLEACHMM*MMLeachEF*NtoN2O*kgtoGg</f>
        <v>7.3398019045785847E-3</v>
      </c>
      <c r="AM1556" s="22">
        <f>Constants!$H72*'Activity data'!BF14*Constants!$H90*FracLEACHMM*MMLeachEF*NtoN2O*kgtoGg</f>
        <v>7.3554826826413384E-3</v>
      </c>
      <c r="AN1556" s="22">
        <f>Constants!$H72*'Activity data'!BG14*Constants!$H90*FracLEACHMM*MMLeachEF*NtoN2O*kgtoGg</f>
        <v>7.3640327514222425E-3</v>
      </c>
      <c r="AO1556" s="22">
        <f>Constants!$H72*'Activity data'!BH14*Constants!$H90*FracLEACHMM*MMLeachEF*NtoN2O*kgtoGg</f>
        <v>7.3731019416297819E-3</v>
      </c>
      <c r="AP1556" s="22">
        <f>Constants!$H72*'Activity data'!BI14*Constants!$H90*FracLEACHMM*MMLeachEF*NtoN2O*kgtoGg</f>
        <v>7.3828806048692958E-3</v>
      </c>
      <c r="AQ1556" s="22">
        <f>Constants!$H72*'Activity data'!BJ14*Constants!$H90*FracLEACHMM*MMLeachEF*NtoN2O*kgtoGg</f>
        <v>7.3933505488044948E-3</v>
      </c>
      <c r="AR1556" s="22">
        <f>Constants!$H72*'Activity data'!BK14*Constants!$H90*FracLEACHMM*MMLeachEF*NtoN2O*kgtoGg</f>
        <v>7.4046448710485676E-3</v>
      </c>
      <c r="AS1556" s="22">
        <f>Constants!$H72*'Activity data'!BL14*Constants!$H90*FracLEACHMM*MMLeachEF*NtoN2O*kgtoGg</f>
        <v>7.4085899817598836E-3</v>
      </c>
      <c r="AT1556" s="22">
        <f>Constants!$H72*'Activity data'!BM14*Constants!$H90*FracLEACHMM*MMLeachEF*NtoN2O*kgtoGg</f>
        <v>7.411661009599016E-3</v>
      </c>
      <c r="AU1556" s="22">
        <f>Constants!$H72*'Activity data'!BN14*Constants!$H90*FracLEACHMM*MMLeachEF*NtoN2O*kgtoGg</f>
        <v>7.4151799683582981E-3</v>
      </c>
      <c r="AV1556" s="22">
        <f>Constants!$H72*'Activity data'!BO14*Constants!$H90*FracLEACHMM*MMLeachEF*NtoN2O*kgtoGg</f>
        <v>7.4194260260102111E-3</v>
      </c>
      <c r="AW1556" s="22">
        <f>Constants!$H72*'Activity data'!BP14*Constants!$H90*FracLEACHMM*MMLeachEF*NtoN2O*kgtoGg</f>
        <v>7.4241009577362587E-3</v>
      </c>
    </row>
    <row r="1557" spans="1:49" x14ac:dyDescent="0.25">
      <c r="A1557" s="102" t="s">
        <v>961</v>
      </c>
      <c r="B1557" s="102"/>
      <c r="C1557" s="102"/>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102" t="s">
        <v>961</v>
      </c>
      <c r="B1558" s="102"/>
      <c r="C1558" s="102"/>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102" t="s">
        <v>961</v>
      </c>
      <c r="B1559" s="102"/>
      <c r="C1559" s="102"/>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2.6982078121909357E-2</v>
      </c>
      <c r="L1559" s="22">
        <f>Constants!$H75*'Activity data'!AE17*Constants!$H93*FracLEACHMM*MMLeachEF*NtoN2O*kgtoGg</f>
        <v>2.6934390428910333E-2</v>
      </c>
      <c r="M1559" s="22">
        <f>Constants!$H75*'Activity data'!AF17*Constants!$H93*FracLEACHMM*MMLeachEF*NtoN2O*kgtoGg</f>
        <v>2.6783274405865188E-2</v>
      </c>
      <c r="N1559" s="22">
        <f>Constants!$H75*'Activity data'!AG17*Constants!$H93*FracLEACHMM*MMLeachEF*NtoN2O*kgtoGg</f>
        <v>2.6192267209513419E-2</v>
      </c>
      <c r="O1559" s="22">
        <f>Constants!$H75*'Activity data'!AH17*Constants!$H93*FracLEACHMM*MMLeachEF*NtoN2O*kgtoGg</f>
        <v>2.5633374369749509E-2</v>
      </c>
      <c r="P1559" s="22">
        <f>Constants!$H75*'Activity data'!AI17*Constants!$H93*FracLEACHMM*MMLeachEF*NtoN2O*kgtoGg</f>
        <v>2.5543167875320214E-2</v>
      </c>
      <c r="Q1559" s="22">
        <f>Constants!$H75*'Activity data'!AJ17*Constants!$H93*FracLEACHMM*MMLeachEF*NtoN2O*kgtoGg</f>
        <v>2.5324190264718272E-2</v>
      </c>
      <c r="R1559" s="22">
        <f>Constants!$H75*'Activity data'!AK17*Constants!$H93*FracLEACHMM*MMLeachEF*NtoN2O*kgtoGg</f>
        <v>2.4649754195953832E-2</v>
      </c>
      <c r="S1559" s="22">
        <f>Constants!$H75*'Activity data'!AL17*Constants!$H93*FracLEACHMM*MMLeachEF*NtoN2O*kgtoGg</f>
        <v>2.1986440242697105E-2</v>
      </c>
      <c r="T1559" s="22">
        <f>Constants!$H75*'Activity data'!AM17*Constants!$H93*FracLEACHMM*MMLeachEF*NtoN2O*kgtoGg</f>
        <v>2.2459382037487714E-2</v>
      </c>
      <c r="U1559" s="22">
        <f>Constants!$H75*'Activity data'!AN17*Constants!$H93*FracLEACHMM*MMLeachEF*NtoN2O*kgtoGg</f>
        <v>2.2677163181325274E-2</v>
      </c>
      <c r="V1559" s="22">
        <f>Constants!$H75*'Activity data'!AO17*Constants!$H93*FracLEACHMM*MMLeachEF*NtoN2O*kgtoGg</f>
        <v>2.2835775026532532E-2</v>
      </c>
      <c r="W1559" s="22">
        <f>Constants!$H75*'Activity data'!AP17*Constants!$H93*FracLEACHMM*MMLeachEF*NtoN2O*kgtoGg</f>
        <v>2.3079286947691565E-2</v>
      </c>
      <c r="X1559" s="22">
        <f>Constants!$H75*'Activity data'!AQ17*Constants!$H93*FracLEACHMM*MMLeachEF*NtoN2O*kgtoGg</f>
        <v>2.3620053405793831E-2</v>
      </c>
      <c r="Y1559" s="22">
        <f>Constants!$H75*'Activity data'!AR17*Constants!$H93*FracLEACHMM*MMLeachEF*NtoN2O*kgtoGg</f>
        <v>2.4228655926871678E-2</v>
      </c>
      <c r="Z1559" s="22">
        <f>Constants!$H75*'Activity data'!AS17*Constants!$H93*FracLEACHMM*MMLeachEF*NtoN2O*kgtoGg</f>
        <v>2.4898369682135196E-2</v>
      </c>
      <c r="AA1559" s="22">
        <f>Constants!$H75*'Activity data'!AT17*Constants!$H93*FracLEACHMM*MMLeachEF*NtoN2O*kgtoGg</f>
        <v>2.5433899737352311E-2</v>
      </c>
      <c r="AB1559" s="22">
        <f>Constants!$H75*'Activity data'!AU17*Constants!$H93*FracLEACHMM*MMLeachEF*NtoN2O*kgtoGg</f>
        <v>2.6089827744283384E-2</v>
      </c>
      <c r="AC1559" s="22">
        <f>Constants!$H75*'Activity data'!AV17*Constants!$H93*FracLEACHMM*MMLeachEF*NtoN2O*kgtoGg</f>
        <v>2.6892532780101251E-2</v>
      </c>
      <c r="AD1559" s="22">
        <f>Constants!$H75*'Activity data'!AW17*Constants!$H93*FracLEACHMM*MMLeachEF*NtoN2O*kgtoGg</f>
        <v>2.765233127370078E-2</v>
      </c>
      <c r="AE1559" s="22">
        <f>Constants!$H75*'Activity data'!AX17*Constants!$H93*FracLEACHMM*MMLeachEF*NtoN2O*kgtoGg</f>
        <v>2.844311383554287E-2</v>
      </c>
      <c r="AF1559" s="22">
        <f>Constants!$H75*'Activity data'!AY17*Constants!$H93*FracLEACHMM*MMLeachEF*NtoN2O*kgtoGg</f>
        <v>2.9238533170233168E-2</v>
      </c>
      <c r="AG1559" s="22">
        <f>Constants!$H75*'Activity data'!AZ17*Constants!$H93*FracLEACHMM*MMLeachEF*NtoN2O*kgtoGg</f>
        <v>3.0145690863199903E-2</v>
      </c>
      <c r="AH1559" s="22">
        <f>Constants!$H75*'Activity data'!BA17*Constants!$H93*FracLEACHMM*MMLeachEF*NtoN2O*kgtoGg</f>
        <v>3.0881151333925026E-2</v>
      </c>
      <c r="AI1559" s="22">
        <f>Constants!$H75*'Activity data'!BB17*Constants!$H93*FracLEACHMM*MMLeachEF*NtoN2O*kgtoGg</f>
        <v>3.1669222082767075E-2</v>
      </c>
      <c r="AJ1559" s="22">
        <f>Constants!$H75*'Activity data'!BC17*Constants!$H93*FracLEACHMM*MMLeachEF*NtoN2O*kgtoGg</f>
        <v>3.2457441724053543E-2</v>
      </c>
      <c r="AK1559" s="22">
        <f>Constants!$H75*'Activity data'!BD17*Constants!$H93*FracLEACHMM*MMLeachEF*NtoN2O*kgtoGg</f>
        <v>3.3172825686084956E-2</v>
      </c>
      <c r="AL1559" s="22">
        <f>Constants!$H75*'Activity data'!BE17*Constants!$H93*FracLEACHMM*MMLeachEF*NtoN2O*kgtoGg</f>
        <v>3.3866021539857898E-2</v>
      </c>
      <c r="AM1559" s="22">
        <f>Constants!$H75*'Activity data'!BF17*Constants!$H93*FracLEACHMM*MMLeachEF*NtoN2O*kgtoGg</f>
        <v>3.4580695535334494E-2</v>
      </c>
      <c r="AN1559" s="22">
        <f>Constants!$H75*'Activity data'!BG17*Constants!$H93*FracLEACHMM*MMLeachEF*NtoN2O*kgtoGg</f>
        <v>3.533625219682867E-2</v>
      </c>
      <c r="AO1559" s="22">
        <f>Constants!$H75*'Activity data'!BH17*Constants!$H93*FracLEACHMM*MMLeachEF*NtoN2O*kgtoGg</f>
        <v>3.6000537608691721E-2</v>
      </c>
      <c r="AP1559" s="22">
        <f>Constants!$H75*'Activity data'!BI17*Constants!$H93*FracLEACHMM*MMLeachEF*NtoN2O*kgtoGg</f>
        <v>3.6659982916673862E-2</v>
      </c>
      <c r="AQ1559" s="22">
        <f>Constants!$H75*'Activity data'!BJ17*Constants!$H93*FracLEACHMM*MMLeachEF*NtoN2O*kgtoGg</f>
        <v>3.7316341493198645E-2</v>
      </c>
      <c r="AR1559" s="22">
        <f>Constants!$H75*'Activity data'!BK17*Constants!$H93*FracLEACHMM*MMLeachEF*NtoN2O*kgtoGg</f>
        <v>3.8027563583719087E-2</v>
      </c>
      <c r="AS1559" s="22">
        <f>Constants!$H75*'Activity data'!BL17*Constants!$H93*FracLEACHMM*MMLeachEF*NtoN2O*kgtoGg</f>
        <v>3.8749103478920827E-2</v>
      </c>
      <c r="AT1559" s="22">
        <f>Constants!$H75*'Activity data'!BM17*Constants!$H93*FracLEACHMM*MMLeachEF*NtoN2O*kgtoGg</f>
        <v>3.891780999751282E-2</v>
      </c>
      <c r="AU1559" s="22">
        <f>Constants!$H75*'Activity data'!BN17*Constants!$H93*FracLEACHMM*MMLeachEF*NtoN2O*kgtoGg</f>
        <v>3.9040104024398906E-2</v>
      </c>
      <c r="AV1559" s="22">
        <f>Constants!$H75*'Activity data'!BO17*Constants!$H93*FracLEACHMM*MMLeachEF*NtoN2O*kgtoGg</f>
        <v>3.9223694745257554E-2</v>
      </c>
      <c r="AW1559" s="22">
        <f>Constants!$H75*'Activity data'!BP17*Constants!$H93*FracLEACHMM*MMLeachEF*NtoN2O*kgtoGg</f>
        <v>3.9367042653132414E-2</v>
      </c>
    </row>
    <row r="1560" spans="1:49" x14ac:dyDescent="0.25">
      <c r="A1560" s="102" t="s">
        <v>961</v>
      </c>
      <c r="B1560" s="102"/>
      <c r="C1560" s="102"/>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4.0326044819915296E-3</v>
      </c>
      <c r="L1560" s="22">
        <f>Constants!$H76*'Activity data'!AE18*Constants!$H94*FracLEACHMM*MMLeachEF*NtoN2O*kgtoGg</f>
        <v>4.0254773213757008E-3</v>
      </c>
      <c r="M1560" s="22">
        <f>Constants!$H76*'Activity data'!AF18*Constants!$H94*FracLEACHMM*MMLeachEF*NtoN2O*kgtoGg</f>
        <v>4.0028922873735296E-3</v>
      </c>
      <c r="N1560" s="22">
        <f>Constants!$H76*'Activity data'!AG18*Constants!$H94*FracLEACHMM*MMLeachEF*NtoN2O*kgtoGg</f>
        <v>3.9145633507316107E-3</v>
      </c>
      <c r="O1560" s="22">
        <f>Constants!$H76*'Activity data'!AH18*Constants!$H94*FracLEACHMM*MMLeachEF*NtoN2O*kgtoGg</f>
        <v>3.8310340628686856E-3</v>
      </c>
      <c r="P1560" s="22">
        <f>Constants!$H76*'Activity data'!AI18*Constants!$H94*FracLEACHMM*MMLeachEF*NtoN2O*kgtoGg</f>
        <v>3.8175522579425875E-3</v>
      </c>
      <c r="Q1560" s="22">
        <f>Constants!$H76*'Activity data'!AJ18*Constants!$H94*FracLEACHMM*MMLeachEF*NtoN2O*kgtoGg</f>
        <v>3.7848249754115887E-3</v>
      </c>
      <c r="R1560" s="22">
        <f>Constants!$H76*'Activity data'!AK18*Constants!$H94*FracLEACHMM*MMLeachEF*NtoN2O*kgtoGg</f>
        <v>3.6840271828387553E-3</v>
      </c>
      <c r="S1560" s="22">
        <f>Constants!$H76*'Activity data'!AL18*Constants!$H94*FracLEACHMM*MMLeachEF*NtoN2O*kgtoGg</f>
        <v>3.2859817937353586E-3</v>
      </c>
      <c r="T1560" s="22">
        <f>Constants!$H76*'Activity data'!AM18*Constants!$H94*FracLEACHMM*MMLeachEF*NtoN2O*kgtoGg</f>
        <v>3.3566652745546173E-3</v>
      </c>
      <c r="U1560" s="22">
        <f>Constants!$H76*'Activity data'!AN18*Constants!$H94*FracLEACHMM*MMLeachEF*NtoN2O*kgtoGg</f>
        <v>3.3892137392341954E-3</v>
      </c>
      <c r="V1560" s="22">
        <f>Constants!$H76*'Activity data'!AO18*Constants!$H94*FracLEACHMM*MMLeachEF*NtoN2O*kgtoGg</f>
        <v>3.4129190607809592E-3</v>
      </c>
      <c r="W1560" s="22">
        <f>Constants!$H76*'Activity data'!AP18*Constants!$H94*FracLEACHMM*MMLeachEF*NtoN2O*kgtoGg</f>
        <v>3.4493131168743213E-3</v>
      </c>
      <c r="X1560" s="22">
        <f>Constants!$H76*'Activity data'!AQ18*Constants!$H94*FracLEACHMM*MMLeachEF*NtoN2O*kgtoGg</f>
        <v>3.5301333277120909E-3</v>
      </c>
      <c r="Y1560" s="22">
        <f>Constants!$H76*'Activity data'!AR18*Constants!$H94*FracLEACHMM*MMLeachEF*NtoN2O*kgtoGg</f>
        <v>3.6210919723042977E-3</v>
      </c>
      <c r="Z1560" s="22">
        <f>Constants!$H76*'Activity data'!AS18*Constants!$H94*FracLEACHMM*MMLeachEF*NtoN2O*kgtoGg</f>
        <v>3.7211839918635339E-3</v>
      </c>
      <c r="AA1560" s="22">
        <f>Constants!$H76*'Activity data'!AT18*Constants!$H94*FracLEACHMM*MMLeachEF*NtoN2O*kgtoGg</f>
        <v>3.801221596496966E-3</v>
      </c>
      <c r="AB1560" s="22">
        <f>Constants!$H76*'Activity data'!AU18*Constants!$H94*FracLEACHMM*MMLeachEF*NtoN2O*kgtoGg</f>
        <v>3.8992532680629222E-3</v>
      </c>
      <c r="AC1560" s="22">
        <f>Constants!$H76*'Activity data'!AV18*Constants!$H94*FracLEACHMM*MMLeachEF*NtoN2O*kgtoGg</f>
        <v>4.0192214895813328E-3</v>
      </c>
      <c r="AD1560" s="22">
        <f>Constants!$H76*'Activity data'!AW18*Constants!$H94*FracLEACHMM*MMLeachEF*NtoN2O*kgtoGg</f>
        <v>4.1327771170187903E-3</v>
      </c>
      <c r="AE1560" s="22">
        <f>Constants!$H76*'Activity data'!AX18*Constants!$H94*FracLEACHMM*MMLeachEF*NtoN2O*kgtoGg</f>
        <v>4.250963466074527E-3</v>
      </c>
      <c r="AF1560" s="22">
        <f>Constants!$H76*'Activity data'!AY18*Constants!$H94*FracLEACHMM*MMLeachEF*NtoN2O*kgtoGg</f>
        <v>4.3698428036719628E-3</v>
      </c>
      <c r="AG1560" s="22">
        <f>Constants!$H76*'Activity data'!AZ18*Constants!$H94*FracLEACHMM*MMLeachEF*NtoN2O*kgtoGg</f>
        <v>4.5054219893077892E-3</v>
      </c>
      <c r="AH1560" s="22">
        <f>Constants!$H76*'Activity data'!BA18*Constants!$H94*FracLEACHMM*MMLeachEF*NtoN2O*kgtoGg</f>
        <v>4.6153401793439189E-3</v>
      </c>
      <c r="AI1560" s="22">
        <f>Constants!$H76*'Activity data'!BB18*Constants!$H94*FracLEACHMM*MMLeachEF*NtoN2O*kgtoGg</f>
        <v>4.7331212345891162E-3</v>
      </c>
      <c r="AJ1560" s="22">
        <f>Constants!$H76*'Activity data'!BC18*Constants!$H94*FracLEACHMM*MMLeachEF*NtoN2O*kgtoGg</f>
        <v>4.8509245425435391E-3</v>
      </c>
      <c r="AK1560" s="22">
        <f>Constants!$H76*'Activity data'!BD18*Constants!$H94*FracLEACHMM*MMLeachEF*NtoN2O*kgtoGg</f>
        <v>4.9578421994637533E-3</v>
      </c>
      <c r="AL1560" s="22">
        <f>Constants!$H76*'Activity data'!BE18*Constants!$H94*FracLEACHMM*MMLeachEF*NtoN2O*kgtoGg</f>
        <v>5.061443734311913E-3</v>
      </c>
      <c r="AM1560" s="22">
        <f>Constants!$H76*'Activity data'!BF18*Constants!$H94*FracLEACHMM*MMLeachEF*NtoN2O*kgtoGg</f>
        <v>5.1682552832333995E-3</v>
      </c>
      <c r="AN1560" s="22">
        <f>Constants!$H76*'Activity data'!BG18*Constants!$H94*FracLEACHMM*MMLeachEF*NtoN2O*kgtoGg</f>
        <v>5.2811769479685538E-3</v>
      </c>
      <c r="AO1560" s="22">
        <f>Constants!$H76*'Activity data'!BH18*Constants!$H94*FracLEACHMM*MMLeachEF*NtoN2O*kgtoGg</f>
        <v>5.3804576748679887E-3</v>
      </c>
      <c r="AP1560" s="22">
        <f>Constants!$H76*'Activity data'!BI18*Constants!$H94*FracLEACHMM*MMLeachEF*NtoN2O*kgtoGg</f>
        <v>5.4790150244013337E-3</v>
      </c>
      <c r="AQ1560" s="22">
        <f>Constants!$H76*'Activity data'!BJ18*Constants!$H94*FracLEACHMM*MMLeachEF*NtoN2O*kgtoGg</f>
        <v>5.5771110467139461E-3</v>
      </c>
      <c r="AR1560" s="22">
        <f>Constants!$H76*'Activity data'!BK18*Constants!$H94*FracLEACHMM*MMLeachEF*NtoN2O*kgtoGg</f>
        <v>5.6834066914365532E-3</v>
      </c>
      <c r="AS1560" s="22">
        <f>Constants!$H76*'Activity data'!BL18*Constants!$H94*FracLEACHMM*MMLeachEF*NtoN2O*kgtoGg</f>
        <v>5.7912443828915926E-3</v>
      </c>
      <c r="AT1560" s="22">
        <f>Constants!$H76*'Activity data'!BM18*Constants!$H94*FracLEACHMM*MMLeachEF*NtoN2O*kgtoGg</f>
        <v>5.8164584030994289E-3</v>
      </c>
      <c r="AU1560" s="22">
        <f>Constants!$H76*'Activity data'!BN18*Constants!$H94*FracLEACHMM*MMLeachEF*NtoN2O*kgtoGg</f>
        <v>5.8347358478060014E-3</v>
      </c>
      <c r="AV1560" s="22">
        <f>Constants!$H76*'Activity data'!BO18*Constants!$H94*FracLEACHMM*MMLeachEF*NtoN2O*kgtoGg</f>
        <v>5.8621743853582847E-3</v>
      </c>
      <c r="AW1560" s="22">
        <f>Constants!$H76*'Activity data'!BP18*Constants!$H94*FracLEACHMM*MMLeachEF*NtoN2O*kgtoGg</f>
        <v>5.8835984362845513E-3</v>
      </c>
    </row>
    <row r="1561" spans="1:49" x14ac:dyDescent="0.25">
      <c r="A1561" s="102" t="s">
        <v>961</v>
      </c>
      <c r="B1561" s="102"/>
      <c r="C1561" s="102"/>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1.677506639935911E-2</v>
      </c>
      <c r="L1561" s="22">
        <f>Constants!$H77*'Activity data'!AE19*Constants!$H95*FracLEACHMM*MMLeachEF*NtoN2O*kgtoGg</f>
        <v>1.7152115979727815E-2</v>
      </c>
      <c r="M1561" s="22">
        <f>Constants!$H77*'Activity data'!AF19*Constants!$H95*FracLEACHMM*MMLeachEF*NtoN2O*kgtoGg</f>
        <v>1.7493153195060028E-2</v>
      </c>
      <c r="N1561" s="22">
        <f>Constants!$H77*'Activity data'!AG19*Constants!$H95*FracLEACHMM*MMLeachEF*NtoN2O*kgtoGg</f>
        <v>1.7669215882921287E-2</v>
      </c>
      <c r="O1561" s="22">
        <f>Constants!$H77*'Activity data'!AH19*Constants!$H95*FracLEACHMM*MMLeachEF*NtoN2O*kgtoGg</f>
        <v>1.7850132335738296E-2</v>
      </c>
      <c r="P1561" s="22">
        <f>Constants!$H77*'Activity data'!AI19*Constants!$H95*FracLEACHMM*MMLeachEF*NtoN2O*kgtoGg</f>
        <v>1.8210336489694584E-2</v>
      </c>
      <c r="Q1561" s="22">
        <f>Constants!$H77*'Activity data'!AJ19*Constants!$H95*FracLEACHMM*MMLeachEF*NtoN2O*kgtoGg</f>
        <v>1.8518344131387941E-2</v>
      </c>
      <c r="R1561" s="22">
        <f>Constants!$H77*'Activity data'!AK19*Constants!$H95*FracLEACHMM*MMLeachEF*NtoN2O*kgtoGg</f>
        <v>1.8635256187528534E-2</v>
      </c>
      <c r="S1561" s="22">
        <f>Constants!$H77*'Activity data'!AL19*Constants!$H95*FracLEACHMM*MMLeachEF*NtoN2O*kgtoGg</f>
        <v>1.7895165383905148E-2</v>
      </c>
      <c r="T1561" s="22">
        <f>Constants!$H77*'Activity data'!AM19*Constants!$H95*FracLEACHMM*MMLeachEF*NtoN2O*kgtoGg</f>
        <v>1.8427726629999096E-2</v>
      </c>
      <c r="U1561" s="22">
        <f>Constants!$H77*'Activity data'!AN19*Constants!$H95*FracLEACHMM*MMLeachEF*NtoN2O*kgtoGg</f>
        <v>1.8858145961209626E-2</v>
      </c>
      <c r="V1561" s="22">
        <f>Constants!$H77*'Activity data'!AO19*Constants!$H95*FracLEACHMM*MMLeachEF*NtoN2O*kgtoGg</f>
        <v>1.926831042987312E-2</v>
      </c>
      <c r="W1561" s="22">
        <f>Constants!$H77*'Activity data'!AP19*Constants!$H95*FracLEACHMM*MMLeachEF*NtoN2O*kgtoGg</f>
        <v>1.9723750272057364E-2</v>
      </c>
      <c r="X1561" s="22">
        <f>Constants!$H77*'Activity data'!AQ19*Constants!$H95*FracLEACHMM*MMLeachEF*NtoN2O*kgtoGg</f>
        <v>2.0328305344007466E-2</v>
      </c>
      <c r="Y1561" s="22">
        <f>Constants!$H77*'Activity data'!AR19*Constants!$H95*FracLEACHMM*MMLeachEF*NtoN2O*kgtoGg</f>
        <v>2.0963275174069075E-2</v>
      </c>
      <c r="Z1561" s="22">
        <f>Constants!$H77*'Activity data'!AS19*Constants!$H95*FracLEACHMM*MMLeachEF*NtoN2O*kgtoGg</f>
        <v>2.1643917656498337E-2</v>
      </c>
      <c r="AA1561" s="22">
        <f>Constants!$H77*'Activity data'!AT19*Constants!$H95*FracLEACHMM*MMLeachEF*NtoN2O*kgtoGg</f>
        <v>2.2273513405564039E-2</v>
      </c>
      <c r="AB1561" s="22">
        <f>Constants!$H77*'Activity data'!AU19*Constants!$H95*FracLEACHMM*MMLeachEF*NtoN2O*kgtoGg</f>
        <v>2.2979861002091512E-2</v>
      </c>
      <c r="AC1561" s="22">
        <f>Constants!$H77*'Activity data'!AV19*Constants!$H95*FracLEACHMM*MMLeachEF*NtoN2O*kgtoGg</f>
        <v>2.3781031334877679E-2</v>
      </c>
      <c r="AD1561" s="22">
        <f>Constants!$H77*'Activity data'!AW19*Constants!$H95*FracLEACHMM*MMLeachEF*NtoN2O*kgtoGg</f>
        <v>2.4566308074155798E-2</v>
      </c>
      <c r="AE1561" s="22">
        <f>Constants!$H77*'Activity data'!AX19*Constants!$H95*FracLEACHMM*MMLeachEF*NtoN2O*kgtoGg</f>
        <v>2.5388751226160661E-2</v>
      </c>
      <c r="AF1561" s="22">
        <f>Constants!$H77*'Activity data'!AY19*Constants!$H95*FracLEACHMM*MMLeachEF*NtoN2O*kgtoGg</f>
        <v>2.6235064752699551E-2</v>
      </c>
      <c r="AG1561" s="22">
        <f>Constants!$H77*'Activity data'!AZ19*Constants!$H95*FracLEACHMM*MMLeachEF*NtoN2O*kgtoGg</f>
        <v>2.7167046167926586E-2</v>
      </c>
      <c r="AH1561" s="22">
        <f>Constants!$H77*'Activity data'!BA19*Constants!$H95*FracLEACHMM*MMLeachEF*NtoN2O*kgtoGg</f>
        <v>2.8023900018498905E-2</v>
      </c>
      <c r="AI1561" s="22">
        <f>Constants!$H77*'Activity data'!BB19*Constants!$H95*FracLEACHMM*MMLeachEF*NtoN2O*kgtoGg</f>
        <v>2.8920322479741228E-2</v>
      </c>
      <c r="AJ1561" s="22">
        <f>Constants!$H77*'Activity data'!BC19*Constants!$H95*FracLEACHMM*MMLeachEF*NtoN2O*kgtoGg</f>
        <v>2.9839880128135453E-2</v>
      </c>
      <c r="AK1561" s="22">
        <f>Constants!$H77*'Activity data'!BD19*Constants!$H95*FracLEACHMM*MMLeachEF*NtoN2O*kgtoGg</f>
        <v>3.0738135733783801E-2</v>
      </c>
      <c r="AL1561" s="22">
        <f>Constants!$H77*'Activity data'!BE19*Constants!$H95*FracLEACHMM*MMLeachEF*NtoN2O*kgtoGg</f>
        <v>3.1644929602760906E-2</v>
      </c>
      <c r="AM1561" s="22">
        <f>Constants!$H77*'Activity data'!BF19*Constants!$H95*FracLEACHMM*MMLeachEF*NtoN2O*kgtoGg</f>
        <v>3.2587998047109448E-2</v>
      </c>
      <c r="AN1561" s="22">
        <f>Constants!$H77*'Activity data'!BG19*Constants!$H95*FracLEACHMM*MMLeachEF*NtoN2O*kgtoGg</f>
        <v>3.3568837979348017E-2</v>
      </c>
      <c r="AO1561" s="22">
        <f>Constants!$H77*'Activity data'!BH19*Constants!$H95*FracLEACHMM*MMLeachEF*NtoN2O*kgtoGg</f>
        <v>3.451409673179362E-2</v>
      </c>
      <c r="AP1561" s="22">
        <f>Constants!$H77*'Activity data'!BI19*Constants!$H95*FracLEACHMM*MMLeachEF*NtoN2O*kgtoGg</f>
        <v>3.5479549458814943E-2</v>
      </c>
      <c r="AQ1561" s="22">
        <f>Constants!$H77*'Activity data'!BJ19*Constants!$H95*FracLEACHMM*MMLeachEF*NtoN2O*kgtoGg</f>
        <v>3.6466862450927735E-2</v>
      </c>
      <c r="AR1561" s="22">
        <f>Constants!$H77*'Activity data'!BK19*Constants!$H95*FracLEACHMM*MMLeachEF*NtoN2O*kgtoGg</f>
        <v>3.7517290662975496E-2</v>
      </c>
      <c r="AS1561" s="22">
        <f>Constants!$H77*'Activity data'!BL19*Constants!$H95*FracLEACHMM*MMLeachEF*NtoN2O*kgtoGg</f>
        <v>3.8588925617873325E-2</v>
      </c>
      <c r="AT1561" s="22">
        <f>Constants!$H77*'Activity data'!BM19*Constants!$H95*FracLEACHMM*MMLeachEF*NtoN2O*kgtoGg</f>
        <v>3.9285237958327314E-2</v>
      </c>
      <c r="AU1561" s="22">
        <f>Constants!$H77*'Activity data'!BN19*Constants!$H95*FracLEACHMM*MMLeachEF*NtoN2O*kgtoGg</f>
        <v>3.9960567637255945E-2</v>
      </c>
      <c r="AV1561" s="22">
        <f>Constants!$H77*'Activity data'!BO19*Constants!$H95*FracLEACHMM*MMLeachEF*NtoN2O*kgtoGg</f>
        <v>4.0694873101077993E-2</v>
      </c>
      <c r="AW1561" s="22">
        <f>Constants!$H77*'Activity data'!BP19*Constants!$H95*FracLEACHMM*MMLeachEF*NtoN2O*kgtoGg</f>
        <v>4.1412967601087917E-2</v>
      </c>
    </row>
    <row r="1562" spans="1:49" x14ac:dyDescent="0.25">
      <c r="A1562" s="102" t="s">
        <v>961</v>
      </c>
      <c r="B1562" s="102"/>
      <c r="C1562" s="102"/>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7.810393177711944E-2</v>
      </c>
      <c r="L1562" s="22">
        <f>Constants!$H78*'Activity data'!AE20*Constants!$H96*FracLEACHMM*MMLeachEF*NtoN2O*kgtoGg</f>
        <v>7.9553535638078737E-2</v>
      </c>
      <c r="M1562" s="22">
        <f>Constants!$H78*'Activity data'!AF20*Constants!$H96*FracLEACHMM*MMLeachEF*NtoN2O*kgtoGg</f>
        <v>8.0502978601734096E-2</v>
      </c>
      <c r="N1562" s="22">
        <f>Constants!$H78*'Activity data'!AG20*Constants!$H96*FracLEACHMM*MMLeachEF*NtoN2O*kgtoGg</f>
        <v>7.9458702064627351E-2</v>
      </c>
      <c r="O1562" s="22">
        <f>Constants!$H78*'Activity data'!AH20*Constants!$H96*FracLEACHMM*MMLeachEF*NtoN2O*kgtoGg</f>
        <v>7.8445966497934463E-2</v>
      </c>
      <c r="P1562" s="22">
        <f>Constants!$H78*'Activity data'!AI20*Constants!$H96*FracLEACHMM*MMLeachEF*NtoN2O*kgtoGg</f>
        <v>7.944949741705111E-2</v>
      </c>
      <c r="Q1562" s="22">
        <f>Constants!$H78*'Activity data'!AJ20*Constants!$H96*FracLEACHMM*MMLeachEF*NtoN2O*kgtoGg</f>
        <v>7.9836186366330816E-2</v>
      </c>
      <c r="R1562" s="22">
        <f>Constants!$H78*'Activity data'!AK20*Constants!$H96*FracLEACHMM*MMLeachEF*NtoN2O*kgtoGg</f>
        <v>7.8063361522169639E-2</v>
      </c>
      <c r="S1562" s="22">
        <f>Constants!$H78*'Activity data'!AL20*Constants!$H96*FracLEACHMM*MMLeachEF*NtoN2O*kgtoGg</f>
        <v>6.6817107477113183E-2</v>
      </c>
      <c r="T1562" s="22">
        <f>Constants!$H78*'Activity data'!AM20*Constants!$H96*FracLEACHMM*MMLeachEF*NtoN2O*kgtoGg</f>
        <v>7.0388458640801108E-2</v>
      </c>
      <c r="U1562" s="22">
        <f>Constants!$H78*'Activity data'!AN20*Constants!$H96*FracLEACHMM*MMLeachEF*NtoN2O*kgtoGg</f>
        <v>7.2779385804600763E-2</v>
      </c>
      <c r="V1562" s="22">
        <f>Constants!$H78*'Activity data'!AO20*Constants!$H96*FracLEACHMM*MMLeachEF*NtoN2O*kgtoGg</f>
        <v>7.4904615040438174E-2</v>
      </c>
      <c r="W1562" s="22">
        <f>Constants!$H78*'Activity data'!AP20*Constants!$H96*FracLEACHMM*MMLeachEF*NtoN2O*kgtoGg</f>
        <v>7.7471024819350642E-2</v>
      </c>
      <c r="X1562" s="22">
        <f>Constants!$H78*'Activity data'!AQ20*Constants!$H96*FracLEACHMM*MMLeachEF*NtoN2O*kgtoGg</f>
        <v>8.1566948143152435E-2</v>
      </c>
      <c r="Y1562" s="22">
        <f>Constants!$H78*'Activity data'!AR20*Constants!$H96*FracLEACHMM*MMLeachEF*NtoN2O*kgtoGg</f>
        <v>8.614778534531875E-2</v>
      </c>
      <c r="Z1562" s="22">
        <f>Constants!$H78*'Activity data'!AS20*Constants!$H96*FracLEACHMM*MMLeachEF*NtoN2O*kgtoGg</f>
        <v>9.1129302987806735E-2</v>
      </c>
      <c r="AA1562" s="22">
        <f>Constants!$H78*'Activity data'!AT20*Constants!$H96*FracLEACHMM*MMLeachEF*NtoN2O*kgtoGg</f>
        <v>9.5503511014719752E-2</v>
      </c>
      <c r="AB1562" s="22">
        <f>Constants!$H78*'Activity data'!AU20*Constants!$H96*FracLEACHMM*MMLeachEF*NtoN2O*kgtoGg</f>
        <v>0.10059627235669374</v>
      </c>
      <c r="AC1562" s="22">
        <f>Constants!$H78*'Activity data'!AV20*Constants!$H96*FracLEACHMM*MMLeachEF*NtoN2O*kgtoGg</f>
        <v>0.10657634914102967</v>
      </c>
      <c r="AD1562" s="22">
        <f>Constants!$H78*'Activity data'!AW20*Constants!$H96*FracLEACHMM*MMLeachEF*NtoN2O*kgtoGg</f>
        <v>0.11249681497363943</v>
      </c>
      <c r="AE1562" s="22">
        <f>Constants!$H78*'Activity data'!AX20*Constants!$H96*FracLEACHMM*MMLeachEF*NtoN2O*kgtoGg</f>
        <v>0.11870703167717016</v>
      </c>
      <c r="AF1562" s="22">
        <f>Constants!$H78*'Activity data'!AY20*Constants!$H96*FracLEACHMM*MMLeachEF*NtoN2O*kgtoGg</f>
        <v>0.12506960329583536</v>
      </c>
      <c r="AG1562" s="22">
        <f>Constants!$H78*'Activity data'!AZ20*Constants!$H96*FracLEACHMM*MMLeachEF*NtoN2O*kgtoGg</f>
        <v>0.13219418170903169</v>
      </c>
      <c r="AH1562" s="22">
        <f>Constants!$H78*'Activity data'!BA20*Constants!$H96*FracLEACHMM*MMLeachEF*NtoN2O*kgtoGg</f>
        <v>0.13848583371944298</v>
      </c>
      <c r="AI1562" s="22">
        <f>Constants!$H78*'Activity data'!BB20*Constants!$H96*FracLEACHMM*MMLeachEF*NtoN2O*kgtoGg</f>
        <v>0.1452598628167924</v>
      </c>
      <c r="AJ1562" s="22">
        <f>Constants!$H78*'Activity data'!BC20*Constants!$H96*FracLEACHMM*MMLeachEF*NtoN2O*kgtoGg</f>
        <v>0.15217488392211642</v>
      </c>
      <c r="AK1562" s="22">
        <f>Constants!$H78*'Activity data'!BD20*Constants!$H96*FracLEACHMM*MMLeachEF*NtoN2O*kgtoGg</f>
        <v>0.15880077299081433</v>
      </c>
      <c r="AL1562" s="22">
        <f>Constants!$H78*'Activity data'!BE20*Constants!$H96*FracLEACHMM*MMLeachEF*NtoN2O*kgtoGg</f>
        <v>0.16542985943823083</v>
      </c>
      <c r="AM1562" s="22">
        <f>Constants!$H78*'Activity data'!BF20*Constants!$H96*FracLEACHMM*MMLeachEF*NtoN2O*kgtoGg</f>
        <v>0.17232713819913364</v>
      </c>
      <c r="AN1562" s="22">
        <f>Constants!$H78*'Activity data'!BG20*Constants!$H96*FracLEACHMM*MMLeachEF*NtoN2O*kgtoGg</f>
        <v>0.17966613842795656</v>
      </c>
      <c r="AO1562" s="22">
        <f>Constants!$H78*'Activity data'!BH20*Constants!$H96*FracLEACHMM*MMLeachEF*NtoN2O*kgtoGg</f>
        <v>0.1865893340136465</v>
      </c>
      <c r="AP1562" s="22">
        <f>Constants!$H78*'Activity data'!BI20*Constants!$H96*FracLEACHMM*MMLeachEF*NtoN2O*kgtoGg</f>
        <v>0.19362673819120535</v>
      </c>
      <c r="AQ1562" s="22">
        <f>Constants!$H78*'Activity data'!BJ20*Constants!$H96*FracLEACHMM*MMLeachEF*NtoN2O*kgtoGg</f>
        <v>0.20079266757552186</v>
      </c>
      <c r="AR1562" s="22">
        <f>Constants!$H78*'Activity data'!BK20*Constants!$H96*FracLEACHMM*MMLeachEF*NtoN2O*kgtoGg</f>
        <v>0.20846738589837877</v>
      </c>
      <c r="AS1562" s="22">
        <f>Constants!$H78*'Activity data'!BL20*Constants!$H96*FracLEACHMM*MMLeachEF*NtoN2O*kgtoGg</f>
        <v>0.21642073302224971</v>
      </c>
      <c r="AT1562" s="22">
        <f>Constants!$H78*'Activity data'!BM20*Constants!$H96*FracLEACHMM*MMLeachEF*NtoN2O*kgtoGg</f>
        <v>0.22086003131192922</v>
      </c>
      <c r="AU1562" s="22">
        <f>Constants!$H78*'Activity data'!BN20*Constants!$H96*FracLEACHMM*MMLeachEF*NtoN2O*kgtoGg</f>
        <v>0.22506764920237721</v>
      </c>
      <c r="AV1562" s="22">
        <f>Constants!$H78*'Activity data'!BO20*Constants!$H96*FracLEACHMM*MMLeachEF*NtoN2O*kgtoGg</f>
        <v>0.22977140260428236</v>
      </c>
      <c r="AW1562" s="22">
        <f>Constants!$H78*'Activity data'!BP20*Constants!$H96*FracLEACHMM*MMLeachEF*NtoN2O*kgtoGg</f>
        <v>0.23428658450939308</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RowHeight="15" x14ac:dyDescent="0.25"/>
  <cols>
    <col min="1" max="3" width="9.140625" style="103"/>
    <col min="4" max="4" width="34.42578125" customWidth="1"/>
    <col min="5" max="5" width="37" customWidth="1"/>
    <col min="6" max="6" width="27.5703125" customWidth="1"/>
    <col min="7" max="7" width="7.5703125" customWidth="1"/>
    <col min="8" max="8" width="26.140625" customWidth="1"/>
    <col min="9" max="36" width="9.7109375" customWidth="1"/>
    <col min="37" max="37" width="9.5703125" customWidth="1"/>
    <col min="52" max="53" width="9.42578125" customWidth="1"/>
    <col min="54" max="54" width="9.7109375" customWidth="1"/>
  </cols>
  <sheetData>
    <row r="1" spans="1:75" ht="18.75" x14ac:dyDescent="0.3">
      <c r="D1" s="1" t="s">
        <v>312</v>
      </c>
    </row>
    <row r="3" spans="1:75" s="19" customFormat="1" ht="15.75" x14ac:dyDescent="0.25">
      <c r="A3" s="104"/>
      <c r="B3" s="104"/>
      <c r="C3" s="104"/>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104"/>
      <c r="B4" s="104"/>
      <c r="C4" s="104"/>
      <c r="D4" s="19" t="str">
        <f>D10</f>
        <v>3A Livestock</v>
      </c>
      <c r="E4" s="19" t="str">
        <f>E10</f>
        <v>3A1 Enteric fermentation (CH4)</v>
      </c>
      <c r="F4" s="19" t="s">
        <v>148</v>
      </c>
      <c r="G4" s="19" t="str">
        <f>G10</f>
        <v>CH4</v>
      </c>
      <c r="H4" s="19" t="str">
        <f>H10</f>
        <v>Gg CH4</v>
      </c>
      <c r="I4" s="46">
        <f t="shared" ref="I4:AN4" si="0">SUM(I5:I10)</f>
        <v>1260.0440510636847</v>
      </c>
      <c r="J4" s="46">
        <f t="shared" si="0"/>
        <v>1258.0226339156723</v>
      </c>
      <c r="K4" s="46">
        <f t="shared" si="0"/>
        <v>1239.3934970469879</v>
      </c>
      <c r="L4" s="46">
        <f t="shared" si="0"/>
        <v>1194.7273149041114</v>
      </c>
      <c r="M4" s="46">
        <f t="shared" si="0"/>
        <v>1162.4999055437097</v>
      </c>
      <c r="N4" s="46">
        <f t="shared" si="0"/>
        <v>1171.5173194915196</v>
      </c>
      <c r="O4" s="46">
        <f t="shared" si="0"/>
        <v>1202.0962242987941</v>
      </c>
      <c r="P4" s="46">
        <f t="shared" si="0"/>
        <v>1224.8603653192843</v>
      </c>
      <c r="Q4" s="46">
        <f t="shared" si="0"/>
        <v>1244.3232626994372</v>
      </c>
      <c r="R4" s="46">
        <f t="shared" si="0"/>
        <v>1241.8612496504879</v>
      </c>
      <c r="S4" s="46">
        <f t="shared" si="0"/>
        <v>1227.4784890178826</v>
      </c>
      <c r="T4" s="46">
        <f t="shared" si="0"/>
        <v>1218.6551420734072</v>
      </c>
      <c r="U4" s="46">
        <f t="shared" si="0"/>
        <v>1197.4820095010721</v>
      </c>
      <c r="V4" s="46">
        <f t="shared" si="0"/>
        <v>1202.3555525159982</v>
      </c>
      <c r="W4" s="46">
        <f t="shared" si="0"/>
        <v>1192.9382386371974</v>
      </c>
      <c r="X4" s="46">
        <f t="shared" si="0"/>
        <v>1195.5469772851111</v>
      </c>
      <c r="Y4" s="46">
        <f t="shared" si="0"/>
        <v>1190.9388605207587</v>
      </c>
      <c r="Z4" s="46">
        <f t="shared" si="0"/>
        <v>1216.9016959048554</v>
      </c>
      <c r="AA4" s="46">
        <f t="shared" si="0"/>
        <v>1224.8132015696788</v>
      </c>
      <c r="AB4" s="46">
        <f t="shared" si="0"/>
        <v>1216.8111130588925</v>
      </c>
      <c r="AC4" s="46">
        <f t="shared" si="0"/>
        <v>1206.6102248317582</v>
      </c>
      <c r="AD4" s="46">
        <f t="shared" si="0"/>
        <v>1202.8837608805554</v>
      </c>
      <c r="AE4" s="46">
        <f t="shared" si="0"/>
        <v>1175.3984501266098</v>
      </c>
      <c r="AF4" s="46">
        <f t="shared" si="0"/>
        <v>1173.8185453543126</v>
      </c>
      <c r="AG4" s="46">
        <f t="shared" si="0"/>
        <v>1168.7663637903102</v>
      </c>
      <c r="AH4" s="46">
        <f t="shared" si="0"/>
        <v>1149.5645254408653</v>
      </c>
      <c r="AI4" s="46">
        <f t="shared" si="0"/>
        <v>1131.3900813972007</v>
      </c>
      <c r="AJ4" s="46">
        <f t="shared" si="0"/>
        <v>1128.0617625611446</v>
      </c>
      <c r="AK4" s="46">
        <f t="shared" si="0"/>
        <v>1120.4544077326277</v>
      </c>
      <c r="AL4" s="46">
        <f t="shared" si="0"/>
        <v>1098.428162581298</v>
      </c>
      <c r="AM4" s="46">
        <f t="shared" si="0"/>
        <v>1014.4746372378586</v>
      </c>
      <c r="AN4" s="46">
        <f t="shared" si="0"/>
        <v>983.33132778302593</v>
      </c>
      <c r="AO4" s="46">
        <f t="shared" ref="AO4:BQ4" si="1">SUM(AO5:AO10)</f>
        <v>940.97435778577096</v>
      </c>
      <c r="AP4" s="46">
        <f t="shared" si="1"/>
        <v>893.90663846440975</v>
      </c>
      <c r="AQ4" s="46">
        <f t="shared" si="1"/>
        <v>845.99178784143862</v>
      </c>
      <c r="AR4" s="46">
        <f t="shared" si="1"/>
        <v>801.46297456102457</v>
      </c>
      <c r="AS4" s="46">
        <f t="shared" si="1"/>
        <v>753.55788569884089</v>
      </c>
      <c r="AT4" s="46">
        <f t="shared" si="1"/>
        <v>702.28229429779788</v>
      </c>
      <c r="AU4" s="46">
        <f t="shared" si="1"/>
        <v>644.23216228181275</v>
      </c>
      <c r="AV4" s="46">
        <f t="shared" si="1"/>
        <v>583.72432881941677</v>
      </c>
      <c r="AW4" s="46">
        <f t="shared" si="1"/>
        <v>520.29586909380646</v>
      </c>
      <c r="AX4" s="46">
        <f t="shared" si="1"/>
        <v>496.5556187663841</v>
      </c>
      <c r="AY4" s="46">
        <f t="shared" si="1"/>
        <v>471.84184484476043</v>
      </c>
      <c r="AZ4" s="46">
        <f t="shared" si="1"/>
        <v>445.87750939191994</v>
      </c>
      <c r="BA4" s="46">
        <f t="shared" si="1"/>
        <v>419.4389807132564</v>
      </c>
      <c r="BB4" s="46">
        <f t="shared" si="1"/>
        <v>390.49947201397458</v>
      </c>
      <c r="BC4" s="46">
        <f t="shared" si="1"/>
        <v>360.5321492602535</v>
      </c>
      <c r="BD4" s="46">
        <f t="shared" si="1"/>
        <v>329.42897577312561</v>
      </c>
      <c r="BE4" s="46">
        <f t="shared" si="1"/>
        <v>296.99135364653318</v>
      </c>
      <c r="BF4" s="46">
        <f t="shared" si="1"/>
        <v>263.57597188024175</v>
      </c>
      <c r="BG4" s="46">
        <f t="shared" si="1"/>
        <v>229.33702065515519</v>
      </c>
      <c r="BH4" s="46">
        <f t="shared" si="1"/>
        <v>209.60069455918759</v>
      </c>
      <c r="BI4" s="46">
        <f t="shared" si="1"/>
        <v>189.06705087001049</v>
      </c>
      <c r="BJ4" s="46">
        <f t="shared" si="1"/>
        <v>167.861923662999</v>
      </c>
      <c r="BK4" s="46">
        <f t="shared" si="1"/>
        <v>145.99626591626992</v>
      </c>
      <c r="BL4" s="46">
        <f t="shared" si="1"/>
        <v>123.40149615967017</v>
      </c>
      <c r="BM4" s="46">
        <f t="shared" si="1"/>
        <v>99.925675165539587</v>
      </c>
      <c r="BN4" s="46">
        <f t="shared" si="1"/>
        <v>77.076117064099506</v>
      </c>
      <c r="BO4" s="46">
        <f t="shared" si="1"/>
        <v>54.245726227921693</v>
      </c>
      <c r="BP4" s="46">
        <f t="shared" si="1"/>
        <v>31.137871908418592</v>
      </c>
      <c r="BQ4" s="46">
        <f t="shared" si="1"/>
        <v>8.0648668997170532</v>
      </c>
    </row>
    <row r="5" spans="1:75" x14ac:dyDescent="0.25">
      <c r="A5" s="102" t="str">
        <f>B5&amp;" "&amp;C5</f>
        <v>FSFAGSPQNIBDDSCM Cattle</v>
      </c>
      <c r="B5" s="102" t="s">
        <v>1376</v>
      </c>
      <c r="C5" s="102" t="s">
        <v>1109</v>
      </c>
      <c r="D5" t="str">
        <f>'IPCC Categories'!A5</f>
        <v>3A Livestock</v>
      </c>
      <c r="E5" t="str">
        <f>'IPCC Categories'!B5</f>
        <v>3A1 Enteric fermentation (CH4)</v>
      </c>
      <c r="F5" t="str">
        <f>'IPCC Categories'!C5</f>
        <v>3A1a Cattle</v>
      </c>
      <c r="G5" t="s">
        <v>121</v>
      </c>
      <c r="H5" t="s">
        <v>286</v>
      </c>
      <c r="I5" s="28">
        <f>'Emissions summary'!F5</f>
        <v>970.75783010383884</v>
      </c>
      <c r="J5" s="28">
        <f>'Emissions summary'!G5</f>
        <v>984.79007914328508</v>
      </c>
      <c r="K5" s="28">
        <f>'Emissions summary'!H5</f>
        <v>978.33549013594484</v>
      </c>
      <c r="L5" s="28">
        <f>'Emissions summary'!I5</f>
        <v>949.53957888011155</v>
      </c>
      <c r="M5" s="28">
        <f>'Emissions summary'!J5</f>
        <v>912.67525621411551</v>
      </c>
      <c r="N5" s="28">
        <f>'Emissions summary'!K5</f>
        <v>923.83797265176531</v>
      </c>
      <c r="O5" s="28">
        <f>'Emissions summary'!L5</f>
        <v>952.84275320570532</v>
      </c>
      <c r="P5" s="28">
        <f>'Emissions summary'!M5</f>
        <v>980.01539424682801</v>
      </c>
      <c r="Q5" s="28">
        <f>'Emissions summary'!N5</f>
        <v>999.43503615113787</v>
      </c>
      <c r="R5" s="28">
        <f>'Emissions summary'!O5</f>
        <v>1002.3241787350501</v>
      </c>
      <c r="S5" s="28">
        <f>'Emissions summary'!P5</f>
        <v>994.67599031563441</v>
      </c>
      <c r="T5" s="28">
        <f>'Emissions summary'!Q5</f>
        <v>989.00845450586121</v>
      </c>
      <c r="U5" s="28">
        <f>'Emissions summary'!R5</f>
        <v>974.60961385984729</v>
      </c>
      <c r="V5" s="28">
        <f>'Emissions summary'!S5</f>
        <v>979.96199314328828</v>
      </c>
      <c r="W5" s="28">
        <f>'Emissions summary'!T5</f>
        <v>973.57297774234985</v>
      </c>
      <c r="X5" s="28">
        <f>'Emissions summary'!U5</f>
        <v>977.1168038510275</v>
      </c>
      <c r="Y5" s="28">
        <f>'Emissions summary'!V5</f>
        <v>973.77414524080291</v>
      </c>
      <c r="Z5" s="28">
        <f>'Emissions summary'!W5</f>
        <v>1000.8673096110051</v>
      </c>
      <c r="AA5" s="28">
        <f>'Emissions summary'!X5</f>
        <v>1008.1706907272458</v>
      </c>
      <c r="AB5" s="28">
        <f>'Emissions summary'!Y5</f>
        <v>1001.4109568206607</v>
      </c>
      <c r="AC5" s="28">
        <f>'Emissions summary'!Z5</f>
        <v>994.93224097621089</v>
      </c>
      <c r="AD5" s="28">
        <f>'Emissions summary'!AA5</f>
        <v>992.75930538162731</v>
      </c>
      <c r="AE5" s="101">
        <f>IF($A5="Baseline",'Emissions summary'!AB5,SUMIF('Net zero emission reductions'!$A$4:$A$1448,$A$5,'Net zero emission reductions'!K$4:K$1448))</f>
        <v>981.62818548821156</v>
      </c>
      <c r="AF5" s="101">
        <f>IF($A5="Baseline",'Emissions summary'!AC5,SUMIF('Net zero emission reductions'!$A$4:$A$1448,$A$5,'Net zero emission reductions'!L$4:L$1448))</f>
        <v>979.83777729347503</v>
      </c>
      <c r="AG5" s="101">
        <f>IF($A5="Baseline",'Emissions summary'!AD5,SUMIF('Net zero emission reductions'!$A$4:$A$1448,$A$5,'Net zero emission reductions'!M$4:M$1448))</f>
        <v>974.46098202974156</v>
      </c>
      <c r="AH5" s="101">
        <f>IF($A5="Baseline",'Emissions summary'!AE5,SUMIF('Net zero emission reductions'!$A$4:$A$1448,$A$5,'Net zero emission reductions'!N$4:N$1448))</f>
        <v>954.90432082690393</v>
      </c>
      <c r="AI5" s="101">
        <f>IF($A5="Baseline",'Emissions summary'!AF5,SUMIF('Net zero emission reductions'!$A$4:$A$1448,$A$5,'Net zero emission reductions'!O$4:O$1448))</f>
        <v>936.24689617777653</v>
      </c>
      <c r="AJ5" s="101">
        <f>IF($A5="Baseline",'Emissions summary'!AG5,SUMIF('Net zero emission reductions'!$A$4:$A$1448,$A$5,'Net zero emission reductions'!P$4:P$1448))</f>
        <v>932.21276662375578</v>
      </c>
      <c r="AK5" s="101">
        <f>IF($A5="Baseline",'Emissions summary'!AH5,SUMIF('Net zero emission reductions'!$A$4:$A$1448,$A$5,'Net zero emission reductions'!Q$4:Q$1448))</f>
        <v>923.86491351141194</v>
      </c>
      <c r="AL5" s="101">
        <f>IF($A5="Baseline",'Emissions summary'!AI5,SUMIF('Net zero emission reductions'!$A$4:$A$1448,$A$5,'Net zero emission reductions'!R$4:R$1448))</f>
        <v>901.13782630003345</v>
      </c>
      <c r="AM5" s="101">
        <f>IF($A5="Baseline",'Emissions summary'!AJ5,SUMIF('Net zero emission reductions'!$A$4:$A$1448,$A$5,'Net zero emission reductions'!S$4:S$1448))</f>
        <v>816.88427258204479</v>
      </c>
      <c r="AN5" s="101">
        <f>IF($A5="Baseline",'Emissions summary'!AK5,SUMIF('Net zero emission reductions'!$A$4:$A$1448,$A$5,'Net zero emission reductions'!T$4:T$1448))</f>
        <v>785.4706192754029</v>
      </c>
      <c r="AO5" s="101">
        <f>IF($A5="Baseline",'Emissions summary'!AL5,SUMIF('Net zero emission reductions'!$A$4:$A$1448,$A$5,'Net zero emission reductions'!U$4:U$1448))</f>
        <v>743.11233174737617</v>
      </c>
      <c r="AP5" s="101">
        <f>IF($A5="Baseline",'Emissions summary'!AM5,SUMIF('Net zero emission reductions'!$A$4:$A$1448,$A$5,'Net zero emission reductions'!V$4:V$1448))</f>
        <v>696.26577188765361</v>
      </c>
      <c r="AQ5" s="101">
        <f>IF($A5="Baseline",'Emissions summary'!AN5,SUMIF('Net zero emission reductions'!$A$4:$A$1448,$A$5,'Net zero emission reductions'!W$4:W$1448))</f>
        <v>648.7590199235849</v>
      </c>
      <c r="AR5" s="101">
        <f>IF($A5="Baseline",'Emissions summary'!AO5,SUMIF('Net zero emission reductions'!$A$4:$A$1448,$A$5,'Net zero emission reductions'!X$4:X$1448))</f>
        <v>604.77237055979015</v>
      </c>
      <c r="AS5" s="101">
        <f>IF($A5="Baseline",'Emissions summary'!AP5,SUMIF('Net zero emission reductions'!$A$4:$A$1448,$A$5,'Net zero emission reductions'!Y$4:Y$1448))</f>
        <v>557.81901429979484</v>
      </c>
      <c r="AT5" s="101">
        <f>IF($A5="Baseline",'Emissions summary'!AQ5,SUMIF('Net zero emission reductions'!$A$4:$A$1448,$A$5,'Net zero emission reductions'!Z$4:Z$1448))</f>
        <v>507.68049941652254</v>
      </c>
      <c r="AU5" s="101">
        <f>IF($A5="Baseline",'Emissions summary'!AR5,SUMIF('Net zero emission reductions'!$A$4:$A$1448,$A$5,'Net zero emission reductions'!AA$4:AA$1448))</f>
        <v>450.99873522247435</v>
      </c>
      <c r="AV5" s="101">
        <f>IF($A5="Baseline",'Emissions summary'!AS5,SUMIF('Net zero emission reductions'!$A$4:$A$1448,$A$5,'Net zero emission reductions'!AB$4:AB$1448))</f>
        <v>392.02657491092441</v>
      </c>
      <c r="AW5" s="101">
        <f>IF($A5="Baseline",'Emissions summary'!AT5,SUMIF('Net zero emission reductions'!$A$4:$A$1448,$A$5,'Net zero emission reductions'!AC$4:AC$1448))</f>
        <v>330.29238680304223</v>
      </c>
      <c r="AX5" s="101">
        <f>IF($A5="Baseline",'Emissions summary'!AU5,SUMIF('Net zero emission reductions'!$A$4:$A$1448,$A$5,'Net zero emission reductions'!AD$4:AD$1448))</f>
        <v>306.24857732268993</v>
      </c>
      <c r="AY5" s="101">
        <f>IF($A5="Baseline",'Emissions summary'!AV5,SUMIF('Net zero emission reductions'!$A$4:$A$1448,$A$5,'Net zero emission reductions'!AE$4:AE$1448))</f>
        <v>281.19685801105118</v>
      </c>
      <c r="AZ5" s="101">
        <f>IF($A5="Baseline",'Emissions summary'!AW5,SUMIF('Net zero emission reductions'!$A$4:$A$1448,$A$5,'Net zero emission reductions'!AF$4:AF$1448))</f>
        <v>254.86779631736766</v>
      </c>
      <c r="BA5" s="101">
        <f>IF($A5="Baseline",'Emissions summary'!AX5,SUMIF('Net zero emission reductions'!$A$4:$A$1448,$A$5,'Net zero emission reductions'!AG$4:AG$1448))</f>
        <v>228.01119204463066</v>
      </c>
      <c r="BB5" s="101">
        <f>IF($A5="Baseline",'Emissions summary'!AY5,SUMIF('Net zero emission reductions'!$A$4:$A$1448,$A$5,'Net zero emission reductions'!AH$4:AH$1448))</f>
        <v>198.67387242891681</v>
      </c>
      <c r="BC5" s="101">
        <f>IF($A5="Baseline",'Emissions summary'!AZ5,SUMIF('Net zero emission reductions'!$A$4:$A$1448,$A$5,'Net zero emission reductions'!AI$4:AI$1448))</f>
        <v>168.43127982258676</v>
      </c>
      <c r="BD5" s="101">
        <f>IF($A5="Baseline",'Emissions summary'!BA5,SUMIF('Net zero emission reductions'!$A$4:$A$1448,$A$5,'Net zero emission reductions'!AJ$4:AJ$1448))</f>
        <v>137.03091385806212</v>
      </c>
      <c r="BE5" s="101">
        <f>IF($A5="Baseline",'Emissions summary'!BB5,SUMIF('Net zero emission reductions'!$A$4:$A$1448,$A$5,'Net zero emission reductions'!AK$4:AK$1448))</f>
        <v>104.2942787483002</v>
      </c>
      <c r="BF5" s="101">
        <f>IF($A5="Baseline",'Emissions summary'!BC5,SUMIF('Net zero emission reductions'!$A$4:$A$1448,$A$5,'Net zero emission reductions'!AL$4:AL$1448))</f>
        <v>70.565630770183063</v>
      </c>
      <c r="BG5" s="101">
        <f>IF($A5="Baseline",'Emissions summary'!BD5,SUMIF('Net zero emission reductions'!$A$4:$A$1448,$A$5,'Net zero emission reductions'!AM$4:AM$1448))</f>
        <v>35.98810219679595</v>
      </c>
      <c r="BH5" s="101">
        <f>IF($A5="Baseline",'Emissions summary'!BE5,SUMIF('Net zero emission reductions'!$A$4:$A$1448,$A$5,'Net zero emission reductions'!AN$4:AN$1448))</f>
        <v>15.866519910058841</v>
      </c>
      <c r="BI5" s="101">
        <f>IF($A5="Baseline",'Emissions summary'!BF5,SUMIF('Net zero emission reductions'!$A$4:$A$1448,$A$5,'Net zero emission reductions'!AO$4:AO$1448))</f>
        <v>-5.0464085043511773</v>
      </c>
      <c r="BJ5" s="101">
        <f>IF($A5="Baseline",'Emissions summary'!BG5,SUMIF('Net zero emission reductions'!$A$4:$A$1448,$A$5,'Net zero emission reductions'!AP$4:AP$1448))</f>
        <v>-26.647742396211896</v>
      </c>
      <c r="BK5" s="101">
        <f>IF($A5="Baseline",'Emissions summary'!BH5,SUMIF('Net zero emission reductions'!$A$4:$A$1448,$A$5,'Net zero emission reductions'!AQ$4:AQ$1448))</f>
        <v>-48.926595069805259</v>
      </c>
      <c r="BL5" s="101">
        <f>IF($A5="Baseline",'Emissions summary'!BI5,SUMIF('Net zero emission reductions'!$A$4:$A$1448,$A$5,'Net zero emission reductions'!AR$4:AR$1448))</f>
        <v>-71.967573653152058</v>
      </c>
      <c r="BM5" s="101">
        <f>IF($A5="Baseline",'Emissions summary'!BJ5,SUMIF('Net zero emission reductions'!$A$4:$A$1448,$A$5,'Net zero emission reductions'!AS$4:AS$1448))</f>
        <v>-95.763946182180931</v>
      </c>
      <c r="BN5" s="101">
        <f>IF($A5="Baseline",'Emissions summary'!BK5,SUMIF('Net zero emission reductions'!$A$4:$A$1448,$A$5,'Net zero emission reductions'!AT$4:AT$1448))</f>
        <v>-118.79161490294948</v>
      </c>
      <c r="BO5" s="101">
        <f>IF($A5="Baseline",'Emissions summary'!BL5,SUMIF('Net zero emission reductions'!$A$4:$A$1448,$A$5,'Net zero emission reductions'!AU$4:AU$1448))</f>
        <v>-141.80028227392563</v>
      </c>
      <c r="BP5" s="101">
        <f>IF($A5="Baseline",'Emissions summary'!BM5,SUMIF('Net zero emission reductions'!$A$4:$A$1448,$A$5,'Net zero emission reductions'!AV$4:AV$1448))</f>
        <v>-165.1175923959932</v>
      </c>
      <c r="BQ5" s="101">
        <f>IF($A5="Baseline",'Emissions summary'!BN5,SUMIF('Net zero emission reductions'!$A$4:$A$1448,$A$5,'Net zero emission reductions'!AW$4:AW$1448))</f>
        <v>-188.40130696696977</v>
      </c>
    </row>
    <row r="6" spans="1:75" x14ac:dyDescent="0.25">
      <c r="A6" s="102" t="str">
        <f t="shared" ref="A6:A26" si="2">B6&amp;" "&amp;C6</f>
        <v>FSFAGSPQNIBDDSCM Sheep</v>
      </c>
      <c r="B6" s="102" t="str">
        <f>$B$5</f>
        <v>FSFAGSPQNIBDDSCM</v>
      </c>
      <c r="C6" s="103" t="s">
        <v>152</v>
      </c>
      <c r="D6" t="str">
        <f>D5</f>
        <v>3A Livestock</v>
      </c>
      <c r="E6" t="str">
        <f>E5</f>
        <v>3A1 Enteric fermentation (CH4)</v>
      </c>
      <c r="F6" t="str">
        <f>'IPCC Categories'!C7</f>
        <v>3A1c Sheep</v>
      </c>
      <c r="G6" t="str">
        <f>G5</f>
        <v>CH4</v>
      </c>
      <c r="H6" t="str">
        <f>H5</f>
        <v>Gg CH4</v>
      </c>
      <c r="I6" s="28">
        <f>'Emissions summary'!F6</f>
        <v>230.15541038431331</v>
      </c>
      <c r="J6" s="28">
        <f>'Emissions summary'!G6</f>
        <v>219.80651638524552</v>
      </c>
      <c r="K6" s="28">
        <f>'Emissions summary'!H6</f>
        <v>210.72436386232471</v>
      </c>
      <c r="L6" s="28">
        <f>'Emissions summary'!I6</f>
        <v>197.07426480420705</v>
      </c>
      <c r="M6" s="28">
        <f>'Emissions summary'!J6</f>
        <v>198.463841817435</v>
      </c>
      <c r="N6" s="28">
        <f>'Emissions summary'!K6</f>
        <v>195.62327002243862</v>
      </c>
      <c r="O6" s="28">
        <f>'Emissions summary'!L6</f>
        <v>196.27583381318104</v>
      </c>
      <c r="P6" s="28">
        <f>'Emissions summary'!M6</f>
        <v>192.00729889961895</v>
      </c>
      <c r="Q6" s="28">
        <f>'Emissions summary'!N6</f>
        <v>192.53702715328046</v>
      </c>
      <c r="R6" s="28">
        <f>'Emissions summary'!O6</f>
        <v>187.80785897566491</v>
      </c>
      <c r="S6" s="28">
        <f>'Emissions summary'!P6</f>
        <v>181.07493609941679</v>
      </c>
      <c r="T6" s="28">
        <f>'Emissions summary'!Q6</f>
        <v>176.56073011169283</v>
      </c>
      <c r="U6" s="28">
        <f>'Emissions summary'!R6</f>
        <v>173.61267722175066</v>
      </c>
      <c r="V6" s="28">
        <f>'Emissions summary'!S6</f>
        <v>174.21917768608773</v>
      </c>
      <c r="W6" s="28">
        <f>'Emissions summary'!T6</f>
        <v>171.11758037479439</v>
      </c>
      <c r="X6" s="28">
        <f>'Emissions summary'!U6</f>
        <v>170.71068765821383</v>
      </c>
      <c r="Y6" s="28">
        <f>'Emissions summary'!V6</f>
        <v>168.47661632755455</v>
      </c>
      <c r="Z6" s="28">
        <f>'Emissions summary'!W6</f>
        <v>168.31539468513583</v>
      </c>
      <c r="AA6" s="28">
        <f>'Emissions summary'!X6</f>
        <v>168.86047738093242</v>
      </c>
      <c r="AB6" s="28">
        <f>'Emissions summary'!Y6</f>
        <v>168.26165413766293</v>
      </c>
      <c r="AC6" s="28">
        <f>'Emissions summary'!Z6</f>
        <v>165.00651240501841</v>
      </c>
      <c r="AD6" s="28">
        <f>'Emissions summary'!AA6</f>
        <v>163.71673926566876</v>
      </c>
      <c r="AE6" s="101">
        <f>IF($A6="Baseline",'Emissions summary'!AB6,SUMIF('Net zero emission reductions'!$A$4:$A$1448,$A$6,'Net zero emission reductions'!K$4:K$1448))</f>
        <v>146.93843620249652</v>
      </c>
      <c r="AF6" s="101">
        <f>IF($A6="Baseline",'Emissions summary'!AC6,SUMIF('Net zero emission reductions'!$A$4:$A$1448,$A$6,'Net zero emission reductions'!L$4:L$1448))</f>
        <v>147.01773607540545</v>
      </c>
      <c r="AG6" s="101">
        <f>IF($A6="Baseline",'Emissions summary'!AD6,SUMIF('Net zero emission reductions'!$A$4:$A$1448,$A$6,'Net zero emission reductions'!M$4:M$1448))</f>
        <v>147.20003972212783</v>
      </c>
      <c r="AH6" s="101">
        <f>IF($A6="Baseline",'Emissions summary'!AE6,SUMIF('Net zero emission reductions'!$A$4:$A$1448,$A$6,'Net zero emission reductions'!N$4:N$1448))</f>
        <v>147.47068646984667</v>
      </c>
      <c r="AI6" s="101">
        <f>IF($A6="Baseline",'Emissions summary'!AF6,SUMIF('Net zero emission reductions'!$A$4:$A$1448,$A$6,'Net zero emission reductions'!O$4:O$1448))</f>
        <v>147.83598581945662</v>
      </c>
      <c r="AJ6" s="101">
        <f>IF($A6="Baseline",'Emissions summary'!AG6,SUMIF('Net zero emission reductions'!$A$4:$A$1448,$A$6,'Net zero emission reductions'!P$4:P$1448))</f>
        <v>148.30327928759814</v>
      </c>
      <c r="AK6" s="101">
        <f>IF($A6="Baseline",'Emissions summary'!AH6,SUMIF('Net zero emission reductions'!$A$4:$A$1448,$A$6,'Net zero emission reductions'!Q$4:Q$1448))</f>
        <v>148.81818807714274</v>
      </c>
      <c r="AL6" s="101">
        <f>IF($A6="Baseline",'Emissions summary'!AI6,SUMIF('Net zero emission reductions'!$A$4:$A$1448,$A$6,'Net zero emission reductions'!R$4:R$1448))</f>
        <v>149.37271484338407</v>
      </c>
      <c r="AM6" s="101">
        <f>IF($A6="Baseline",'Emissions summary'!AJ6,SUMIF('Net zero emission reductions'!$A$4:$A$1448,$A$6,'Net zero emission reductions'!S$4:S$1448))</f>
        <v>149.92210736806928</v>
      </c>
      <c r="AN6" s="101">
        <f>IF($A6="Baseline",'Emissions summary'!AK6,SUMIF('Net zero emission reductions'!$A$4:$A$1448,$A$6,'Net zero emission reductions'!T$4:T$1448))</f>
        <v>149.95622527601634</v>
      </c>
      <c r="AO6" s="101">
        <f>IF($A6="Baseline",'Emissions summary'!AL6,SUMIF('Net zero emission reductions'!$A$4:$A$1448,$A$6,'Net zero emission reductions'!U$4:U$1448))</f>
        <v>149.7623491285097</v>
      </c>
      <c r="AP6" s="101">
        <f>IF($A6="Baseline",'Emissions summary'!AM6,SUMIF('Net zero emission reductions'!$A$4:$A$1448,$A$6,'Net zero emission reductions'!V$4:V$1448))</f>
        <v>149.34778889614608</v>
      </c>
      <c r="AQ6" s="101">
        <f>IF($A6="Baseline",'Emissions summary'!AN6,SUMIF('Net zero emission reductions'!$A$4:$A$1448,$A$6,'Net zero emission reductions'!W$4:W$1448))</f>
        <v>148.71854818975899</v>
      </c>
      <c r="AR6" s="101">
        <f>IF($A6="Baseline",'Emissions summary'!AO6,SUMIF('Net zero emission reductions'!$A$4:$A$1448,$A$6,'Net zero emission reductions'!X$4:X$1448))</f>
        <v>147.88259699433343</v>
      </c>
      <c r="AS6" s="101">
        <f>IF($A6="Baseline",'Emissions summary'!AP6,SUMIF('Net zero emission reductions'!$A$4:$A$1448,$A$6,'Net zero emission reductions'!Y$4:Y$1448))</f>
        <v>146.67322682634938</v>
      </c>
      <c r="AT6" s="101">
        <f>IF($A6="Baseline",'Emissions summary'!AQ6,SUMIF('Net zero emission reductions'!$A$4:$A$1448,$A$6,'Net zero emission reductions'!Z$4:Z$1448))</f>
        <v>145.25573519567936</v>
      </c>
      <c r="AU6" s="101">
        <f>IF($A6="Baseline",'Emissions summary'!AR6,SUMIF('Net zero emission reductions'!$A$4:$A$1448,$A$6,'Net zero emission reductions'!AA$4:AA$1448))</f>
        <v>143.62665148022643</v>
      </c>
      <c r="AV6" s="101">
        <f>IF($A6="Baseline",'Emissions summary'!AS6,SUMIF('Net zero emission reductions'!$A$4:$A$1448,$A$6,'Net zero emission reductions'!AB$4:AB$1448))</f>
        <v>141.79535097115436</v>
      </c>
      <c r="AW6" s="101">
        <f>IF($A6="Baseline",'Emissions summary'!AT6,SUMIF('Net zero emission reductions'!$A$4:$A$1448,$A$6,'Net zero emission reductions'!AC$4:AC$1448))</f>
        <v>139.76451884451279</v>
      </c>
      <c r="AX6" s="101">
        <f>IF($A6="Baseline",'Emissions summary'!AU6,SUMIF('Net zero emission reductions'!$A$4:$A$1448,$A$6,'Net zero emission reductions'!AD$4:AD$1448))</f>
        <v>139.93868251778142</v>
      </c>
      <c r="AY6" s="101">
        <f>IF($A6="Baseline",'Emissions summary'!AV6,SUMIF('Net zero emission reductions'!$A$4:$A$1448,$A$6,'Net zero emission reductions'!AE$4:AE$1448))</f>
        <v>140.1325538849797</v>
      </c>
      <c r="AZ6" s="101">
        <f>IF($A6="Baseline",'Emissions summary'!AW6,SUMIF('Net zero emission reductions'!$A$4:$A$1448,$A$6,'Net zero emission reductions'!AF$4:AF$1448))</f>
        <v>140.34462122179536</v>
      </c>
      <c r="BA6" s="101">
        <f>IF($A6="Baseline",'Emissions summary'!AX6,SUMIF('Net zero emission reductions'!$A$4:$A$1448,$A$6,'Net zero emission reductions'!AG$4:AG$1448))</f>
        <v>140.57748640513066</v>
      </c>
      <c r="BB6" s="101">
        <f>IF($A6="Baseline",'Emissions summary'!AY6,SUMIF('Net zero emission reductions'!$A$4:$A$1448,$A$6,'Net zero emission reductions'!AH$4:AH$1448))</f>
        <v>140.82185541667033</v>
      </c>
      <c r="BC6" s="101">
        <f>IF($A6="Baseline",'Emissions summary'!AZ6,SUMIF('Net zero emission reductions'!$A$4:$A$1448,$A$6,'Net zero emission reductions'!AI$4:AI$1448))</f>
        <v>140.96747172876206</v>
      </c>
      <c r="BD6" s="101">
        <f>IF($A6="Baseline",'Emissions summary'!BA6,SUMIF('Net zero emission reductions'!$A$4:$A$1448,$A$6,'Net zero emission reductions'!AJ$4:AJ$1448))</f>
        <v>141.12787205361411</v>
      </c>
      <c r="BE6" s="101">
        <f>IF($A6="Baseline",'Emissions summary'!BB6,SUMIF('Net zero emission reductions'!$A$4:$A$1448,$A$6,'Net zero emission reductions'!AK$4:AK$1448))</f>
        <v>141.30017003050278</v>
      </c>
      <c r="BF6" s="101">
        <f>IF($A6="Baseline",'Emissions summary'!BC6,SUMIF('Net zero emission reductions'!$A$4:$A$1448,$A$6,'Net zero emission reductions'!AL$4:AL$1448))</f>
        <v>141.48546331464075</v>
      </c>
      <c r="BG6" s="101">
        <f>IF($A6="Baseline",'Emissions summary'!BD6,SUMIF('Net zero emission reductions'!$A$4:$A$1448,$A$6,'Net zero emission reductions'!AM$4:AM$1448))</f>
        <v>141.68475057200101</v>
      </c>
      <c r="BH6" s="101">
        <f>IF($A6="Baseline",'Emissions summary'!BE6,SUMIF('Net zero emission reductions'!$A$4:$A$1448,$A$6,'Net zero emission reductions'!AN$4:AN$1448))</f>
        <v>141.78992314514923</v>
      </c>
      <c r="BI6" s="101">
        <f>IF($A6="Baseline",'Emissions summary'!BF6,SUMIF('Net zero emission reductions'!$A$4:$A$1448,$A$6,'Net zero emission reductions'!AO$4:AO$1448))</f>
        <v>141.90387955116816</v>
      </c>
      <c r="BJ6" s="101">
        <f>IF($A6="Baseline",'Emissions summary'!BG6,SUMIF('Net zero emission reductions'!$A$4:$A$1448,$A$6,'Net zero emission reductions'!AP$4:AP$1448))</f>
        <v>142.02914715934372</v>
      </c>
      <c r="BK6" s="101">
        <f>IF($A6="Baseline",'Emissions summary'!BH6,SUMIF('Net zero emission reductions'!$A$4:$A$1448,$A$6,'Net zero emission reductions'!AQ$4:AQ$1448))</f>
        <v>142.16544523534787</v>
      </c>
      <c r="BL6" s="101">
        <f>IF($A6="Baseline",'Emissions summary'!BI6,SUMIF('Net zero emission reductions'!$A$4:$A$1448,$A$6,'Net zero emission reductions'!AR$4:AR$1448))</f>
        <v>142.3145504629932</v>
      </c>
      <c r="BM6" s="101">
        <f>IF($A6="Baseline",'Emissions summary'!BJ6,SUMIF('Net zero emission reductions'!$A$4:$A$1448,$A$6,'Net zero emission reductions'!AS$4:AS$1448))</f>
        <v>142.3652703445297</v>
      </c>
      <c r="BN6" s="101">
        <f>IF($A6="Baseline",'Emissions summary'!BK6,SUMIF('Net zero emission reductions'!$A$4:$A$1448,$A$6,'Net zero emission reductions'!AT$4:AT$1448))</f>
        <v>142.40530997612021</v>
      </c>
      <c r="BO6" s="101">
        <f>IF($A6="Baseline",'Emissions summary'!BL6,SUMIF('Net zero emission reductions'!$A$4:$A$1448,$A$6,'Net zero emission reductions'!AU$4:AU$1448))</f>
        <v>142.4525964282214</v>
      </c>
      <c r="BP6" s="101">
        <f>IF($A6="Baseline",'Emissions summary'!BM6,SUMIF('Net zero emission reductions'!$A$4:$A$1448,$A$6,'Net zero emission reductions'!AV$4:AV$1448))</f>
        <v>142.51091736343014</v>
      </c>
      <c r="BQ6" s="101">
        <f>IF($A6="Baseline",'Emissions summary'!BN6,SUMIF('Net zero emission reductions'!$A$4:$A$1448,$A$6,'Net zero emission reductions'!AW$4:AW$1448))</f>
        <v>142.57618652903773</v>
      </c>
    </row>
    <row r="7" spans="1:75" x14ac:dyDescent="0.25">
      <c r="A7" s="102" t="str">
        <f t="shared" si="2"/>
        <v>FSFAGSPQNIBDDSCM Goats</v>
      </c>
      <c r="B7" s="102" t="str">
        <f t="shared" ref="B7:B10" si="3">$B$5</f>
        <v>FSFAGSPQNIBDDSCM</v>
      </c>
      <c r="C7" s="103" t="s">
        <v>153</v>
      </c>
      <c r="D7" t="str">
        <f t="shared" ref="D7:E22" si="4">D6</f>
        <v>3A Livestock</v>
      </c>
      <c r="E7" t="str">
        <f t="shared" si="4"/>
        <v>3A1 Enteric fermentation (CH4)</v>
      </c>
      <c r="F7" t="str">
        <f>'IPCC Categories'!C8</f>
        <v>3A1d Goats</v>
      </c>
      <c r="G7" t="str">
        <f t="shared" ref="G7:H10" si="5">G6</f>
        <v>CH4</v>
      </c>
      <c r="H7" t="str">
        <f t="shared" si="5"/>
        <v>Gg CH4</v>
      </c>
      <c r="I7" s="28">
        <f>'Emissions summary'!F7</f>
        <v>50.832740984438615</v>
      </c>
      <c r="J7" s="28">
        <f>'Emissions summary'!G7</f>
        <v>44.950509601596238</v>
      </c>
      <c r="K7" s="28">
        <f>'Emissions summary'!H7</f>
        <v>41.871958597491798</v>
      </c>
      <c r="L7" s="28">
        <f>'Emissions summary'!I7</f>
        <v>39.563045344413474</v>
      </c>
      <c r="M7" s="28">
        <f>'Emissions summary'!J7</f>
        <v>42.824843432095548</v>
      </c>
      <c r="N7" s="28">
        <f>'Emissions summary'!K7</f>
        <v>43.411234099544018</v>
      </c>
      <c r="O7" s="28">
        <f>'Emissions summary'!L7</f>
        <v>44.089248308781293</v>
      </c>
      <c r="P7" s="28">
        <f>'Emissions summary'!M7</f>
        <v>43.869351808488119</v>
      </c>
      <c r="Q7" s="28">
        <f>'Emissions summary'!N7</f>
        <v>43.24631172432413</v>
      </c>
      <c r="R7" s="28">
        <f>'Emissions summary'!O7</f>
        <v>42.604946931802381</v>
      </c>
      <c r="S7" s="28">
        <f>'Emissions summary'!P7</f>
        <v>43.15468818253531</v>
      </c>
      <c r="T7" s="28">
        <f>'Emissions summary'!Q7</f>
        <v>44.474067184294356</v>
      </c>
      <c r="U7" s="28">
        <f>'Emissions summary'!R7</f>
        <v>40.607553720806052</v>
      </c>
      <c r="V7" s="28">
        <f>'Emissions summary'!S7</f>
        <v>39.581370052771241</v>
      </c>
      <c r="W7" s="28">
        <f>'Emissions summary'!T7</f>
        <v>39.654668886202302</v>
      </c>
      <c r="X7" s="28">
        <f>'Emissions summary'!U7</f>
        <v>39.1415770521849</v>
      </c>
      <c r="Y7" s="28">
        <f>'Emissions summary'!V7</f>
        <v>39.966188928284296</v>
      </c>
      <c r="Z7" s="28">
        <f>'Emissions summary'!W7</f>
        <v>38.775082885029605</v>
      </c>
      <c r="AA7" s="28">
        <f>'Emissions summary'!X7</f>
        <v>38.738433468314078</v>
      </c>
      <c r="AB7" s="28">
        <f>'Emissions summary'!Y7</f>
        <v>38.060419259076795</v>
      </c>
      <c r="AC7" s="28">
        <f>'Emissions summary'!Z7</f>
        <v>37.60230155013268</v>
      </c>
      <c r="AD7" s="28">
        <f>'Emissions summary'!AA7</f>
        <v>37.254132091335151</v>
      </c>
      <c r="AE7" s="101">
        <f>IF($A7="Baseline",'Emissions summary'!AB7,SUMIF('Net zero emission reductions'!$A$4:$A$1448,$A$7,'Net zero emission reductions'!K$4:K$1448))</f>
        <v>37.495912738890013</v>
      </c>
      <c r="AF7" s="101">
        <f>IF($A7="Baseline",'Emissions summary'!AC7,SUMIF('Net zero emission reductions'!$A$4:$A$1448,$A$7,'Net zero emission reductions'!L$4:L$1448))</f>
        <v>37.5933708506183</v>
      </c>
      <c r="AG7" s="101">
        <f>IF($A7="Baseline",'Emissions summary'!AD7,SUMIF('Net zero emission reductions'!$A$4:$A$1448,$A$7,'Net zero emission reductions'!M$4:M$1448))</f>
        <v>37.724795014728237</v>
      </c>
      <c r="AH7" s="101">
        <f>IF($A7="Baseline",'Emissions summary'!AE7,SUMIF('Net zero emission reductions'!$A$4:$A$1448,$A$7,'Net zero emission reductions'!N$4:N$1448))</f>
        <v>37.884866310005393</v>
      </c>
      <c r="AI7" s="101">
        <f>IF($A7="Baseline",'Emissions summary'!AF7,SUMIF('Net zero emission reductions'!$A$4:$A$1448,$A$7,'Net zero emission reductions'!O$4:O$1448))</f>
        <v>38.076593108095572</v>
      </c>
      <c r="AJ7" s="101">
        <f>IF($A7="Baseline",'Emissions summary'!AG7,SUMIF('Net zero emission reductions'!$A$4:$A$1448,$A$7,'Net zero emission reductions'!P$4:P$1448))</f>
        <v>38.30325844540512</v>
      </c>
      <c r="AK7" s="101">
        <f>IF($A7="Baseline",'Emissions summary'!AH7,SUMIF('Net zero emission reductions'!$A$4:$A$1448,$A$7,'Net zero emission reductions'!Q$4:Q$1448))</f>
        <v>38.543478969155011</v>
      </c>
      <c r="AL7" s="101">
        <f>IF($A7="Baseline",'Emissions summary'!AI7,SUMIF('Net zero emission reductions'!$A$4:$A$1448,$A$7,'Net zero emission reductions'!R$4:R$1448))</f>
        <v>38.794443906767704</v>
      </c>
      <c r="AM7" s="101">
        <f>IF($A7="Baseline",'Emissions summary'!AJ7,SUMIF('Net zero emission reductions'!$A$4:$A$1448,$A$7,'Net zero emission reductions'!S$4:S$1448))</f>
        <v>39.038773345836645</v>
      </c>
      <c r="AN7" s="101">
        <f>IF($A7="Baseline",'Emissions summary'!AK7,SUMIF('Net zero emission reductions'!$A$4:$A$1448,$A$7,'Net zero emission reductions'!T$4:T$1448))</f>
        <v>39.150837227931419</v>
      </c>
      <c r="AO7" s="101">
        <f>IF($A7="Baseline",'Emissions summary'!AL7,SUMIF('Net zero emission reductions'!$A$4:$A$1448,$A$7,'Net zero emission reductions'!U$4:U$1448))</f>
        <v>39.271686590456198</v>
      </c>
      <c r="AP7" s="101">
        <f>IF($A7="Baseline",'Emissions summary'!AM7,SUMIF('Net zero emission reductions'!$A$4:$A$1448,$A$7,'Net zero emission reductions'!V$4:V$1448))</f>
        <v>39.40266766115144</v>
      </c>
      <c r="AQ7" s="101">
        <f>IF($A7="Baseline",'Emissions summary'!AN7,SUMIF('Net zero emission reductions'!$A$4:$A$1448,$A$7,'Net zero emission reductions'!W$4:W$1448))</f>
        <v>39.544750063946836</v>
      </c>
      <c r="AR7" s="101">
        <f>IF($A7="Baseline",'Emissions summary'!AO7,SUMIF('Net zero emission reductions'!$A$4:$A$1448,$A$7,'Net zero emission reductions'!X$4:X$1448))</f>
        <v>39.699845207639484</v>
      </c>
      <c r="AS7" s="101">
        <f>IF($A7="Baseline",'Emissions summary'!AP7,SUMIF('Net zero emission reductions'!$A$4:$A$1448,$A$7,'Net zero emission reductions'!Y$4:Y$1448))</f>
        <v>39.799669757767603</v>
      </c>
      <c r="AT7" s="101">
        <f>IF($A7="Baseline",'Emissions summary'!AQ7,SUMIF('Net zero emission reductions'!$A$4:$A$1448,$A$7,'Net zero emission reductions'!Z$4:Z$1448))</f>
        <v>39.908606836494045</v>
      </c>
      <c r="AU7" s="101">
        <f>IF($A7="Baseline",'Emissions summary'!AR7,SUMIF('Net zero emission reductions'!$A$4:$A$1448,$A$7,'Net zero emission reductions'!AA$4:AA$1448))</f>
        <v>40.023946645449342</v>
      </c>
      <c r="AV7" s="101">
        <f>IF($A7="Baseline",'Emissions summary'!AS7,SUMIF('Net zero emission reductions'!$A$4:$A$1448,$A$7,'Net zero emission reductions'!AB$4:AB$1448))</f>
        <v>40.148311453957248</v>
      </c>
      <c r="AW7" s="101">
        <f>IF($A7="Baseline",'Emissions summary'!AT7,SUMIF('Net zero emission reductions'!$A$4:$A$1448,$A$7,'Net zero emission reductions'!AC$4:AC$1448))</f>
        <v>40.281743187448782</v>
      </c>
      <c r="AX7" s="101">
        <f>IF($A7="Baseline",'Emissions summary'!AU7,SUMIF('Net zero emission reductions'!$A$4:$A$1448,$A$7,'Net zero emission reductions'!AD$4:AD$1448))</f>
        <v>40.210653849811024</v>
      </c>
      <c r="AY7" s="101">
        <f>IF($A7="Baseline",'Emissions summary'!AV7,SUMIF('Net zero emission reductions'!$A$4:$A$1448,$A$7,'Net zero emission reductions'!AE$4:AE$1448))</f>
        <v>40.145664358762751</v>
      </c>
      <c r="AZ7" s="101">
        <f>IF($A7="Baseline",'Emissions summary'!AW7,SUMIF('Net zero emission reductions'!$A$4:$A$1448,$A$7,'Net zero emission reductions'!AF$4:AF$1448))</f>
        <v>40.086111465564294</v>
      </c>
      <c r="BA7" s="101">
        <f>IF($A7="Baseline",'Emissions summary'!AX7,SUMIF('Net zero emission reductions'!$A$4:$A$1448,$A$7,'Net zero emission reductions'!AG$4:AG$1448))</f>
        <v>40.033037830007331</v>
      </c>
      <c r="BB7" s="101">
        <f>IF($A7="Baseline",'Emissions summary'!AY7,SUMIF('Net zero emission reductions'!$A$4:$A$1448,$A$7,'Net zero emission reductions'!AH$4:AH$1448))</f>
        <v>39.982572363403506</v>
      </c>
      <c r="BC7" s="101">
        <f>IF($A7="Baseline",'Emissions summary'!AZ7,SUMIF('Net zero emission reductions'!$A$4:$A$1448,$A$7,'Net zero emission reductions'!AI$4:AI$1448))</f>
        <v>39.889718520695965</v>
      </c>
      <c r="BD7" s="101">
        <f>IF($A7="Baseline",'Emissions summary'!BA7,SUMIF('Net zero emission reductions'!$A$4:$A$1448,$A$7,'Net zero emission reductions'!AJ$4:AJ$1448))</f>
        <v>39.801318791770875</v>
      </c>
      <c r="BE7" s="101">
        <f>IF($A7="Baseline",'Emissions summary'!BB7,SUMIF('Net zero emission reductions'!$A$4:$A$1448,$A$7,'Net zero emission reductions'!AK$4:AK$1448))</f>
        <v>39.716173692335801</v>
      </c>
      <c r="BF7" s="101">
        <f>IF($A7="Baseline",'Emissions summary'!BC7,SUMIF('Net zero emission reductions'!$A$4:$A$1448,$A$7,'Net zero emission reductions'!AL$4:AL$1448))</f>
        <v>39.634704982453712</v>
      </c>
      <c r="BG7" s="101">
        <f>IF($A7="Baseline",'Emissions summary'!BD7,SUMIF('Net zero emission reductions'!$A$4:$A$1448,$A$7,'Net zero emission reductions'!AM$4:AM$1448))</f>
        <v>39.557281421793689</v>
      </c>
      <c r="BH7" s="101">
        <f>IF($A7="Baseline",'Emissions summary'!BE7,SUMIF('Net zero emission reductions'!$A$4:$A$1448,$A$7,'Net zero emission reductions'!AN$4:AN$1448))</f>
        <v>39.603263105326178</v>
      </c>
      <c r="BI7" s="101">
        <f>IF($A7="Baseline",'Emissions summary'!BF7,SUMIF('Net zero emission reductions'!$A$4:$A$1448,$A$7,'Net zero emission reductions'!AO$4:AO$1448))</f>
        <v>39.652036588289313</v>
      </c>
      <c r="BJ7" s="101">
        <f>IF($A7="Baseline",'Emissions summary'!BG7,SUMIF('Net zero emission reductions'!$A$4:$A$1448,$A$7,'Net zero emission reductions'!AP$4:AP$1448))</f>
        <v>39.704625568562108</v>
      </c>
      <c r="BK7" s="101">
        <f>IF($A7="Baseline",'Emissions summary'!BH7,SUMIF('Net zero emission reductions'!$A$4:$A$1448,$A$7,'Net zero emission reductions'!AQ$4:AQ$1448))</f>
        <v>39.760932209007677</v>
      </c>
      <c r="BL7" s="101">
        <f>IF($A7="Baseline",'Emissions summary'!BI7,SUMIF('Net zero emission reductions'!$A$4:$A$1448,$A$7,'Net zero emission reductions'!AR$4:AR$1448))</f>
        <v>39.821672299461774</v>
      </c>
      <c r="BM7" s="101">
        <f>IF($A7="Baseline",'Emissions summary'!BJ7,SUMIF('Net zero emission reductions'!$A$4:$A$1448,$A$7,'Net zero emission reductions'!AS$4:AS$1448))</f>
        <v>39.842888834308084</v>
      </c>
      <c r="BN7" s="101">
        <f>IF($A7="Baseline",'Emissions summary'!BK7,SUMIF('Net zero emission reductions'!$A$4:$A$1448,$A$7,'Net zero emission reductions'!AT$4:AT$1448))</f>
        <v>39.859404611413154</v>
      </c>
      <c r="BO7" s="101">
        <f>IF($A7="Baseline",'Emissions summary'!BL7,SUMIF('Net zero emission reductions'!$A$4:$A$1448,$A$7,'Net zero emission reductions'!AU$4:AU$1448))</f>
        <v>39.878329330287301</v>
      </c>
      <c r="BP7" s="101">
        <f>IF($A7="Baseline",'Emissions summary'!BM7,SUMIF('Net zero emission reductions'!$A$4:$A$1448,$A$7,'Net zero emission reductions'!AV$4:AV$1448))</f>
        <v>39.901164337140926</v>
      </c>
      <c r="BQ7" s="101">
        <f>IF($A7="Baseline",'Emissions summary'!BN7,SUMIF('Net zero emission reductions'!$A$4:$A$1448,$A$7,'Net zero emission reductions'!AW$4:AW$1448))</f>
        <v>39.926305799352704</v>
      </c>
    </row>
    <row r="8" spans="1:75" x14ac:dyDescent="0.25">
      <c r="A8" s="102" t="str">
        <f t="shared" si="2"/>
        <v>FSFAGSPQNIBDDSCM Horses</v>
      </c>
      <c r="B8" s="102" t="str">
        <f t="shared" si="3"/>
        <v>FSFAGSPQNIBDDSCM</v>
      </c>
      <c r="C8" s="103" t="s">
        <v>3</v>
      </c>
      <c r="D8" t="str">
        <f t="shared" si="4"/>
        <v>3A Livestock</v>
      </c>
      <c r="E8" t="str">
        <f t="shared" si="4"/>
        <v>3A1 Enteric fermentation (CH4)</v>
      </c>
      <c r="F8" t="str">
        <f>'IPCC Categories'!C9</f>
        <v>3A1f Horses</v>
      </c>
      <c r="G8" t="str">
        <f t="shared" si="5"/>
        <v>CH4</v>
      </c>
      <c r="H8" t="str">
        <f t="shared" si="5"/>
        <v>Gg CH4</v>
      </c>
      <c r="I8" s="28">
        <f>'Emissions summary'!F8</f>
        <v>4.1399999999999997</v>
      </c>
      <c r="J8" s="28">
        <f>'Emissions summary'!G8</f>
        <v>4.1399999999999997</v>
      </c>
      <c r="K8" s="28">
        <f>'Emissions summary'!H8</f>
        <v>4.1399999999999997</v>
      </c>
      <c r="L8" s="28">
        <f>'Emissions summary'!I8</f>
        <v>4.2299999999999995</v>
      </c>
      <c r="M8" s="28">
        <f>'Emissions summary'!J8</f>
        <v>4.3199999999999994</v>
      </c>
      <c r="N8" s="28">
        <f>'Emissions summary'!K8</f>
        <v>4.41</v>
      </c>
      <c r="O8" s="28">
        <f>'Emissions summary'!L8</f>
        <v>4.5</v>
      </c>
      <c r="P8" s="28">
        <f>'Emissions summary'!M8</f>
        <v>4.59</v>
      </c>
      <c r="Q8" s="28">
        <f>'Emissions summary'!N8</f>
        <v>4.68</v>
      </c>
      <c r="R8" s="28">
        <f>'Emissions summary'!O8</f>
        <v>4.6440000000000001</v>
      </c>
      <c r="S8" s="28">
        <f>'Emissions summary'!P8</f>
        <v>4.8599999999999994</v>
      </c>
      <c r="T8" s="28">
        <f>'Emissions summary'!Q8</f>
        <v>4.8599999999999994</v>
      </c>
      <c r="U8" s="28">
        <f>'Emissions summary'!R8</f>
        <v>4.8599999999999994</v>
      </c>
      <c r="V8" s="28">
        <f>'Emissions summary'!S8</f>
        <v>4.8599999999999994</v>
      </c>
      <c r="W8" s="28">
        <f>'Emissions summary'!T8</f>
        <v>4.8599999999999994</v>
      </c>
      <c r="X8" s="28">
        <f>'Emissions summary'!U8</f>
        <v>4.8599999999999994</v>
      </c>
      <c r="Y8" s="28">
        <f>'Emissions summary'!V8</f>
        <v>5.04</v>
      </c>
      <c r="Z8" s="28">
        <f>'Emissions summary'!W8</f>
        <v>5.22</v>
      </c>
      <c r="AA8" s="28">
        <f>'Emissions summary'!X8</f>
        <v>5.3639999999999999</v>
      </c>
      <c r="AB8" s="28">
        <f>'Emissions summary'!Y8</f>
        <v>5.3999999999999995</v>
      </c>
      <c r="AC8" s="28">
        <f>'Emissions summary'!Z8</f>
        <v>5.3999999999999995</v>
      </c>
      <c r="AD8" s="28">
        <f>'Emissions summary'!AA8</f>
        <v>5.4899999999999993</v>
      </c>
      <c r="AE8" s="28">
        <f>'Net zero emission reductions'!K1389</f>
        <v>5.5625078668475236</v>
      </c>
      <c r="AF8" s="28">
        <f>'Net zero emission reductions'!L1389</f>
        <v>5.5999708339814545</v>
      </c>
      <c r="AG8" s="28">
        <f>'Net zero emission reductions'!M1389</f>
        <v>5.6226370840776179</v>
      </c>
      <c r="AH8" s="28">
        <f>'Net zero emission reductions'!N1389</f>
        <v>5.5928142970106265</v>
      </c>
      <c r="AI8" s="28">
        <f>'Net zero emission reductions'!O1389</f>
        <v>5.5623376589201499</v>
      </c>
      <c r="AJ8" s="28">
        <f>'Net zero emission reductions'!P1389</f>
        <v>5.5812216853376206</v>
      </c>
      <c r="AK8" s="28">
        <f>'Net zero emission reductions'!Q1389</f>
        <v>5.5836612172513842</v>
      </c>
      <c r="AL8" s="28">
        <f>'Net zero emission reductions'!R1389</f>
        <v>5.5315877353552168</v>
      </c>
      <c r="AM8" s="28">
        <f>'Net zero emission reductions'!S1389</f>
        <v>5.2455147526194601</v>
      </c>
      <c r="AN8" s="28">
        <f>'Net zero emission reductions'!T1389</f>
        <v>5.332808287437901</v>
      </c>
      <c r="AO8" s="28">
        <f>'Net zero emission reductions'!U1389</f>
        <v>5.3901753132609427</v>
      </c>
      <c r="AP8" s="28">
        <f>'Net zero emission reductions'!V1389</f>
        <v>5.440230309739654</v>
      </c>
      <c r="AQ8" s="28">
        <f>'Net zero emission reductions'!W1389</f>
        <v>5.5003068027462358</v>
      </c>
      <c r="AR8" s="28">
        <f>'Net zero emission reductions'!X1389</f>
        <v>5.5968430891840955</v>
      </c>
      <c r="AS8" s="28">
        <f>'Net zero emission reductions'!Y1389</f>
        <v>5.7072120457799942</v>
      </c>
      <c r="AT8" s="28">
        <f>'Net zero emission reductions'!Z1389</f>
        <v>5.8264820494807026</v>
      </c>
      <c r="AU8" s="28">
        <f>'Net zero emission reductions'!AA1389</f>
        <v>5.9301104930204529</v>
      </c>
      <c r="AV8" s="28">
        <f>'Net zero emission reductions'!AB1389</f>
        <v>6.0502396904604057</v>
      </c>
      <c r="AW8" s="28">
        <f>'Net zero emission reductions'!AC1389</f>
        <v>6.1907930019013007</v>
      </c>
      <c r="AX8" s="28">
        <f>'Net zero emission reductions'!AD1389</f>
        <v>6.3320471664105931</v>
      </c>
      <c r="AY8" s="28">
        <f>'Net zero emission reductions'!AE1389</f>
        <v>6.4794646415598249</v>
      </c>
      <c r="AZ8" s="28">
        <f>'Net zero emission reductions'!AF1389</f>
        <v>6.6296689370175557</v>
      </c>
      <c r="BA8" s="28">
        <f>'Net zero emission reductions'!AG1389</f>
        <v>6.7972348352901832</v>
      </c>
      <c r="BB8" s="28">
        <f>'Net zero emission reductions'!AH1389</f>
        <v>6.9438088425470355</v>
      </c>
      <c r="BC8" s="28">
        <f>'Net zero emission reductions'!AI1389</f>
        <v>7.1048815884414847</v>
      </c>
      <c r="BD8" s="28">
        <f>'Net zero emission reductions'!AJ1389</f>
        <v>7.268627225560472</v>
      </c>
      <c r="BE8" s="28">
        <f>'Net zero emission reductions'!AK1389</f>
        <v>7.42471904610154</v>
      </c>
      <c r="BF8" s="28">
        <f>'Net zero emission reductions'!AL1389</f>
        <v>7.5801220888649867</v>
      </c>
      <c r="BG8" s="28">
        <f>'Net zero emission reductions'!AM1389</f>
        <v>7.7411228012577773</v>
      </c>
      <c r="BH8" s="28">
        <f>'Net zero emission reductions'!AN1389</f>
        <v>7.9163247577118536</v>
      </c>
      <c r="BI8" s="28">
        <f>'Net zero emission reductions'!AO1389</f>
        <v>8.0810947340099517</v>
      </c>
      <c r="BJ8" s="28">
        <f>'Net zero emission reductions'!AP1389</f>
        <v>8.2480372843312519</v>
      </c>
      <c r="BK8" s="28">
        <f>'Net zero emission reductions'!AQ1389</f>
        <v>8.4174605770969908</v>
      </c>
      <c r="BL8" s="28">
        <f>'Net zero emission reductions'!AR1389</f>
        <v>8.5983802423376101</v>
      </c>
      <c r="BM8" s="28">
        <f>'Net zero emission reductions'!AS1389</f>
        <v>8.7907471853609671</v>
      </c>
      <c r="BN8" s="28">
        <f>'Net zero emission reductions'!AT1389</f>
        <v>8.8991507547228217</v>
      </c>
      <c r="BO8" s="28">
        <f>'Net zero emission reductions'!AU1389</f>
        <v>9.0016825973480952</v>
      </c>
      <c r="BP8" s="28">
        <f>'Net zero emission reductions'!AV1389</f>
        <v>9.1156705075973274</v>
      </c>
      <c r="BQ8" s="28">
        <f>'Net zero emission reductions'!AW1389</f>
        <v>9.2247946500114306</v>
      </c>
    </row>
    <row r="9" spans="1:75" x14ac:dyDescent="0.25">
      <c r="A9" s="102" t="str">
        <f t="shared" si="2"/>
        <v>FSFAGSPQNIBDDSCM Mules&amp;Asses</v>
      </c>
      <c r="B9" s="102" t="str">
        <f t="shared" si="3"/>
        <v>FSFAGSPQNIBDDSCM</v>
      </c>
      <c r="C9" s="103" t="s">
        <v>1324</v>
      </c>
      <c r="D9" t="str">
        <f t="shared" si="4"/>
        <v>3A Livestock</v>
      </c>
      <c r="E9" t="str">
        <f t="shared" si="4"/>
        <v>3A1 Enteric fermentation (CH4)</v>
      </c>
      <c r="F9" t="str">
        <f>'IPCC Categories'!C10</f>
        <v>3A1g Mules &amp; asses</v>
      </c>
      <c r="G9" t="str">
        <f t="shared" si="5"/>
        <v>CH4</v>
      </c>
      <c r="H9" t="str">
        <f t="shared" si="5"/>
        <v>Gg CH4</v>
      </c>
      <c r="I9" s="28">
        <f>'Emissions summary'!F9</f>
        <v>2.2399999999999998</v>
      </c>
      <c r="J9" s="28">
        <f>'Emissions summary'!G9</f>
        <v>2.2399999999999998</v>
      </c>
      <c r="K9" s="28">
        <f>'Emissions summary'!H9</f>
        <v>2.2399999999999998</v>
      </c>
      <c r="L9" s="28">
        <f>'Emissions summary'!I9</f>
        <v>2.2399999999999998</v>
      </c>
      <c r="M9" s="28">
        <f>'Emissions summary'!J9</f>
        <v>2.2399999999999998</v>
      </c>
      <c r="N9" s="28">
        <f>'Emissions summary'!K9</f>
        <v>2.2399999999999998</v>
      </c>
      <c r="O9" s="28">
        <f>'Emissions summary'!L9</f>
        <v>2.2399999999999998</v>
      </c>
      <c r="P9" s="28">
        <f>'Emissions summary'!M9</f>
        <v>2.2399999999999998</v>
      </c>
      <c r="Q9" s="28">
        <f>'Emissions summary'!N9</f>
        <v>2.2399999999999998</v>
      </c>
      <c r="R9" s="28">
        <f>'Emissions summary'!O9</f>
        <v>2.2399999999999998</v>
      </c>
      <c r="S9" s="28">
        <f>'Emissions summary'!P9</f>
        <v>1.64</v>
      </c>
      <c r="T9" s="28">
        <f>'Emissions summary'!Q9</f>
        <v>1.64</v>
      </c>
      <c r="U9" s="28">
        <f>'Emissions summary'!R9</f>
        <v>1.64</v>
      </c>
      <c r="V9" s="28">
        <f>'Emissions summary'!S9</f>
        <v>1.64</v>
      </c>
      <c r="W9" s="28">
        <f>'Emissions summary'!T9</f>
        <v>1.64</v>
      </c>
      <c r="X9" s="28">
        <f>'Emissions summary'!U9</f>
        <v>1.64</v>
      </c>
      <c r="Y9" s="28">
        <f>'Emissions summary'!V9</f>
        <v>1.6404999999999998</v>
      </c>
      <c r="Z9" s="28">
        <f>'Emissions summary'!W9</f>
        <v>1.6459999999999999</v>
      </c>
      <c r="AA9" s="28">
        <f>'Emissions summary'!X9</f>
        <v>1.647</v>
      </c>
      <c r="AB9" s="28">
        <f>'Emissions summary'!Y9</f>
        <v>1.6479999999999999</v>
      </c>
      <c r="AC9" s="28">
        <f>'Emissions summary'!Z9</f>
        <v>1.663</v>
      </c>
      <c r="AD9" s="28">
        <f>'Emissions summary'!AA9</f>
        <v>1.67</v>
      </c>
      <c r="AE9" s="28">
        <f>'Net zero emission reductions'!K1390</f>
        <v>1.67</v>
      </c>
      <c r="AF9" s="28">
        <f>'Net zero emission reductions'!L1390</f>
        <v>1.67</v>
      </c>
      <c r="AG9" s="28">
        <f>'Net zero emission reductions'!M1390</f>
        <v>1.67</v>
      </c>
      <c r="AH9" s="28">
        <f>'Net zero emission reductions'!N1390</f>
        <v>1.67</v>
      </c>
      <c r="AI9" s="28">
        <f>'Net zero emission reductions'!O1390</f>
        <v>1.67</v>
      </c>
      <c r="AJ9" s="28">
        <f>'Net zero emission reductions'!P1390</f>
        <v>1.67</v>
      </c>
      <c r="AK9" s="28">
        <f>'Net zero emission reductions'!Q1390</f>
        <v>1.67</v>
      </c>
      <c r="AL9" s="28">
        <f>'Net zero emission reductions'!R1390</f>
        <v>1.67</v>
      </c>
      <c r="AM9" s="28">
        <f>'Net zero emission reductions'!S1390</f>
        <v>1.67</v>
      </c>
      <c r="AN9" s="28">
        <f>'Net zero emission reductions'!T1390</f>
        <v>1.67</v>
      </c>
      <c r="AO9" s="28">
        <f>'Net zero emission reductions'!U1390</f>
        <v>1.67</v>
      </c>
      <c r="AP9" s="28">
        <f>'Net zero emission reductions'!V1390</f>
        <v>1.67</v>
      </c>
      <c r="AQ9" s="28">
        <f>'Net zero emission reductions'!W1390</f>
        <v>1.67</v>
      </c>
      <c r="AR9" s="28">
        <f>'Net zero emission reductions'!X1390</f>
        <v>1.67</v>
      </c>
      <c r="AS9" s="28">
        <f>'Net zero emission reductions'!Y1390</f>
        <v>1.67</v>
      </c>
      <c r="AT9" s="28">
        <f>'Net zero emission reductions'!Z1390</f>
        <v>1.67</v>
      </c>
      <c r="AU9" s="28">
        <f>'Net zero emission reductions'!AA1390</f>
        <v>1.67</v>
      </c>
      <c r="AV9" s="28">
        <f>'Net zero emission reductions'!AB1390</f>
        <v>1.67</v>
      </c>
      <c r="AW9" s="28">
        <f>'Net zero emission reductions'!AC1390</f>
        <v>1.67</v>
      </c>
      <c r="AX9" s="28">
        <f>'Net zero emission reductions'!AD1390</f>
        <v>1.67</v>
      </c>
      <c r="AY9" s="28">
        <f>'Net zero emission reductions'!AE1390</f>
        <v>1.67</v>
      </c>
      <c r="AZ9" s="28">
        <f>'Net zero emission reductions'!AF1390</f>
        <v>1.67</v>
      </c>
      <c r="BA9" s="28">
        <f>'Net zero emission reductions'!AG1390</f>
        <v>1.67</v>
      </c>
      <c r="BB9" s="28">
        <f>'Net zero emission reductions'!AH1390</f>
        <v>1.67</v>
      </c>
      <c r="BC9" s="28">
        <f>'Net zero emission reductions'!AI1390</f>
        <v>1.67</v>
      </c>
      <c r="BD9" s="28">
        <f>'Net zero emission reductions'!AJ1390</f>
        <v>1.67</v>
      </c>
      <c r="BE9" s="28">
        <f>'Net zero emission reductions'!AK1390</f>
        <v>1.67</v>
      </c>
      <c r="BF9" s="28">
        <f>'Net zero emission reductions'!AL1390</f>
        <v>1.67</v>
      </c>
      <c r="BG9" s="28">
        <f>'Net zero emission reductions'!AM1390</f>
        <v>1.67</v>
      </c>
      <c r="BH9" s="28">
        <f>'Net zero emission reductions'!AN1390</f>
        <v>1.67</v>
      </c>
      <c r="BI9" s="28">
        <f>'Net zero emission reductions'!AO1390</f>
        <v>1.67</v>
      </c>
      <c r="BJ9" s="28">
        <f>'Net zero emission reductions'!AP1390</f>
        <v>1.67</v>
      </c>
      <c r="BK9" s="28">
        <f>'Net zero emission reductions'!AQ1390</f>
        <v>1.67</v>
      </c>
      <c r="BL9" s="28">
        <f>'Net zero emission reductions'!AR1390</f>
        <v>1.67</v>
      </c>
      <c r="BM9" s="28">
        <f>'Net zero emission reductions'!AS1390</f>
        <v>1.67</v>
      </c>
      <c r="BN9" s="28">
        <f>'Net zero emission reductions'!AT1390</f>
        <v>1.67</v>
      </c>
      <c r="BO9" s="28">
        <f>'Net zero emission reductions'!AU1390</f>
        <v>1.67</v>
      </c>
      <c r="BP9" s="28">
        <f>'Net zero emission reductions'!AV1390</f>
        <v>1.67</v>
      </c>
      <c r="BQ9" s="28">
        <f>'Net zero emission reductions'!AW1390</f>
        <v>1.67</v>
      </c>
    </row>
    <row r="10" spans="1:75" x14ac:dyDescent="0.25">
      <c r="A10" s="102" t="str">
        <f t="shared" si="2"/>
        <v>FSFAGSPQNIBDDSCM Swine</v>
      </c>
      <c r="B10" s="102" t="str">
        <f t="shared" si="3"/>
        <v>FSFAGSPQNIBDDSCM</v>
      </c>
      <c r="C10" s="103" t="s">
        <v>155</v>
      </c>
      <c r="D10" t="str">
        <f t="shared" si="4"/>
        <v>3A Livestock</v>
      </c>
      <c r="E10" t="str">
        <f t="shared" si="4"/>
        <v>3A1 Enteric fermentation (CH4)</v>
      </c>
      <c r="F10" t="str">
        <f>'IPCC Categories'!C11</f>
        <v>3A1h Swine</v>
      </c>
      <c r="G10" t="str">
        <f t="shared" si="5"/>
        <v>CH4</v>
      </c>
      <c r="H10" t="str">
        <f t="shared" si="5"/>
        <v>Gg CH4</v>
      </c>
      <c r="I10" s="28">
        <f>'Emissions summary'!F10</f>
        <v>1.9180695910937571</v>
      </c>
      <c r="J10" s="28">
        <f>'Emissions summary'!G10</f>
        <v>2.0955287855453451</v>
      </c>
      <c r="K10" s="28">
        <f>'Emissions summary'!H10</f>
        <v>2.0816844512264265</v>
      </c>
      <c r="L10" s="28">
        <f>'Emissions summary'!I10</f>
        <v>2.0804258753792526</v>
      </c>
      <c r="M10" s="28">
        <f>'Emissions summary'!J10</f>
        <v>1.9759640800637785</v>
      </c>
      <c r="N10" s="28">
        <f>'Emissions summary'!K10</f>
        <v>1.9948427177713943</v>
      </c>
      <c r="O10" s="28">
        <f>'Emissions summary'!L10</f>
        <v>2.148388971126669</v>
      </c>
      <c r="P10" s="28">
        <f>'Emissions summary'!M10</f>
        <v>2.1383203643492741</v>
      </c>
      <c r="Q10" s="28">
        <f>'Emissions summary'!N10</f>
        <v>2.1848876706947262</v>
      </c>
      <c r="R10" s="28">
        <f>'Emissions summary'!O10</f>
        <v>2.240265007970399</v>
      </c>
      <c r="S10" s="28">
        <f>'Emissions summary'!P10</f>
        <v>2.0728744202962059</v>
      </c>
      <c r="T10" s="28">
        <f>'Emissions summary'!Q10</f>
        <v>2.1118902715586119</v>
      </c>
      <c r="U10" s="28">
        <f>'Emissions summary'!R10</f>
        <v>2.1521646986681922</v>
      </c>
      <c r="V10" s="28">
        <f>'Emissions summary'!S10</f>
        <v>2.0930116338509963</v>
      </c>
      <c r="W10" s="28">
        <f>'Emissions summary'!T10</f>
        <v>2.0930116338509963</v>
      </c>
      <c r="X10" s="28">
        <f>'Emissions summary'!U10</f>
        <v>2.0779087236849034</v>
      </c>
      <c r="Y10" s="28">
        <f>'Emissions summary'!V10</f>
        <v>2.0414100241168467</v>
      </c>
      <c r="Z10" s="28">
        <f>'Emissions summary'!W10</f>
        <v>2.0779087236849034</v>
      </c>
      <c r="AA10" s="28">
        <f>'Emissions summary'!X10</f>
        <v>2.0325999931866261</v>
      </c>
      <c r="AB10" s="28">
        <f>'Emissions summary'!Y10</f>
        <v>2.0300828414922774</v>
      </c>
      <c r="AC10" s="28">
        <f>'Emissions summary'!Z10</f>
        <v>2.0061699003959639</v>
      </c>
      <c r="AD10" s="28">
        <f>'Emissions summary'!AA10</f>
        <v>1.9935841419242202</v>
      </c>
      <c r="AE10" s="28">
        <f>SUM('Net zero emission reductions'!K1391:K1392)</f>
        <v>2.1034078301642354</v>
      </c>
      <c r="AF10" s="28">
        <f>SUM('Net zero emission reductions'!L1391:L1392)</f>
        <v>2.0996903008322314</v>
      </c>
      <c r="AG10" s="28">
        <f>SUM('Net zero emission reductions'!M1391:M1392)</f>
        <v>2.0879099396346876</v>
      </c>
      <c r="AH10" s="28">
        <f>SUM('Net zero emission reductions'!N1391:N1392)</f>
        <v>2.0418375370987127</v>
      </c>
      <c r="AI10" s="28">
        <f>SUM('Net zero emission reductions'!O1391:O1392)</f>
        <v>1.9982686329516464</v>
      </c>
      <c r="AJ10" s="28">
        <f>SUM('Net zero emission reductions'!P1391:P1392)</f>
        <v>1.9912365190478556</v>
      </c>
      <c r="AK10" s="28">
        <f>SUM('Net zero emission reductions'!Q1391:Q1392)</f>
        <v>1.9741659576667152</v>
      </c>
      <c r="AL10" s="28">
        <f>SUM('Net zero emission reductions'!R1391:R1392)</f>
        <v>1.9215897957575108</v>
      </c>
      <c r="AM10" s="28">
        <f>SUM('Net zero emission reductions'!S1391:S1392)</f>
        <v>1.7139691892884696</v>
      </c>
      <c r="AN10" s="28">
        <f>SUM('Net zero emission reductions'!T1391:T1392)</f>
        <v>1.7508377162373532</v>
      </c>
      <c r="AO10" s="28">
        <f>SUM('Net zero emission reductions'!U1391:U1392)</f>
        <v>1.7678150061681126</v>
      </c>
      <c r="AP10" s="28">
        <f>SUM('Net zero emission reductions'!V1391:V1392)</f>
        <v>1.7801797097190535</v>
      </c>
      <c r="AQ10" s="28">
        <f>SUM('Net zero emission reductions'!W1391:W1392)</f>
        <v>1.7991628614018123</v>
      </c>
      <c r="AR10" s="28">
        <f>SUM('Net zero emission reductions'!X1391:X1392)</f>
        <v>1.8413187100774886</v>
      </c>
      <c r="AS10" s="28">
        <f>SUM('Net zero emission reductions'!Y1391:Y1392)</f>
        <v>1.8887627691491791</v>
      </c>
      <c r="AT10" s="28">
        <f>SUM('Net zero emission reductions'!Z1391:Z1392)</f>
        <v>1.9409707996213066</v>
      </c>
      <c r="AU10" s="28">
        <f>SUM('Net zero emission reductions'!AA1391:AA1392)</f>
        <v>1.9827184406422294</v>
      </c>
      <c r="AV10" s="28">
        <f>SUM('Net zero emission reductions'!AB1391:AB1392)</f>
        <v>2.0338517929203306</v>
      </c>
      <c r="AW10" s="28">
        <f>SUM('Net zero emission reductions'!AC1391:AC1392)</f>
        <v>2.0964272569013862</v>
      </c>
      <c r="AX10" s="28">
        <f>SUM('Net zero emission reductions'!AD1391:AD1392)</f>
        <v>2.1556579096911186</v>
      </c>
      <c r="AY10" s="28">
        <f>SUM('Net zero emission reductions'!AE1391:AE1392)</f>
        <v>2.2173039484069195</v>
      </c>
      <c r="AZ10" s="28">
        <f>SUM('Net zero emission reductions'!AF1391:AF1392)</f>
        <v>2.2793114501750309</v>
      </c>
      <c r="BA10" s="28">
        <f>SUM('Net zero emission reductions'!AG1391:AG1392)</f>
        <v>2.3500295981975339</v>
      </c>
      <c r="BB10" s="28">
        <f>SUM('Net zero emission reductions'!AH1391:AH1392)</f>
        <v>2.4073629624369386</v>
      </c>
      <c r="BC10" s="28">
        <f>SUM('Net zero emission reductions'!AI1391:AI1392)</f>
        <v>2.4687975997672549</v>
      </c>
      <c r="BD10" s="28">
        <f>SUM('Net zero emission reductions'!AJ1391:AJ1392)</f>
        <v>2.5302438441180537</v>
      </c>
      <c r="BE10" s="28">
        <f>SUM('Net zero emission reductions'!AK1391:AK1392)</f>
        <v>2.5860121292928318</v>
      </c>
      <c r="BF10" s="28">
        <f>SUM('Net zero emission reductions'!AL1391:AL1392)</f>
        <v>2.6400507240991913</v>
      </c>
      <c r="BG10" s="28">
        <f>SUM('Net zero emission reductions'!AM1391:AM1392)</f>
        <v>2.6957636633067761</v>
      </c>
      <c r="BH10" s="28">
        <f>SUM('Net zero emission reductions'!AN1391:AN1392)</f>
        <v>2.7546636409415282</v>
      </c>
      <c r="BI10" s="28">
        <f>SUM('Net zero emission reductions'!AO1391:AO1392)</f>
        <v>2.806448500894255</v>
      </c>
      <c r="BJ10" s="28">
        <f>SUM('Net zero emission reductions'!AP1391:AP1392)</f>
        <v>2.8578560469738279</v>
      </c>
      <c r="BK10" s="28">
        <f>SUM('Net zero emission reductions'!AQ1391:AQ1392)</f>
        <v>2.9090229646226455</v>
      </c>
      <c r="BL10" s="28">
        <f>SUM('Net zero emission reductions'!AR1391:AR1392)</f>
        <v>2.9644668080296408</v>
      </c>
      <c r="BM10" s="28">
        <f>SUM('Net zero emission reductions'!AS1391:AS1392)</f>
        <v>3.0207149835217604</v>
      </c>
      <c r="BN10" s="28">
        <f>SUM('Net zero emission reductions'!AT1391:AT1392)</f>
        <v>3.0338666247927866</v>
      </c>
      <c r="BO10" s="28">
        <f>SUM('Net zero emission reductions'!AU1391:AU1392)</f>
        <v>3.0434001459905327</v>
      </c>
      <c r="BP10" s="28">
        <f>SUM('Net zero emission reductions'!AV1391:AV1392)</f>
        <v>3.057712096243395</v>
      </c>
      <c r="BQ10" s="28">
        <f>SUM('Net zero emission reductions'!AW1391:AW1392)</f>
        <v>3.068886888284962</v>
      </c>
    </row>
    <row r="11" spans="1:75" s="19" customFormat="1" ht="15.75" x14ac:dyDescent="0.25">
      <c r="A11" s="104"/>
      <c r="B11" s="104"/>
      <c r="C11" s="104"/>
      <c r="D11" s="19" t="str">
        <f>D18</f>
        <v>3A Livestock</v>
      </c>
      <c r="E11" s="19" t="str">
        <f>E18</f>
        <v>3A2 Manure management (CH4)</v>
      </c>
      <c r="F11" s="19" t="s">
        <v>148</v>
      </c>
      <c r="G11" s="19" t="str">
        <f>G18</f>
        <v>CH4</v>
      </c>
      <c r="H11" s="19" t="str">
        <f>H18</f>
        <v>Gg CH4</v>
      </c>
      <c r="I11" s="46">
        <f t="shared" ref="I11" si="6">SUM(I12:I18)</f>
        <v>31.702723851583059</v>
      </c>
      <c r="J11" s="46">
        <f t="shared" ref="J11:AE11" si="7">SUM(J12:J18)</f>
        <v>34.846437093745571</v>
      </c>
      <c r="K11" s="46">
        <f t="shared" si="7"/>
        <v>33.34593965991499</v>
      </c>
      <c r="L11" s="46">
        <f t="shared" si="7"/>
        <v>33.911342124246517</v>
      </c>
      <c r="M11" s="46">
        <f t="shared" si="7"/>
        <v>32.073771373963574</v>
      </c>
      <c r="N11" s="46">
        <f t="shared" si="7"/>
        <v>33.020872632281872</v>
      </c>
      <c r="O11" s="46">
        <f t="shared" si="7"/>
        <v>34.987492144761205</v>
      </c>
      <c r="P11" s="46">
        <f t="shared" si="7"/>
        <v>34.595629337012369</v>
      </c>
      <c r="Q11" s="46">
        <f t="shared" si="7"/>
        <v>35.178779527916078</v>
      </c>
      <c r="R11" s="46">
        <f t="shared" si="7"/>
        <v>35.773500663635126</v>
      </c>
      <c r="S11" s="46">
        <f t="shared" si="7"/>
        <v>36.297062166313644</v>
      </c>
      <c r="T11" s="46">
        <f t="shared" si="7"/>
        <v>36.650497115596643</v>
      </c>
      <c r="U11" s="46">
        <f t="shared" si="7"/>
        <v>35.964128838575938</v>
      </c>
      <c r="V11" s="46">
        <f t="shared" si="7"/>
        <v>34.354995245344796</v>
      </c>
      <c r="W11" s="46">
        <f t="shared" si="7"/>
        <v>34.113912838047241</v>
      </c>
      <c r="X11" s="46">
        <f t="shared" si="7"/>
        <v>34.7151680316408</v>
      </c>
      <c r="Y11" s="46">
        <f t="shared" si="7"/>
        <v>34.304317583202156</v>
      </c>
      <c r="Z11" s="46">
        <f t="shared" si="7"/>
        <v>34.81260712013389</v>
      </c>
      <c r="AA11" s="46">
        <f t="shared" si="7"/>
        <v>36.247765210834089</v>
      </c>
      <c r="AB11" s="46">
        <f t="shared" si="7"/>
        <v>36.334449628150963</v>
      </c>
      <c r="AC11" s="46">
        <f t="shared" si="7"/>
        <v>36.137208970848143</v>
      </c>
      <c r="AD11" s="46">
        <f t="shared" si="7"/>
        <v>35.764591312652556</v>
      </c>
      <c r="AE11" s="46">
        <f t="shared" si="7"/>
        <v>36.961981970988333</v>
      </c>
      <c r="AF11" s="46">
        <f t="shared" ref="AF11:BQ11" si="8">SUM(AF12:AF18)</f>
        <v>37.060311629083621</v>
      </c>
      <c r="AG11" s="46">
        <f t="shared" si="8"/>
        <v>37.041871730873389</v>
      </c>
      <c r="AH11" s="46">
        <f t="shared" si="8"/>
        <v>36.51435111634926</v>
      </c>
      <c r="AI11" s="46">
        <f t="shared" si="8"/>
        <v>36.021645162732156</v>
      </c>
      <c r="AJ11" s="46">
        <f t="shared" si="8"/>
        <v>36.075883855471837</v>
      </c>
      <c r="AK11" s="46">
        <f t="shared" si="8"/>
        <v>35.97973569341594</v>
      </c>
      <c r="AL11" s="46">
        <f t="shared" si="8"/>
        <v>35.345254544592734</v>
      </c>
      <c r="AM11" s="46">
        <f t="shared" si="8"/>
        <v>32.344845621746934</v>
      </c>
      <c r="AN11" s="46">
        <f t="shared" si="8"/>
        <v>30.547864124542215</v>
      </c>
      <c r="AO11" s="46">
        <f t="shared" si="8"/>
        <v>28.413214387799858</v>
      </c>
      <c r="AP11" s="46">
        <f t="shared" si="8"/>
        <v>26.187220733951122</v>
      </c>
      <c r="AQ11" s="46">
        <f t="shared" si="8"/>
        <v>24.009077781227479</v>
      </c>
      <c r="AR11" s="46">
        <f t="shared" si="8"/>
        <v>22.026090009150892</v>
      </c>
      <c r="AS11" s="46">
        <f t="shared" si="8"/>
        <v>20.000583544652923</v>
      </c>
      <c r="AT11" s="46">
        <f t="shared" si="8"/>
        <v>17.915644548994887</v>
      </c>
      <c r="AU11" s="46">
        <f t="shared" si="8"/>
        <v>15.648593217955089</v>
      </c>
      <c r="AV11" s="46">
        <f t="shared" si="8"/>
        <v>13.350775198329844</v>
      </c>
      <c r="AW11" s="46">
        <f t="shared" si="8"/>
        <v>11.002697112432054</v>
      </c>
      <c r="AX11" s="46">
        <f t="shared" si="8"/>
        <v>10.646884649690801</v>
      </c>
      <c r="AY11" s="46">
        <f t="shared" si="8"/>
        <v>10.270326892703569</v>
      </c>
      <c r="AZ11" s="46">
        <f t="shared" si="8"/>
        <v>9.8622536432743253</v>
      </c>
      <c r="BA11" s="46">
        <f t="shared" si="8"/>
        <v>9.4555359274830657</v>
      </c>
      <c r="BB11" s="46">
        <f t="shared" si="8"/>
        <v>8.9604180803969875</v>
      </c>
      <c r="BC11" s="46">
        <f t="shared" si="8"/>
        <v>8.4483809404917594</v>
      </c>
      <c r="BD11" s="46">
        <f t="shared" si="8"/>
        <v>7.902476192639269</v>
      </c>
      <c r="BE11" s="46">
        <f t="shared" si="8"/>
        <v>7.3052539409919266</v>
      </c>
      <c r="BF11" s="46">
        <f t="shared" si="8"/>
        <v>6.6715820453067654</v>
      </c>
      <c r="BG11" s="46">
        <f t="shared" si="8"/>
        <v>6.0110120061926171</v>
      </c>
      <c r="BH11" s="46">
        <f t="shared" si="8"/>
        <v>6.1973708052469458</v>
      </c>
      <c r="BI11" s="46">
        <f t="shared" si="8"/>
        <v>6.3677917518023293</v>
      </c>
      <c r="BJ11" s="46">
        <f t="shared" si="8"/>
        <v>6.5391790824344076</v>
      </c>
      <c r="BK11" s="46">
        <f t="shared" si="8"/>
        <v>6.7118962112272449</v>
      </c>
      <c r="BL11" s="46">
        <f t="shared" si="8"/>
        <v>6.8977148508141459</v>
      </c>
      <c r="BM11" s="46">
        <f t="shared" si="8"/>
        <v>7.0887778965988293</v>
      </c>
      <c r="BN11" s="46">
        <f t="shared" si="8"/>
        <v>7.1683499405647204</v>
      </c>
      <c r="BO11" s="46">
        <f t="shared" si="8"/>
        <v>7.2389544654546087</v>
      </c>
      <c r="BP11" s="46">
        <f t="shared" si="8"/>
        <v>7.3228966346729036</v>
      </c>
      <c r="BQ11" s="46">
        <f t="shared" si="8"/>
        <v>7.3991315756959777</v>
      </c>
      <c r="BT11"/>
    </row>
    <row r="12" spans="1:75" x14ac:dyDescent="0.25">
      <c r="A12" s="102" t="str">
        <f t="shared" si="2"/>
        <v>FSFAGSPQNIBDDSCM Cattle MMCH4</v>
      </c>
      <c r="B12" s="102" t="str">
        <f t="shared" ref="B12:B18" si="9">$B$5</f>
        <v>FSFAGSPQNIBDDSCM</v>
      </c>
      <c r="C12" s="102" t="s">
        <v>1230</v>
      </c>
      <c r="D12" t="str">
        <f>D10</f>
        <v>3A Livestock</v>
      </c>
      <c r="E12" t="str">
        <f>'IPCC Categories'!B12</f>
        <v>3A2 Manure management (CH4)</v>
      </c>
      <c r="F12" t="str">
        <f>'IPCC Categories'!C20</f>
        <v>3A2a Cattle</v>
      </c>
      <c r="G12" t="str">
        <f>G10</f>
        <v>CH4</v>
      </c>
      <c r="H12" t="str">
        <f>H10</f>
        <v>Gg CH4</v>
      </c>
      <c r="I12" s="28">
        <f>'Emissions summary'!F12</f>
        <v>8.7411879732159203</v>
      </c>
      <c r="J12" s="28">
        <f>'Emissions summary'!G12</f>
        <v>9.975428544318282</v>
      </c>
      <c r="K12" s="28">
        <f>'Emissions summary'!H12</f>
        <v>8.7049393037396534</v>
      </c>
      <c r="L12" s="28">
        <f>'Emissions summary'!I12</f>
        <v>9.1866288543050949</v>
      </c>
      <c r="M12" s="28">
        <f>'Emissions summary'!J12</f>
        <v>8.5387883014234216</v>
      </c>
      <c r="N12" s="28">
        <f>'Emissions summary'!K12</f>
        <v>9.1047703582547079</v>
      </c>
      <c r="O12" s="28">
        <f>'Emissions summary'!L12</f>
        <v>9.1488551241771336</v>
      </c>
      <c r="P12" s="28">
        <f>'Emissions summary'!M12</f>
        <v>8.8467258594312526</v>
      </c>
      <c r="Q12" s="28">
        <f>'Emissions summary'!N12</f>
        <v>8.7366188809270806</v>
      </c>
      <c r="R12" s="28">
        <f>'Emissions summary'!O12</f>
        <v>8.6199113361492632</v>
      </c>
      <c r="S12" s="28">
        <f>'Emissions summary'!P12</f>
        <v>10.914641044652543</v>
      </c>
      <c r="T12" s="28">
        <f>'Emissions summary'!Q12</f>
        <v>10.875335802478894</v>
      </c>
      <c r="U12" s="28">
        <f>'Emissions summary'!R12</f>
        <v>9.5759431074378831</v>
      </c>
      <c r="V12" s="28">
        <f>'Emissions summary'!S12</f>
        <v>8.7330292709988893</v>
      </c>
      <c r="W12" s="28">
        <f>'Emissions summary'!T12</f>
        <v>8.4376183222193628</v>
      </c>
      <c r="X12" s="28">
        <f>'Emissions summary'!U12</f>
        <v>9.0020345528971131</v>
      </c>
      <c r="Y12" s="28">
        <f>'Emissions summary'!V12</f>
        <v>8.8216264657665526</v>
      </c>
      <c r="Z12" s="28">
        <f>'Emissions summary'!W12</f>
        <v>8.775466165479612</v>
      </c>
      <c r="AA12" s="28">
        <f>'Emissions summary'!X12</f>
        <v>10.574651313182118</v>
      </c>
      <c r="AB12" s="28">
        <f>'Emissions summary'!Y12</f>
        <v>10.837506153958151</v>
      </c>
      <c r="AC12" s="28">
        <f>'Emissions summary'!Z12</f>
        <v>10.835280189588559</v>
      </c>
      <c r="AD12" s="28">
        <f>'Emissions summary'!AA12</f>
        <v>10.50406860380672</v>
      </c>
      <c r="AE12" s="101">
        <f>IF($A12="Baseline",'Emissions summary'!AB12,SUMIF('Net zero emission reductions'!$A$4:$A$1448,$A$12,'Net zero emission reductions'!K$4:K$1448))</f>
        <v>10.526401080921834</v>
      </c>
      <c r="AF12" s="101">
        <f>IF($A12="Baseline",'Emissions summary'!AC12,SUMIF('Net zero emission reductions'!$A$4:$A$1448,$A$12,'Net zero emission reductions'!L$4:L$1448))</f>
        <v>10.6099515788184</v>
      </c>
      <c r="AG12" s="101">
        <f>IF($A12="Baseline",'Emissions summary'!AD12,SUMIF('Net zero emission reductions'!$A$4:$A$1448,$A$12,'Net zero emission reductions'!M$4:M$1448))</f>
        <v>10.68265323749478</v>
      </c>
      <c r="AH12" s="101">
        <f>IF($A12="Baseline",'Emissions summary'!AE12,SUMIF('Net zero emission reductions'!$A$4:$A$1448,$A$12,'Net zero emission reductions'!N$4:N$1448))</f>
        <v>10.693431635740414</v>
      </c>
      <c r="AI12" s="101">
        <f>IF($A12="Baseline",'Emissions summary'!AF12,SUMIF('Net zero emission reductions'!$A$4:$A$1448,$A$12,'Net zero emission reductions'!O$4:O$1448))</f>
        <v>10.709949234772711</v>
      </c>
      <c r="AJ12" s="101">
        <f>IF($A12="Baseline",'Emissions summary'!AG12,SUMIF('Net zero emission reductions'!$A$4:$A$1448,$A$12,'Net zero emission reductions'!P$4:P$1448))</f>
        <v>10.799942262619574</v>
      </c>
      <c r="AK12" s="101">
        <f>IF($A12="Baseline",'Emissions summary'!AH12,SUMIF('Net zero emission reductions'!$A$4:$A$1448,$A$12,'Net zero emission reductions'!Q$4:Q$1448))</f>
        <v>10.871556230082248</v>
      </c>
      <c r="AL12" s="101">
        <f>IF($A12="Baseline",'Emissions summary'!AI12,SUMIF('Net zero emission reductions'!$A$4:$A$1448,$A$12,'Net zero emission reductions'!R$4:R$1448))</f>
        <v>10.871382795785779</v>
      </c>
      <c r="AM12" s="101">
        <f>IF($A12="Baseline",'Emissions summary'!AJ12,SUMIF('Net zero emission reductions'!$A$4:$A$1448,$A$12,'Net zero emission reductions'!S$4:S$1448))</f>
        <v>10.544746842114225</v>
      </c>
      <c r="AN12" s="101">
        <f>IF($A12="Baseline",'Emissions summary'!AK12,SUMIF('Net zero emission reductions'!$A$4:$A$1448,$A$12,'Net zero emission reductions'!T$4:T$1448))</f>
        <v>9.8004748152374965</v>
      </c>
      <c r="AO12" s="101">
        <f>IF($A12="Baseline",'Emissions summary'!AL12,SUMIF('Net zero emission reductions'!$A$4:$A$1448,$A$12,'Net zero emission reductions'!U$4:U$1448))</f>
        <v>9.0097612694869316</v>
      </c>
      <c r="AP12" s="101">
        <f>IF($A12="Baseline",'Emissions summary'!AM12,SUMIF('Net zero emission reductions'!$A$4:$A$1448,$A$12,'Net zero emission reductions'!V$4:V$1448))</f>
        <v>8.2061507808791827</v>
      </c>
      <c r="AQ12" s="101">
        <f>IF($A12="Baseline",'Emissions summary'!AN12,SUMIF('Net zero emission reductions'!$A$4:$A$1448,$A$12,'Net zero emission reductions'!W$4:W$1448))</f>
        <v>7.4083738307897287</v>
      </c>
      <c r="AR12" s="101">
        <f>IF($A12="Baseline",'Emissions summary'!AO12,SUMIF('Net zero emission reductions'!$A$4:$A$1448,$A$12,'Net zero emission reductions'!X$4:X$1448))</f>
        <v>6.6356925575162728</v>
      </c>
      <c r="AS12" s="101">
        <f>IF($A12="Baseline",'Emissions summary'!AP12,SUMIF('Net zero emission reductions'!$A$4:$A$1448,$A$12,'Net zero emission reductions'!Y$4:Y$1448))</f>
        <v>5.8509196546617668</v>
      </c>
      <c r="AT12" s="101">
        <f>IF($A12="Baseline",'Emissions summary'!AQ12,SUMIF('Net zero emission reductions'!$A$4:$A$1448,$A$12,'Net zero emission reductions'!Z$4:Z$1448))</f>
        <v>5.0559317139334468</v>
      </c>
      <c r="AU12" s="101">
        <f>IF($A12="Baseline",'Emissions summary'!AR12,SUMIF('Net zero emission reductions'!$A$4:$A$1448,$A$12,'Net zero emission reductions'!AA$4:AA$1448))</f>
        <v>4.2342741572037363</v>
      </c>
      <c r="AV12" s="101">
        <f>IF($A12="Baseline",'Emissions summary'!AS12,SUMIF('Net zero emission reductions'!$A$4:$A$1448,$A$12,'Net zero emission reductions'!AB$4:AB$1448))</f>
        <v>3.404846898753545</v>
      </c>
      <c r="AW12" s="101">
        <f>IF($A12="Baseline",'Emissions summary'!AT12,SUMIF('Net zero emission reductions'!$A$4:$A$1448,$A$12,'Net zero emission reductions'!AC$4:AC$1448))</f>
        <v>2.5634965093725093</v>
      </c>
      <c r="AX12" s="101">
        <f>IF($A12="Baseline",'Emissions summary'!AU12,SUMIF('Net zero emission reductions'!$A$4:$A$1448,$A$12,'Net zero emission reductions'!AD$4:AD$1448))</f>
        <v>2.3724736922191108</v>
      </c>
      <c r="AY12" s="101">
        <f>IF($A12="Baseline",'Emissions summary'!AV12,SUMIF('Net zero emission reductions'!$A$4:$A$1448,$A$12,'Net zero emission reductions'!AE$4:AE$1448))</f>
        <v>2.1739178551230509</v>
      </c>
      <c r="AZ12" s="101">
        <f>IF($A12="Baseline",'Emissions summary'!AW12,SUMIF('Net zero emission reductions'!$A$4:$A$1448,$A$12,'Net zero emission reductions'!AF$4:AF$1448))</f>
        <v>1.9662703190336301</v>
      </c>
      <c r="BA12" s="101">
        <f>IF($A12="Baseline",'Emissions summary'!AX12,SUMIF('Net zero emission reductions'!$A$4:$A$1448,$A$12,'Net zero emission reductions'!AG$4:AG$1448))</f>
        <v>1.7521359808595547</v>
      </c>
      <c r="BB12" s="101">
        <f>IF($A12="Baseline",'Emissions summary'!AY12,SUMIF('Net zero emission reductions'!$A$4:$A$1448,$A$12,'Net zero emission reductions'!AH$4:AH$1448))</f>
        <v>1.522872268126513</v>
      </c>
      <c r="BC12" s="101">
        <f>IF($A12="Baseline",'Emissions summary'!AZ12,SUMIF('Net zero emission reductions'!$A$4:$A$1448,$A$12,'Net zero emission reductions'!AI$4:AI$1448))</f>
        <v>1.2840967847624893</v>
      </c>
      <c r="BD12" s="101">
        <f>IF($A12="Baseline",'Emissions summary'!BA12,SUMIF('Net zero emission reductions'!$A$4:$A$1448,$A$12,'Net zero emission reductions'!AJ$4:AJ$1448))</f>
        <v>1.034753761584291</v>
      </c>
      <c r="BE12" s="101">
        <f>IF($A12="Baseline",'Emissions summary'!BB12,SUMIF('Net zero emission reductions'!$A$4:$A$1448,$A$12,'Net zero emission reductions'!AK$4:AK$1448))</f>
        <v>0.77356671537943578</v>
      </c>
      <c r="BF12" s="101">
        <f>IF($A12="Baseline",'Emissions summary'!BC12,SUMIF('Net zero emission reductions'!$A$4:$A$1448,$A$12,'Net zero emission reductions'!AL$4:AL$1448))</f>
        <v>0.50146462764980315</v>
      </c>
      <c r="BG12" s="101">
        <f>IF($A12="Baseline",'Emissions summary'!BD12,SUMIF('Net zero emission reductions'!$A$4:$A$1448,$A$12,'Net zero emission reductions'!AM$4:AM$1448))</f>
        <v>0.21847402782349962</v>
      </c>
      <c r="BH12" s="101">
        <f>IF($A12="Baseline",'Emissions summary'!BE12,SUMIF('Net zero emission reductions'!$A$4:$A$1448,$A$12,'Net zero emission reductions'!AN$4:AN$1448))</f>
        <v>0.17343518639094285</v>
      </c>
      <c r="BI12" s="101">
        <f>IF($A12="Baseline",'Emissions summary'!BF12,SUMIF('Net zero emission reductions'!$A$4:$A$1448,$A$12,'Net zero emission reductions'!AO$4:AO$1448))</f>
        <v>0.12563797594855747</v>
      </c>
      <c r="BJ12" s="101">
        <f>IF($A12="Baseline",'Emissions summary'!BG12,SUMIF('Net zero emission reductions'!$A$4:$A$1448,$A$12,'Net zero emission reductions'!AP$4:AP$1448))</f>
        <v>7.5236850354819862E-2</v>
      </c>
      <c r="BK12" s="101">
        <f>IF($A12="Baseline",'Emissions summary'!BH12,SUMIF('Net zero emission reductions'!$A$4:$A$1448,$A$12,'Net zero emission reductions'!AQ$4:AQ$1448))</f>
        <v>2.2141580445380116E-2</v>
      </c>
      <c r="BL12" s="101">
        <f>IF($A12="Baseline",'Emissions summary'!BI12,SUMIF('Net zero emission reductions'!$A$4:$A$1448,$A$12,'Net zero emission reductions'!AR$4:AR$1448))</f>
        <v>-3.3878094911164336E-2</v>
      </c>
      <c r="BM12" s="101">
        <f>IF($A12="Baseline",'Emissions summary'!BJ12,SUMIF('Net zero emission reductions'!$A$4:$A$1448,$A$12,'Net zero emission reductions'!AS$4:AS$1448))</f>
        <v>-9.3023355109643435E-2</v>
      </c>
      <c r="BN12" s="101">
        <f>IF($A12="Baseline",'Emissions summary'!BK12,SUMIF('Net zero emission reductions'!$A$4:$A$1448,$A$12,'Net zero emission reductions'!AT$4:AT$1448))</f>
        <v>-0.15278035981689481</v>
      </c>
      <c r="BO12" s="101">
        <f>IF($A12="Baseline",'Emissions summary'!BL12,SUMIF('Net zero emission reductions'!$A$4:$A$1448,$A$12,'Net zero emission reductions'!AU$4:AU$1448))</f>
        <v>-0.2142184472281356</v>
      </c>
      <c r="BP12" s="101">
        <f>IF($A12="Baseline",'Emissions summary'!BM12,SUMIF('Net zero emission reductions'!$A$4:$A$1448,$A$12,'Net zero emission reductions'!AV$4:AV$1448))</f>
        <v>-0.27798738233733233</v>
      </c>
      <c r="BQ12" s="101">
        <f>IF($A12="Baseline",'Emissions summary'!BN12,SUMIF('Net zero emission reductions'!$A$4:$A$1448,$A$12,'Net zero emission reductions'!AW$4:AW$1448))</f>
        <v>-0.34354066705458985</v>
      </c>
    </row>
    <row r="13" spans="1:75" x14ac:dyDescent="0.25">
      <c r="A13" s="102" t="str">
        <f t="shared" si="2"/>
        <v>FSFAGSPQNIBDDSCM Sheep MMCH4</v>
      </c>
      <c r="B13" s="102" t="str">
        <f t="shared" si="9"/>
        <v>FSFAGSPQNIBDDSCM</v>
      </c>
      <c r="C13" s="103" t="s">
        <v>1325</v>
      </c>
      <c r="D13" t="str">
        <f t="shared" si="4"/>
        <v>3A Livestock</v>
      </c>
      <c r="E13" t="str">
        <f>E12</f>
        <v>3A2 Manure management (CH4)</v>
      </c>
      <c r="F13" t="str">
        <f>'IPCC Categories'!C22</f>
        <v>3A2c Sheep</v>
      </c>
      <c r="G13" t="str">
        <f t="shared" ref="G13:H18" si="10">G12</f>
        <v>CH4</v>
      </c>
      <c r="H13" t="str">
        <f t="shared" si="10"/>
        <v>Gg CH4</v>
      </c>
      <c r="I13" s="28">
        <f>'Emissions summary'!F13</f>
        <v>6.2894599121782607E-2</v>
      </c>
      <c r="J13" s="28">
        <f>'Emissions summary'!G13</f>
        <v>6.0066555504044758E-2</v>
      </c>
      <c r="K13" s="28">
        <f>'Emissions summary'!H13</f>
        <v>5.7584674495303009E-2</v>
      </c>
      <c r="L13" s="28">
        <f>'Emissions summary'!I13</f>
        <v>5.3854510138969261E-2</v>
      </c>
      <c r="M13" s="28">
        <f>'Emissions summary'!J13</f>
        <v>5.4234240031261954E-2</v>
      </c>
      <c r="N13" s="28">
        <f>'Emissions summary'!K13</f>
        <v>5.3457996605028271E-2</v>
      </c>
      <c r="O13" s="28">
        <f>'Emissions summary'!L13</f>
        <v>5.3636322797541415E-2</v>
      </c>
      <c r="P13" s="28">
        <f>'Emissions summary'!M13</f>
        <v>5.2469859702984858E-2</v>
      </c>
      <c r="Q13" s="28">
        <f>'Emissions summary'!N13</f>
        <v>5.2614618612201423E-2</v>
      </c>
      <c r="R13" s="28">
        <f>'Emissions summary'!O13</f>
        <v>5.1322278205282637E-2</v>
      </c>
      <c r="S13" s="28">
        <f>'Emissions summary'!P13</f>
        <v>4.9482371489588214E-2</v>
      </c>
      <c r="T13" s="28">
        <f>'Emissions summary'!Q13</f>
        <v>4.8248773828438465E-2</v>
      </c>
      <c r="U13" s="28">
        <f>'Emissions summary'!R13</f>
        <v>4.7443159029320267E-2</v>
      </c>
      <c r="V13" s="28">
        <f>'Emissions summary'!S13</f>
        <v>4.7608897490597185E-2</v>
      </c>
      <c r="W13" s="28">
        <f>'Emissions summary'!T13</f>
        <v>4.6761323587358246E-2</v>
      </c>
      <c r="X13" s="28">
        <f>'Emissions summary'!U13</f>
        <v>4.6650131961438294E-2</v>
      </c>
      <c r="Y13" s="28">
        <f>'Emissions summary'!V13</f>
        <v>4.6039626996481529E-2</v>
      </c>
      <c r="Z13" s="28">
        <f>'Emissions summary'!W13</f>
        <v>4.5995569937154757E-2</v>
      </c>
      <c r="AA13" s="28">
        <f>'Emissions summary'!X13</f>
        <v>4.6144524756783378E-2</v>
      </c>
      <c r="AB13" s="28">
        <f>'Emissions summary'!Y13</f>
        <v>4.5980884250712492E-2</v>
      </c>
      <c r="AC13" s="28">
        <f>'Emissions summary'!Z13</f>
        <v>4.5091351243352819E-2</v>
      </c>
      <c r="AD13" s="28">
        <f>'Emissions summary'!AA13</f>
        <v>4.4738894768738595E-2</v>
      </c>
      <c r="AE13" s="28">
        <f>SUM('Net zero emission reductions'!K1399:K1400)</f>
        <v>4.0166488283782435E-2</v>
      </c>
      <c r="AF13" s="28">
        <f>SUM('Net zero emission reductions'!L1399:L1400)</f>
        <v>4.0188165371809373E-2</v>
      </c>
      <c r="AG13" s="28">
        <f>SUM('Net zero emission reductions'!M1399:M1400)</f>
        <v>4.023799914899804E-2</v>
      </c>
      <c r="AH13" s="28">
        <f>SUM('Net zero emission reductions'!N1399:N1400)</f>
        <v>4.031198203395478E-2</v>
      </c>
      <c r="AI13" s="28">
        <f>SUM('Net zero emission reductions'!O1399:O1400)</f>
        <v>4.0411838765967087E-2</v>
      </c>
      <c r="AJ13" s="28">
        <f>SUM('Net zero emission reductions'!P1399:P1400)</f>
        <v>4.0539576191914159E-2</v>
      </c>
      <c r="AK13" s="28">
        <f>SUM('Net zero emission reductions'!Q1399:Q1400)</f>
        <v>4.0680329546835925E-2</v>
      </c>
      <c r="AL13" s="28">
        <f>SUM('Net zero emission reductions'!R1399:R1400)</f>
        <v>4.083191270938287E-2</v>
      </c>
      <c r="AM13" s="28">
        <f>SUM('Net zero emission reductions'!S1399:S1400)</f>
        <v>4.098209239671502E-2</v>
      </c>
      <c r="AN13" s="28">
        <f>SUM('Net zero emission reductions'!T1399:T1400)</f>
        <v>4.1043552625018159E-2</v>
      </c>
      <c r="AO13" s="28">
        <f>SUM('Net zero emission reductions'!U1399:U1400)</f>
        <v>4.1113342622450068E-2</v>
      </c>
      <c r="AP13" s="28">
        <f>SUM('Net zero emission reductions'!V1399:V1400)</f>
        <v>4.1192270171244189E-2</v>
      </c>
      <c r="AQ13" s="28">
        <f>SUM('Net zero emission reductions'!W1399:W1400)</f>
        <v>4.1280907802886166E-2</v>
      </c>
      <c r="AR13" s="28">
        <f>SUM('Net zero emission reductions'!X1399:X1400)</f>
        <v>4.1380508650808709E-2</v>
      </c>
      <c r="AS13" s="28">
        <f>SUM('Net zero emission reductions'!Y1399:Y1400)</f>
        <v>4.1443133325484036E-2</v>
      </c>
      <c r="AT13" s="28">
        <f>SUM('Net zero emission reductions'!Z1399:Z1400)</f>
        <v>4.15136518972965E-2</v>
      </c>
      <c r="AU13" s="28">
        <f>SUM('Net zero emission reductions'!AA1399:AA1400)</f>
        <v>4.1590101737420122E-2</v>
      </c>
      <c r="AV13" s="28">
        <f>SUM('Net zero emission reductions'!AB1399:AB1400)</f>
        <v>4.1674275202987013E-2</v>
      </c>
      <c r="AW13" s="28">
        <f>SUM('Net zero emission reductions'!AC1399:AC1400)</f>
        <v>4.17661626557006E-2</v>
      </c>
      <c r="AX13" s="28">
        <f>SUM('Net zero emission reductions'!AD1399:AD1400)</f>
        <v>4.1826981163946404E-2</v>
      </c>
      <c r="AY13" s="28">
        <f>SUM('Net zero emission reductions'!AE1399:AE1400)</f>
        <v>4.1893716963360451E-2</v>
      </c>
      <c r="AZ13" s="28">
        <f>SUM('Net zero emission reductions'!AF1399:AF1400)</f>
        <v>4.1965921742962389E-2</v>
      </c>
      <c r="BA13" s="28">
        <f>SUM('Net zero emission reductions'!AG1399:AG1400)</f>
        <v>4.2044377124726945E-2</v>
      </c>
      <c r="BB13" s="28">
        <f>SUM('Net zero emission reductions'!AH1399:AH1400)</f>
        <v>4.2126306776579102E-2</v>
      </c>
      <c r="BC13" s="28">
        <f>SUM('Net zero emission reductions'!AI1399:AI1400)</f>
        <v>4.2178723152207762E-2</v>
      </c>
      <c r="BD13" s="28">
        <f>SUM('Net zero emission reductions'!AJ1399:AJ1400)</f>
        <v>4.2235585985169265E-2</v>
      </c>
      <c r="BE13" s="28">
        <f>SUM('Net zero emission reductions'!AK1399:AK1400)</f>
        <v>4.2296034090238632E-2</v>
      </c>
      <c r="BF13" s="28">
        <f>SUM('Net zero emission reductions'!AL1399:AL1400)</f>
        <v>4.2360398362860804E-2</v>
      </c>
      <c r="BG13" s="28">
        <f>SUM('Net zero emission reductions'!AM1399:AM1400)</f>
        <v>4.2428980333308365E-2</v>
      </c>
      <c r="BH13" s="28">
        <f>SUM('Net zero emission reductions'!AN1399:AN1400)</f>
        <v>4.2469401587613413E-2</v>
      </c>
      <c r="BI13" s="28">
        <f>SUM('Net zero emission reductions'!AO1399:AO1400)</f>
        <v>4.2512471357360818E-2</v>
      </c>
      <c r="BJ13" s="28">
        <f>SUM('Net zero emission reductions'!AP1399:AP1400)</f>
        <v>4.2558948638289275E-2</v>
      </c>
      <c r="BK13" s="28">
        <f>SUM('Net zero emission reductions'!AQ1399:AQ1400)</f>
        <v>4.2608751441212352E-2</v>
      </c>
      <c r="BL13" s="28">
        <f>SUM('Net zero emission reductions'!AR1399:AR1400)</f>
        <v>4.2662414471477887E-2</v>
      </c>
      <c r="BM13" s="28">
        <f>SUM('Net zero emission reductions'!AS1399:AS1400)</f>
        <v>4.2686600365663206E-2</v>
      </c>
      <c r="BN13" s="28">
        <f>SUM('Net zero emission reductions'!AT1399:AT1400)</f>
        <v>4.2707593416590646E-2</v>
      </c>
      <c r="BO13" s="28">
        <f>SUM('Net zero emission reductions'!AU1399:AU1400)</f>
        <v>4.2730769098322595E-2</v>
      </c>
      <c r="BP13" s="28">
        <f>SUM('Net zero emission reductions'!AV1399:AV1400)</f>
        <v>4.2757265194529805E-2</v>
      </c>
      <c r="BQ13" s="28">
        <f>SUM('Net zero emission reductions'!AW1399:AW1400)</f>
        <v>4.2785857554838075E-2</v>
      </c>
    </row>
    <row r="14" spans="1:75" x14ac:dyDescent="0.25">
      <c r="A14" s="102" t="str">
        <f t="shared" si="2"/>
        <v>FSFAGSPQNIBDDSCM Goats MMCH4</v>
      </c>
      <c r="B14" s="102" t="str">
        <f t="shared" si="9"/>
        <v>FSFAGSPQNIBDDSCM</v>
      </c>
      <c r="C14" s="103" t="s">
        <v>1326</v>
      </c>
      <c r="D14" t="str">
        <f t="shared" si="4"/>
        <v>3A Livestock</v>
      </c>
      <c r="E14" t="str">
        <f t="shared" si="4"/>
        <v>3A2 Manure management (CH4)</v>
      </c>
      <c r="F14" t="str">
        <f>'IPCC Categories'!C23</f>
        <v>3A2d Goats</v>
      </c>
      <c r="G14" t="str">
        <f t="shared" si="10"/>
        <v>CH4</v>
      </c>
      <c r="H14" t="str">
        <f t="shared" si="10"/>
        <v>Gg CH4</v>
      </c>
      <c r="I14" s="28">
        <f>'Emissions summary'!F14</f>
        <v>5.7474022342600642E-2</v>
      </c>
      <c r="J14" s="28">
        <f>'Emissions summary'!G14</f>
        <v>5.0823279310165601E-2</v>
      </c>
      <c r="K14" s="28">
        <f>'Emissions summary'!H14</f>
        <v>4.7342516601601464E-2</v>
      </c>
      <c r="L14" s="28">
        <f>'Emissions summary'!I14</f>
        <v>4.4731944570178372E-2</v>
      </c>
      <c r="M14" s="28">
        <f>'Emissions summary'!J14</f>
        <v>4.8419895535204649E-2</v>
      </c>
      <c r="N14" s="28">
        <f>'Emissions summary'!K14</f>
        <v>4.9082897955883539E-2</v>
      </c>
      <c r="O14" s="28">
        <f>'Emissions summary'!L14</f>
        <v>4.9849494504793493E-2</v>
      </c>
      <c r="P14" s="28">
        <f>'Emissions summary'!M14</f>
        <v>4.9600868597038911E-2</v>
      </c>
      <c r="Q14" s="28">
        <f>'Emissions summary'!N14</f>
        <v>4.8896428525067599E-2</v>
      </c>
      <c r="R14" s="28">
        <f>'Emissions summary'!O14</f>
        <v>4.8171269627450081E-2</v>
      </c>
      <c r="S14" s="28">
        <f>'Emissions summary'!P14</f>
        <v>4.8792834396836522E-2</v>
      </c>
      <c r="T14" s="28">
        <f>'Emissions summary'!Q14</f>
        <v>5.0284589843364008E-2</v>
      </c>
      <c r="U14" s="28">
        <f>'Emissions summary'!R14</f>
        <v>4.5912917632012634E-2</v>
      </c>
      <c r="V14" s="28">
        <f>'Emissions summary'!S14</f>
        <v>4.475266339582458E-2</v>
      </c>
      <c r="W14" s="28">
        <f>'Emissions summary'!T14</f>
        <v>4.4835538698409449E-2</v>
      </c>
      <c r="X14" s="28">
        <f>'Emissions summary'!U14</f>
        <v>4.4255411580315415E-2</v>
      </c>
      <c r="Y14" s="28">
        <f>'Emissions summary'!V14</f>
        <v>4.5187758734395102E-2</v>
      </c>
      <c r="Z14" s="28">
        <f>'Emissions summary'!W14</f>
        <v>4.3841035067391121E-2</v>
      </c>
      <c r="AA14" s="28">
        <f>'Emissions summary'!X14</f>
        <v>4.3799597416098693E-2</v>
      </c>
      <c r="AB14" s="28">
        <f>'Emissions summary'!Y14</f>
        <v>4.3033000867188732E-2</v>
      </c>
      <c r="AC14" s="28">
        <f>'Emissions summary'!Z14</f>
        <v>4.2515030226033354E-2</v>
      </c>
      <c r="AD14" s="28">
        <f>'Emissions summary'!AA14</f>
        <v>4.2121372538755267E-2</v>
      </c>
      <c r="AE14" s="28">
        <f>SUM('Net zero emission reductions'!K1401:K1402)</f>
        <v>4.2372169597710105E-2</v>
      </c>
      <c r="AF14" s="28">
        <f>SUM('Net zero emission reductions'!L1401:L1402)</f>
        <v>4.2482301911799372E-2</v>
      </c>
      <c r="AG14" s="28">
        <f>SUM('Net zero emission reductions'!M1401:M1402)</f>
        <v>4.2630817484941505E-2</v>
      </c>
      <c r="AH14" s="28">
        <f>SUM('Net zero emission reductions'!N1401:N1402)</f>
        <v>4.2811705682501609E-2</v>
      </c>
      <c r="AI14" s="28">
        <f>SUM('Net zero emission reductions'!O1401:O1402)</f>
        <v>4.3028366107910512E-2</v>
      </c>
      <c r="AJ14" s="28">
        <f>SUM('Net zero emission reductions'!P1401:P1402)</f>
        <v>4.3284508748877376E-2</v>
      </c>
      <c r="AK14" s="28">
        <f>SUM('Net zero emission reductions'!Q1401:Q1402)</f>
        <v>4.3555969396976868E-2</v>
      </c>
      <c r="AL14" s="28">
        <f>SUM('Net zero emission reductions'!R1401:R1402)</f>
        <v>4.3839571745148923E-2</v>
      </c>
      <c r="AM14" s="28">
        <f>SUM('Net zero emission reductions'!S1401:S1402)</f>
        <v>4.4115675663515597E-2</v>
      </c>
      <c r="AN14" s="28">
        <f>SUM('Net zero emission reductions'!T1401:T1402)</f>
        <v>4.424231319467703E-2</v>
      </c>
      <c r="AO14" s="28">
        <f>SUM('Net zero emission reductions'!U1401:U1402)</f>
        <v>4.4378878737709251E-2</v>
      </c>
      <c r="AP14" s="28">
        <f>SUM('Net zero emission reductions'!V1401:V1402)</f>
        <v>4.4526893594161385E-2</v>
      </c>
      <c r="AQ14" s="28">
        <f>SUM('Net zero emission reductions'!W1401:W1402)</f>
        <v>4.4687453485315935E-2</v>
      </c>
      <c r="AR14" s="28">
        <f>SUM('Net zero emission reductions'!X1401:X1402)</f>
        <v>4.486271839426987E-2</v>
      </c>
      <c r="AS14" s="28">
        <f>SUM('Net zero emission reductions'!Y1401:Y1402)</f>
        <v>4.4975524896607819E-2</v>
      </c>
      <c r="AT14" s="28">
        <f>SUM('Net zero emission reductions'!Z1401:Z1402)</f>
        <v>4.5098628990843895E-2</v>
      </c>
      <c r="AU14" s="28">
        <f>SUM('Net zero emission reductions'!AA1401:AA1402)</f>
        <v>4.522896847558866E-2</v>
      </c>
      <c r="AV14" s="28">
        <f>SUM('Net zero emission reductions'!AB1401:AB1402)</f>
        <v>4.5369506640235549E-2</v>
      </c>
      <c r="AW14" s="28">
        <f>SUM('Net zero emission reductions'!AC1401:AC1402)</f>
        <v>4.5520290862521094E-2</v>
      </c>
      <c r="AX14" s="28">
        <f>SUM('Net zero emission reductions'!AD1401:AD1402)</f>
        <v>4.5619538948445962E-2</v>
      </c>
      <c r="AY14" s="28">
        <f>SUM('Net zero emission reductions'!AE1401:AE1402)</f>
        <v>4.5726522438155545E-2</v>
      </c>
      <c r="AZ14" s="28">
        <f>SUM('Net zero emission reductions'!AF1401:AF1402)</f>
        <v>4.5840575315392568E-2</v>
      </c>
      <c r="BA14" s="28">
        <f>SUM('Net zero emission reductions'!AG1401:AG1402)</f>
        <v>4.5962979507244983E-2</v>
      </c>
      <c r="BB14" s="28">
        <f>SUM('Net zero emission reductions'!AH1401:AH1402)</f>
        <v>4.6089373273864906E-2</v>
      </c>
      <c r="BC14" s="28">
        <f>SUM('Net zero emission reductions'!AI1401:AI1402)</f>
        <v>4.6167726583670674E-2</v>
      </c>
      <c r="BD14" s="28">
        <f>SUM('Net zero emission reductions'!AJ1401:AJ1402)</f>
        <v>4.6251890241949589E-2</v>
      </c>
      <c r="BE14" s="28">
        <f>SUM('Net zero emission reductions'!AK1401:AK1402)</f>
        <v>4.6340535548289902E-2</v>
      </c>
      <c r="BF14" s="28">
        <f>SUM('Net zero emission reductions'!AL1401:AL1402)</f>
        <v>4.6434211487869352E-2</v>
      </c>
      <c r="BG14" s="28">
        <f>SUM('Net zero emission reductions'!AM1401:AM1402)</f>
        <v>4.653341369718321E-2</v>
      </c>
      <c r="BH14" s="28">
        <f>SUM('Net zero emission reductions'!AN1401:AN1402)</f>
        <v>4.6587504489709997E-2</v>
      </c>
      <c r="BI14" s="28">
        <f>SUM('Net zero emission reductions'!AO1401:AO1402)</f>
        <v>4.6644879430014302E-2</v>
      </c>
      <c r="BJ14" s="28">
        <f>SUM('Net zero emission reductions'!AP1401:AP1402)</f>
        <v>4.6706742750419306E-2</v>
      </c>
      <c r="BK14" s="28">
        <f>SUM('Net zero emission reductions'!AQ1401:AQ1402)</f>
        <v>4.6772979359700262E-2</v>
      </c>
      <c r="BL14" s="28">
        <f>SUM('Net zero emission reductions'!AR1401:AR1402)</f>
        <v>4.6844431280952545E-2</v>
      </c>
      <c r="BM14" s="28">
        <f>SUM('Net zero emission reductions'!AS1401:AS1402)</f>
        <v>4.6869389462044345E-2</v>
      </c>
      <c r="BN14" s="28">
        <f>SUM('Net zero emission reductions'!AT1401:AT1402)</f>
        <v>4.6888817882323436E-2</v>
      </c>
      <c r="BO14" s="28">
        <f>SUM('Net zero emission reductions'!AU1401:AU1402)</f>
        <v>4.6911080073778991E-2</v>
      </c>
      <c r="BP14" s="28">
        <f>SUM('Net zero emission reductions'!AV1401:AV1402)</f>
        <v>4.693794215283259E-2</v>
      </c>
      <c r="BQ14" s="28">
        <f>SUM('Net zero emission reductions'!AW1401:AW1402)</f>
        <v>4.6967517442640251E-2</v>
      </c>
    </row>
    <row r="15" spans="1:75" x14ac:dyDescent="0.25">
      <c r="A15" s="102" t="str">
        <f t="shared" si="2"/>
        <v>FSFAGSPQNIBDDSCM Horses MMCH4</v>
      </c>
      <c r="B15" s="102" t="str">
        <f t="shared" si="9"/>
        <v>FSFAGSPQNIBDDSCM</v>
      </c>
      <c r="C15" s="103" t="s">
        <v>1327</v>
      </c>
      <c r="D15" t="str">
        <f t="shared" si="4"/>
        <v>3A Livestock</v>
      </c>
      <c r="E15" t="str">
        <f t="shared" si="4"/>
        <v>3A2 Manure management (CH4)</v>
      </c>
      <c r="F15" t="str">
        <f>'IPCC Categories'!C24</f>
        <v>3A2f Horses</v>
      </c>
      <c r="G15" t="str">
        <f t="shared" si="10"/>
        <v>CH4</v>
      </c>
      <c r="H15" t="str">
        <f t="shared" si="10"/>
        <v>Gg CH4</v>
      </c>
      <c r="I15" s="28">
        <f>'Emissions summary'!F15</f>
        <v>3.0819999999999997E-3</v>
      </c>
      <c r="J15" s="28">
        <f>'Emissions summary'!G15</f>
        <v>3.0819999999999997E-3</v>
      </c>
      <c r="K15" s="28">
        <f>'Emissions summary'!H15</f>
        <v>3.0819999999999997E-3</v>
      </c>
      <c r="L15" s="28">
        <f>'Emissions summary'!I15</f>
        <v>3.1489999999999999E-3</v>
      </c>
      <c r="M15" s="28">
        <f>'Emissions summary'!J15</f>
        <v>3.2159999999999997E-3</v>
      </c>
      <c r="N15" s="28">
        <f>'Emissions summary'!K15</f>
        <v>3.2829999999999999E-3</v>
      </c>
      <c r="O15" s="28">
        <f>'Emissions summary'!L15</f>
        <v>3.3499999999999997E-3</v>
      </c>
      <c r="P15" s="28">
        <f>'Emissions summary'!M15</f>
        <v>3.4169999999999999E-3</v>
      </c>
      <c r="Q15" s="28">
        <f>'Emissions summary'!N15</f>
        <v>3.4839999999999997E-3</v>
      </c>
      <c r="R15" s="28">
        <f>'Emissions summary'!O15</f>
        <v>3.4572000000000001E-3</v>
      </c>
      <c r="S15" s="28">
        <f>'Emissions summary'!P15</f>
        <v>3.6179999999999997E-3</v>
      </c>
      <c r="T15" s="28">
        <f>'Emissions summary'!Q15</f>
        <v>3.6179999999999997E-3</v>
      </c>
      <c r="U15" s="28">
        <f>'Emissions summary'!R15</f>
        <v>3.6179999999999997E-3</v>
      </c>
      <c r="V15" s="28">
        <f>'Emissions summary'!S15</f>
        <v>3.6179999999999997E-3</v>
      </c>
      <c r="W15" s="28">
        <f>'Emissions summary'!T15</f>
        <v>3.6179999999999997E-3</v>
      </c>
      <c r="X15" s="28">
        <f>'Emissions summary'!U15</f>
        <v>3.6179999999999997E-3</v>
      </c>
      <c r="Y15" s="28">
        <f>'Emissions summary'!V15</f>
        <v>3.7519999999999997E-3</v>
      </c>
      <c r="Z15" s="28">
        <f>'Emissions summary'!W15</f>
        <v>3.8859999999999997E-3</v>
      </c>
      <c r="AA15" s="28">
        <f>'Emissions summary'!X15</f>
        <v>3.9931999999999997E-3</v>
      </c>
      <c r="AB15" s="28">
        <f>'Emissions summary'!Y15</f>
        <v>4.0200000000000001E-3</v>
      </c>
      <c r="AC15" s="28">
        <f>'Emissions summary'!Z15</f>
        <v>4.0200000000000001E-3</v>
      </c>
      <c r="AD15" s="28">
        <f>'Emissions summary'!AA15</f>
        <v>4.0869999999999995E-3</v>
      </c>
      <c r="AE15" s="28">
        <f>'Net zero emission reductions'!K1403</f>
        <v>4.1409780786531561E-3</v>
      </c>
      <c r="AF15" s="28">
        <f>'Net zero emission reductions'!L1403</f>
        <v>4.1688671764084162E-3</v>
      </c>
      <c r="AG15" s="28">
        <f>'Net zero emission reductions'!M1403</f>
        <v>4.1857409403688933E-3</v>
      </c>
      <c r="AH15" s="28">
        <f>'Net zero emission reductions'!N1403</f>
        <v>4.1635395322190223E-3</v>
      </c>
      <c r="AI15" s="28">
        <f>'Net zero emission reductions'!O1403</f>
        <v>4.1408513683072233E-3</v>
      </c>
      <c r="AJ15" s="28">
        <f>'Net zero emission reductions'!P1403</f>
        <v>4.1549094768624506E-3</v>
      </c>
      <c r="AK15" s="28">
        <f>'Net zero emission reductions'!Q1403</f>
        <v>4.1567255728426969E-3</v>
      </c>
      <c r="AL15" s="28">
        <f>'Net zero emission reductions'!R1403</f>
        <v>4.1179597585422178E-3</v>
      </c>
      <c r="AM15" s="28">
        <f>'Net zero emission reductions'!S1403</f>
        <v>3.9049943158389311E-3</v>
      </c>
      <c r="AN15" s="28">
        <f>'Net zero emission reductions'!T1403</f>
        <v>3.9699795028704365E-3</v>
      </c>
      <c r="AO15" s="28">
        <f>'Net zero emission reductions'!U1403</f>
        <v>4.0126860665387013E-3</v>
      </c>
      <c r="AP15" s="28">
        <f>'Net zero emission reductions'!V1403</f>
        <v>4.0499492305839649E-3</v>
      </c>
      <c r="AQ15" s="28">
        <f>'Net zero emission reductions'!W1403</f>
        <v>4.09467284204442E-3</v>
      </c>
      <c r="AR15" s="28">
        <f>'Net zero emission reductions'!X1403</f>
        <v>4.1665387441703824E-3</v>
      </c>
      <c r="AS15" s="28">
        <f>'Net zero emission reductions'!Y1403</f>
        <v>4.248702300747329E-3</v>
      </c>
      <c r="AT15" s="28">
        <f>'Net zero emission reductions'!Z1403</f>
        <v>4.3374921923911899E-3</v>
      </c>
      <c r="AU15" s="28">
        <f>'Net zero emission reductions'!AA1403</f>
        <v>4.414637811470782E-3</v>
      </c>
      <c r="AV15" s="28">
        <f>'Net zero emission reductions'!AB1403</f>
        <v>4.5040673251205239E-3</v>
      </c>
      <c r="AW15" s="28">
        <f>'Net zero emission reductions'!AC1403</f>
        <v>4.6087014569709678E-3</v>
      </c>
      <c r="AX15" s="28">
        <f>'Net zero emission reductions'!AD1403</f>
        <v>4.7138573349945522E-3</v>
      </c>
      <c r="AY15" s="28">
        <f>'Net zero emission reductions'!AE1403</f>
        <v>4.8236014553834257E-3</v>
      </c>
      <c r="AZ15" s="28">
        <f>'Net zero emission reductions'!AF1403</f>
        <v>4.9354202086686252E-3</v>
      </c>
      <c r="BA15" s="28">
        <f>'Net zero emission reductions'!AG1403</f>
        <v>5.0601637107160246E-3</v>
      </c>
      <c r="BB15" s="28">
        <f>'Net zero emission reductions'!AH1403</f>
        <v>5.1692799161183493E-3</v>
      </c>
      <c r="BC15" s="28">
        <f>'Net zero emission reductions'!AI1403</f>
        <v>5.2891896269508833E-3</v>
      </c>
      <c r="BD15" s="28">
        <f>'Net zero emission reductions'!AJ1403</f>
        <v>5.4110891568061297E-3</v>
      </c>
      <c r="BE15" s="28">
        <f>'Net zero emission reductions'!AK1403</f>
        <v>5.5272908454311459E-3</v>
      </c>
      <c r="BF15" s="28">
        <f>'Net zero emission reductions'!AL1403</f>
        <v>5.6429797772661562E-3</v>
      </c>
      <c r="BG15" s="28">
        <f>'Net zero emission reductions'!AM1403</f>
        <v>5.7628358631585681E-3</v>
      </c>
      <c r="BH15" s="28">
        <f>'Net zero emission reductions'!AN1403</f>
        <v>5.8932639862966018E-3</v>
      </c>
      <c r="BI15" s="28">
        <f>'Net zero emission reductions'!AO1403</f>
        <v>6.015926079762964E-3</v>
      </c>
      <c r="BJ15" s="28">
        <f>'Net zero emission reductions'!AP1403</f>
        <v>6.1402055338910435E-3</v>
      </c>
      <c r="BK15" s="28">
        <f>'Net zero emission reductions'!AQ1403</f>
        <v>6.266331762949981E-3</v>
      </c>
      <c r="BL15" s="28">
        <f>'Net zero emission reductions'!AR1403</f>
        <v>6.4010164026291104E-3</v>
      </c>
      <c r="BM15" s="28">
        <f>'Net zero emission reductions'!AS1403</f>
        <v>6.544222904657609E-3</v>
      </c>
      <c r="BN15" s="28">
        <f>'Net zero emission reductions'!AT1403</f>
        <v>6.6249233396269902E-3</v>
      </c>
      <c r="BO15" s="28">
        <f>'Net zero emission reductions'!AU1403</f>
        <v>6.7012526002480271E-3</v>
      </c>
      <c r="BP15" s="28">
        <f>'Net zero emission reductions'!AV1403</f>
        <v>6.7861102667668991E-3</v>
      </c>
      <c r="BQ15" s="28">
        <f>'Net zero emission reductions'!AW1403</f>
        <v>6.8673471283418426E-3</v>
      </c>
    </row>
    <row r="16" spans="1:75" x14ac:dyDescent="0.25">
      <c r="A16" s="102" t="str">
        <f t="shared" si="2"/>
        <v>FSFAGSPQNIBDDSCM Mules MM CH4</v>
      </c>
      <c r="B16" s="102" t="str">
        <f t="shared" si="9"/>
        <v>FSFAGSPQNIBDDSCM</v>
      </c>
      <c r="C16" s="103" t="s">
        <v>1335</v>
      </c>
      <c r="D16" t="str">
        <f t="shared" si="4"/>
        <v>3A Livestock</v>
      </c>
      <c r="E16" t="str">
        <f t="shared" si="4"/>
        <v>3A2 Manure management (CH4)</v>
      </c>
      <c r="F16" t="str">
        <f>'IPCC Categories'!C25</f>
        <v>3A2g Mules &amp; asses</v>
      </c>
      <c r="G16" t="str">
        <f t="shared" si="10"/>
        <v>CH4</v>
      </c>
      <c r="H16" t="str">
        <f t="shared" si="10"/>
        <v>Gg CH4</v>
      </c>
      <c r="I16" s="28">
        <f>'Emissions summary'!F16</f>
        <v>1.0079999999999998E-3</v>
      </c>
      <c r="J16" s="28">
        <f>'Emissions summary'!G16</f>
        <v>1.0079999999999998E-3</v>
      </c>
      <c r="K16" s="28">
        <f>'Emissions summary'!H16</f>
        <v>1.0079999999999998E-3</v>
      </c>
      <c r="L16" s="28">
        <f>'Emissions summary'!I16</f>
        <v>1.0079999999999998E-3</v>
      </c>
      <c r="M16" s="28">
        <f>'Emissions summary'!J16</f>
        <v>1.0079999999999998E-3</v>
      </c>
      <c r="N16" s="28">
        <f>'Emissions summary'!K16</f>
        <v>1.0079999999999998E-3</v>
      </c>
      <c r="O16" s="28">
        <f>'Emissions summary'!L16</f>
        <v>1.0079999999999998E-3</v>
      </c>
      <c r="P16" s="28">
        <f>'Emissions summary'!M16</f>
        <v>1.0079999999999998E-3</v>
      </c>
      <c r="Q16" s="28">
        <f>'Emissions summary'!N16</f>
        <v>1.0079999999999998E-3</v>
      </c>
      <c r="R16" s="28">
        <f>'Emissions summary'!O16</f>
        <v>1.0079999999999998E-3</v>
      </c>
      <c r="S16" s="28">
        <f>'Emissions summary'!P16</f>
        <v>7.3799999999999994E-4</v>
      </c>
      <c r="T16" s="28">
        <f>'Emissions summary'!Q16</f>
        <v>7.3799999999999994E-4</v>
      </c>
      <c r="U16" s="28">
        <f>'Emissions summary'!R16</f>
        <v>7.3799999999999994E-4</v>
      </c>
      <c r="V16" s="28">
        <f>'Emissions summary'!S16</f>
        <v>7.3799999999999994E-4</v>
      </c>
      <c r="W16" s="28">
        <f>'Emissions summary'!T16</f>
        <v>7.3799999999999994E-4</v>
      </c>
      <c r="X16" s="28">
        <f>'Emissions summary'!U16</f>
        <v>7.3799999999999994E-4</v>
      </c>
      <c r="Y16" s="28">
        <f>'Emissions summary'!V16</f>
        <v>7.3822499999999991E-4</v>
      </c>
      <c r="Z16" s="28">
        <f>'Emissions summary'!W16</f>
        <v>7.4069999999999995E-4</v>
      </c>
      <c r="AA16" s="28">
        <f>'Emissions summary'!X16</f>
        <v>7.4114999999999999E-4</v>
      </c>
      <c r="AB16" s="28">
        <f>'Emissions summary'!Y16</f>
        <v>7.4159999999999992E-4</v>
      </c>
      <c r="AC16" s="28">
        <f>'Emissions summary'!Z16</f>
        <v>7.4834999999999984E-4</v>
      </c>
      <c r="AD16" s="28">
        <f>'Emissions summary'!AA16</f>
        <v>7.515E-4</v>
      </c>
      <c r="AE16" s="28">
        <f>'Net zero emission reductions'!K1404</f>
        <v>7.515E-4</v>
      </c>
      <c r="AF16" s="28">
        <f>'Net zero emission reductions'!L1404</f>
        <v>7.515E-4</v>
      </c>
      <c r="AG16" s="28">
        <f>'Net zero emission reductions'!M1404</f>
        <v>7.515E-4</v>
      </c>
      <c r="AH16" s="28">
        <f>'Net zero emission reductions'!N1404</f>
        <v>7.515E-4</v>
      </c>
      <c r="AI16" s="28">
        <f>'Net zero emission reductions'!O1404</f>
        <v>7.515E-4</v>
      </c>
      <c r="AJ16" s="28">
        <f>'Net zero emission reductions'!P1404</f>
        <v>7.515E-4</v>
      </c>
      <c r="AK16" s="28">
        <f>'Net zero emission reductions'!Q1404</f>
        <v>7.515E-4</v>
      </c>
      <c r="AL16" s="28">
        <f>'Net zero emission reductions'!R1404</f>
        <v>7.515E-4</v>
      </c>
      <c r="AM16" s="28">
        <f>'Net zero emission reductions'!S1404</f>
        <v>7.515E-4</v>
      </c>
      <c r="AN16" s="28">
        <f>'Net zero emission reductions'!T1404</f>
        <v>7.515E-4</v>
      </c>
      <c r="AO16" s="28">
        <f>'Net zero emission reductions'!U1404</f>
        <v>7.515E-4</v>
      </c>
      <c r="AP16" s="28">
        <f>'Net zero emission reductions'!V1404</f>
        <v>7.515E-4</v>
      </c>
      <c r="AQ16" s="28">
        <f>'Net zero emission reductions'!W1404</f>
        <v>7.515E-4</v>
      </c>
      <c r="AR16" s="28">
        <f>'Net zero emission reductions'!X1404</f>
        <v>7.515E-4</v>
      </c>
      <c r="AS16" s="28">
        <f>'Net zero emission reductions'!Y1404</f>
        <v>7.515E-4</v>
      </c>
      <c r="AT16" s="28">
        <f>'Net zero emission reductions'!Z1404</f>
        <v>7.515E-4</v>
      </c>
      <c r="AU16" s="28">
        <f>'Net zero emission reductions'!AA1404</f>
        <v>7.515E-4</v>
      </c>
      <c r="AV16" s="28">
        <f>'Net zero emission reductions'!AB1404</f>
        <v>7.515E-4</v>
      </c>
      <c r="AW16" s="28">
        <f>'Net zero emission reductions'!AC1404</f>
        <v>7.515E-4</v>
      </c>
      <c r="AX16" s="28">
        <f>'Net zero emission reductions'!AD1404</f>
        <v>7.515E-4</v>
      </c>
      <c r="AY16" s="28">
        <f>'Net zero emission reductions'!AE1404</f>
        <v>7.515E-4</v>
      </c>
      <c r="AZ16" s="28">
        <f>'Net zero emission reductions'!AF1404</f>
        <v>7.515E-4</v>
      </c>
      <c r="BA16" s="28">
        <f>'Net zero emission reductions'!AG1404</f>
        <v>7.515E-4</v>
      </c>
      <c r="BB16" s="28">
        <f>'Net zero emission reductions'!AH1404</f>
        <v>7.515E-4</v>
      </c>
      <c r="BC16" s="28">
        <f>'Net zero emission reductions'!AI1404</f>
        <v>7.515E-4</v>
      </c>
      <c r="BD16" s="28">
        <f>'Net zero emission reductions'!AJ1404</f>
        <v>7.515E-4</v>
      </c>
      <c r="BE16" s="28">
        <f>'Net zero emission reductions'!AK1404</f>
        <v>7.515E-4</v>
      </c>
      <c r="BF16" s="28">
        <f>'Net zero emission reductions'!AL1404</f>
        <v>7.515E-4</v>
      </c>
      <c r="BG16" s="28">
        <f>'Net zero emission reductions'!AM1404</f>
        <v>7.515E-4</v>
      </c>
      <c r="BH16" s="28">
        <f>'Net zero emission reductions'!AN1404</f>
        <v>7.515E-4</v>
      </c>
      <c r="BI16" s="28">
        <f>'Net zero emission reductions'!AO1404</f>
        <v>7.515E-4</v>
      </c>
      <c r="BJ16" s="28">
        <f>'Net zero emission reductions'!AP1404</f>
        <v>7.515E-4</v>
      </c>
      <c r="BK16" s="28">
        <f>'Net zero emission reductions'!AQ1404</f>
        <v>7.515E-4</v>
      </c>
      <c r="BL16" s="28">
        <f>'Net zero emission reductions'!AR1404</f>
        <v>7.515E-4</v>
      </c>
      <c r="BM16" s="28">
        <f>'Net zero emission reductions'!AS1404</f>
        <v>7.515E-4</v>
      </c>
      <c r="BN16" s="28">
        <f>'Net zero emission reductions'!AT1404</f>
        <v>7.515E-4</v>
      </c>
      <c r="BO16" s="28">
        <f>'Net zero emission reductions'!AU1404</f>
        <v>7.515E-4</v>
      </c>
      <c r="BP16" s="28">
        <f>'Net zero emission reductions'!AV1404</f>
        <v>7.515E-4</v>
      </c>
      <c r="BQ16" s="28">
        <f>'Net zero emission reductions'!AW1404</f>
        <v>7.515E-4</v>
      </c>
    </row>
    <row r="17" spans="1:72" x14ac:dyDescent="0.25">
      <c r="A17" s="102" t="str">
        <f t="shared" si="2"/>
        <v>FSFAGSPQNIBDDSCM Swine MMCH4</v>
      </c>
      <c r="B17" s="102" t="str">
        <f t="shared" si="9"/>
        <v>FSFAGSPQNIBDDSCM</v>
      </c>
      <c r="C17" s="103" t="s">
        <v>1231</v>
      </c>
      <c r="D17" t="str">
        <f t="shared" si="4"/>
        <v>3A Livestock</v>
      </c>
      <c r="E17" t="str">
        <f t="shared" si="4"/>
        <v>3A2 Manure management (CH4)</v>
      </c>
      <c r="F17" t="str">
        <f>'IPCC Categories'!C26</f>
        <v>3A2h Swine</v>
      </c>
      <c r="G17" t="str">
        <f t="shared" si="10"/>
        <v>CH4</v>
      </c>
      <c r="H17" t="str">
        <f t="shared" si="10"/>
        <v>Gg CH4</v>
      </c>
      <c r="I17" s="28">
        <f>'Emissions summary'!F17</f>
        <v>21.491561588124931</v>
      </c>
      <c r="J17" s="28">
        <f>'Emissions summary'!G17</f>
        <v>23.479954097262475</v>
      </c>
      <c r="K17" s="28">
        <f>'Emissions summary'!H17</f>
        <v>23.324831277400676</v>
      </c>
      <c r="L17" s="28">
        <f>'Emissions summary'!I17</f>
        <v>23.310729202867787</v>
      </c>
      <c r="M17" s="28">
        <f>'Emissions summary'!J17</f>
        <v>22.140257016637882</v>
      </c>
      <c r="N17" s="28">
        <f>'Emissions summary'!K17</f>
        <v>22.351788134631242</v>
      </c>
      <c r="O17" s="28">
        <f>'Emissions summary'!L17</f>
        <v>24.072241227643865</v>
      </c>
      <c r="P17" s="28">
        <f>'Emissions summary'!M17</f>
        <v>23.959424631380745</v>
      </c>
      <c r="Q17" s="28">
        <f>'Emissions summary'!N17</f>
        <v>24.481201389097684</v>
      </c>
      <c r="R17" s="28">
        <f>'Emissions summary'!O17</f>
        <v>25.101692668544864</v>
      </c>
      <c r="S17" s="28">
        <f>'Emissions summary'!P17</f>
        <v>23.22611675567045</v>
      </c>
      <c r="T17" s="28">
        <f>'Emissions summary'!Q17</f>
        <v>23.663281066190045</v>
      </c>
      <c r="U17" s="28">
        <f>'Emissions summary'!R17</f>
        <v>24.11454745124254</v>
      </c>
      <c r="V17" s="28">
        <f>'Emissions summary'!S17</f>
        <v>23.451749948196689</v>
      </c>
      <c r="W17" s="28">
        <f>'Emissions summary'!T17</f>
        <v>23.451749948196689</v>
      </c>
      <c r="X17" s="28">
        <f>'Emissions summary'!U17</f>
        <v>23.282525053802008</v>
      </c>
      <c r="Y17" s="28">
        <f>'Emissions summary'!V17</f>
        <v>22.873564892348188</v>
      </c>
      <c r="Z17" s="28">
        <f>'Emissions summary'!W17</f>
        <v>23.282525053802008</v>
      </c>
      <c r="AA17" s="28">
        <f>'Emissions summary'!X17</f>
        <v>22.774850370617955</v>
      </c>
      <c r="AB17" s="28">
        <f>'Emissions summary'!Y17</f>
        <v>22.746646221552176</v>
      </c>
      <c r="AC17" s="28">
        <f>'Emissions summary'!Z17</f>
        <v>22.478706805427255</v>
      </c>
      <c r="AD17" s="28">
        <f>'Emissions summary'!AA17</f>
        <v>22.337686060098353</v>
      </c>
      <c r="AE17" s="101">
        <f>IF($A17="Baseline",'Emissions summary'!AB17,SUMIF('Net zero emission reductions'!$A$4:$A$1448,$A$17,'Net zero emission reductions'!K$4:K$1448))</f>
        <v>23.449969450388252</v>
      </c>
      <c r="AF17" s="101">
        <f>IF($A17="Baseline",'Emissions summary'!AC17,SUMIF('Net zero emission reductions'!$A$4:$A$1448,$A$17,'Net zero emission reductions'!L$4:L$1448))</f>
        <v>23.408524349720537</v>
      </c>
      <c r="AG17" s="101">
        <f>IF($A17="Baseline",'Emissions summary'!AD17,SUMIF('Net zero emission reductions'!$A$4:$A$1448,$A$17,'Net zero emission reductions'!M$4:M$1448))</f>
        <v>23.27719028019995</v>
      </c>
      <c r="AH17" s="101">
        <f>IF($A17="Baseline",'Emissions summary'!AE17,SUMIF('Net zero emission reductions'!$A$4:$A$1448,$A$17,'Net zero emission reductions'!N$4:N$1448))</f>
        <v>22.763549313155419</v>
      </c>
      <c r="AI17" s="101">
        <f>IF($A17="Baseline",'Emissions summary'!AF17,SUMIF('Net zero emission reductions'!$A$4:$A$1448,$A$17,'Net zero emission reductions'!O$4:O$1448))</f>
        <v>22.277818749360836</v>
      </c>
      <c r="AJ17" s="101">
        <f>IF($A17="Baseline",'Emissions summary'!AG17,SUMIF('Net zero emission reductions'!$A$4:$A$1448,$A$17,'Net zero emission reductions'!P$4:P$1448))</f>
        <v>22.199420802062775</v>
      </c>
      <c r="AK17" s="101">
        <f>IF($A17="Baseline",'Emissions summary'!AH17,SUMIF('Net zero emission reductions'!$A$4:$A$1448,$A$17,'Net zero emission reductions'!Q$4:Q$1448))</f>
        <v>22.009108615739184</v>
      </c>
      <c r="AL17" s="101">
        <f>IF($A17="Baseline",'Emissions summary'!AI17,SUMIF('Net zero emission reductions'!$A$4:$A$1448,$A$17,'Net zero emission reductions'!R$4:R$1448))</f>
        <v>21.422960093845909</v>
      </c>
      <c r="AM17" s="101">
        <f>IF($A17="Baseline",'Emissions summary'!AJ17,SUMIF('Net zero emission reductions'!$A$4:$A$1448,$A$17,'Net zero emission reductions'!S$4:S$1448))</f>
        <v>19.108289201615779</v>
      </c>
      <c r="AN17" s="101">
        <f>IF($A17="Baseline",'Emissions summary'!AK17,SUMIF('Net zero emission reductions'!$A$4:$A$1448,$A$17,'Net zero emission reductions'!T$4:T$1448))</f>
        <v>17.957191497634476</v>
      </c>
      <c r="AO17" s="101">
        <f>IF($A17="Baseline",'Emissions summary'!AL17,SUMIF('Net zero emission reductions'!$A$4:$A$1448,$A$17,'Net zero emission reductions'!U$4:U$1448))</f>
        <v>16.554668133898982</v>
      </c>
      <c r="AP17" s="101">
        <f>IF($A17="Baseline",'Emissions summary'!AM17,SUMIF('Net zero emission reductions'!$A$4:$A$1448,$A$17,'Net zero emission reductions'!V$4:V$1448))</f>
        <v>15.083413542343754</v>
      </c>
      <c r="AQ17" s="101">
        <f>IF($A17="Baseline",'Emissions summary'!AN17,SUMIF('Net zero emission reductions'!$A$4:$A$1448,$A$17,'Net zero emission reductions'!W$4:W$1448))</f>
        <v>13.640929046857197</v>
      </c>
      <c r="AR17" s="101">
        <f>IF($A17="Baseline",'Emissions summary'!AO17,SUMIF('Net zero emission reductions'!$A$4:$A$1448,$A$17,'Net zero emission reductions'!X$4:X$1448))</f>
        <v>12.320305595251231</v>
      </c>
      <c r="AS17" s="101">
        <f>IF($A17="Baseline",'Emissions summary'!AP17,SUMIF('Net zero emission reductions'!$A$4:$A$1448,$A$17,'Net zero emission reductions'!Y$4:Y$1448))</f>
        <v>10.95592117560351</v>
      </c>
      <c r="AT17" s="101">
        <f>IF($A17="Baseline",'Emissions summary'!AQ17,SUMIF('Net zero emission reductions'!$A$4:$A$1448,$A$17,'Net zero emission reductions'!Z$4:Z$1448))</f>
        <v>9.5311255342250707</v>
      </c>
      <c r="AU17" s="101">
        <f>IF($A17="Baseline",'Emissions summary'!AR17,SUMIF('Net zero emission reductions'!$A$4:$A$1448,$A$17,'Net zero emission reductions'!AA$4:AA$1448))</f>
        <v>7.9720397180113434</v>
      </c>
      <c r="AV17" s="101">
        <f>IF($A17="Baseline",'Emissions summary'!AS17,SUMIF('Net zero emission reductions'!$A$4:$A$1448,$A$17,'Net zero emission reductions'!AB$4:AB$1448))</f>
        <v>6.3687748288266217</v>
      </c>
      <c r="AW17" s="101">
        <f>IF($A17="Baseline",'Emissions summary'!AT17,SUMIF('Net zero emission reductions'!$A$4:$A$1448,$A$17,'Net zero emission reductions'!AC$4:AC$1448))</f>
        <v>4.7009542574789984</v>
      </c>
      <c r="AX17" s="101">
        <f>IF($A17="Baseline",'Emissions summary'!AU17,SUMIF('Net zero emission reductions'!$A$4:$A$1448,$A$17,'Net zero emission reductions'!AD$4:AD$1448))</f>
        <v>4.3533618744642384</v>
      </c>
      <c r="AY17" s="101">
        <f>IF($A17="Baseline",'Emissions summary'!AV17,SUMIF('Net zero emission reductions'!$A$4:$A$1448,$A$17,'Net zero emission reductions'!AE$4:AE$1448))</f>
        <v>3.9838072830593902</v>
      </c>
      <c r="AZ17" s="101">
        <f>IF($A17="Baseline",'Emissions summary'!AW17,SUMIF('Net zero emission reductions'!$A$4:$A$1448,$A$17,'Net zero emission reductions'!AF$4:AF$1448))</f>
        <v>3.5874514315801762</v>
      </c>
      <c r="BA17" s="101">
        <f>IF($A17="Baseline",'Emissions summary'!AX17,SUMIF('Net zero emission reductions'!$A$4:$A$1448,$A$17,'Net zero emission reductions'!AG$4:AG$1448))</f>
        <v>3.1753423622665569</v>
      </c>
      <c r="BB17" s="101">
        <f>IF($A17="Baseline",'Emissions summary'!AY17,SUMIF('Net zero emission reductions'!$A$4:$A$1448,$A$17,'Net zero emission reductions'!AH$4:AH$1448))</f>
        <v>2.7167342966576351</v>
      </c>
      <c r="BC17" s="101">
        <f>IF($A17="Baseline",'Emissions summary'!AZ17,SUMIF('Net zero emission reductions'!$A$4:$A$1448,$A$17,'Net zero emission reductions'!AI$4:AI$1448))</f>
        <v>2.2364166673950594</v>
      </c>
      <c r="BD17" s="101">
        <f>IF($A17="Baseline",'Emissions summary'!BA17,SUMIF('Net zero emission reductions'!$A$4:$A$1448,$A$17,'Net zero emission reductions'!AJ$4:AJ$1448))</f>
        <v>1.7288639783921576</v>
      </c>
      <c r="BE17" s="101">
        <f>IF($A17="Baseline",'Emissions summary'!BB17,SUMIF('Net zero emission reductions'!$A$4:$A$1448,$A$17,'Net zero emission reductions'!AK$4:AK$1448))</f>
        <v>1.1914553046723588</v>
      </c>
      <c r="BF17" s="101">
        <f>IF($A17="Baseline",'Emissions summary'!BC17,SUMIF('Net zero emission reductions'!$A$4:$A$1448,$A$17,'Net zero emission reductions'!AL$4:AL$1448))</f>
        <v>0.62892952523848966</v>
      </c>
      <c r="BG17" s="101">
        <f>IF($A17="Baseline",'Emissions summary'!BD17,SUMIF('Net zero emission reductions'!$A$4:$A$1448,$A$17,'Net zero emission reductions'!AM$4:AM$1448))</f>
        <v>4.2502097781109999E-2</v>
      </c>
      <c r="BH17" s="101">
        <f>IF($A17="Baseline",'Emissions summary'!BE17,SUMIF('Net zero emission reductions'!$A$4:$A$1448,$A$17,'Net zero emission reductions'!AN$4:AN$1448))</f>
        <v>4.0346077223641072E-2</v>
      </c>
      <c r="BI17" s="101">
        <f>IF($A17="Baseline",'Emissions summary'!BF17,SUMIF('Net zero emission reductions'!$A$4:$A$1448,$A$17,'Net zero emission reductions'!AO$4:AO$1448))</f>
        <v>3.796190127401855E-2</v>
      </c>
      <c r="BJ17" s="101">
        <f>IF($A17="Baseline",'Emissions summary'!BG17,SUMIF('Net zero emission reductions'!$A$4:$A$1448,$A$17,'Net zero emission reductions'!AP$4:AP$1448))</f>
        <v>3.5457067406459125E-2</v>
      </c>
      <c r="BK17" s="101">
        <f>IF($A17="Baseline",'Emissions summary'!BH17,SUMIF('Net zero emission reductions'!$A$4:$A$1448,$A$17,'Net zero emission reductions'!AQ$4:AQ$1448))</f>
        <v>3.2834385941153454E-2</v>
      </c>
      <c r="BL17" s="101">
        <f>IF($A17="Baseline",'Emissions summary'!BI17,SUMIF('Net zero emission reductions'!$A$4:$A$1448,$A$17,'Net zero emission reductions'!AR$4:AR$1448))</f>
        <v>3.0140596527824956E-2</v>
      </c>
      <c r="BM17" s="101">
        <f>IF($A17="Baseline",'Emissions summary'!BJ17,SUMIF('Net zero emission reductions'!$A$4:$A$1448,$A$17,'Net zero emission reductions'!AS$4:AS$1448))</f>
        <v>2.7329913069303741E-2</v>
      </c>
      <c r="BN17" s="101">
        <f>IF($A17="Baseline",'Emissions summary'!BK17,SUMIF('Net zero emission reductions'!$A$4:$A$1448,$A$17,'Net zero emission reductions'!AT$4:AT$1448))</f>
        <v>2.4051600381135574E-2</v>
      </c>
      <c r="BO17" s="101">
        <f>IF($A17="Baseline",'Emissions summary'!BL17,SUMIF('Net zero emission reductions'!$A$4:$A$1448,$A$17,'Net zero emission reductions'!AU$4:AU$1448))</f>
        <v>2.0719201620854125E-2</v>
      </c>
      <c r="BP17" s="101">
        <f>IF($A17="Baseline",'Emissions summary'!BM17,SUMIF('Net zero emission reductions'!$A$4:$A$1448,$A$17,'Net zero emission reductions'!AV$4:AV$1448))</f>
        <v>1.7392631998711272E-2</v>
      </c>
      <c r="BQ17" s="101">
        <f>IF($A17="Baseline",'Emissions summary'!BN17,SUMIF('Net zero emission reductions'!$A$4:$A$1448,$A$17,'Net zero emission reductions'!AW$4:AW$1448))</f>
        <v>1.4019677973939534E-2</v>
      </c>
    </row>
    <row r="18" spans="1:72" x14ac:dyDescent="0.25">
      <c r="A18" s="102" t="str">
        <f t="shared" si="2"/>
        <v>FSFAGSPQNIBDDSCM Poultry MMCH4</v>
      </c>
      <c r="B18" s="102" t="str">
        <f t="shared" si="9"/>
        <v>FSFAGSPQNIBDDSCM</v>
      </c>
      <c r="C18" s="103" t="s">
        <v>1232</v>
      </c>
      <c r="D18" t="str">
        <f t="shared" si="4"/>
        <v>3A Livestock</v>
      </c>
      <c r="E18" t="str">
        <f t="shared" si="4"/>
        <v>3A2 Manure management (CH4)</v>
      </c>
      <c r="F18" t="str">
        <f>'IPCC Categories'!C27</f>
        <v>3A2i Poultry</v>
      </c>
      <c r="G18" t="str">
        <f t="shared" si="10"/>
        <v>CH4</v>
      </c>
      <c r="H18" t="str">
        <f t="shared" si="10"/>
        <v>Gg CH4</v>
      </c>
      <c r="I18" s="28">
        <f>'Emissions summary'!F18</f>
        <v>1.3455156687778258</v>
      </c>
      <c r="J18" s="28">
        <f>'Emissions summary'!G18</f>
        <v>1.2760746173506023</v>
      </c>
      <c r="K18" s="28">
        <f>'Emissions summary'!H18</f>
        <v>1.2071518876777516</v>
      </c>
      <c r="L18" s="28">
        <f>'Emissions summary'!I18</f>
        <v>1.3112406123644875</v>
      </c>
      <c r="M18" s="28">
        <f>'Emissions summary'!J18</f>
        <v>1.2878479203358015</v>
      </c>
      <c r="N18" s="28">
        <f>'Emissions summary'!K18</f>
        <v>1.4574822448350102</v>
      </c>
      <c r="O18" s="28">
        <f>'Emissions summary'!L18</f>
        <v>1.6585519756378786</v>
      </c>
      <c r="P18" s="28">
        <f>'Emissions summary'!M18</f>
        <v>1.6829831179003492</v>
      </c>
      <c r="Q18" s="28">
        <f>'Emissions summary'!N18</f>
        <v>1.8549562107540372</v>
      </c>
      <c r="R18" s="28">
        <f>'Emissions summary'!O18</f>
        <v>1.9479379111082711</v>
      </c>
      <c r="S18" s="28">
        <f>'Emissions summary'!P18</f>
        <v>2.0536731601042231</v>
      </c>
      <c r="T18" s="28">
        <f>'Emissions summary'!Q18</f>
        <v>2.0089908832558949</v>
      </c>
      <c r="U18" s="28">
        <f>'Emissions summary'!R18</f>
        <v>2.1759262032341824</v>
      </c>
      <c r="V18" s="28">
        <f>'Emissions summary'!S18</f>
        <v>2.0734984652627912</v>
      </c>
      <c r="W18" s="28">
        <f>'Emissions summary'!T18</f>
        <v>2.1285917053454204</v>
      </c>
      <c r="X18" s="28">
        <f>'Emissions summary'!U18</f>
        <v>2.3353468813999299</v>
      </c>
      <c r="Y18" s="28">
        <f>'Emissions summary'!V18</f>
        <v>2.5134086143565382</v>
      </c>
      <c r="Z18" s="28">
        <f>'Emissions summary'!W18</f>
        <v>2.6601525958477232</v>
      </c>
      <c r="AA18" s="28">
        <f>'Emissions summary'!X18</f>
        <v>2.8035850548611285</v>
      </c>
      <c r="AB18" s="28">
        <f>'Emissions summary'!Y18</f>
        <v>2.6565217675227304</v>
      </c>
      <c r="AC18" s="28">
        <f>'Emissions summary'!Z18</f>
        <v>2.7308472443629443</v>
      </c>
      <c r="AD18" s="28">
        <f>'Emissions summary'!AA18</f>
        <v>2.8311378814399824</v>
      </c>
      <c r="AE18" s="101">
        <f>IF($A18="Baseline",'Emissions summary'!AB18,SUMIF('Net zero emission reductions'!$A$4:$A$1448,$A$18,'Net zero emission reductions'!K$4:K$1448))</f>
        <v>2.8981803037181013</v>
      </c>
      <c r="AF18" s="101">
        <f>IF($A18="Baseline",'Emissions summary'!AC18,SUMIF('Net zero emission reductions'!$A$4:$A$1448,$A$18,'Net zero emission reductions'!L$4:L$1448))</f>
        <v>2.9542448660846659</v>
      </c>
      <c r="AG18" s="101">
        <f>IF($A18="Baseline",'Emissions summary'!AD18,SUMIF('Net zero emission reductions'!$A$4:$A$1448,$A$18,'Net zero emission reductions'!M$4:M$1448))</f>
        <v>2.9942221556043527</v>
      </c>
      <c r="AH18" s="101">
        <f>IF($A18="Baseline",'Emissions summary'!AE18,SUMIF('Net zero emission reductions'!$A$4:$A$1448,$A$18,'Net zero emission reductions'!N$4:N$1448))</f>
        <v>2.9693314402047584</v>
      </c>
      <c r="AI18" s="101">
        <f>IF($A18="Baseline",'Emissions summary'!AF18,SUMIF('Net zero emission reductions'!$A$4:$A$1448,$A$18,'Net zero emission reductions'!O$4:O$1448))</f>
        <v>2.9455446223564201</v>
      </c>
      <c r="AJ18" s="101">
        <f>IF($A18="Baseline",'Emissions summary'!AG18,SUMIF('Net zero emission reductions'!$A$4:$A$1448,$A$18,'Net zero emission reductions'!P$4:P$1448))</f>
        <v>2.9877902963718368</v>
      </c>
      <c r="AK18" s="101">
        <f>IF($A18="Baseline",'Emissions summary'!AH18,SUMIF('Net zero emission reductions'!$A$4:$A$1448,$A$18,'Net zero emission reductions'!Q$4:Q$1448))</f>
        <v>3.0099263230778535</v>
      </c>
      <c r="AL18" s="101">
        <f>IF($A18="Baseline",'Emissions summary'!AI18,SUMIF('Net zero emission reductions'!$A$4:$A$1448,$A$18,'Net zero emission reductions'!R$4:R$1448))</f>
        <v>2.9613707107479716</v>
      </c>
      <c r="AM18" s="101">
        <f>IF($A18="Baseline",'Emissions summary'!AJ18,SUMIF('Net zero emission reductions'!$A$4:$A$1448,$A$18,'Net zero emission reductions'!S$4:S$1448))</f>
        <v>2.6020553156408579</v>
      </c>
      <c r="AN18" s="101">
        <f>IF($A18="Baseline",'Emissions summary'!AK18,SUMIF('Net zero emission reductions'!$A$4:$A$1448,$A$18,'Net zero emission reductions'!T$4:T$1448))</f>
        <v>2.7001904663476792</v>
      </c>
      <c r="AO18" s="101">
        <f>IF($A18="Baseline",'Emissions summary'!AL18,SUMIF('Net zero emission reductions'!$A$4:$A$1448,$A$18,'Net zero emission reductions'!U$4:U$1448))</f>
        <v>2.7585285769872487</v>
      </c>
      <c r="AP18" s="101">
        <f>IF($A18="Baseline",'Emissions summary'!AM18,SUMIF('Net zero emission reductions'!$A$4:$A$1448,$A$18,'Net zero emission reductions'!V$4:V$1448))</f>
        <v>2.8071357977321929</v>
      </c>
      <c r="AQ18" s="101">
        <f>IF($A18="Baseline",'Emissions summary'!AN18,SUMIF('Net zero emission reductions'!$A$4:$A$1448,$A$18,'Net zero emission reductions'!W$4:W$1448))</f>
        <v>2.8689603694503067</v>
      </c>
      <c r="AR18" s="101">
        <f>IF($A18="Baseline",'Emissions summary'!AO18,SUMIF('Net zero emission reductions'!$A$4:$A$1448,$A$18,'Net zero emission reductions'!X$4:X$1448))</f>
        <v>2.9789305905941408</v>
      </c>
      <c r="AS18" s="101">
        <f>IF($A18="Baseline",'Emissions summary'!AP18,SUMIF('Net zero emission reductions'!$A$4:$A$1448,$A$18,'Net zero emission reductions'!Y$4:Y$1448))</f>
        <v>3.1023238538648075</v>
      </c>
      <c r="AT18" s="101">
        <f>IF($A18="Baseline",'Emissions summary'!AQ18,SUMIF('Net zero emission reductions'!$A$4:$A$1448,$A$18,'Net zero emission reductions'!Z$4:Z$1448))</f>
        <v>3.2368860277558387</v>
      </c>
      <c r="AU18" s="101">
        <f>IF($A18="Baseline",'Emissions summary'!AR18,SUMIF('Net zero emission reductions'!$A$4:$A$1448,$A$18,'Net zero emission reductions'!AA$4:AA$1448))</f>
        <v>3.3502941347155293</v>
      </c>
      <c r="AV18" s="101">
        <f>IF($A18="Baseline",'Emissions summary'!AS18,SUMIF('Net zero emission reductions'!$A$4:$A$1448,$A$18,'Net zero emission reductions'!AB$4:AB$1448))</f>
        <v>3.4848541215813338</v>
      </c>
      <c r="AW18" s="101">
        <f>IF($A18="Baseline",'Emissions summary'!AT18,SUMIF('Net zero emission reductions'!$A$4:$A$1448,$A$18,'Net zero emission reductions'!AC$4:AC$1448))</f>
        <v>3.6455996906053549</v>
      </c>
      <c r="AX18" s="101">
        <f>IF($A18="Baseline",'Emissions summary'!AU18,SUMIF('Net zero emission reductions'!$A$4:$A$1448,$A$18,'Net zero emission reductions'!AD$4:AD$1448))</f>
        <v>3.8281372055600653</v>
      </c>
      <c r="AY18" s="101">
        <f>IF($A18="Baseline",'Emissions summary'!AV18,SUMIF('Net zero emission reductions'!$A$4:$A$1448,$A$18,'Net zero emission reductions'!AE$4:AE$1448))</f>
        <v>4.0194064136642282</v>
      </c>
      <c r="AZ18" s="101">
        <f>IF($A18="Baseline",'Emissions summary'!AW18,SUMIF('Net zero emission reductions'!$A$4:$A$1448,$A$18,'Net zero emission reductions'!AF$4:AF$1448))</f>
        <v>4.2150384753934951</v>
      </c>
      <c r="BA18" s="101">
        <f>IF($A18="Baseline",'Emissions summary'!AX18,SUMIF('Net zero emission reductions'!$A$4:$A$1448,$A$18,'Net zero emission reductions'!AG$4:AG$1448))</f>
        <v>4.4342385640142661</v>
      </c>
      <c r="BB18" s="101">
        <f>IF($A18="Baseline",'Emissions summary'!AY18,SUMIF('Net zero emission reductions'!$A$4:$A$1448,$A$18,'Net zero emission reductions'!AH$4:AH$1448))</f>
        <v>4.6266750556462775</v>
      </c>
      <c r="BC18" s="101">
        <f>IF($A18="Baseline",'Emissions summary'!AZ18,SUMIF('Net zero emission reductions'!$A$4:$A$1448,$A$18,'Net zero emission reductions'!AI$4:AI$1448))</f>
        <v>4.8334803489713805</v>
      </c>
      <c r="BD18" s="101">
        <f>IF($A18="Baseline",'Emissions summary'!BA18,SUMIF('Net zero emission reductions'!$A$4:$A$1448,$A$18,'Net zero emission reductions'!AJ$4:AJ$1448))</f>
        <v>5.0442083872788954</v>
      </c>
      <c r="BE18" s="101">
        <f>IF($A18="Baseline",'Emissions summary'!BB18,SUMIF('Net zero emission reductions'!$A$4:$A$1448,$A$18,'Net zero emission reductions'!AK$4:AK$1448))</f>
        <v>5.2453165604561729</v>
      </c>
      <c r="BF18" s="101">
        <f>IF($A18="Baseline",'Emissions summary'!BC18,SUMIF('Net zero emission reductions'!$A$4:$A$1448,$A$18,'Net zero emission reductions'!AL$4:AL$1448))</f>
        <v>5.4459988027904762</v>
      </c>
      <c r="BG18" s="101">
        <f>IF($A18="Baseline",'Emissions summary'!BD18,SUMIF('Net zero emission reductions'!$A$4:$A$1448,$A$18,'Net zero emission reductions'!AM$4:AM$1448))</f>
        <v>5.6545591506943573</v>
      </c>
      <c r="BH18" s="101">
        <f>IF($A18="Baseline",'Emissions summary'!BE18,SUMIF('Net zero emission reductions'!$A$4:$A$1448,$A$18,'Net zero emission reductions'!AN$4:AN$1448))</f>
        <v>5.8878878715687417</v>
      </c>
      <c r="BI18" s="101">
        <f>IF($A18="Baseline",'Emissions summary'!BF18,SUMIF('Net zero emission reductions'!$A$4:$A$1448,$A$18,'Net zero emission reductions'!AO$4:AO$1448))</f>
        <v>6.1082670977126154</v>
      </c>
      <c r="BJ18" s="101">
        <f>IF($A18="Baseline",'Emissions summary'!BG18,SUMIF('Net zero emission reductions'!$A$4:$A$1448,$A$18,'Net zero emission reductions'!AP$4:AP$1448))</f>
        <v>6.3323277677505292</v>
      </c>
      <c r="BK18" s="101">
        <f>IF($A18="Baseline",'Emissions summary'!BH18,SUMIF('Net zero emission reductions'!$A$4:$A$1448,$A$18,'Net zero emission reductions'!AQ$4:AQ$1448))</f>
        <v>6.5605206822768487</v>
      </c>
      <c r="BL18" s="101">
        <f>IF($A18="Baseline",'Emissions summary'!BI18,SUMIF('Net zero emission reductions'!$A$4:$A$1448,$A$18,'Net zero emission reductions'!AR$4:AR$1448))</f>
        <v>6.8047929870424255</v>
      </c>
      <c r="BM18" s="101">
        <f>IF($A18="Baseline",'Emissions summary'!BJ18,SUMIF('Net zero emission reductions'!$A$4:$A$1448,$A$18,'Net zero emission reductions'!AS$4:AS$1448))</f>
        <v>7.0576196259068036</v>
      </c>
      <c r="BN18" s="101">
        <f>IF($A18="Baseline",'Emissions summary'!BK18,SUMIF('Net zero emission reductions'!$A$4:$A$1448,$A$18,'Net zero emission reductions'!AT$4:AT$1448))</f>
        <v>7.2001058653619383</v>
      </c>
      <c r="BO18" s="101">
        <f>IF($A18="Baseline",'Emissions summary'!BL18,SUMIF('Net zero emission reductions'!$A$4:$A$1448,$A$18,'Net zero emission reductions'!AU$4:AU$1448))</f>
        <v>7.3353591092895405</v>
      </c>
      <c r="BP18" s="101">
        <f>IF($A18="Baseline",'Emissions summary'!BM18,SUMIF('Net zero emission reductions'!$A$4:$A$1448,$A$18,'Net zero emission reductions'!AV$4:AV$1448))</f>
        <v>7.4862585673973951</v>
      </c>
      <c r="BQ18" s="101">
        <f>IF($A18="Baseline",'Emissions summary'!BN18,SUMIF('Net zero emission reductions'!$A$4:$A$1448,$A$18,'Net zero emission reductions'!AW$4:AW$1448))</f>
        <v>7.6312803426508076</v>
      </c>
    </row>
    <row r="19" spans="1:72" s="19" customFormat="1" ht="15.75" x14ac:dyDescent="0.25">
      <c r="A19" s="104"/>
      <c r="B19" s="104"/>
      <c r="C19" s="104"/>
      <c r="D19" s="19" t="str">
        <f>D26</f>
        <v>3A Livestock</v>
      </c>
      <c r="E19" s="19" t="str">
        <f>E26</f>
        <v>3A2 Manure management (N2O)</v>
      </c>
      <c r="F19" s="19" t="s">
        <v>148</v>
      </c>
      <c r="G19" s="19" t="str">
        <f>G26</f>
        <v>N2O</v>
      </c>
      <c r="H19" s="19" t="str">
        <f>H26</f>
        <v>Gg N2O</v>
      </c>
      <c r="I19" s="46">
        <f t="shared" ref="I19" si="11">SUM(I20:I26)</f>
        <v>3.8813342644172093</v>
      </c>
      <c r="J19" s="46">
        <f t="shared" ref="J19:AE19" si="12">SUM(J20:J26)</f>
        <v>3.8661487301239461</v>
      </c>
      <c r="K19" s="46">
        <f t="shared" si="12"/>
        <v>3.7862483767973956</v>
      </c>
      <c r="L19" s="46">
        <f t="shared" si="12"/>
        <v>3.8129334854284056</v>
      </c>
      <c r="M19" s="46">
        <f t="shared" si="12"/>
        <v>3.6996407314660944</v>
      </c>
      <c r="N19" s="46">
        <f t="shared" si="12"/>
        <v>3.8335350634638918</v>
      </c>
      <c r="O19" s="46">
        <f t="shared" si="12"/>
        <v>4.0409580802685516</v>
      </c>
      <c r="P19" s="46">
        <f t="shared" si="12"/>
        <v>4.0955542331246733</v>
      </c>
      <c r="Q19" s="46">
        <f t="shared" si="12"/>
        <v>4.2655318251850405</v>
      </c>
      <c r="R19" s="46">
        <f t="shared" si="12"/>
        <v>4.3438825095880835</v>
      </c>
      <c r="S19" s="46">
        <f t="shared" si="12"/>
        <v>4.4272539945305205</v>
      </c>
      <c r="T19" s="46">
        <f t="shared" si="12"/>
        <v>4.3758778433663306</v>
      </c>
      <c r="U19" s="46">
        <f t="shared" si="12"/>
        <v>4.5059558233007309</v>
      </c>
      <c r="V19" s="46">
        <f t="shared" si="12"/>
        <v>4.4292467756859457</v>
      </c>
      <c r="W19" s="46">
        <f t="shared" si="12"/>
        <v>4.4470330949647732</v>
      </c>
      <c r="X19" s="46">
        <f t="shared" si="12"/>
        <v>4.5974101613100977</v>
      </c>
      <c r="Y19" s="46">
        <f t="shared" si="12"/>
        <v>4.7310450300813258</v>
      </c>
      <c r="Z19" s="46">
        <f t="shared" si="12"/>
        <v>4.8799892939067844</v>
      </c>
      <c r="AA19" s="46">
        <f t="shared" si="12"/>
        <v>4.9663886389564027</v>
      </c>
      <c r="AB19" s="46">
        <f t="shared" si="12"/>
        <v>4.8614306045888265</v>
      </c>
      <c r="AC19" s="46">
        <f t="shared" si="12"/>
        <v>4.8921309188133044</v>
      </c>
      <c r="AD19" s="46">
        <f t="shared" si="12"/>
        <v>5.064588718240568</v>
      </c>
      <c r="AE19" s="46">
        <f t="shared" si="12"/>
        <v>5.2224274999512641</v>
      </c>
      <c r="AF19" s="46">
        <f t="shared" ref="AF19:BQ19" si="13">SUM(AF20:AF26)</f>
        <v>5.2955111218021305</v>
      </c>
      <c r="AG19" s="46">
        <f t="shared" si="13"/>
        <v>5.3465353621696261</v>
      </c>
      <c r="AH19" s="46">
        <f t="shared" si="13"/>
        <v>5.3058802914422376</v>
      </c>
      <c r="AI19" s="46">
        <f t="shared" si="13"/>
        <v>5.2682078815331588</v>
      </c>
      <c r="AJ19" s="46">
        <f t="shared" si="13"/>
        <v>5.3258264329482357</v>
      </c>
      <c r="AK19" s="46">
        <f t="shared" si="13"/>
        <v>5.3552515813562831</v>
      </c>
      <c r="AL19" s="46">
        <f t="shared" si="13"/>
        <v>5.2850521817385445</v>
      </c>
      <c r="AM19" s="46">
        <f t="shared" si="13"/>
        <v>4.7764944459691581</v>
      </c>
      <c r="AN19" s="46">
        <f t="shared" si="13"/>
        <v>4.9545266952926639</v>
      </c>
      <c r="AO19" s="46">
        <f t="shared" si="13"/>
        <v>5.0783039077309571</v>
      </c>
      <c r="AP19" s="46">
        <f t="shared" si="13"/>
        <v>5.190200526249896</v>
      </c>
      <c r="AQ19" s="46">
        <f t="shared" si="13"/>
        <v>5.3230077935137299</v>
      </c>
      <c r="AR19" s="46">
        <f t="shared" si="13"/>
        <v>5.5272834720225603</v>
      </c>
      <c r="AS19" s="46">
        <f t="shared" si="13"/>
        <v>5.7511151746620541</v>
      </c>
      <c r="AT19" s="46">
        <f t="shared" si="13"/>
        <v>5.9940147797758669</v>
      </c>
      <c r="AU19" s="46">
        <f t="shared" si="13"/>
        <v>6.2091255888474564</v>
      </c>
      <c r="AV19" s="46">
        <f t="shared" si="13"/>
        <v>6.4580759279828595</v>
      </c>
      <c r="AW19" s="46">
        <f t="shared" si="13"/>
        <v>6.7487449577038774</v>
      </c>
      <c r="AX19" s="46">
        <f t="shared" si="13"/>
        <v>7.0275851157685825</v>
      </c>
      <c r="AY19" s="46">
        <f t="shared" si="13"/>
        <v>7.3199360139775411</v>
      </c>
      <c r="AZ19" s="46">
        <f t="shared" si="13"/>
        <v>7.6194013663354045</v>
      </c>
      <c r="BA19" s="46">
        <f t="shared" si="13"/>
        <v>7.9542814108645477</v>
      </c>
      <c r="BB19" s="46">
        <f t="shared" si="13"/>
        <v>8.2505274727111804</v>
      </c>
      <c r="BC19" s="46">
        <f t="shared" si="13"/>
        <v>8.5666355747409835</v>
      </c>
      <c r="BD19" s="46">
        <f t="shared" si="13"/>
        <v>8.8893253372955314</v>
      </c>
      <c r="BE19" s="46">
        <f t="shared" si="13"/>
        <v>9.1986702445589312</v>
      </c>
      <c r="BF19" s="46">
        <f t="shared" si="13"/>
        <v>9.5082400050708102</v>
      </c>
      <c r="BG19" s="46">
        <f t="shared" si="13"/>
        <v>9.8303155681379533</v>
      </c>
      <c r="BH19" s="46">
        <f t="shared" si="13"/>
        <v>10.174948402078384</v>
      </c>
      <c r="BI19" s="46">
        <f t="shared" si="13"/>
        <v>10.500615678653897</v>
      </c>
      <c r="BJ19" s="46">
        <f t="shared" si="13"/>
        <v>10.831863226047384</v>
      </c>
      <c r="BK19" s="46">
        <f t="shared" si="13"/>
        <v>11.169362878878495</v>
      </c>
      <c r="BL19" s="46">
        <f t="shared" si="13"/>
        <v>11.530733676771543</v>
      </c>
      <c r="BM19" s="46">
        <f t="shared" si="13"/>
        <v>11.902948021243397</v>
      </c>
      <c r="BN19" s="46">
        <f t="shared" si="13"/>
        <v>12.112734635318528</v>
      </c>
      <c r="BO19" s="46">
        <f t="shared" si="13"/>
        <v>12.312094834831182</v>
      </c>
      <c r="BP19" s="46">
        <f t="shared" si="13"/>
        <v>12.534747033584097</v>
      </c>
      <c r="BQ19" s="46">
        <f t="shared" si="13"/>
        <v>12.748980542552744</v>
      </c>
      <c r="BT19"/>
    </row>
    <row r="20" spans="1:72" x14ac:dyDescent="0.25">
      <c r="A20" s="102" t="str">
        <f t="shared" si="2"/>
        <v>FSFAGSPQNIBDDSCM Mattle MMN2O</v>
      </c>
      <c r="B20" s="102" t="str">
        <f t="shared" ref="B20:B26" si="14">$B$5</f>
        <v>FSFAGSPQNIBDDSCM</v>
      </c>
      <c r="C20" s="102" t="s">
        <v>1336</v>
      </c>
      <c r="D20" t="str">
        <f>D18</f>
        <v>3A Livestock</v>
      </c>
      <c r="E20" t="str">
        <f>'IPCC Categories'!B20</f>
        <v>3A2 Manure management (N2O)</v>
      </c>
      <c r="F20" t="str">
        <f t="shared" ref="F20:F26" si="15">F12</f>
        <v>3A2a Cattle</v>
      </c>
      <c r="G20" t="s">
        <v>139</v>
      </c>
      <c r="H20" t="s">
        <v>287</v>
      </c>
      <c r="I20" s="28">
        <f>'Emissions summary'!F20</f>
        <v>2.3334515596574898</v>
      </c>
      <c r="J20" s="28">
        <f>'Emissions summary'!G20</f>
        <v>2.3913266020486907</v>
      </c>
      <c r="K20" s="28">
        <f>'Emissions summary'!H20</f>
        <v>2.3837489012139343</v>
      </c>
      <c r="L20" s="28">
        <f>'Emissions summary'!I20</f>
        <v>2.3538599023692135</v>
      </c>
      <c r="M20" s="28">
        <f>'Emissions summary'!J20</f>
        <v>2.2497683959178429</v>
      </c>
      <c r="N20" s="28">
        <f>'Emissions summary'!K20</f>
        <v>2.2583248814343775</v>
      </c>
      <c r="O20" s="28">
        <f>'Emissions summary'!L20</f>
        <v>2.3013624403278148</v>
      </c>
      <c r="P20" s="28">
        <f>'Emissions summary'!M20</f>
        <v>2.3439053818582685</v>
      </c>
      <c r="Q20" s="28">
        <f>'Emissions summary'!N20</f>
        <v>2.3881538701270464</v>
      </c>
      <c r="R20" s="28">
        <f>'Emissions summary'!O20</f>
        <v>2.4045249883488831</v>
      </c>
      <c r="S20" s="28">
        <f>'Emissions summary'!P20</f>
        <v>2.4217802003919431</v>
      </c>
      <c r="T20" s="28">
        <f>'Emissions summary'!Q20</f>
        <v>2.4052042445092017</v>
      </c>
      <c r="U20" s="28">
        <f>'Emissions summary'!R20</f>
        <v>2.4204844754419144</v>
      </c>
      <c r="V20" s="28">
        <f>'Emissions summary'!S20</f>
        <v>2.4261595848898265</v>
      </c>
      <c r="W20" s="28">
        <f>'Emissions summary'!T20</f>
        <v>2.4077185173815416</v>
      </c>
      <c r="X20" s="28">
        <f>'Emissions summary'!U20</f>
        <v>2.4068130130940584</v>
      </c>
      <c r="Y20" s="28">
        <f>'Emissions summary'!V20</f>
        <v>2.4140441898890113</v>
      </c>
      <c r="Z20" s="28">
        <f>'Emissions summary'!W20</f>
        <v>2.4616595203806031</v>
      </c>
      <c r="AA20" s="28">
        <f>'Emissions summary'!X20</f>
        <v>2.4413231585134629</v>
      </c>
      <c r="AB20" s="28">
        <f>'Emissions summary'!Y20</f>
        <v>2.4490820347552171</v>
      </c>
      <c r="AC20" s="28">
        <f>'Emissions summary'!Z20</f>
        <v>2.4334145229663386</v>
      </c>
      <c r="AD20" s="28">
        <f>'Emissions summary'!AA20</f>
        <v>2.5369197805494066</v>
      </c>
      <c r="AE20" s="28">
        <f>SUM('Net zero emission reductions'!K1411:K1416)</f>
        <v>2.6502121652525954</v>
      </c>
      <c r="AF20" s="28">
        <f>SUM('Net zero emission reductions'!L1411:L1416)</f>
        <v>2.6822857537768536</v>
      </c>
      <c r="AG20" s="28">
        <f>SUM('Net zero emission reductions'!M1411:M1416)</f>
        <v>2.704741159572472</v>
      </c>
      <c r="AH20" s="28">
        <f>SUM('Net zero emission reductions'!N1411:N1416)</f>
        <v>2.6864490003867827</v>
      </c>
      <c r="AI20" s="28">
        <f>SUM('Net zero emission reductions'!O1411:O1416)</f>
        <v>2.6699327484564312</v>
      </c>
      <c r="AJ20" s="28">
        <f>SUM('Net zero emission reductions'!P1411:P1416)</f>
        <v>2.6963708533452717</v>
      </c>
      <c r="AK20" s="28">
        <f>SUM('Net zero emission reductions'!Q1411:Q1416)</f>
        <v>2.7103190564420441</v>
      </c>
      <c r="AL20" s="28">
        <f>SUM('Net zero emission reductions'!R1411:R1416)</f>
        <v>2.6800956132407538</v>
      </c>
      <c r="AM20" s="28">
        <f>SUM('Net zero emission reductions'!S1411:S1416)</f>
        <v>2.4555165506994827</v>
      </c>
      <c r="AN20" s="28">
        <f>SUM('Net zero emission reductions'!T1411:T1416)</f>
        <v>2.53803239472678</v>
      </c>
      <c r="AO20" s="28">
        <f>SUM('Net zero emission reductions'!U1411:U1416)</f>
        <v>2.5965678310686928</v>
      </c>
      <c r="AP20" s="28">
        <f>SUM('Net zero emission reductions'!V1411:V1416)</f>
        <v>2.6499293605628145</v>
      </c>
      <c r="AQ20" s="28">
        <f>SUM('Net zero emission reductions'!W1411:W1416)</f>
        <v>2.7126872995766105</v>
      </c>
      <c r="AR20" s="28">
        <f>SUM('Net zero emission reductions'!X1411:X1416)</f>
        <v>2.807330326526384</v>
      </c>
      <c r="AS20" s="28">
        <f>SUM('Net zero emission reductions'!Y1411:Y1416)</f>
        <v>2.9098433477739025</v>
      </c>
      <c r="AT20" s="28">
        <f>SUM('Net zero emission reductions'!Z1411:Z1416)</f>
        <v>3.0209622517818611</v>
      </c>
      <c r="AU20" s="28">
        <f>SUM('Net zero emission reductions'!AA1411:AA1416)</f>
        <v>3.1198382906169932</v>
      </c>
      <c r="AV20" s="28">
        <f>SUM('Net zero emission reductions'!AB1411:AB1416)</f>
        <v>3.2338967275150319</v>
      </c>
      <c r="AW20" s="28">
        <f>SUM('Net zero emission reductions'!AC1411:AC1416)</f>
        <v>3.3666588330099789</v>
      </c>
      <c r="AX20" s="28">
        <f>SUM('Net zero emission reductions'!AD1411:AD1416)</f>
        <v>3.4897913530425377</v>
      </c>
      <c r="AY20" s="28">
        <f>SUM('Net zero emission reductions'!AE1411:AE1416)</f>
        <v>3.618849369498645</v>
      </c>
      <c r="AZ20" s="28">
        <f>SUM('Net zero emission reductions'!AF1411:AF1416)</f>
        <v>3.750984147665851</v>
      </c>
      <c r="BA20" s="28">
        <f>SUM('Net zero emission reductions'!AG1411:AG1416)</f>
        <v>3.898757582914556</v>
      </c>
      <c r="BB20" s="28">
        <f>SUM('Net zero emission reductions'!AH1411:AH1416)</f>
        <v>4.0292995126129441</v>
      </c>
      <c r="BC20" s="28">
        <f>SUM('Net zero emission reductions'!AI1411:AI1416)</f>
        <v>4.1678879327632909</v>
      </c>
      <c r="BD20" s="28">
        <f>SUM('Net zero emission reductions'!AJ1411:AJ1416)</f>
        <v>4.3093260054253797</v>
      </c>
      <c r="BE20" s="28">
        <f>SUM('Net zero emission reductions'!AK1411:AK1416)</f>
        <v>4.444797767779332</v>
      </c>
      <c r="BF20" s="28">
        <f>SUM('Net zero emission reductions'!AL1411:AL1416)</f>
        <v>4.5803260750534491</v>
      </c>
      <c r="BG20" s="28">
        <f>SUM('Net zero emission reductions'!AM1411:AM1416)</f>
        <v>4.7213480152060612</v>
      </c>
      <c r="BH20" s="28">
        <f>SUM('Net zero emission reductions'!AN1411:AN1416)</f>
        <v>4.8741214136843736</v>
      </c>
      <c r="BI20" s="28">
        <f>SUM('Net zero emission reductions'!AO1411:AO1416)</f>
        <v>5.0185943140269682</v>
      </c>
      <c r="BJ20" s="28">
        <f>SUM('Net zero emission reductions'!AP1411:AP1416)</f>
        <v>5.1656213110116038</v>
      </c>
      <c r="BK20" s="28">
        <f>SUM('Net zero emission reductions'!AQ1411:AQ1416)</f>
        <v>5.3155049959286975</v>
      </c>
      <c r="BL20" s="28">
        <f>SUM('Net zero emission reductions'!AR1411:AR1416)</f>
        <v>5.4760367988678098</v>
      </c>
      <c r="BM20" s="28">
        <f>SUM('Net zero emission reductions'!AS1411:AS1416)</f>
        <v>5.6408350738083275</v>
      </c>
      <c r="BN20" s="28">
        <f>SUM('Net zero emission reductions'!AT1411:AT1416)</f>
        <v>5.7339751950114941</v>
      </c>
      <c r="BO20" s="28">
        <f>SUM('Net zero emission reductions'!AU1411:AU1416)</f>
        <v>5.8226263059156835</v>
      </c>
      <c r="BP20" s="28">
        <f>SUM('Net zero emission reductions'!AV1411:AV1416)</f>
        <v>5.9216918343613019</v>
      </c>
      <c r="BQ20" s="28">
        <f>SUM('Net zero emission reductions'!AW1411:AW1416)</f>
        <v>6.0171633619508231</v>
      </c>
    </row>
    <row r="21" spans="1:72" x14ac:dyDescent="0.25">
      <c r="A21" s="102" t="str">
        <f t="shared" si="2"/>
        <v>FSFAGSPQNIBDDSCM Sheep MMN2O</v>
      </c>
      <c r="B21" s="102" t="str">
        <f t="shared" si="14"/>
        <v>FSFAGSPQNIBDDSCM</v>
      </c>
      <c r="C21" s="103" t="s">
        <v>1329</v>
      </c>
      <c r="D21" t="str">
        <f t="shared" si="4"/>
        <v>3A Livestock</v>
      </c>
      <c r="E21" t="str">
        <f>E20</f>
        <v>3A2 Manure management (N2O)</v>
      </c>
      <c r="F21" t="str">
        <f t="shared" si="15"/>
        <v>3A2c Sheep</v>
      </c>
      <c r="G21" t="str">
        <f>G20</f>
        <v>N2O</v>
      </c>
      <c r="H21" t="str">
        <f>H20</f>
        <v>Gg N2O</v>
      </c>
      <c r="I21" s="28">
        <f>'Emissions summary'!F21</f>
        <v>0.27697977351015546</v>
      </c>
      <c r="J21" s="28">
        <f>'Emissions summary'!G21</f>
        <v>0.26452543098066184</v>
      </c>
      <c r="K21" s="28">
        <f>'Emissions summary'!H21</f>
        <v>0.25359554432458542</v>
      </c>
      <c r="L21" s="28">
        <f>'Emissions summary'!I21</f>
        <v>0.23716837739770139</v>
      </c>
      <c r="M21" s="28">
        <f>'Emissions summary'!J21</f>
        <v>0.23884065929520765</v>
      </c>
      <c r="N21" s="28">
        <f>'Emissions summary'!K21</f>
        <v>0.23542218248815072</v>
      </c>
      <c r="O21" s="28">
        <f>'Emissions summary'!L21</f>
        <v>0.23620750824112324</v>
      </c>
      <c r="P21" s="28">
        <f>'Emissions summary'!M21</f>
        <v>0.23107055390403242</v>
      </c>
      <c r="Q21" s="28">
        <f>'Emissions summary'!N21</f>
        <v>0.23170805363291622</v>
      </c>
      <c r="R21" s="28">
        <f>'Emissions summary'!O21</f>
        <v>0.22601675170549185</v>
      </c>
      <c r="S21" s="28">
        <f>'Emissions summary'!P21</f>
        <v>0.21791403776011653</v>
      </c>
      <c r="T21" s="28">
        <f>'Emissions summary'!Q21</f>
        <v>0.21248143137484779</v>
      </c>
      <c r="U21" s="28">
        <f>'Emissions summary'!R21</f>
        <v>0.20893360679671308</v>
      </c>
      <c r="V21" s="28">
        <f>'Emissions summary'!S21</f>
        <v>0.20966349779065224</v>
      </c>
      <c r="W21" s="28">
        <f>'Emissions summary'!T21</f>
        <v>0.20593089068240639</v>
      </c>
      <c r="X21" s="28">
        <f>'Emissions summary'!U21</f>
        <v>0.20544121697761175</v>
      </c>
      <c r="Y21" s="28">
        <f>'Emissions summary'!V21</f>
        <v>0.20275263116449405</v>
      </c>
      <c r="Z21" s="28">
        <f>'Emissions summary'!W21</f>
        <v>0.20255860950787735</v>
      </c>
      <c r="AA21" s="28">
        <f>'Emissions summary'!X21</f>
        <v>0.203214587489772</v>
      </c>
      <c r="AB21" s="28">
        <f>'Emissions summary'!Y21</f>
        <v>0.20249393562233842</v>
      </c>
      <c r="AC21" s="28">
        <f>'Emissions summary'!Z21</f>
        <v>0.19857654598398133</v>
      </c>
      <c r="AD21" s="28">
        <f>'Emissions summary'!AA21</f>
        <v>0.19702437273104745</v>
      </c>
      <c r="AE21" s="28">
        <f>SUM('Net zero emission reductions'!K1417:K1418)</f>
        <v>0.17982778978079705</v>
      </c>
      <c r="AF21" s="28">
        <f>SUM('Net zero emission reductions'!L1417:L1418)</f>
        <v>0.17992483941085752</v>
      </c>
      <c r="AG21" s="28">
        <f>SUM('Net zero emission reductions'!M1417:M1418)</f>
        <v>0.18014794823592961</v>
      </c>
      <c r="AH21" s="28">
        <f>SUM('Net zero emission reductions'!N1417:N1418)</f>
        <v>0.1804791740724872</v>
      </c>
      <c r="AI21" s="28">
        <f>SUM('Net zero emission reductions'!O1417:O1418)</f>
        <v>0.18092623868230917</v>
      </c>
      <c r="AJ21" s="28">
        <f>SUM('Net zero emission reductions'!P1417:P1418)</f>
        <v>0.18149812683987124</v>
      </c>
      <c r="AK21" s="28">
        <f>SUM('Net zero emission reductions'!Q1417:Q1418)</f>
        <v>0.1821282880962147</v>
      </c>
      <c r="AL21" s="28">
        <f>SUM('Net zero emission reductions'!R1417:R1418)</f>
        <v>0.18280693505425122</v>
      </c>
      <c r="AM21" s="28">
        <f>SUM('Net zero emission reductions'!S1417:S1418)</f>
        <v>0.18347929856913225</v>
      </c>
      <c r="AN21" s="28">
        <f>SUM('Net zero emission reductions'!T1417:T1418)</f>
        <v>0.18375445971683055</v>
      </c>
      <c r="AO21" s="28">
        <f>SUM('Net zero emission reductions'!U1417:U1418)</f>
        <v>0.18406691374314021</v>
      </c>
      <c r="AP21" s="28">
        <f>SUM('Net zero emission reductions'!V1417:V1418)</f>
        <v>0.1844202771378235</v>
      </c>
      <c r="AQ21" s="28">
        <f>SUM('Net zero emission reductions'!W1417:W1418)</f>
        <v>0.18481711315886093</v>
      </c>
      <c r="AR21" s="28">
        <f>SUM('Net zero emission reductions'!X1417:X1418)</f>
        <v>0.18526303216018508</v>
      </c>
      <c r="AS21" s="28">
        <f>SUM('Net zero emission reductions'!Y1417:Y1418)</f>
        <v>0.18554340660449897</v>
      </c>
      <c r="AT21" s="28">
        <f>SUM('Net zero emission reductions'!Z1417:Z1418)</f>
        <v>0.18585912250223788</v>
      </c>
      <c r="AU21" s="28">
        <f>SUM('Net zero emission reductions'!AA1417:AA1418)</f>
        <v>0.18620139304581629</v>
      </c>
      <c r="AV21" s="28">
        <f>SUM('Net zero emission reductions'!AB1417:AB1418)</f>
        <v>0.18657824272618023</v>
      </c>
      <c r="AW21" s="28">
        <f>SUM('Net zero emission reductions'!AC1417:AC1418)</f>
        <v>0.18698962839209471</v>
      </c>
      <c r="AX21" s="28">
        <f>SUM('Net zero emission reductions'!AD1417:AD1418)</f>
        <v>0.18726191652040552</v>
      </c>
      <c r="AY21" s="28">
        <f>SUM('Net zero emission reductions'!AE1417:AE1418)</f>
        <v>0.18756069671804426</v>
      </c>
      <c r="AZ21" s="28">
        <f>SUM('Net zero emission reductions'!AF1417:AF1418)</f>
        <v>0.18788396186972217</v>
      </c>
      <c r="BA21" s="28">
        <f>SUM('Net zero emission reductions'!AG1417:AG1418)</f>
        <v>0.188235211344146</v>
      </c>
      <c r="BB21" s="28">
        <f>SUM('Net zero emission reductions'!AH1417:AH1418)</f>
        <v>0.18860201533522408</v>
      </c>
      <c r="BC21" s="28">
        <f>SUM('Net zero emission reductions'!AI1417:AI1418)</f>
        <v>0.18883668660922315</v>
      </c>
      <c r="BD21" s="28">
        <f>SUM('Net zero emission reductions'!AJ1417:AJ1418)</f>
        <v>0.1890912649407889</v>
      </c>
      <c r="BE21" s="28">
        <f>SUM('Net zero emission reductions'!AK1417:AK1418)</f>
        <v>0.18936189475174628</v>
      </c>
      <c r="BF21" s="28">
        <f>SUM('Net zero emission reductions'!AL1417:AL1418)</f>
        <v>0.18965005748095276</v>
      </c>
      <c r="BG21" s="28">
        <f>SUM('Net zero emission reductions'!AM1417:AM1418)</f>
        <v>0.18995710309761865</v>
      </c>
      <c r="BH21" s="28">
        <f>SUM('Net zero emission reductions'!AN1417:AN1418)</f>
        <v>0.19013807149023706</v>
      </c>
      <c r="BI21" s="28">
        <f>SUM('Net zero emission reductions'!AO1417:AO1418)</f>
        <v>0.19033089744617637</v>
      </c>
      <c r="BJ21" s="28">
        <f>SUM('Net zero emission reductions'!AP1417:AP1418)</f>
        <v>0.19053897903512018</v>
      </c>
      <c r="BK21" s="28">
        <f>SUM('Net zero emission reductions'!AQ1417:AQ1418)</f>
        <v>0.19076194918653777</v>
      </c>
      <c r="BL21" s="28">
        <f>SUM('Net zero emission reductions'!AR1417:AR1418)</f>
        <v>0.19100220180850985</v>
      </c>
      <c r="BM21" s="28">
        <f>SUM('Net zero emission reductions'!AS1417:AS1418)</f>
        <v>0.19111048351500334</v>
      </c>
      <c r="BN21" s="28">
        <f>SUM('Net zero emission reductions'!AT1417:AT1418)</f>
        <v>0.19120447066972707</v>
      </c>
      <c r="BO21" s="28">
        <f>SUM('Net zero emission reductions'!AU1417:AU1418)</f>
        <v>0.19130822959415872</v>
      </c>
      <c r="BP21" s="28">
        <f>SUM('Net zero emission reductions'!AV1417:AV1418)</f>
        <v>0.19142685421439182</v>
      </c>
      <c r="BQ21" s="28">
        <f>SUM('Net zero emission reductions'!AW1417:AW1418)</f>
        <v>0.19155486393539417</v>
      </c>
    </row>
    <row r="22" spans="1:72" x14ac:dyDescent="0.25">
      <c r="A22" s="102" t="str">
        <f t="shared" si="2"/>
        <v>FSFAGSPQNIBDDSCM Goats MMN2O</v>
      </c>
      <c r="B22" s="102" t="str">
        <f t="shared" si="14"/>
        <v>FSFAGSPQNIBDDSCM</v>
      </c>
      <c r="C22" s="103" t="s">
        <v>1330</v>
      </c>
      <c r="D22" t="str">
        <f t="shared" si="4"/>
        <v>3A Livestock</v>
      </c>
      <c r="E22" t="str">
        <f t="shared" si="4"/>
        <v>3A2 Manure management (N2O)</v>
      </c>
      <c r="F22" t="str">
        <f t="shared" si="15"/>
        <v>3A2d Goats</v>
      </c>
      <c r="G22" t="str">
        <f t="shared" ref="G22:H26" si="16">G21</f>
        <v>N2O</v>
      </c>
      <c r="H22" t="str">
        <f t="shared" si="16"/>
        <v>Gg N2O</v>
      </c>
      <c r="I22" s="28">
        <f>'Emissions summary'!F22</f>
        <v>0.17617782385130304</v>
      </c>
      <c r="J22" s="28">
        <f>'Emissions summary'!G22</f>
        <v>0.15579098843087474</v>
      </c>
      <c r="K22" s="28">
        <f>'Emissions summary'!H22</f>
        <v>0.14512124279027669</v>
      </c>
      <c r="L22" s="28">
        <f>'Emissions summary'!I22</f>
        <v>0.13711893355982818</v>
      </c>
      <c r="M22" s="28">
        <f>'Emissions summary'!J22</f>
        <v>0.14842378310760462</v>
      </c>
      <c r="N22" s="28">
        <f>'Emissions summary'!K22</f>
        <v>0.1504561156105757</v>
      </c>
      <c r="O22" s="28">
        <f>'Emissions summary'!L22</f>
        <v>0.15280600006713599</v>
      </c>
      <c r="P22" s="28">
        <f>'Emissions summary'!M22</f>
        <v>0.15204387537852188</v>
      </c>
      <c r="Q22" s="28">
        <f>'Emissions summary'!N22</f>
        <v>0.1498845220941151</v>
      </c>
      <c r="R22" s="28">
        <f>'Emissions summary'!O22</f>
        <v>0.14766165841899051</v>
      </c>
      <c r="S22" s="28">
        <f>'Emissions summary'!P22</f>
        <v>0.14956697014052586</v>
      </c>
      <c r="T22" s="28">
        <f>'Emissions summary'!Q22</f>
        <v>0.15413971827221074</v>
      </c>
      <c r="U22" s="28">
        <f>'Emissions summary'!R22</f>
        <v>0.14073902583074538</v>
      </c>
      <c r="V22" s="28">
        <f>'Emissions summary'!S22</f>
        <v>0.13718244395054602</v>
      </c>
      <c r="W22" s="28">
        <f>'Emissions summary'!T22</f>
        <v>0.13743648551341742</v>
      </c>
      <c r="X22" s="28">
        <f>'Emissions summary'!U22</f>
        <v>0.13565819457331774</v>
      </c>
      <c r="Y22" s="28">
        <f>'Emissions summary'!V22</f>
        <v>0.13851616215562079</v>
      </c>
      <c r="Z22" s="28">
        <f>'Emissions summary'!W22</f>
        <v>0.13438798675896085</v>
      </c>
      <c r="AA22" s="28">
        <f>'Emissions summary'!X22</f>
        <v>0.13426096597752513</v>
      </c>
      <c r="AB22" s="28">
        <f>'Emissions summary'!Y22</f>
        <v>0.13191108152096487</v>
      </c>
      <c r="AC22" s="28">
        <f>'Emissions summary'!Z22</f>
        <v>0.13032332175301872</v>
      </c>
      <c r="AD22" s="28">
        <f>'Emissions summary'!AA22</f>
        <v>0.12911662432937968</v>
      </c>
      <c r="AE22" s="28">
        <f>SUM('Net zero emission reductions'!K1419:K1420)</f>
        <v>0.12930085831866078</v>
      </c>
      <c r="AF22" s="28">
        <f>SUM('Net zero emission reductions'!L1419:L1420)</f>
        <v>0.1296369327485416</v>
      </c>
      <c r="AG22" s="28">
        <f>SUM('Net zero emission reductions'!M1419:M1420)</f>
        <v>0.13009013567072575</v>
      </c>
      <c r="AH22" s="28">
        <f>SUM('Net zero emission reductions'!N1419:N1420)</f>
        <v>0.13064212532398867</v>
      </c>
      <c r="AI22" s="28">
        <f>SUM('Net zero emission reductions'!O1419:O1420)</f>
        <v>0.13130327577332915</v>
      </c>
      <c r="AJ22" s="28">
        <f>SUM('Net zero emission reductions'!P1419:P1420)</f>
        <v>0.13208490823736077</v>
      </c>
      <c r="AK22" s="28">
        <f>SUM('Net zero emission reductions'!Q1419:Q1420)</f>
        <v>0.13291328438926076</v>
      </c>
      <c r="AL22" s="28">
        <f>SUM('Net zero emission reductions'!R1419:R1420)</f>
        <v>0.13377871156440865</v>
      </c>
      <c r="AM22" s="28">
        <f>SUM('Net zero emission reductions'!S1419:S1420)</f>
        <v>0.13462125689472579</v>
      </c>
      <c r="AN22" s="28">
        <f>SUM('Net zero emission reductions'!T1419:T1420)</f>
        <v>0.13500769784476424</v>
      </c>
      <c r="AO22" s="28">
        <f>SUM('Net zero emission reductions'!U1419:U1420)</f>
        <v>0.13542443463446535</v>
      </c>
      <c r="AP22" s="28">
        <f>SUM('Net zero emission reductions'!V1419:V1420)</f>
        <v>0.13587610959387569</v>
      </c>
      <c r="AQ22" s="28">
        <f>SUM('Net zero emission reductions'!W1419:W1420)</f>
        <v>0.13636606637293464</v>
      </c>
      <c r="AR22" s="28">
        <f>SUM('Net zero emission reductions'!X1419:X1420)</f>
        <v>0.13690089627133359</v>
      </c>
      <c r="AS22" s="28">
        <f>SUM('Net zero emission reductions'!Y1419:Y1420)</f>
        <v>0.13724513112441536</v>
      </c>
      <c r="AT22" s="28">
        <f>SUM('Net zero emission reductions'!Z1419:Z1420)</f>
        <v>0.13762078960965202</v>
      </c>
      <c r="AU22" s="28">
        <f>SUM('Net zero emission reductions'!AA1419:AA1420)</f>
        <v>0.13801852726175512</v>
      </c>
      <c r="AV22" s="28">
        <f>SUM('Net zero emission reductions'!AB1419:AB1420)</f>
        <v>0.13844738671096199</v>
      </c>
      <c r="AW22" s="28">
        <f>SUM('Net zero emission reductions'!AC1419:AC1420)</f>
        <v>0.13890751253287612</v>
      </c>
      <c r="AX22" s="28">
        <f>SUM('Net zero emission reductions'!AD1419:AD1420)</f>
        <v>0.13921037317981508</v>
      </c>
      <c r="AY22" s="28">
        <f>SUM('Net zero emission reductions'!AE1419:AE1420)</f>
        <v>0.1395368388098904</v>
      </c>
      <c r="AZ22" s="28">
        <f>SUM('Net zero emission reductions'!AF1419:AF1420)</f>
        <v>0.13988487704018338</v>
      </c>
      <c r="BA22" s="28">
        <f>SUM('Net zero emission reductions'!AG1419:AG1420)</f>
        <v>0.14025839973724097</v>
      </c>
      <c r="BB22" s="28">
        <f>SUM('Net zero emission reductions'!AH1419:AH1420)</f>
        <v>0.14064409682722351</v>
      </c>
      <c r="BC22" s="28">
        <f>SUM('Net zero emission reductions'!AI1419:AI1420)</f>
        <v>0.14088319598844612</v>
      </c>
      <c r="BD22" s="28">
        <f>SUM('Net zero emission reductions'!AJ1419:AJ1420)</f>
        <v>0.14114002572735312</v>
      </c>
      <c r="BE22" s="28">
        <f>SUM('Net zero emission reductions'!AK1419:AK1420)</f>
        <v>0.14141053144619037</v>
      </c>
      <c r="BF22" s="28">
        <f>SUM('Net zero emission reductions'!AL1419:AL1420)</f>
        <v>0.14169638840150861</v>
      </c>
      <c r="BG22" s="28">
        <f>SUM('Net zero emission reductions'!AM1419:AM1420)</f>
        <v>0.14199910905360574</v>
      </c>
      <c r="BH22" s="28">
        <f>SUM('Net zero emission reductions'!AN1419:AN1420)</f>
        <v>0.14216416989347427</v>
      </c>
      <c r="BI22" s="28">
        <f>SUM('Net zero emission reductions'!AO1419:AO1420)</f>
        <v>0.14233925247946794</v>
      </c>
      <c r="BJ22" s="28">
        <f>SUM('Net zero emission reductions'!AP1419:AP1420)</f>
        <v>0.14252803158855659</v>
      </c>
      <c r="BK22" s="28">
        <f>SUM('Net zero emission reductions'!AQ1419:AQ1420)</f>
        <v>0.14273015601393907</v>
      </c>
      <c r="BL22" s="28">
        <f>SUM('Net zero emission reductions'!AR1419:AR1420)</f>
        <v>0.14294819523246746</v>
      </c>
      <c r="BM22" s="28">
        <f>SUM('Net zero emission reductions'!AS1419:AS1420)</f>
        <v>0.14302435640778324</v>
      </c>
      <c r="BN22" s="28">
        <f>SUM('Net zero emission reductions'!AT1419:AT1420)</f>
        <v>0.14308364323311487</v>
      </c>
      <c r="BO22" s="28">
        <f>SUM('Net zero emission reductions'!AU1419:AU1420)</f>
        <v>0.14315157745717252</v>
      </c>
      <c r="BP22" s="28">
        <f>SUM('Net zero emission reductions'!AV1419:AV1420)</f>
        <v>0.14323354847519756</v>
      </c>
      <c r="BQ22" s="28">
        <f>SUM('Net zero emission reductions'!AW1419:AW1420)</f>
        <v>0.14332379899560899</v>
      </c>
    </row>
    <row r="23" spans="1:72" x14ac:dyDescent="0.25">
      <c r="A23" s="102" t="str">
        <f t="shared" si="2"/>
        <v>FSFAGSPQNIBDDSCM Horses MMN2O</v>
      </c>
      <c r="B23" s="102" t="str">
        <f t="shared" si="14"/>
        <v>FSFAGSPQNIBDDSCM</v>
      </c>
      <c r="C23" s="103" t="s">
        <v>1331</v>
      </c>
      <c r="D23" t="str">
        <f t="shared" ref="D23:E26" si="17">D22</f>
        <v>3A Livestock</v>
      </c>
      <c r="E23" t="str">
        <f t="shared" si="17"/>
        <v>3A2 Manure management (N2O)</v>
      </c>
      <c r="F23" t="str">
        <f t="shared" si="15"/>
        <v>3A2f Horses</v>
      </c>
      <c r="G23" t="str">
        <f t="shared" si="16"/>
        <v>N2O</v>
      </c>
      <c r="H23" t="str">
        <f t="shared" si="16"/>
        <v>Gg N2O</v>
      </c>
      <c r="I23" s="28" t="str">
        <f>'Emissions summary'!F23</f>
        <v>NO</v>
      </c>
      <c r="J23" s="28" t="str">
        <f>'Emissions summary'!G23</f>
        <v>NO</v>
      </c>
      <c r="K23" s="28" t="str">
        <f>'Emissions summary'!H23</f>
        <v>NO</v>
      </c>
      <c r="L23" s="28" t="str">
        <f>'Emissions summary'!I23</f>
        <v>NO</v>
      </c>
      <c r="M23" s="28" t="str">
        <f>'Emissions summary'!J23</f>
        <v>NO</v>
      </c>
      <c r="N23" s="28" t="str">
        <f>'Emissions summary'!K23</f>
        <v>NO</v>
      </c>
      <c r="O23" s="28" t="str">
        <f>'Emissions summary'!L23</f>
        <v>NO</v>
      </c>
      <c r="P23" s="28" t="str">
        <f>'Emissions summary'!M23</f>
        <v>NO</v>
      </c>
      <c r="Q23" s="28" t="str">
        <f>'Emissions summary'!N23</f>
        <v>NO</v>
      </c>
      <c r="R23" s="28" t="str">
        <f>'Emissions summary'!O23</f>
        <v>NO</v>
      </c>
      <c r="S23" s="28" t="str">
        <f>'Emissions summary'!P23</f>
        <v>NO</v>
      </c>
      <c r="T23" s="28" t="str">
        <f>'Emissions summary'!Q23</f>
        <v>NO</v>
      </c>
      <c r="U23" s="28" t="str">
        <f>'Emissions summary'!R23</f>
        <v>NO</v>
      </c>
      <c r="V23" s="28" t="str">
        <f>'Emissions summary'!S23</f>
        <v>NO</v>
      </c>
      <c r="W23" s="28" t="str">
        <f>'Emissions summary'!T23</f>
        <v>NO</v>
      </c>
      <c r="X23" s="28" t="str">
        <f>'Emissions summary'!U23</f>
        <v>NO</v>
      </c>
      <c r="Y23" s="28" t="str">
        <f>'Emissions summary'!V23</f>
        <v>NO</v>
      </c>
      <c r="Z23" s="28" t="str">
        <f>'Emissions summary'!W23</f>
        <v>NO</v>
      </c>
      <c r="AA23" s="28" t="str">
        <f>'Emissions summary'!X23</f>
        <v>NO</v>
      </c>
      <c r="AB23" s="28" t="str">
        <f>'Emissions summary'!Y23</f>
        <v>NO</v>
      </c>
      <c r="AC23" s="28" t="str">
        <f>'Emissions summary'!Z23</f>
        <v>NO</v>
      </c>
      <c r="AD23" s="28" t="str">
        <f>'Emissions summary'!AA23</f>
        <v>NO</v>
      </c>
      <c r="AE23" s="28" t="str">
        <f>'Net zero emission reductions'!K1421</f>
        <v>NO</v>
      </c>
      <c r="AF23" s="28" t="str">
        <f>'Net zero emission reductions'!L1421</f>
        <v>NO</v>
      </c>
      <c r="AG23" s="28" t="str">
        <f>'Net zero emission reductions'!M1421</f>
        <v>NO</v>
      </c>
      <c r="AH23" s="28" t="str">
        <f>'Net zero emission reductions'!N1421</f>
        <v>NO</v>
      </c>
      <c r="AI23" s="28" t="str">
        <f>'Net zero emission reductions'!O1421</f>
        <v>NO</v>
      </c>
      <c r="AJ23" s="28" t="str">
        <f>'Net zero emission reductions'!P1421</f>
        <v>NO</v>
      </c>
      <c r="AK23" s="28" t="str">
        <f>'Net zero emission reductions'!Q1421</f>
        <v>NO</v>
      </c>
      <c r="AL23" s="28" t="str">
        <f>'Net zero emission reductions'!R1421</f>
        <v>NO</v>
      </c>
      <c r="AM23" s="28" t="str">
        <f>'Net zero emission reductions'!S1421</f>
        <v>NO</v>
      </c>
      <c r="AN23" s="28" t="str">
        <f>'Net zero emission reductions'!T1421</f>
        <v>NO</v>
      </c>
      <c r="AO23" s="28" t="str">
        <f>'Net zero emission reductions'!U1421</f>
        <v>NO</v>
      </c>
      <c r="AP23" s="28" t="str">
        <f>'Net zero emission reductions'!V1421</f>
        <v>NO</v>
      </c>
      <c r="AQ23" s="28" t="str">
        <f>'Net zero emission reductions'!W1421</f>
        <v>NO</v>
      </c>
      <c r="AR23" s="28" t="str">
        <f>'Net zero emission reductions'!X1421</f>
        <v>NO</v>
      </c>
      <c r="AS23" s="28" t="str">
        <f>'Net zero emission reductions'!Y1421</f>
        <v>NO</v>
      </c>
      <c r="AT23" s="28" t="str">
        <f>'Net zero emission reductions'!Z1421</f>
        <v>NO</v>
      </c>
      <c r="AU23" s="28" t="str">
        <f>'Net zero emission reductions'!AA1421</f>
        <v>NO</v>
      </c>
      <c r="AV23" s="28" t="str">
        <f>'Net zero emission reductions'!AB1421</f>
        <v>NO</v>
      </c>
      <c r="AW23" s="28" t="str">
        <f>'Net zero emission reductions'!AC1421</f>
        <v>NO</v>
      </c>
      <c r="AX23" s="28" t="str">
        <f>'Net zero emission reductions'!AD1421</f>
        <v>NO</v>
      </c>
      <c r="AY23" s="28" t="str">
        <f>'Net zero emission reductions'!AE1421</f>
        <v>NO</v>
      </c>
      <c r="AZ23" s="28" t="str">
        <f>'Net zero emission reductions'!AF1421</f>
        <v>NO</v>
      </c>
      <c r="BA23" s="28" t="str">
        <f>'Net zero emission reductions'!AG1421</f>
        <v>NO</v>
      </c>
      <c r="BB23" s="28" t="str">
        <f>'Net zero emission reductions'!AH1421</f>
        <v>NO</v>
      </c>
      <c r="BC23" s="28" t="str">
        <f>'Net zero emission reductions'!AI1421</f>
        <v>NO</v>
      </c>
      <c r="BD23" s="28" t="str">
        <f>'Net zero emission reductions'!AJ1421</f>
        <v>NO</v>
      </c>
      <c r="BE23" s="28" t="str">
        <f>'Net zero emission reductions'!AK1421</f>
        <v>NO</v>
      </c>
      <c r="BF23" s="28" t="str">
        <f>'Net zero emission reductions'!AL1421</f>
        <v>NO</v>
      </c>
      <c r="BG23" s="28" t="str">
        <f>'Net zero emission reductions'!AM1421</f>
        <v>NO</v>
      </c>
      <c r="BH23" s="28" t="str">
        <f>'Net zero emission reductions'!AN1421</f>
        <v>NO</v>
      </c>
      <c r="BI23" s="28" t="str">
        <f>'Net zero emission reductions'!AO1421</f>
        <v>NO</v>
      </c>
      <c r="BJ23" s="28" t="str">
        <f>'Net zero emission reductions'!AP1421</f>
        <v>NO</v>
      </c>
      <c r="BK23" s="28" t="str">
        <f>'Net zero emission reductions'!AQ1421</f>
        <v>NO</v>
      </c>
      <c r="BL23" s="28" t="str">
        <f>'Net zero emission reductions'!AR1421</f>
        <v>NO</v>
      </c>
      <c r="BM23" s="28" t="str">
        <f>'Net zero emission reductions'!AS1421</f>
        <v>NO</v>
      </c>
      <c r="BN23" s="28" t="str">
        <f>'Net zero emission reductions'!AT1421</f>
        <v>NO</v>
      </c>
      <c r="BO23" s="28" t="str">
        <f>'Net zero emission reductions'!AU1421</f>
        <v>NO</v>
      </c>
      <c r="BP23" s="28" t="str">
        <f>'Net zero emission reductions'!AV1421</f>
        <v>NO</v>
      </c>
      <c r="BQ23" s="28" t="str">
        <f>'Net zero emission reductions'!AW1421</f>
        <v>NO</v>
      </c>
    </row>
    <row r="24" spans="1:72" x14ac:dyDescent="0.25">
      <c r="A24" s="102" t="str">
        <f t="shared" si="2"/>
        <v>FSFAGSPQNIBDDSCM Mules MMN2O</v>
      </c>
      <c r="B24" s="102" t="str">
        <f t="shared" si="14"/>
        <v>FSFAGSPQNIBDDSCM</v>
      </c>
      <c r="C24" s="103" t="s">
        <v>1332</v>
      </c>
      <c r="D24" t="str">
        <f t="shared" si="17"/>
        <v>3A Livestock</v>
      </c>
      <c r="E24" t="str">
        <f t="shared" si="17"/>
        <v>3A2 Manure management (N2O)</v>
      </c>
      <c r="F24" t="str">
        <f t="shared" si="15"/>
        <v>3A2g Mules &amp; asses</v>
      </c>
      <c r="G24" t="str">
        <f t="shared" si="16"/>
        <v>N2O</v>
      </c>
      <c r="H24" t="str">
        <f t="shared" si="16"/>
        <v>Gg N2O</v>
      </c>
      <c r="I24" s="28" t="str">
        <f>'Emissions summary'!F24</f>
        <v>NO</v>
      </c>
      <c r="J24" s="28" t="str">
        <f>'Emissions summary'!G24</f>
        <v>NO</v>
      </c>
      <c r="K24" s="28" t="str">
        <f>'Emissions summary'!H24</f>
        <v>NO</v>
      </c>
      <c r="L24" s="28" t="str">
        <f>'Emissions summary'!I24</f>
        <v>NO</v>
      </c>
      <c r="M24" s="28" t="str">
        <f>'Emissions summary'!J24</f>
        <v>NO</v>
      </c>
      <c r="N24" s="28" t="str">
        <f>'Emissions summary'!K24</f>
        <v>NO</v>
      </c>
      <c r="O24" s="28" t="str">
        <f>'Emissions summary'!L24</f>
        <v>NO</v>
      </c>
      <c r="P24" s="28" t="str">
        <f>'Emissions summary'!M24</f>
        <v>NO</v>
      </c>
      <c r="Q24" s="28" t="str">
        <f>'Emissions summary'!N24</f>
        <v>NO</v>
      </c>
      <c r="R24" s="28" t="str">
        <f>'Emissions summary'!O24</f>
        <v>NO</v>
      </c>
      <c r="S24" s="28" t="str">
        <f>'Emissions summary'!P24</f>
        <v>NO</v>
      </c>
      <c r="T24" s="28" t="str">
        <f>'Emissions summary'!Q24</f>
        <v>NO</v>
      </c>
      <c r="U24" s="28" t="str">
        <f>'Emissions summary'!R24</f>
        <v>NO</v>
      </c>
      <c r="V24" s="28" t="str">
        <f>'Emissions summary'!S24</f>
        <v>NO</v>
      </c>
      <c r="W24" s="28" t="str">
        <f>'Emissions summary'!T24</f>
        <v>NO</v>
      </c>
      <c r="X24" s="28" t="str">
        <f>'Emissions summary'!U24</f>
        <v>NO</v>
      </c>
      <c r="Y24" s="28" t="str">
        <f>'Emissions summary'!V24</f>
        <v>NO</v>
      </c>
      <c r="Z24" s="28" t="str">
        <f>'Emissions summary'!W24</f>
        <v>NO</v>
      </c>
      <c r="AA24" s="28" t="str">
        <f>'Emissions summary'!X24</f>
        <v>NO</v>
      </c>
      <c r="AB24" s="28" t="str">
        <f>'Emissions summary'!Y24</f>
        <v>NO</v>
      </c>
      <c r="AC24" s="28" t="str">
        <f>'Emissions summary'!Z24</f>
        <v>NO</v>
      </c>
      <c r="AD24" s="28" t="str">
        <f>'Emissions summary'!AA24</f>
        <v>NO</v>
      </c>
      <c r="AE24" s="28" t="str">
        <f>'Net zero emission reductions'!K1422</f>
        <v>NO</v>
      </c>
      <c r="AF24" s="28" t="str">
        <f>'Net zero emission reductions'!L1422</f>
        <v>NO</v>
      </c>
      <c r="AG24" s="28" t="str">
        <f>'Net zero emission reductions'!M1422</f>
        <v>NO</v>
      </c>
      <c r="AH24" s="28" t="str">
        <f>'Net zero emission reductions'!N1422</f>
        <v>NO</v>
      </c>
      <c r="AI24" s="28" t="str">
        <f>'Net zero emission reductions'!O1422</f>
        <v>NO</v>
      </c>
      <c r="AJ24" s="28" t="str">
        <f>'Net zero emission reductions'!P1422</f>
        <v>NO</v>
      </c>
      <c r="AK24" s="28" t="str">
        <f>'Net zero emission reductions'!Q1422</f>
        <v>NO</v>
      </c>
      <c r="AL24" s="28" t="str">
        <f>'Net zero emission reductions'!R1422</f>
        <v>NO</v>
      </c>
      <c r="AM24" s="28" t="str">
        <f>'Net zero emission reductions'!S1422</f>
        <v>NO</v>
      </c>
      <c r="AN24" s="28" t="str">
        <f>'Net zero emission reductions'!T1422</f>
        <v>NO</v>
      </c>
      <c r="AO24" s="28" t="str">
        <f>'Net zero emission reductions'!U1422</f>
        <v>NO</v>
      </c>
      <c r="AP24" s="28" t="str">
        <f>'Net zero emission reductions'!V1422</f>
        <v>NO</v>
      </c>
      <c r="AQ24" s="28" t="str">
        <f>'Net zero emission reductions'!W1422</f>
        <v>NO</v>
      </c>
      <c r="AR24" s="28" t="str">
        <f>'Net zero emission reductions'!X1422</f>
        <v>NO</v>
      </c>
      <c r="AS24" s="28" t="str">
        <f>'Net zero emission reductions'!Y1422</f>
        <v>NO</v>
      </c>
      <c r="AT24" s="28" t="str">
        <f>'Net zero emission reductions'!Z1422</f>
        <v>NO</v>
      </c>
      <c r="AU24" s="28" t="str">
        <f>'Net zero emission reductions'!AA1422</f>
        <v>NO</v>
      </c>
      <c r="AV24" s="28" t="str">
        <f>'Net zero emission reductions'!AB1422</f>
        <v>NO</v>
      </c>
      <c r="AW24" s="28" t="str">
        <f>'Net zero emission reductions'!AC1422</f>
        <v>NO</v>
      </c>
      <c r="AX24" s="28" t="str">
        <f>'Net zero emission reductions'!AD1422</f>
        <v>NO</v>
      </c>
      <c r="AY24" s="28" t="str">
        <f>'Net zero emission reductions'!AE1422</f>
        <v>NO</v>
      </c>
      <c r="AZ24" s="28" t="str">
        <f>'Net zero emission reductions'!AF1422</f>
        <v>NO</v>
      </c>
      <c r="BA24" s="28" t="str">
        <f>'Net zero emission reductions'!AG1422</f>
        <v>NO</v>
      </c>
      <c r="BB24" s="28" t="str">
        <f>'Net zero emission reductions'!AH1422</f>
        <v>NO</v>
      </c>
      <c r="BC24" s="28" t="str">
        <f>'Net zero emission reductions'!AI1422</f>
        <v>NO</v>
      </c>
      <c r="BD24" s="28" t="str">
        <f>'Net zero emission reductions'!AJ1422</f>
        <v>NO</v>
      </c>
      <c r="BE24" s="28" t="str">
        <f>'Net zero emission reductions'!AK1422</f>
        <v>NO</v>
      </c>
      <c r="BF24" s="28" t="str">
        <f>'Net zero emission reductions'!AL1422</f>
        <v>NO</v>
      </c>
      <c r="BG24" s="28" t="str">
        <f>'Net zero emission reductions'!AM1422</f>
        <v>NO</v>
      </c>
      <c r="BH24" s="28" t="str">
        <f>'Net zero emission reductions'!AN1422</f>
        <v>NO</v>
      </c>
      <c r="BI24" s="28" t="str">
        <f>'Net zero emission reductions'!AO1422</f>
        <v>NO</v>
      </c>
      <c r="BJ24" s="28" t="str">
        <f>'Net zero emission reductions'!AP1422</f>
        <v>NO</v>
      </c>
      <c r="BK24" s="28" t="str">
        <f>'Net zero emission reductions'!AQ1422</f>
        <v>NO</v>
      </c>
      <c r="BL24" s="28" t="str">
        <f>'Net zero emission reductions'!AR1422</f>
        <v>NO</v>
      </c>
      <c r="BM24" s="28" t="str">
        <f>'Net zero emission reductions'!AS1422</f>
        <v>NO</v>
      </c>
      <c r="BN24" s="28" t="str">
        <f>'Net zero emission reductions'!AT1422</f>
        <v>NO</v>
      </c>
      <c r="BO24" s="28" t="str">
        <f>'Net zero emission reductions'!AU1422</f>
        <v>NO</v>
      </c>
      <c r="BP24" s="28" t="str">
        <f>'Net zero emission reductions'!AV1422</f>
        <v>NO</v>
      </c>
      <c r="BQ24" s="28" t="str">
        <f>'Net zero emission reductions'!AW1422</f>
        <v>NO</v>
      </c>
    </row>
    <row r="25" spans="1:72" x14ac:dyDescent="0.25">
      <c r="A25" s="102" t="str">
        <f t="shared" si="2"/>
        <v>FSFAGSPQNIBDDSCM Swine MMN2O</v>
      </c>
      <c r="B25" s="102" t="str">
        <f t="shared" si="14"/>
        <v>FSFAGSPQNIBDDSCM</v>
      </c>
      <c r="C25" s="103" t="s">
        <v>1234</v>
      </c>
      <c r="D25" t="str">
        <f t="shared" si="17"/>
        <v>3A Livestock</v>
      </c>
      <c r="E25" t="str">
        <f t="shared" si="17"/>
        <v>3A2 Manure management (N2O)</v>
      </c>
      <c r="F25" t="str">
        <f t="shared" si="15"/>
        <v>3A2h Swine</v>
      </c>
      <c r="G25" t="str">
        <f t="shared" si="16"/>
        <v>N2O</v>
      </c>
      <c r="H25" t="str">
        <f t="shared" si="16"/>
        <v>Gg N2O</v>
      </c>
      <c r="I25" s="28">
        <f>'Emissions summary'!F25</f>
        <v>0.12329867623327949</v>
      </c>
      <c r="J25" s="28">
        <f>'Emissions summary'!G25</f>
        <v>0.13470623092415376</v>
      </c>
      <c r="K25" s="28">
        <f>'Emissions summary'!H25</f>
        <v>0.13381627984897917</v>
      </c>
      <c r="L25" s="28">
        <f>'Emissions summary'!I25</f>
        <v>0.13373537520578149</v>
      </c>
      <c r="M25" s="28">
        <f>'Emissions summary'!J25</f>
        <v>0.12702028982037319</v>
      </c>
      <c r="N25" s="28">
        <f>'Emissions summary'!K25</f>
        <v>0.12823385946833857</v>
      </c>
      <c r="O25" s="28">
        <f>'Emissions summary'!L25</f>
        <v>0.13810422593845673</v>
      </c>
      <c r="P25" s="28">
        <f>'Emissions summary'!M25</f>
        <v>0.13745698879287524</v>
      </c>
      <c r="Q25" s="28">
        <f>'Emissions summary'!N25</f>
        <v>0.14045046059118976</v>
      </c>
      <c r="R25" s="28">
        <f>'Emissions summary'!O25</f>
        <v>0.14401026489188812</v>
      </c>
      <c r="S25" s="28">
        <f>'Emissions summary'!P25</f>
        <v>0.13324994734659534</v>
      </c>
      <c r="T25" s="28">
        <f>'Emissions summary'!Q25</f>
        <v>0.13575799128572374</v>
      </c>
      <c r="U25" s="28">
        <f>'Emissions summary'!R25</f>
        <v>0.1383469398680498</v>
      </c>
      <c r="V25" s="28">
        <f>'Emissions summary'!S25</f>
        <v>0.1345444216377584</v>
      </c>
      <c r="W25" s="28">
        <f>'Emissions summary'!T25</f>
        <v>0.1345444216377584</v>
      </c>
      <c r="X25" s="28">
        <f>'Emissions summary'!U25</f>
        <v>0.1335735659193861</v>
      </c>
      <c r="Y25" s="28">
        <f>'Emissions summary'!V25</f>
        <v>0.13122733126665309</v>
      </c>
      <c r="Z25" s="28">
        <f>'Emissions summary'!W25</f>
        <v>0.1335735659193861</v>
      </c>
      <c r="AA25" s="28">
        <f>'Emissions summary'!X25</f>
        <v>0.13066099876426929</v>
      </c>
      <c r="AB25" s="28">
        <f>'Emissions summary'!Y25</f>
        <v>0.13049918947787389</v>
      </c>
      <c r="AC25" s="28">
        <f>'Emissions summary'!Z25</f>
        <v>0.12896200125711779</v>
      </c>
      <c r="AD25" s="28">
        <f>'Emissions summary'!AA25</f>
        <v>0.12815295482514089</v>
      </c>
      <c r="AE25" s="28">
        <f>SUM('Net zero emission reductions'!K1423:K1424)</f>
        <v>0.13613786187116422</v>
      </c>
      <c r="AF25" s="28">
        <f>SUM('Net zero emission reductions'!L1423:L1424)</f>
        <v>0.13589725399310812</v>
      </c>
      <c r="AG25" s="28">
        <f>SUM('Net zero emission reductions'!M1423:M1424)</f>
        <v>0.1351347992934038</v>
      </c>
      <c r="AH25" s="28">
        <f>SUM('Net zero emission reductions'!N1423:N1424)</f>
        <v>0.1321528771561141</v>
      </c>
      <c r="AI25" s="28">
        <f>SUM('Net zero emission reductions'!O1423:O1424)</f>
        <v>0.12933298775112495</v>
      </c>
      <c r="AJ25" s="28">
        <f>SUM('Net zero emission reductions'!P1423:P1424)</f>
        <v>0.12887785159656295</v>
      </c>
      <c r="AK25" s="28">
        <f>SUM('Net zero emission reductions'!Q1423:Q1424)</f>
        <v>0.12777300179328563</v>
      </c>
      <c r="AL25" s="28">
        <f>SUM('Net zero emission reductions'!R1423:R1424)</f>
        <v>0.12437013993974183</v>
      </c>
      <c r="AM25" s="28">
        <f>SUM('Net zero emission reductions'!S1423:S1424)</f>
        <v>0.11093241044204248</v>
      </c>
      <c r="AN25" s="28">
        <f>SUM('Net zero emission reductions'!T1423:T1424)</f>
        <v>0.1133186345290606</v>
      </c>
      <c r="AO25" s="28">
        <f>SUM('Net zero emission reductions'!U1423:U1424)</f>
        <v>0.1144174475687363</v>
      </c>
      <c r="AP25" s="28">
        <f>SUM('Net zero emission reductions'!V1423:V1424)</f>
        <v>0.11521772237990521</v>
      </c>
      <c r="AQ25" s="28">
        <f>SUM('Net zero emission reductions'!W1423:W1424)</f>
        <v>0.11644635985315499</v>
      </c>
      <c r="AR25" s="28">
        <f>SUM('Net zero emission reductions'!X1423:X1424)</f>
        <v>0.11917479274275908</v>
      </c>
      <c r="AS25" s="28">
        <f>SUM('Net zero emission reductions'!Y1423:Y1424)</f>
        <v>0.12224549195186343</v>
      </c>
      <c r="AT25" s="28">
        <f>SUM('Net zero emission reductions'!Z1423:Z1424)</f>
        <v>0.12562452740996813</v>
      </c>
      <c r="AU25" s="28">
        <f>SUM('Net zero emission reductions'!AA1423:AA1424)</f>
        <v>0.12832654007020891</v>
      </c>
      <c r="AV25" s="28">
        <f>SUM('Net zero emission reductions'!AB1423:AB1424)</f>
        <v>0.13163601964407842</v>
      </c>
      <c r="AW25" s="28">
        <f>SUM('Net zero emission reductions'!AC1423:AC1424)</f>
        <v>0.13568606155692597</v>
      </c>
      <c r="AX25" s="28">
        <f>SUM('Net zero emission reductions'!AD1423:AD1424)</f>
        <v>0.13951961885018657</v>
      </c>
      <c r="AY25" s="28">
        <f>SUM('Net zero emission reductions'!AE1423:AE1424)</f>
        <v>0.14350950601483636</v>
      </c>
      <c r="AZ25" s="28">
        <f>SUM('Net zero emission reductions'!AF1423:AF1424)</f>
        <v>0.14752278798023816</v>
      </c>
      <c r="BA25" s="28">
        <f>SUM('Net zero emission reductions'!AG1423:AG1424)</f>
        <v>0.15209984494903359</v>
      </c>
      <c r="BB25" s="28">
        <f>SUM('Net zero emission reductions'!AH1423:AH1424)</f>
        <v>0.15581060494027307</v>
      </c>
      <c r="BC25" s="28">
        <f>SUM('Net zero emission reductions'!AI1423:AI1424)</f>
        <v>0.15978680967386794</v>
      </c>
      <c r="BD25" s="28">
        <f>SUM('Net zero emission reductions'!AJ1423:AJ1424)</f>
        <v>0.16376376564311418</v>
      </c>
      <c r="BE25" s="28">
        <f>SUM('Net zero emission reductions'!AK1423:AK1424)</f>
        <v>0.16737322976844402</v>
      </c>
      <c r="BF25" s="28">
        <f>SUM('Net zero emission reductions'!AL1423:AL1424)</f>
        <v>0.17087074396895241</v>
      </c>
      <c r="BG25" s="28">
        <f>SUM('Net zero emission reductions'!AM1423:AM1424)</f>
        <v>0.17447662596364219</v>
      </c>
      <c r="BH25" s="28">
        <f>SUM('Net zero emission reductions'!AN1423:AN1424)</f>
        <v>0.17828878112654678</v>
      </c>
      <c r="BI25" s="28">
        <f>SUM('Net zero emission reductions'!AO1423:AO1424)</f>
        <v>0.18164042792093543</v>
      </c>
      <c r="BJ25" s="28">
        <f>SUM('Net zero emission reductions'!AP1423:AP1424)</f>
        <v>0.18496765400945384</v>
      </c>
      <c r="BK25" s="28">
        <f>SUM('Net zero emission reductions'!AQ1423:AQ1424)</f>
        <v>0.18827930601880483</v>
      </c>
      <c r="BL25" s="28">
        <f>SUM('Net zero emission reductions'!AR1423:AR1424)</f>
        <v>0.19186777145432554</v>
      </c>
      <c r="BM25" s="28">
        <f>SUM('Net zero emission reductions'!AS1423:AS1424)</f>
        <v>0.19550829529180372</v>
      </c>
      <c r="BN25" s="28">
        <f>SUM('Net zero emission reductions'!AT1423:AT1424)</f>
        <v>0.19635950269773711</v>
      </c>
      <c r="BO25" s="28">
        <f>SUM('Net zero emission reductions'!AU1423:AU1424)</f>
        <v>0.19697653624365832</v>
      </c>
      <c r="BP25" s="28">
        <f>SUM('Net zero emission reductions'!AV1423:AV1424)</f>
        <v>0.19790284177446871</v>
      </c>
      <c r="BQ25" s="28">
        <f>SUM('Net zero emission reductions'!AW1423:AW1424)</f>
        <v>0.19862610251048823</v>
      </c>
    </row>
    <row r="26" spans="1:72" x14ac:dyDescent="0.25">
      <c r="A26" s="102" t="str">
        <f t="shared" si="2"/>
        <v>FSFAGSPQNIBDDSCM Poultry MMN2O</v>
      </c>
      <c r="B26" s="102" t="str">
        <f t="shared" si="14"/>
        <v>FSFAGSPQNIBDDSCM</v>
      </c>
      <c r="C26" s="103" t="s">
        <v>1235</v>
      </c>
      <c r="D26" t="str">
        <f t="shared" si="17"/>
        <v>3A Livestock</v>
      </c>
      <c r="E26" t="str">
        <f t="shared" si="17"/>
        <v>3A2 Manure management (N2O)</v>
      </c>
      <c r="F26" t="str">
        <f t="shared" si="15"/>
        <v>3A2i Poultry</v>
      </c>
      <c r="G26" t="str">
        <f t="shared" si="16"/>
        <v>N2O</v>
      </c>
      <c r="H26" t="str">
        <f t="shared" si="16"/>
        <v>Gg N2O</v>
      </c>
      <c r="I26" s="28">
        <f>'Emissions summary'!F26</f>
        <v>0.97142643116498173</v>
      </c>
      <c r="J26" s="28">
        <f>'Emissions summary'!G26</f>
        <v>0.91979947773956539</v>
      </c>
      <c r="K26" s="28">
        <f>'Emissions summary'!H26</f>
        <v>0.86996640861962027</v>
      </c>
      <c r="L26" s="28">
        <f>'Emissions summary'!I26</f>
        <v>0.95105089689588118</v>
      </c>
      <c r="M26" s="28">
        <f>'Emissions summary'!J26</f>
        <v>0.93558760332506563</v>
      </c>
      <c r="N26" s="28">
        <f>'Emissions summary'!K26</f>
        <v>1.0610980244624493</v>
      </c>
      <c r="O26" s="28">
        <f>'Emissions summary'!L26</f>
        <v>1.2124779056940209</v>
      </c>
      <c r="P26" s="28">
        <f>'Emissions summary'!M26</f>
        <v>1.2310774331909755</v>
      </c>
      <c r="Q26" s="28">
        <f>'Emissions summary'!N26</f>
        <v>1.3553349187397734</v>
      </c>
      <c r="R26" s="28">
        <f>'Emissions summary'!O26</f>
        <v>1.4216688462228295</v>
      </c>
      <c r="S26" s="28">
        <f>'Emissions summary'!P26</f>
        <v>1.5047428388913393</v>
      </c>
      <c r="T26" s="28">
        <f>'Emissions summary'!Q26</f>
        <v>1.4682944579243469</v>
      </c>
      <c r="U26" s="28">
        <f>'Emissions summary'!R26</f>
        <v>1.5974517753633082</v>
      </c>
      <c r="V26" s="28">
        <f>'Emissions summary'!S26</f>
        <v>1.5216968274171625</v>
      </c>
      <c r="W26" s="28">
        <f>'Emissions summary'!T26</f>
        <v>1.561402779749649</v>
      </c>
      <c r="X26" s="28">
        <f>'Emissions summary'!U26</f>
        <v>1.715924170745724</v>
      </c>
      <c r="Y26" s="28">
        <f>'Emissions summary'!V26</f>
        <v>1.8445047156055465</v>
      </c>
      <c r="Z26" s="28">
        <f>'Emissions summary'!W26</f>
        <v>1.9478096113399568</v>
      </c>
      <c r="AA26" s="28">
        <f>'Emissions summary'!X26</f>
        <v>2.0569289282113736</v>
      </c>
      <c r="AB26" s="28">
        <f>'Emissions summary'!Y26</f>
        <v>1.9474443632124327</v>
      </c>
      <c r="AC26" s="28">
        <f>'Emissions summary'!Z26</f>
        <v>2.0008545268528479</v>
      </c>
      <c r="AD26" s="28">
        <f>'Emissions summary'!AA26</f>
        <v>2.0733749858055939</v>
      </c>
      <c r="AE26" s="28">
        <f>SUM('Net zero emission reductions'!K1425:K1428)</f>
        <v>2.1269488247280468</v>
      </c>
      <c r="AF26" s="28">
        <f>SUM('Net zero emission reductions'!L1425:L1428)</f>
        <v>2.16776634187277</v>
      </c>
      <c r="AG26" s="28">
        <f>SUM('Net zero emission reductions'!M1425:M1428)</f>
        <v>2.196421319397095</v>
      </c>
      <c r="AH26" s="28">
        <f>SUM('Net zero emission reductions'!N1425:N1428)</f>
        <v>2.1761571145028649</v>
      </c>
      <c r="AI26" s="28">
        <f>SUM('Net zero emission reductions'!O1425:O1428)</f>
        <v>2.1567126308699645</v>
      </c>
      <c r="AJ26" s="28">
        <f>SUM('Net zero emission reductions'!P1425:P1428)</f>
        <v>2.1869946929291686</v>
      </c>
      <c r="AK26" s="28">
        <f>SUM('Net zero emission reductions'!Q1425:Q1428)</f>
        <v>2.2021179506354787</v>
      </c>
      <c r="AL26" s="28">
        <f>SUM('Net zero emission reductions'!R1425:R1428)</f>
        <v>2.1640007819393885</v>
      </c>
      <c r="AM26" s="28">
        <f>SUM('Net zero emission reductions'!S1425:S1428)</f>
        <v>1.8919449293637745</v>
      </c>
      <c r="AN26" s="28">
        <f>SUM('Net zero emission reductions'!T1425:T1428)</f>
        <v>1.9844135084752292</v>
      </c>
      <c r="AO26" s="28">
        <f>SUM('Net zero emission reductions'!U1425:U1428)</f>
        <v>2.0478272807159228</v>
      </c>
      <c r="AP26" s="28">
        <f>SUM('Net zero emission reductions'!V1425:V1428)</f>
        <v>2.1047570565754765</v>
      </c>
      <c r="AQ26" s="28">
        <f>SUM('Net zero emission reductions'!W1425:W1428)</f>
        <v>2.1726909545521687</v>
      </c>
      <c r="AR26" s="28">
        <f>SUM('Net zero emission reductions'!X1425:X1428)</f>
        <v>2.2786144243218991</v>
      </c>
      <c r="AS26" s="28">
        <f>SUM('Net zero emission reductions'!Y1425:Y1428)</f>
        <v>2.3962377972073736</v>
      </c>
      <c r="AT26" s="28">
        <f>SUM('Net zero emission reductions'!Z1425:Z1428)</f>
        <v>2.5239480884721472</v>
      </c>
      <c r="AU26" s="28">
        <f>SUM('Net zero emission reductions'!AA1425:AA1428)</f>
        <v>2.6367408378526829</v>
      </c>
      <c r="AV26" s="28">
        <f>SUM('Net zero emission reductions'!AB1425:AB1428)</f>
        <v>2.7675175513866068</v>
      </c>
      <c r="AW26" s="28">
        <f>SUM('Net zero emission reductions'!AC1425:AC1428)</f>
        <v>2.9205029222120009</v>
      </c>
      <c r="AX26" s="28">
        <f>SUM('Net zero emission reductions'!AD1425:AD1428)</f>
        <v>3.0718018541756376</v>
      </c>
      <c r="AY26" s="28">
        <f>SUM('Net zero emission reductions'!AE1425:AE1428)</f>
        <v>3.2304796029361253</v>
      </c>
      <c r="AZ26" s="28">
        <f>SUM('Net zero emission reductions'!AF1425:AF1428)</f>
        <v>3.3931255917794094</v>
      </c>
      <c r="BA26" s="28">
        <f>SUM('Net zero emission reductions'!AG1425:AG1428)</f>
        <v>3.5749303719195717</v>
      </c>
      <c r="BB26" s="28">
        <f>SUM('Net zero emission reductions'!AH1425:AH1428)</f>
        <v>3.736171242995515</v>
      </c>
      <c r="BC26" s="28">
        <f>SUM('Net zero emission reductions'!AI1425:AI1428)</f>
        <v>3.9092409497061547</v>
      </c>
      <c r="BD26" s="28">
        <f>SUM('Net zero emission reductions'!AJ1425:AJ1428)</f>
        <v>4.0860042755588966</v>
      </c>
      <c r="BE26" s="28">
        <f>SUM('Net zero emission reductions'!AK1425:AK1428)</f>
        <v>4.2557268208132184</v>
      </c>
      <c r="BF26" s="28">
        <f>SUM('Net zero emission reductions'!AL1425:AL1428)</f>
        <v>4.4256967401659475</v>
      </c>
      <c r="BG26" s="28">
        <f>SUM('Net zero emission reductions'!AM1425:AM1428)</f>
        <v>4.6025347148170255</v>
      </c>
      <c r="BH26" s="28">
        <f>SUM('Net zero emission reductions'!AN1425:AN1428)</f>
        <v>4.7902359658837517</v>
      </c>
      <c r="BI26" s="28">
        <f>SUM('Net zero emission reductions'!AO1425:AO1428)</f>
        <v>4.9677107867803496</v>
      </c>
      <c r="BJ26" s="28">
        <f>SUM('Net zero emission reductions'!AP1425:AP1428)</f>
        <v>5.1482072504026499</v>
      </c>
      <c r="BK26" s="28">
        <f>SUM('Net zero emission reductions'!AQ1425:AQ1428)</f>
        <v>5.3320864717305163</v>
      </c>
      <c r="BL26" s="28">
        <f>SUM('Net zero emission reductions'!AR1425:AR1428)</f>
        <v>5.5288787094084322</v>
      </c>
      <c r="BM26" s="28">
        <f>SUM('Net zero emission reductions'!AS1425:AS1428)</f>
        <v>5.7324698122204794</v>
      </c>
      <c r="BN26" s="28">
        <f>SUM('Net zero emission reductions'!AT1425:AT1428)</f>
        <v>5.8481118237064553</v>
      </c>
      <c r="BO26" s="28">
        <f>SUM('Net zero emission reductions'!AU1425:AU1428)</f>
        <v>5.9580321856205094</v>
      </c>
      <c r="BP26" s="28">
        <f>SUM('Net zero emission reductions'!AV1425:AV1428)</f>
        <v>6.0804919547587382</v>
      </c>
      <c r="BQ26" s="28">
        <f>SUM('Net zero emission reductions'!AW1425:AW1428)</f>
        <v>6.1983124151604292</v>
      </c>
    </row>
    <row r="27" spans="1:72" s="19" customFormat="1" ht="15.75" x14ac:dyDescent="0.25">
      <c r="A27" s="104"/>
      <c r="B27" s="104"/>
      <c r="C27" s="104"/>
      <c r="D27" s="19" t="str">
        <f>'IPCC Categories'!A59</f>
        <v>3C Aggregated and non-CO2 emissions on land</v>
      </c>
      <c r="E27" s="19" t="str">
        <f>'IPCC Categories'!B59</f>
        <v>3C1 Biomass burning (CH4)</v>
      </c>
      <c r="F27" s="19" t="s">
        <v>148</v>
      </c>
      <c r="G27" s="19" t="s">
        <v>121</v>
      </c>
      <c r="H27" s="19" t="s">
        <v>286</v>
      </c>
      <c r="I27" s="47">
        <f>SUM(I28:I33)</f>
        <v>53.0453492171862</v>
      </c>
      <c r="J27" s="47">
        <f t="shared" ref="J27:AE27" si="18">SUM(J28:J33)</f>
        <v>53.0453492171862</v>
      </c>
      <c r="K27" s="47">
        <f t="shared" si="18"/>
        <v>53.0453492171862</v>
      </c>
      <c r="L27" s="47">
        <f t="shared" si="18"/>
        <v>53.0453492171862</v>
      </c>
      <c r="M27" s="47">
        <f t="shared" si="18"/>
        <v>53.0453492171862</v>
      </c>
      <c r="N27" s="47">
        <f t="shared" si="18"/>
        <v>53.0453492171862</v>
      </c>
      <c r="O27" s="47">
        <f t="shared" si="18"/>
        <v>53.0453492171862</v>
      </c>
      <c r="P27" s="47">
        <f t="shared" si="18"/>
        <v>53.0453492171862</v>
      </c>
      <c r="Q27" s="47">
        <f t="shared" si="18"/>
        <v>53.0453492171862</v>
      </c>
      <c r="R27" s="47">
        <f t="shared" si="18"/>
        <v>53.0453492171862</v>
      </c>
      <c r="S27" s="47">
        <f t="shared" si="18"/>
        <v>52.546557109309774</v>
      </c>
      <c r="T27" s="47">
        <f t="shared" si="18"/>
        <v>61.073892579993647</v>
      </c>
      <c r="U27" s="47">
        <f t="shared" si="18"/>
        <v>61.377028794942774</v>
      </c>
      <c r="V27" s="47">
        <f t="shared" si="18"/>
        <v>48.163551471837515</v>
      </c>
      <c r="W27" s="47">
        <f t="shared" si="18"/>
        <v>42.065716129847253</v>
      </c>
      <c r="X27" s="47">
        <f t="shared" si="18"/>
        <v>67.254014225099425</v>
      </c>
      <c r="Y27" s="47">
        <f t="shared" si="18"/>
        <v>58.899233231775128</v>
      </c>
      <c r="Z27" s="47">
        <f t="shared" si="18"/>
        <v>58.027482006018275</v>
      </c>
      <c r="AA27" s="47">
        <f t="shared" si="18"/>
        <v>54.279261632604765</v>
      </c>
      <c r="AB27" s="47">
        <f t="shared" si="18"/>
        <v>51.374827411779322</v>
      </c>
      <c r="AC27" s="47">
        <f t="shared" si="18"/>
        <v>52.716909833999999</v>
      </c>
      <c r="AD27" s="47">
        <f t="shared" si="18"/>
        <v>52.066398634182001</v>
      </c>
      <c r="AE27" s="47">
        <f t="shared" si="18"/>
        <v>43.638049727653843</v>
      </c>
      <c r="AF27" s="47">
        <f t="shared" ref="AF27:BQ27" si="19">SUM(AF28:AF33)</f>
        <v>45.605203762152264</v>
      </c>
      <c r="AG27" s="47">
        <f t="shared" si="19"/>
        <v>44.965256516650697</v>
      </c>
      <c r="AH27" s="47">
        <f t="shared" si="19"/>
        <v>44.370632311149102</v>
      </c>
      <c r="AI27" s="47">
        <f t="shared" si="19"/>
        <v>44.847337385647528</v>
      </c>
      <c r="AJ27" s="47">
        <f t="shared" si="19"/>
        <v>45.270823420145945</v>
      </c>
      <c r="AK27" s="47">
        <f t="shared" si="19"/>
        <v>45.390629294644363</v>
      </c>
      <c r="AL27" s="47">
        <f t="shared" si="19"/>
        <v>45.56015529937843</v>
      </c>
      <c r="AM27" s="47">
        <f t="shared" si="19"/>
        <v>45.729681304112475</v>
      </c>
      <c r="AN27" s="47">
        <f t="shared" si="19"/>
        <v>45.899207308846528</v>
      </c>
      <c r="AO27" s="47">
        <f t="shared" si="19"/>
        <v>46.068733313580573</v>
      </c>
      <c r="AP27" s="47">
        <f t="shared" si="19"/>
        <v>46.238259318314633</v>
      </c>
      <c r="AQ27" s="47">
        <f t="shared" si="19"/>
        <v>46.407785323048678</v>
      </c>
      <c r="AR27" s="47">
        <f t="shared" si="19"/>
        <v>46.577311327782738</v>
      </c>
      <c r="AS27" s="47">
        <f t="shared" si="19"/>
        <v>46.74683733251679</v>
      </c>
      <c r="AT27" s="47">
        <f t="shared" si="19"/>
        <v>46.916363337250836</v>
      </c>
      <c r="AU27" s="47">
        <f t="shared" si="19"/>
        <v>47.085889341984888</v>
      </c>
      <c r="AV27" s="47">
        <f t="shared" si="19"/>
        <v>47.255415346718941</v>
      </c>
      <c r="AW27" s="47">
        <f t="shared" si="19"/>
        <v>47.424941351453</v>
      </c>
      <c r="AX27" s="47">
        <f t="shared" si="19"/>
        <v>47.584388215769366</v>
      </c>
      <c r="AY27" s="47">
        <f t="shared" si="19"/>
        <v>47.743835080085738</v>
      </c>
      <c r="AZ27" s="47">
        <f t="shared" si="19"/>
        <v>47.90328194440211</v>
      </c>
      <c r="BA27" s="47">
        <f t="shared" si="19"/>
        <v>48.062728808718475</v>
      </c>
      <c r="BB27" s="47">
        <f t="shared" si="19"/>
        <v>48.222175673034847</v>
      </c>
      <c r="BC27" s="47">
        <f t="shared" si="19"/>
        <v>48.38162253735122</v>
      </c>
      <c r="BD27" s="47">
        <f t="shared" si="19"/>
        <v>48.541069401667592</v>
      </c>
      <c r="BE27" s="47">
        <f t="shared" si="19"/>
        <v>48.700516265983957</v>
      </c>
      <c r="BF27" s="47">
        <f t="shared" si="19"/>
        <v>48.846366490942629</v>
      </c>
      <c r="BG27" s="47">
        <f t="shared" si="19"/>
        <v>48.992216715901286</v>
      </c>
      <c r="BH27" s="47">
        <f t="shared" si="19"/>
        <v>49.138066940859957</v>
      </c>
      <c r="BI27" s="47">
        <f t="shared" si="19"/>
        <v>49.283917165818607</v>
      </c>
      <c r="BJ27" s="47">
        <f t="shared" si="19"/>
        <v>49.429767390777279</v>
      </c>
      <c r="BK27" s="47">
        <f t="shared" si="19"/>
        <v>49.575617615735943</v>
      </c>
      <c r="BL27" s="47">
        <f t="shared" si="19"/>
        <v>49.721467840694608</v>
      </c>
      <c r="BM27" s="47">
        <f t="shared" si="19"/>
        <v>49.867318065653272</v>
      </c>
      <c r="BN27" s="47">
        <f t="shared" si="19"/>
        <v>50.013168290611944</v>
      </c>
      <c r="BO27" s="47">
        <f t="shared" si="19"/>
        <v>50.159018515570601</v>
      </c>
      <c r="BP27" s="47">
        <f t="shared" si="19"/>
        <v>50.304868740529272</v>
      </c>
      <c r="BQ27" s="47">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8">
        <f>'Emissions summary'!F28</f>
        <v>17.00038365344173</v>
      </c>
      <c r="J28" s="28">
        <f>'Emissions summary'!G28</f>
        <v>17.00038365344173</v>
      </c>
      <c r="K28" s="28">
        <f>'Emissions summary'!H28</f>
        <v>17.00038365344173</v>
      </c>
      <c r="L28" s="28">
        <f>'Emissions summary'!I28</f>
        <v>17.00038365344173</v>
      </c>
      <c r="M28" s="28">
        <f>'Emissions summary'!J28</f>
        <v>17.00038365344173</v>
      </c>
      <c r="N28" s="28">
        <f>'Emissions summary'!K28</f>
        <v>17.00038365344173</v>
      </c>
      <c r="O28" s="28">
        <f>'Emissions summary'!L28</f>
        <v>17.00038365344173</v>
      </c>
      <c r="P28" s="28">
        <f>'Emissions summary'!M28</f>
        <v>17.00038365344173</v>
      </c>
      <c r="Q28" s="28">
        <f>'Emissions summary'!N28</f>
        <v>17.00038365344173</v>
      </c>
      <c r="R28" s="28">
        <f>'Emissions summary'!O28</f>
        <v>17.00038365344173</v>
      </c>
      <c r="S28" s="28">
        <f>'Emissions summary'!P28</f>
        <v>16.569822193461611</v>
      </c>
      <c r="T28" s="28">
        <f>'Emissions summary'!Q28</f>
        <v>21.58066748690964</v>
      </c>
      <c r="U28" s="28">
        <f>'Emissions summary'!R28</f>
        <v>18.378408970459198</v>
      </c>
      <c r="V28" s="28">
        <f>'Emissions summary'!S28</f>
        <v>14.650554917049229</v>
      </c>
      <c r="W28" s="28">
        <f>'Emissions summary'!T28</f>
        <v>13.82246469932897</v>
      </c>
      <c r="X28" s="28">
        <f>'Emissions summary'!U28</f>
        <v>21.599133953641967</v>
      </c>
      <c r="Y28" s="28">
        <f>'Emissions summary'!V28</f>
        <v>17.797777704403263</v>
      </c>
      <c r="Z28" s="28">
        <f>'Emissions summary'!W28</f>
        <v>21.680359355173707</v>
      </c>
      <c r="AA28" s="28">
        <f>'Emissions summary'!X28</f>
        <v>20.332068235899591</v>
      </c>
      <c r="AB28" s="28">
        <f>'Emissions summary'!Y28</f>
        <v>15.730541423024663</v>
      </c>
      <c r="AC28" s="28">
        <f>'Emissions summary'!Z28</f>
        <v>16.81926023646</v>
      </c>
      <c r="AD28" s="28">
        <f>'Emissions summary'!AA28</f>
        <v>16.168604044590001</v>
      </c>
      <c r="AE28" s="28">
        <f>SUM('Net zero emission reductions'!K1429:K1432)</f>
        <v>11.204575160010251</v>
      </c>
      <c r="AF28" s="28">
        <f>SUM('Net zero emission reductions'!L1429:L1432)</f>
        <v>13.05690518017699</v>
      </c>
      <c r="AG28" s="28">
        <f>SUM('Net zero emission reductions'!M1429:M1432)</f>
        <v>12.302133920343731</v>
      </c>
      <c r="AH28" s="28">
        <f>SUM('Net zero emission reductions'!N1429:N1432)</f>
        <v>11.592685700510469</v>
      </c>
      <c r="AI28" s="28">
        <f>SUM('Net zero emission reductions'!O1429:O1432)</f>
        <v>11.954566760677208</v>
      </c>
      <c r="AJ28" s="28">
        <f>SUM('Net zero emission reductions'!P1429:P1432)</f>
        <v>12.263228780843946</v>
      </c>
      <c r="AK28" s="28">
        <f>SUM('Net zero emission reductions'!Q1429:Q1432)</f>
        <v>12.268210641010684</v>
      </c>
      <c r="AL28" s="28">
        <f>SUM('Net zero emission reductions'!R1429:R1432)</f>
        <v>12.23948849988569</v>
      </c>
      <c r="AM28" s="28">
        <f>SUM('Net zero emission reductions'!S1429:S1432)</f>
        <v>12.210766358760694</v>
      </c>
      <c r="AN28" s="28">
        <f>SUM('Net zero emission reductions'!T1429:T1432)</f>
        <v>12.182044217635699</v>
      </c>
      <c r="AO28" s="28">
        <f>SUM('Net zero emission reductions'!U1429:U1432)</f>
        <v>12.153322076510703</v>
      </c>
      <c r="AP28" s="28">
        <f>SUM('Net zero emission reductions'!V1429:V1432)</f>
        <v>12.124599935385708</v>
      </c>
      <c r="AQ28" s="28">
        <f>SUM('Net zero emission reductions'!W1429:W1432)</f>
        <v>12.095877794260716</v>
      </c>
      <c r="AR28" s="28">
        <f>SUM('Net zero emission reductions'!X1429:X1432)</f>
        <v>12.067155653135719</v>
      </c>
      <c r="AS28" s="28">
        <f>SUM('Net zero emission reductions'!Y1429:Y1432)</f>
        <v>12.038433512010723</v>
      </c>
      <c r="AT28" s="28">
        <f>SUM('Net zero emission reductions'!Z1429:Z1432)</f>
        <v>12.009711370885729</v>
      </c>
      <c r="AU28" s="28">
        <f>SUM('Net zero emission reductions'!AA1429:AA1432)</f>
        <v>11.980989229760732</v>
      </c>
      <c r="AV28" s="28">
        <f>SUM('Net zero emission reductions'!AB1429:AB1432)</f>
        <v>11.952267088635738</v>
      </c>
      <c r="AW28" s="28">
        <f>SUM('Net zero emission reductions'!AC1429:AC1432)</f>
        <v>11.923544947510743</v>
      </c>
      <c r="AX28" s="28">
        <f>SUM('Net zero emission reductions'!AD1429:AD1432)</f>
        <v>11.881226167028043</v>
      </c>
      <c r="AY28" s="28">
        <f>SUM('Net zero emission reductions'!AE1429:AE1432)</f>
        <v>11.838907386545339</v>
      </c>
      <c r="AZ28" s="28">
        <f>SUM('Net zero emission reductions'!AF1429:AF1432)</f>
        <v>11.796588606062636</v>
      </c>
      <c r="BA28" s="28">
        <f>SUM('Net zero emission reductions'!AG1429:AG1432)</f>
        <v>11.754269825579936</v>
      </c>
      <c r="BB28" s="28">
        <f>SUM('Net zero emission reductions'!AH1429:AH1432)</f>
        <v>11.711951045097234</v>
      </c>
      <c r="BC28" s="28">
        <f>SUM('Net zero emission reductions'!AI1429:AI1432)</f>
        <v>11.669632264614533</v>
      </c>
      <c r="BD28" s="28">
        <f>SUM('Net zero emission reductions'!AJ1429:AJ1432)</f>
        <v>11.627313484131829</v>
      </c>
      <c r="BE28" s="28">
        <f>SUM('Net zero emission reductions'!AK1429:AK1432)</f>
        <v>11.584994703649127</v>
      </c>
      <c r="BF28" s="28">
        <f>SUM('Net zero emission reductions'!AL1429:AL1432)</f>
        <v>11.52907928380872</v>
      </c>
      <c r="BG28" s="28">
        <f>SUM('Net zero emission reductions'!AM1429:AM1432)</f>
        <v>11.473163863968312</v>
      </c>
      <c r="BH28" s="28">
        <f>SUM('Net zero emission reductions'!AN1429:AN1432)</f>
        <v>11.4172484441279</v>
      </c>
      <c r="BI28" s="28">
        <f>SUM('Net zero emission reductions'!AO1429:AO1432)</f>
        <v>11.361333024287493</v>
      </c>
      <c r="BJ28" s="28">
        <f>SUM('Net zero emission reductions'!AP1429:AP1432)</f>
        <v>11.305417604447085</v>
      </c>
      <c r="BK28" s="28">
        <f>SUM('Net zero emission reductions'!AQ1429:AQ1432)</f>
        <v>11.249502184606676</v>
      </c>
      <c r="BL28" s="28">
        <f>SUM('Net zero emission reductions'!AR1429:AR1432)</f>
        <v>11.193586764766268</v>
      </c>
      <c r="BM28" s="28">
        <f>SUM('Net zero emission reductions'!AS1429:AS1432)</f>
        <v>11.13767134492586</v>
      </c>
      <c r="BN28" s="28">
        <f>SUM('Net zero emission reductions'!AT1429:AT1432)</f>
        <v>11.081755925085453</v>
      </c>
      <c r="BO28" s="28">
        <f>SUM('Net zero emission reductions'!AU1429:AU1432)</f>
        <v>11.025840505245043</v>
      </c>
      <c r="BP28" s="28">
        <f>SUM('Net zero emission reductions'!AV1429:AV1432)</f>
        <v>10.969925085404636</v>
      </c>
      <c r="BQ28" s="28">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8">
        <f>'Emissions summary'!F29</f>
        <v>10.116490581610325</v>
      </c>
      <c r="J29" s="28">
        <f>'Emissions summary'!G29</f>
        <v>10.116490581610325</v>
      </c>
      <c r="K29" s="28">
        <f>'Emissions summary'!H29</f>
        <v>10.116490581610325</v>
      </c>
      <c r="L29" s="28">
        <f>'Emissions summary'!I29</f>
        <v>10.116490581610325</v>
      </c>
      <c r="M29" s="28">
        <f>'Emissions summary'!J29</f>
        <v>10.116490581610325</v>
      </c>
      <c r="N29" s="28">
        <f>'Emissions summary'!K29</f>
        <v>10.116490581610325</v>
      </c>
      <c r="O29" s="28">
        <f>'Emissions summary'!L29</f>
        <v>10.116490581610325</v>
      </c>
      <c r="P29" s="28">
        <f>'Emissions summary'!M29</f>
        <v>10.116490581610325</v>
      </c>
      <c r="Q29" s="28">
        <f>'Emissions summary'!N29</f>
        <v>10.116490581610325</v>
      </c>
      <c r="R29" s="28">
        <f>'Emissions summary'!O29</f>
        <v>10.116490581610325</v>
      </c>
      <c r="S29" s="28">
        <f>'Emissions summary'!P29</f>
        <v>10.51046399228327</v>
      </c>
      <c r="T29" s="28">
        <f>'Emissions summary'!Q29</f>
        <v>10.882894026282271</v>
      </c>
      <c r="U29" s="28">
        <f>'Emissions summary'!R29</f>
        <v>11.945235434738436</v>
      </c>
      <c r="V29" s="28">
        <f>'Emissions summary'!S29</f>
        <v>9.2981039284457765</v>
      </c>
      <c r="W29" s="28">
        <f>'Emissions summary'!T29</f>
        <v>7.9457555263018627</v>
      </c>
      <c r="X29" s="28">
        <f>'Emissions summary'!U29</f>
        <v>13.860153794562336</v>
      </c>
      <c r="Y29" s="28">
        <f>'Emissions summary'!V29</f>
        <v>13.058600630053951</v>
      </c>
      <c r="Z29" s="28">
        <f>'Emissions summary'!W29</f>
        <v>10.476884235119428</v>
      </c>
      <c r="AA29" s="28">
        <f>'Emissions summary'!X29</f>
        <v>9.4298063526468283</v>
      </c>
      <c r="AB29" s="28">
        <f>'Emissions summary'!Y29</f>
        <v>9.8044168903577642</v>
      </c>
      <c r="AC29" s="28">
        <f>'Emissions summary'!Z29</f>
        <v>9.7783617960000022</v>
      </c>
      <c r="AD29" s="28">
        <f>'Emissions summary'!AA29</f>
        <v>9.4288811400000014</v>
      </c>
      <c r="AE29" s="28">
        <f>SUM('Net zero emission reductions'!K1433:K1437)</f>
        <v>8.929388994926228</v>
      </c>
      <c r="AF29" s="28">
        <f>SUM('Net zero emission reductions'!L1433:L1437)</f>
        <v>8.9289309923184508</v>
      </c>
      <c r="AG29" s="28">
        <f>SUM('Net zero emission reductions'!M1433:M1437)</f>
        <v>8.9284729897106754</v>
      </c>
      <c r="AH29" s="28">
        <f>SUM('Net zero emission reductions'!N1433:N1437)</f>
        <v>8.9280149871028947</v>
      </c>
      <c r="AI29" s="28">
        <f>SUM('Net zero emission reductions'!O1433:O1437)</f>
        <v>8.9275569844951157</v>
      </c>
      <c r="AJ29" s="28">
        <f>SUM('Net zero emission reductions'!P1433:P1437)</f>
        <v>8.9270989818873403</v>
      </c>
      <c r="AK29" s="28">
        <f>SUM('Net zero emission reductions'!Q1433:Q1437)</f>
        <v>8.9266409792795596</v>
      </c>
      <c r="AL29" s="28">
        <f>SUM('Net zero emission reductions'!R1433:R1437)</f>
        <v>8.926182976671786</v>
      </c>
      <c r="AM29" s="28">
        <f>SUM('Net zero emission reductions'!S1433:S1437)</f>
        <v>8.925724974064007</v>
      </c>
      <c r="AN29" s="28">
        <f>SUM('Net zero emission reductions'!T1433:T1437)</f>
        <v>8.925266971456228</v>
      </c>
      <c r="AO29" s="28">
        <f>SUM('Net zero emission reductions'!U1433:U1437)</f>
        <v>8.9248089688484491</v>
      </c>
      <c r="AP29" s="28">
        <f>SUM('Net zero emission reductions'!V1433:V1437)</f>
        <v>8.9243509662406719</v>
      </c>
      <c r="AQ29" s="28">
        <f>SUM('Net zero emission reductions'!W1433:W1437)</f>
        <v>8.9238929636328947</v>
      </c>
      <c r="AR29" s="28">
        <f>SUM('Net zero emission reductions'!X1433:X1437)</f>
        <v>8.9234349610251176</v>
      </c>
      <c r="AS29" s="28">
        <f>SUM('Net zero emission reductions'!Y1433:Y1437)</f>
        <v>8.9229769584173386</v>
      </c>
      <c r="AT29" s="28">
        <f>SUM('Net zero emission reductions'!Z1433:Z1437)</f>
        <v>8.9225189558095614</v>
      </c>
      <c r="AU29" s="28">
        <f>SUM('Net zero emission reductions'!AA1433:AA1437)</f>
        <v>8.9220609532017825</v>
      </c>
      <c r="AV29" s="28">
        <f>SUM('Net zero emission reductions'!AB1433:AB1437)</f>
        <v>8.9216029505940071</v>
      </c>
      <c r="AW29" s="28">
        <f>SUM('Net zero emission reductions'!AC1433:AC1437)</f>
        <v>8.9211449479862281</v>
      </c>
      <c r="AX29" s="28">
        <f>SUM('Net zero emission reductions'!AD1433:AD1437)</f>
        <v>8.9206869453784492</v>
      </c>
      <c r="AY29" s="28">
        <f>SUM('Net zero emission reductions'!AE1433:AE1437)</f>
        <v>8.920228942770672</v>
      </c>
      <c r="AZ29" s="28">
        <f>SUM('Net zero emission reductions'!AF1433:AF1437)</f>
        <v>8.9197709401628948</v>
      </c>
      <c r="BA29" s="28">
        <f>SUM('Net zero emission reductions'!AG1433:AG1437)</f>
        <v>8.9193129375551177</v>
      </c>
      <c r="BB29" s="28">
        <f>SUM('Net zero emission reductions'!AH1433:AH1437)</f>
        <v>8.9188549349473387</v>
      </c>
      <c r="BC29" s="28">
        <f>SUM('Net zero emission reductions'!AI1433:AI1437)</f>
        <v>8.9183969323395598</v>
      </c>
      <c r="BD29" s="28">
        <f>SUM('Net zero emission reductions'!AJ1433:AJ1437)</f>
        <v>8.9179389297317826</v>
      </c>
      <c r="BE29" s="28">
        <f>SUM('Net zero emission reductions'!AK1433:AK1437)</f>
        <v>8.9174809271240072</v>
      </c>
      <c r="BF29" s="28">
        <f>SUM('Net zero emission reductions'!AL1433:AL1437)</f>
        <v>8.9170229245162282</v>
      </c>
      <c r="BG29" s="28">
        <f>SUM('Net zero emission reductions'!AM1433:AM1437)</f>
        <v>8.9165649219084475</v>
      </c>
      <c r="BH29" s="28">
        <f>SUM('Net zero emission reductions'!AN1433:AN1437)</f>
        <v>8.9161069193006721</v>
      </c>
      <c r="BI29" s="28">
        <f>SUM('Net zero emission reductions'!AO1433:AO1437)</f>
        <v>8.9156489166928932</v>
      </c>
      <c r="BJ29" s="28">
        <f>SUM('Net zero emission reductions'!AP1433:AP1437)</f>
        <v>8.915190914085116</v>
      </c>
      <c r="BK29" s="28">
        <f>SUM('Net zero emission reductions'!AQ1433:AQ1437)</f>
        <v>8.9147329114773388</v>
      </c>
      <c r="BL29" s="28">
        <f>SUM('Net zero emission reductions'!AR1433:AR1437)</f>
        <v>8.9142749088695599</v>
      </c>
      <c r="BM29" s="28">
        <f>SUM('Net zero emission reductions'!AS1433:AS1437)</f>
        <v>8.9138169062617827</v>
      </c>
      <c r="BN29" s="28">
        <f>SUM('Net zero emission reductions'!AT1433:AT1437)</f>
        <v>8.9133589036540037</v>
      </c>
      <c r="BO29" s="28">
        <f>SUM('Net zero emission reductions'!AU1433:AU1437)</f>
        <v>8.9129009010462266</v>
      </c>
      <c r="BP29" s="28">
        <f>SUM('Net zero emission reductions'!AV1433:AV1437)</f>
        <v>8.9124428984384494</v>
      </c>
      <c r="BQ29" s="28">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8">
        <f>'Emissions summary'!F30</f>
        <v>24.633908128575744</v>
      </c>
      <c r="J30" s="28">
        <f>'Emissions summary'!G30</f>
        <v>24.633908128575744</v>
      </c>
      <c r="K30" s="28">
        <f>'Emissions summary'!H30</f>
        <v>24.633908128575744</v>
      </c>
      <c r="L30" s="28">
        <f>'Emissions summary'!I30</f>
        <v>24.633908128575744</v>
      </c>
      <c r="M30" s="28">
        <f>'Emissions summary'!J30</f>
        <v>24.633908128575744</v>
      </c>
      <c r="N30" s="28">
        <f>'Emissions summary'!K30</f>
        <v>24.633908128575744</v>
      </c>
      <c r="O30" s="28">
        <f>'Emissions summary'!L30</f>
        <v>24.633908128575744</v>
      </c>
      <c r="P30" s="28">
        <f>'Emissions summary'!M30</f>
        <v>24.633908128575744</v>
      </c>
      <c r="Q30" s="28">
        <f>'Emissions summary'!N30</f>
        <v>24.633908128575744</v>
      </c>
      <c r="R30" s="28">
        <f>'Emissions summary'!O30</f>
        <v>24.633908128575744</v>
      </c>
      <c r="S30" s="28">
        <f>'Emissions summary'!P30</f>
        <v>24.22100971223729</v>
      </c>
      <c r="T30" s="28">
        <f>'Emissions summary'!Q30</f>
        <v>27.159665944327305</v>
      </c>
      <c r="U30" s="28">
        <f>'Emissions summary'!R30</f>
        <v>29.557460778373962</v>
      </c>
      <c r="V30" s="28">
        <f>'Emissions summary'!S30</f>
        <v>22.967890703903489</v>
      </c>
      <c r="W30" s="28">
        <f>'Emissions summary'!T30</f>
        <v>19.263513504036663</v>
      </c>
      <c r="X30" s="28">
        <f>'Emissions summary'!U30</f>
        <v>29.989609054359072</v>
      </c>
      <c r="Y30" s="28">
        <f>'Emissions summary'!V30</f>
        <v>26.44988664148541</v>
      </c>
      <c r="Z30" s="28">
        <f>'Emissions summary'!W30</f>
        <v>24.310343671009509</v>
      </c>
      <c r="AA30" s="28">
        <f>'Emissions summary'!X30</f>
        <v>23.321518510517112</v>
      </c>
      <c r="AB30" s="28">
        <f>'Emissions summary'!Y30</f>
        <v>24.458614831490095</v>
      </c>
      <c r="AC30" s="28">
        <f>'Emissions summary'!Z30</f>
        <v>24.608200366439995</v>
      </c>
      <c r="AD30" s="28">
        <f>'Emissions summary'!AA30</f>
        <v>25.000606435391994</v>
      </c>
      <c r="AE30" s="28">
        <f>SUM('Net zero emission reductions'!K1438:K1440)</f>
        <v>22.211168240472922</v>
      </c>
      <c r="AF30" s="28">
        <f>SUM('Net zero emission reductions'!L1438:L1440)</f>
        <v>22.3255420719256</v>
      </c>
      <c r="AG30" s="28">
        <f>SUM('Net zero emission reductions'!M1438:M1440)</f>
        <v>22.439915903378274</v>
      </c>
      <c r="AH30" s="28">
        <f>SUM('Net zero emission reductions'!N1438:N1440)</f>
        <v>22.554289734830945</v>
      </c>
      <c r="AI30" s="28">
        <f>SUM('Net zero emission reductions'!O1438:O1440)</f>
        <v>22.668663566283627</v>
      </c>
      <c r="AJ30" s="28">
        <f>SUM('Net zero emission reductions'!P1438:P1440)</f>
        <v>22.783037397736297</v>
      </c>
      <c r="AK30" s="28">
        <f>SUM('Net zero emission reductions'!Q1438:Q1440)</f>
        <v>22.897411229188972</v>
      </c>
      <c r="AL30" s="28">
        <f>SUM('Net zero emission reductions'!R1438:R1440)</f>
        <v>23.095209192169019</v>
      </c>
      <c r="AM30" s="28">
        <f>SUM('Net zero emission reductions'!S1438:S1440)</f>
        <v>23.293007155149056</v>
      </c>
      <c r="AN30" s="28">
        <f>SUM('Net zero emission reductions'!T1438:T1440)</f>
        <v>23.490805118129099</v>
      </c>
      <c r="AO30" s="28">
        <f>SUM('Net zero emission reductions'!U1438:U1440)</f>
        <v>23.688603081109136</v>
      </c>
      <c r="AP30" s="28">
        <f>SUM('Net zero emission reductions'!V1438:V1440)</f>
        <v>23.886401044089183</v>
      </c>
      <c r="AQ30" s="28">
        <f>SUM('Net zero emission reductions'!W1438:W1440)</f>
        <v>24.08419900706922</v>
      </c>
      <c r="AR30" s="28">
        <f>SUM('Net zero emission reductions'!X1438:X1440)</f>
        <v>24.281996970049263</v>
      </c>
      <c r="AS30" s="28">
        <f>SUM('Net zero emission reductions'!Y1438:Y1440)</f>
        <v>24.479794933029304</v>
      </c>
      <c r="AT30" s="28">
        <f>SUM('Net zero emission reductions'!Z1438:Z1440)</f>
        <v>24.677592896009344</v>
      </c>
      <c r="AU30" s="28">
        <f>SUM('Net zero emission reductions'!AA1438:AA1440)</f>
        <v>24.875390858989384</v>
      </c>
      <c r="AV30" s="28">
        <f>SUM('Net zero emission reductions'!AB1438:AB1440)</f>
        <v>25.073188821969428</v>
      </c>
      <c r="AW30" s="28">
        <f>SUM('Net zero emission reductions'!AC1438:AC1440)</f>
        <v>25.270986784949468</v>
      </c>
      <c r="AX30" s="28">
        <f>SUM('Net zero emission reductions'!AD1438:AD1440)</f>
        <v>25.472302246869535</v>
      </c>
      <c r="AY30" s="28">
        <f>SUM('Net zero emission reductions'!AE1438:AE1440)</f>
        <v>25.6736177087896</v>
      </c>
      <c r="AZ30" s="28">
        <f>SUM('Net zero emission reductions'!AF1438:AF1440)</f>
        <v>25.874933170709671</v>
      </c>
      <c r="BA30" s="28">
        <f>SUM('Net zero emission reductions'!AG1438:AG1440)</f>
        <v>26.076248632629738</v>
      </c>
      <c r="BB30" s="28">
        <f>SUM('Net zero emission reductions'!AH1438:AH1440)</f>
        <v>26.277564094549799</v>
      </c>
      <c r="BC30" s="28">
        <f>SUM('Net zero emission reductions'!AI1438:AI1440)</f>
        <v>26.47887955646987</v>
      </c>
      <c r="BD30" s="28">
        <f>SUM('Net zero emission reductions'!AJ1438:AJ1440)</f>
        <v>26.680195018389934</v>
      </c>
      <c r="BE30" s="28">
        <f>SUM('Net zero emission reductions'!AK1438:AK1440)</f>
        <v>26.881510480309998</v>
      </c>
      <c r="BF30" s="28">
        <f>SUM('Net zero emission reductions'!AL1438:AL1440)</f>
        <v>27.082825942230066</v>
      </c>
      <c r="BG30" s="28">
        <f>SUM('Net zero emission reductions'!AM1438:AM1440)</f>
        <v>27.28414140415013</v>
      </c>
      <c r="BH30" s="28">
        <f>SUM('Net zero emission reductions'!AN1438:AN1440)</f>
        <v>27.485456866070198</v>
      </c>
      <c r="BI30" s="28">
        <f>SUM('Net zero emission reductions'!AO1438:AO1440)</f>
        <v>27.686772327990262</v>
      </c>
      <c r="BJ30" s="28">
        <f>SUM('Net zero emission reductions'!AP1438:AP1440)</f>
        <v>27.88808778991033</v>
      </c>
      <c r="BK30" s="28">
        <f>SUM('Net zero emission reductions'!AQ1438:AQ1440)</f>
        <v>28.089403251830397</v>
      </c>
      <c r="BL30" s="28">
        <f>SUM('Net zero emission reductions'!AR1438:AR1440)</f>
        <v>28.290718713750465</v>
      </c>
      <c r="BM30" s="28">
        <f>SUM('Net zero emission reductions'!AS1438:AS1440)</f>
        <v>28.492034175670533</v>
      </c>
      <c r="BN30" s="28">
        <f>SUM('Net zero emission reductions'!AT1438:AT1440)</f>
        <v>28.6933496375906</v>
      </c>
      <c r="BO30" s="28">
        <f>SUM('Net zero emission reductions'!AU1438:AU1440)</f>
        <v>28.894665099510664</v>
      </c>
      <c r="BP30" s="28">
        <f>SUM('Net zero emission reductions'!AV1438:AV1440)</f>
        <v>29.095980561430732</v>
      </c>
      <c r="BQ30" s="28">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8">
        <f>'Emissions summary'!F31</f>
        <v>0.80577517347341965</v>
      </c>
      <c r="J31" s="28">
        <f>'Emissions summary'!G31</f>
        <v>0.80577517347341965</v>
      </c>
      <c r="K31" s="28">
        <f>'Emissions summary'!H31</f>
        <v>0.80577517347341965</v>
      </c>
      <c r="L31" s="28">
        <f>'Emissions summary'!I31</f>
        <v>0.80577517347341965</v>
      </c>
      <c r="M31" s="28">
        <f>'Emissions summary'!J31</f>
        <v>0.80577517347341965</v>
      </c>
      <c r="N31" s="28">
        <f>'Emissions summary'!K31</f>
        <v>0.80577517347341965</v>
      </c>
      <c r="O31" s="28">
        <f>'Emissions summary'!L31</f>
        <v>0.80577517347341965</v>
      </c>
      <c r="P31" s="28">
        <f>'Emissions summary'!M31</f>
        <v>0.80577517347341965</v>
      </c>
      <c r="Q31" s="28">
        <f>'Emissions summary'!N31</f>
        <v>0.80577517347341965</v>
      </c>
      <c r="R31" s="28">
        <f>'Emissions summary'!O31</f>
        <v>0.80577517347341965</v>
      </c>
      <c r="S31" s="28">
        <f>'Emissions summary'!P31</f>
        <v>0.71282120012392636</v>
      </c>
      <c r="T31" s="28">
        <f>'Emissions summary'!Q31</f>
        <v>0.86099923348302065</v>
      </c>
      <c r="U31" s="28">
        <f>'Emissions summary'!R31</f>
        <v>0.97458063350276725</v>
      </c>
      <c r="V31" s="28">
        <f>'Emissions summary'!S31</f>
        <v>0.79724568902749249</v>
      </c>
      <c r="W31" s="28">
        <f>'Emissions summary'!T31</f>
        <v>0.68322911122989261</v>
      </c>
      <c r="X31" s="28">
        <f>'Emissions summary'!U31</f>
        <v>1.0109179779535291</v>
      </c>
      <c r="Y31" s="28">
        <f>'Emissions summary'!V31</f>
        <v>0.89733657793378252</v>
      </c>
      <c r="Z31" s="28">
        <f>'Emissions summary'!W31</f>
        <v>0.79050043347076437</v>
      </c>
      <c r="AA31" s="28">
        <f>'Emissions summary'!X31</f>
        <v>0.72087198901421468</v>
      </c>
      <c r="AB31" s="28">
        <f>'Emissions summary'!Y31</f>
        <v>0.80964825569631549</v>
      </c>
      <c r="AC31" s="28">
        <f>'Emissions summary'!Z31</f>
        <v>1.0836294956999997</v>
      </c>
      <c r="AD31" s="28">
        <f>'Emissions summary'!AA31</f>
        <v>1.1703623921999995</v>
      </c>
      <c r="AE31" s="28">
        <f>SUM('Net zero emission reductions'!K1441)</f>
        <v>0.86319492850198365</v>
      </c>
      <c r="AF31" s="28">
        <f>SUM('Net zero emission reductions'!L1441)</f>
        <v>0.86319492850198365</v>
      </c>
      <c r="AG31" s="28">
        <f>SUM('Net zero emission reductions'!M1441)</f>
        <v>0.86319492850198365</v>
      </c>
      <c r="AH31" s="28">
        <f>SUM('Net zero emission reductions'!N1441)</f>
        <v>0.86319492850198365</v>
      </c>
      <c r="AI31" s="28">
        <f>SUM('Net zero emission reductions'!O1441)</f>
        <v>0.86319492850198365</v>
      </c>
      <c r="AJ31" s="28">
        <f>SUM('Net zero emission reductions'!P1441)</f>
        <v>0.86319492850198365</v>
      </c>
      <c r="AK31" s="28">
        <f>SUM('Net zero emission reductions'!Q1441)</f>
        <v>0.86319492850198365</v>
      </c>
      <c r="AL31" s="28">
        <f>SUM('Net zero emission reductions'!R1441)</f>
        <v>0.86319492850198365</v>
      </c>
      <c r="AM31" s="28">
        <f>SUM('Net zero emission reductions'!S1441)</f>
        <v>0.86319492850198365</v>
      </c>
      <c r="AN31" s="28">
        <f>SUM('Net zero emission reductions'!T1441)</f>
        <v>0.86319492850198365</v>
      </c>
      <c r="AO31" s="28">
        <f>SUM('Net zero emission reductions'!U1441)</f>
        <v>0.86319492850198365</v>
      </c>
      <c r="AP31" s="28">
        <f>SUM('Net zero emission reductions'!V1441)</f>
        <v>0.86319492850198365</v>
      </c>
      <c r="AQ31" s="28">
        <f>SUM('Net zero emission reductions'!W1441)</f>
        <v>0.86319492850198365</v>
      </c>
      <c r="AR31" s="28">
        <f>SUM('Net zero emission reductions'!X1441)</f>
        <v>0.86319492850198365</v>
      </c>
      <c r="AS31" s="28">
        <f>SUM('Net zero emission reductions'!Y1441)</f>
        <v>0.86319492850198365</v>
      </c>
      <c r="AT31" s="28">
        <f>SUM('Net zero emission reductions'!Z1441)</f>
        <v>0.86319492850198365</v>
      </c>
      <c r="AU31" s="28">
        <f>SUM('Net zero emission reductions'!AA1441)</f>
        <v>0.86319492850198365</v>
      </c>
      <c r="AV31" s="28">
        <f>SUM('Net zero emission reductions'!AB1441)</f>
        <v>0.86319492850198365</v>
      </c>
      <c r="AW31" s="28">
        <f>SUM('Net zero emission reductions'!AC1441)</f>
        <v>0.86319492850198365</v>
      </c>
      <c r="AX31" s="28">
        <f>SUM('Net zero emission reductions'!AD1441)</f>
        <v>0.86319492850198365</v>
      </c>
      <c r="AY31" s="28">
        <f>SUM('Net zero emission reductions'!AE1441)</f>
        <v>0.86319492850198365</v>
      </c>
      <c r="AZ31" s="28">
        <f>SUM('Net zero emission reductions'!AF1441)</f>
        <v>0.86319492850198365</v>
      </c>
      <c r="BA31" s="28">
        <f>SUM('Net zero emission reductions'!AG1441)</f>
        <v>0.86319492850198365</v>
      </c>
      <c r="BB31" s="28">
        <f>SUM('Net zero emission reductions'!AH1441)</f>
        <v>0.86319492850198365</v>
      </c>
      <c r="BC31" s="28">
        <f>SUM('Net zero emission reductions'!AI1441)</f>
        <v>0.86319492850198365</v>
      </c>
      <c r="BD31" s="28">
        <f>SUM('Net zero emission reductions'!AJ1441)</f>
        <v>0.86319492850198365</v>
      </c>
      <c r="BE31" s="28">
        <f>SUM('Net zero emission reductions'!AK1441)</f>
        <v>0.86319492850198365</v>
      </c>
      <c r="BF31" s="28">
        <f>SUM('Net zero emission reductions'!AL1441)</f>
        <v>0.86319492850198365</v>
      </c>
      <c r="BG31" s="28">
        <f>SUM('Net zero emission reductions'!AM1441)</f>
        <v>0.86319492850198365</v>
      </c>
      <c r="BH31" s="28">
        <f>SUM('Net zero emission reductions'!AN1441)</f>
        <v>0.86319492850198365</v>
      </c>
      <c r="BI31" s="28">
        <f>SUM('Net zero emission reductions'!AO1441)</f>
        <v>0.86319492850198365</v>
      </c>
      <c r="BJ31" s="28">
        <f>SUM('Net zero emission reductions'!AP1441)</f>
        <v>0.86319492850198365</v>
      </c>
      <c r="BK31" s="28">
        <f>SUM('Net zero emission reductions'!AQ1441)</f>
        <v>0.86319492850198365</v>
      </c>
      <c r="BL31" s="28">
        <f>SUM('Net zero emission reductions'!AR1441)</f>
        <v>0.86319492850198365</v>
      </c>
      <c r="BM31" s="28">
        <f>SUM('Net zero emission reductions'!AS1441)</f>
        <v>0.86319492850198365</v>
      </c>
      <c r="BN31" s="28">
        <f>SUM('Net zero emission reductions'!AT1441)</f>
        <v>0.86319492850198365</v>
      </c>
      <c r="BO31" s="28">
        <f>SUM('Net zero emission reductions'!AU1441)</f>
        <v>0.86319492850198365</v>
      </c>
      <c r="BP31" s="28">
        <f>SUM('Net zero emission reductions'!AV1441)</f>
        <v>0.86319492850198365</v>
      </c>
      <c r="BQ31" s="28">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8">
        <f>'Emissions summary'!F32</f>
        <v>0.48879168008497798</v>
      </c>
      <c r="J32" s="28">
        <f>'Emissions summary'!G32</f>
        <v>0.48879168008497798</v>
      </c>
      <c r="K32" s="28">
        <f>'Emissions summary'!H32</f>
        <v>0.48879168008497798</v>
      </c>
      <c r="L32" s="28">
        <f>'Emissions summary'!I32</f>
        <v>0.48879168008497798</v>
      </c>
      <c r="M32" s="28">
        <f>'Emissions summary'!J32</f>
        <v>0.48879168008497798</v>
      </c>
      <c r="N32" s="28">
        <f>'Emissions summary'!K32</f>
        <v>0.48879168008497798</v>
      </c>
      <c r="O32" s="28">
        <f>'Emissions summary'!L32</f>
        <v>0.48879168008497798</v>
      </c>
      <c r="P32" s="28">
        <f>'Emissions summary'!M32</f>
        <v>0.48879168008497798</v>
      </c>
      <c r="Q32" s="28">
        <f>'Emissions summary'!N32</f>
        <v>0.48879168008497798</v>
      </c>
      <c r="R32" s="28">
        <f>'Emissions summary'!O32</f>
        <v>0.48879168008497798</v>
      </c>
      <c r="S32" s="28">
        <f>'Emissions summary'!P32</f>
        <v>0.53244001120367745</v>
      </c>
      <c r="T32" s="28">
        <f>'Emissions summary'!Q32</f>
        <v>0.58966588899140415</v>
      </c>
      <c r="U32" s="28">
        <f>'Emissions summary'!R32</f>
        <v>0.52134297786841477</v>
      </c>
      <c r="V32" s="28">
        <f>'Emissions summary'!S32</f>
        <v>0.44975623341152487</v>
      </c>
      <c r="W32" s="28">
        <f>'Emissions summary'!T32</f>
        <v>0.35075328894986846</v>
      </c>
      <c r="X32" s="28">
        <f>'Emissions summary'!U32</f>
        <v>0.79419944458251857</v>
      </c>
      <c r="Y32" s="28">
        <f>'Emissions summary'!V32</f>
        <v>0.69563167789871561</v>
      </c>
      <c r="Z32" s="28">
        <f>'Emissions summary'!W32</f>
        <v>0.76939431124487268</v>
      </c>
      <c r="AA32" s="28">
        <f>'Emissions summary'!X32</f>
        <v>0.47499654452702411</v>
      </c>
      <c r="AB32" s="28">
        <f>'Emissions summary'!Y32</f>
        <v>0.5716060112104866</v>
      </c>
      <c r="AC32" s="28">
        <f>'Emissions summary'!Z32</f>
        <v>0.42745793939999993</v>
      </c>
      <c r="AD32" s="28">
        <f>'Emissions summary'!AA32</f>
        <v>0.29794462199999994</v>
      </c>
      <c r="AE32" s="28">
        <f>SUM('Net zero emission reductions'!K1442:K1443)</f>
        <v>0.42972240374246135</v>
      </c>
      <c r="AF32" s="28">
        <f>SUM('Net zero emission reductions'!L1442:L1443)</f>
        <v>0.43063058922924524</v>
      </c>
      <c r="AG32" s="28">
        <f>SUM('Net zero emission reductions'!M1442:M1443)</f>
        <v>0.43153877471602919</v>
      </c>
      <c r="AH32" s="28">
        <f>SUM('Net zero emission reductions'!N1442:N1443)</f>
        <v>0.43244696020281326</v>
      </c>
      <c r="AI32" s="28">
        <f>SUM('Net zero emission reductions'!O1442:O1443)</f>
        <v>0.43335514568959721</v>
      </c>
      <c r="AJ32" s="28">
        <f>SUM('Net zero emission reductions'!P1442:P1443)</f>
        <v>0.43426333117638116</v>
      </c>
      <c r="AK32" s="28">
        <f>SUM('Net zero emission reductions'!Q1442:Q1443)</f>
        <v>0.43517151666316517</v>
      </c>
      <c r="AL32" s="28">
        <f>SUM('Net zero emission reductions'!R1442:R1443)</f>
        <v>0.43607970214994918</v>
      </c>
      <c r="AM32" s="28">
        <f>SUM('Net zero emission reductions'!S1442:S1443)</f>
        <v>0.43698788763673319</v>
      </c>
      <c r="AN32" s="28">
        <f>SUM('Net zero emission reductions'!T1442:T1443)</f>
        <v>0.43789607312351719</v>
      </c>
      <c r="AO32" s="28">
        <f>SUM('Net zero emission reductions'!U1442:U1443)</f>
        <v>0.4388042586103012</v>
      </c>
      <c r="AP32" s="28">
        <f>SUM('Net zero emission reductions'!V1442:V1443)</f>
        <v>0.43971244409708521</v>
      </c>
      <c r="AQ32" s="28">
        <f>SUM('Net zero emission reductions'!W1442:W1443)</f>
        <v>0.44062062958386911</v>
      </c>
      <c r="AR32" s="28">
        <f>SUM('Net zero emission reductions'!X1442:X1443)</f>
        <v>0.44152881507065311</v>
      </c>
      <c r="AS32" s="28">
        <f>SUM('Net zero emission reductions'!Y1442:Y1443)</f>
        <v>0.44243700055743712</v>
      </c>
      <c r="AT32" s="28">
        <f>SUM('Net zero emission reductions'!Z1442:Z1443)</f>
        <v>0.44334518604422107</v>
      </c>
      <c r="AU32" s="28">
        <f>SUM('Net zero emission reductions'!AA1442:AA1443)</f>
        <v>0.44425337153100508</v>
      </c>
      <c r="AV32" s="28">
        <f>SUM('Net zero emission reductions'!AB1442:AB1443)</f>
        <v>0.44516155701778909</v>
      </c>
      <c r="AW32" s="28">
        <f>SUM('Net zero emission reductions'!AC1442:AC1443)</f>
        <v>0.44606974250457304</v>
      </c>
      <c r="AX32" s="28">
        <f>SUM('Net zero emission reductions'!AD1442:AD1443)</f>
        <v>0.44697792799135705</v>
      </c>
      <c r="AY32" s="28">
        <f>SUM('Net zero emission reductions'!AE1442:AE1443)</f>
        <v>0.44788611347814106</v>
      </c>
      <c r="AZ32" s="28">
        <f>SUM('Net zero emission reductions'!AF1442:AF1443)</f>
        <v>0.44879429896492501</v>
      </c>
      <c r="BA32" s="28">
        <f>SUM('Net zero emission reductions'!AG1442:AG1443)</f>
        <v>0.44970248445170896</v>
      </c>
      <c r="BB32" s="28">
        <f>SUM('Net zero emission reductions'!AH1442:AH1443)</f>
        <v>0.45061066993849297</v>
      </c>
      <c r="BC32" s="28">
        <f>SUM('Net zero emission reductions'!AI1442:AI1443)</f>
        <v>0.45151885542527692</v>
      </c>
      <c r="BD32" s="28">
        <f>SUM('Net zero emission reductions'!AJ1442:AJ1443)</f>
        <v>0.45242704091206093</v>
      </c>
      <c r="BE32" s="28">
        <f>SUM('Net zero emission reductions'!AK1442:AK1443)</f>
        <v>0.45333522639884494</v>
      </c>
      <c r="BF32" s="28">
        <f>SUM('Net zero emission reductions'!AL1442:AL1443)</f>
        <v>0.454243411885629</v>
      </c>
      <c r="BG32" s="28">
        <f>SUM('Net zero emission reductions'!AM1442:AM1443)</f>
        <v>0.45515159737241295</v>
      </c>
      <c r="BH32" s="28">
        <f>SUM('Net zero emission reductions'!AN1442:AN1443)</f>
        <v>0.4560597828591969</v>
      </c>
      <c r="BI32" s="28">
        <f>SUM('Net zero emission reductions'!AO1442:AO1443)</f>
        <v>0.45696796834598097</v>
      </c>
      <c r="BJ32" s="28">
        <f>SUM('Net zero emission reductions'!AP1442:AP1443)</f>
        <v>0.45787615383276492</v>
      </c>
      <c r="BK32" s="28">
        <f>SUM('Net zero emission reductions'!AQ1442:AQ1443)</f>
        <v>0.45878433931954882</v>
      </c>
      <c r="BL32" s="28">
        <f>SUM('Net zero emission reductions'!AR1442:AR1443)</f>
        <v>0.45969252480633288</v>
      </c>
      <c r="BM32" s="28">
        <f>SUM('Net zero emission reductions'!AS1442:AS1443)</f>
        <v>0.46060071029311683</v>
      </c>
      <c r="BN32" s="28">
        <f>SUM('Net zero emission reductions'!AT1442:AT1443)</f>
        <v>0.46150889577990084</v>
      </c>
      <c r="BO32" s="28">
        <f>SUM('Net zero emission reductions'!AU1442:AU1443)</f>
        <v>0.46241708126668479</v>
      </c>
      <c r="BP32" s="28">
        <f>SUM('Net zero emission reductions'!AV1442:AV1443)</f>
        <v>0.4633252667534688</v>
      </c>
      <c r="BQ32" s="28">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8">
        <f>'Emissions summary'!F33</f>
        <v>0</v>
      </c>
      <c r="J33" s="28">
        <f>'Emissions summary'!G33</f>
        <v>0</v>
      </c>
      <c r="K33" s="28">
        <f>'Emissions summary'!H33</f>
        <v>0</v>
      </c>
      <c r="L33" s="28">
        <f>'Emissions summary'!I33</f>
        <v>0</v>
      </c>
      <c r="M33" s="28">
        <f>'Emissions summary'!J33</f>
        <v>0</v>
      </c>
      <c r="N33" s="28">
        <f>'Emissions summary'!K33</f>
        <v>0</v>
      </c>
      <c r="O33" s="28">
        <f>'Emissions summary'!L33</f>
        <v>0</v>
      </c>
      <c r="P33" s="28">
        <f>'Emissions summary'!M33</f>
        <v>0</v>
      </c>
      <c r="Q33" s="28">
        <f>'Emissions summary'!N33</f>
        <v>0</v>
      </c>
      <c r="R33" s="28">
        <f>'Emissions summary'!O33</f>
        <v>0</v>
      </c>
      <c r="S33" s="28">
        <f>'Emissions summary'!P33</f>
        <v>0</v>
      </c>
      <c r="T33" s="28">
        <f>'Emissions summary'!Q33</f>
        <v>0</v>
      </c>
      <c r="U33" s="28">
        <f>'Emissions summary'!R33</f>
        <v>0</v>
      </c>
      <c r="V33" s="28">
        <f>'Emissions summary'!S33</f>
        <v>0</v>
      </c>
      <c r="W33" s="28">
        <f>'Emissions summary'!T33</f>
        <v>0</v>
      </c>
      <c r="X33" s="28">
        <f>'Emissions summary'!U33</f>
        <v>0</v>
      </c>
      <c r="Y33" s="28">
        <f>'Emissions summary'!V33</f>
        <v>0</v>
      </c>
      <c r="Z33" s="28">
        <f>'Emissions summary'!W33</f>
        <v>0</v>
      </c>
      <c r="AA33" s="28">
        <f>'Emissions summary'!X33</f>
        <v>0</v>
      </c>
      <c r="AB33" s="28">
        <f>'Emissions summary'!Y33</f>
        <v>0</v>
      </c>
      <c r="AC33" s="28">
        <f>'Emissions summary'!Z33</f>
        <v>0</v>
      </c>
      <c r="AD33" s="28">
        <f>'Emissions summary'!AA33</f>
        <v>0</v>
      </c>
      <c r="AE33" s="28">
        <f>'Net zero emission reductions'!K1444</f>
        <v>0</v>
      </c>
      <c r="AF33" s="28">
        <f>'Net zero emission reductions'!L1444</f>
        <v>0</v>
      </c>
      <c r="AG33" s="28">
        <f>'Net zero emission reductions'!M1444</f>
        <v>0</v>
      </c>
      <c r="AH33" s="28">
        <f>'Net zero emission reductions'!N1444</f>
        <v>0</v>
      </c>
      <c r="AI33" s="28">
        <f>'Net zero emission reductions'!O1444</f>
        <v>0</v>
      </c>
      <c r="AJ33" s="28">
        <f>'Net zero emission reductions'!P1444</f>
        <v>0</v>
      </c>
      <c r="AK33" s="28">
        <f>'Net zero emission reductions'!Q1444</f>
        <v>0</v>
      </c>
      <c r="AL33" s="28">
        <f>'Net zero emission reductions'!R1444</f>
        <v>0</v>
      </c>
      <c r="AM33" s="28">
        <f>'Net zero emission reductions'!S1444</f>
        <v>0</v>
      </c>
      <c r="AN33" s="28">
        <f>'Net zero emission reductions'!T1444</f>
        <v>0</v>
      </c>
      <c r="AO33" s="28">
        <f>'Net zero emission reductions'!U1444</f>
        <v>0</v>
      </c>
      <c r="AP33" s="28">
        <f>'Net zero emission reductions'!V1444</f>
        <v>0</v>
      </c>
      <c r="AQ33" s="28">
        <f>'Net zero emission reductions'!W1444</f>
        <v>0</v>
      </c>
      <c r="AR33" s="28">
        <f>'Net zero emission reductions'!X1444</f>
        <v>0</v>
      </c>
      <c r="AS33" s="28">
        <f>'Net zero emission reductions'!Y1444</f>
        <v>0</v>
      </c>
      <c r="AT33" s="28">
        <f>'Net zero emission reductions'!Z1444</f>
        <v>0</v>
      </c>
      <c r="AU33" s="28">
        <f>'Net zero emission reductions'!AA1444</f>
        <v>0</v>
      </c>
      <c r="AV33" s="28">
        <f>'Net zero emission reductions'!AB1444</f>
        <v>0</v>
      </c>
      <c r="AW33" s="28">
        <f>'Net zero emission reductions'!AC1444</f>
        <v>0</v>
      </c>
      <c r="AX33" s="28">
        <f>'Net zero emission reductions'!AD1444</f>
        <v>0</v>
      </c>
      <c r="AY33" s="28">
        <f>'Net zero emission reductions'!AE1444</f>
        <v>0</v>
      </c>
      <c r="AZ33" s="28">
        <f>'Net zero emission reductions'!AF1444</f>
        <v>0</v>
      </c>
      <c r="BA33" s="28">
        <f>'Net zero emission reductions'!AG1444</f>
        <v>0</v>
      </c>
      <c r="BB33" s="28">
        <f>'Net zero emission reductions'!AH1444</f>
        <v>0</v>
      </c>
      <c r="BC33" s="28">
        <f>'Net zero emission reductions'!AI1444</f>
        <v>0</v>
      </c>
      <c r="BD33" s="28">
        <f>'Net zero emission reductions'!AJ1444</f>
        <v>0</v>
      </c>
      <c r="BE33" s="28">
        <f>'Net zero emission reductions'!AK1444</f>
        <v>0</v>
      </c>
      <c r="BF33" s="28">
        <f>'Net zero emission reductions'!AL1444</f>
        <v>0</v>
      </c>
      <c r="BG33" s="28">
        <f>'Net zero emission reductions'!AM1444</f>
        <v>0</v>
      </c>
      <c r="BH33" s="28">
        <f>'Net zero emission reductions'!AN1444</f>
        <v>0</v>
      </c>
      <c r="BI33" s="28">
        <f>'Net zero emission reductions'!AO1444</f>
        <v>0</v>
      </c>
      <c r="BJ33" s="28">
        <f>'Net zero emission reductions'!AP1444</f>
        <v>0</v>
      </c>
      <c r="BK33" s="28">
        <f>'Net zero emission reductions'!AQ1444</f>
        <v>0</v>
      </c>
      <c r="BL33" s="28">
        <f>'Net zero emission reductions'!AR1444</f>
        <v>0</v>
      </c>
      <c r="BM33" s="28">
        <f>'Net zero emission reductions'!AS1444</f>
        <v>0</v>
      </c>
      <c r="BN33" s="28">
        <f>'Net zero emission reductions'!AT1444</f>
        <v>0</v>
      </c>
      <c r="BO33" s="28">
        <f>'Net zero emission reductions'!AU1444</f>
        <v>0</v>
      </c>
      <c r="BP33" s="28">
        <f>'Net zero emission reductions'!AV1444</f>
        <v>0</v>
      </c>
      <c r="BQ33" s="28">
        <f>'Net zero emission reductions'!AW1444</f>
        <v>0</v>
      </c>
    </row>
    <row r="34" spans="1:72" s="19" customFormat="1" ht="15.75" x14ac:dyDescent="0.25">
      <c r="A34" s="104"/>
      <c r="B34" s="104"/>
      <c r="C34" s="104"/>
      <c r="D34" s="19" t="str">
        <f t="shared" si="20"/>
        <v>3C Aggregated and non-CO2 emissions on land</v>
      </c>
      <c r="E34" s="19" t="str">
        <f>'IPCC Categories'!B65</f>
        <v>3C1 Biomass burning (N2O)</v>
      </c>
      <c r="F34" s="19" t="s">
        <v>148</v>
      </c>
      <c r="G34" s="19" t="s">
        <v>139</v>
      </c>
      <c r="H34" s="19" t="s">
        <v>287</v>
      </c>
      <c r="I34" s="47">
        <f>SUM(I35:I40)</f>
        <v>3.7075879357894523</v>
      </c>
      <c r="J34" s="47">
        <f t="shared" ref="J34:AE34" si="22">SUM(J35:J40)</f>
        <v>3.7075879357894523</v>
      </c>
      <c r="K34" s="47">
        <f t="shared" si="22"/>
        <v>3.7075879357894523</v>
      </c>
      <c r="L34" s="47">
        <f t="shared" si="22"/>
        <v>3.7075879357894523</v>
      </c>
      <c r="M34" s="47">
        <f t="shared" si="22"/>
        <v>3.7075879357894523</v>
      </c>
      <c r="N34" s="47">
        <f t="shared" si="22"/>
        <v>3.7075879357894523</v>
      </c>
      <c r="O34" s="47">
        <f t="shared" si="22"/>
        <v>3.7075879357894523</v>
      </c>
      <c r="P34" s="47">
        <f t="shared" si="22"/>
        <v>3.7075879357894523</v>
      </c>
      <c r="Q34" s="47">
        <f t="shared" si="22"/>
        <v>3.7075879357894523</v>
      </c>
      <c r="R34" s="47">
        <f t="shared" si="22"/>
        <v>3.7075879357894523</v>
      </c>
      <c r="S34" s="47">
        <f t="shared" si="22"/>
        <v>3.6718973949162081</v>
      </c>
      <c r="T34" s="47">
        <f t="shared" si="22"/>
        <v>4.3479436666429772</v>
      </c>
      <c r="U34" s="47">
        <f t="shared" si="22"/>
        <v>4.2850613259475647</v>
      </c>
      <c r="V34" s="47">
        <f t="shared" si="22"/>
        <v>3.282468107830713</v>
      </c>
      <c r="W34" s="47">
        <f t="shared" si="22"/>
        <v>2.9505691836097965</v>
      </c>
      <c r="X34" s="47">
        <f t="shared" si="22"/>
        <v>4.6706814433352601</v>
      </c>
      <c r="Y34" s="47">
        <f t="shared" si="22"/>
        <v>4.0754902880758053</v>
      </c>
      <c r="Z34" s="47">
        <f t="shared" si="22"/>
        <v>3.9272122256664277</v>
      </c>
      <c r="AA34" s="47">
        <f t="shared" si="22"/>
        <v>3.8070383668685825</v>
      </c>
      <c r="AB34" s="47">
        <f t="shared" si="22"/>
        <v>3.574643820819225</v>
      </c>
      <c r="AC34" s="47">
        <f t="shared" si="22"/>
        <v>3.6185702919300007</v>
      </c>
      <c r="AD34" s="47">
        <f t="shared" si="22"/>
        <v>3.5841393659915992</v>
      </c>
      <c r="AE34" s="47">
        <f t="shared" si="22"/>
        <v>3.090013816562077</v>
      </c>
      <c r="AF34" s="47">
        <f t="shared" ref="AF34:BQ34" si="23">SUM(AF35:AF40)</f>
        <v>3.2036391768546908</v>
      </c>
      <c r="AG34" s="47">
        <f t="shared" si="23"/>
        <v>3.1730419131473035</v>
      </c>
      <c r="AH34" s="47">
        <f t="shared" si="23"/>
        <v>3.1449518814399164</v>
      </c>
      <c r="AI34" s="47">
        <f t="shared" si="23"/>
        <v>3.1761268737325303</v>
      </c>
      <c r="AJ34" s="47">
        <f t="shared" si="23"/>
        <v>3.2043578340251431</v>
      </c>
      <c r="AK34" s="47">
        <f t="shared" si="23"/>
        <v>3.2157894663177569</v>
      </c>
      <c r="AL34" s="47">
        <f t="shared" si="23"/>
        <v>3.2312714849038415</v>
      </c>
      <c r="AM34" s="47">
        <f t="shared" si="23"/>
        <v>3.2467535034899253</v>
      </c>
      <c r="AN34" s="47">
        <f t="shared" si="23"/>
        <v>3.26223552207601</v>
      </c>
      <c r="AO34" s="47">
        <f t="shared" si="23"/>
        <v>3.2777175406620933</v>
      </c>
      <c r="AP34" s="47">
        <f t="shared" si="23"/>
        <v>3.2931995592481784</v>
      </c>
      <c r="AQ34" s="47">
        <f t="shared" si="23"/>
        <v>3.3086815778342631</v>
      </c>
      <c r="AR34" s="47">
        <f t="shared" si="23"/>
        <v>3.3241635964203464</v>
      </c>
      <c r="AS34" s="47">
        <f t="shared" si="23"/>
        <v>3.3396456150064311</v>
      </c>
      <c r="AT34" s="47">
        <f t="shared" si="23"/>
        <v>3.3551276335925149</v>
      </c>
      <c r="AU34" s="47">
        <f t="shared" si="23"/>
        <v>3.3706096521785995</v>
      </c>
      <c r="AV34" s="47">
        <f t="shared" si="23"/>
        <v>3.3860916707646842</v>
      </c>
      <c r="AW34" s="47">
        <f t="shared" si="23"/>
        <v>3.4015736893507675</v>
      </c>
      <c r="AX34" s="47">
        <f t="shared" si="23"/>
        <v>3.4166247163658898</v>
      </c>
      <c r="AY34" s="47">
        <f t="shared" si="23"/>
        <v>3.4316757433810112</v>
      </c>
      <c r="AZ34" s="47">
        <f t="shared" si="23"/>
        <v>3.4467267703961331</v>
      </c>
      <c r="BA34" s="47">
        <f t="shared" si="23"/>
        <v>3.4617777974112558</v>
      </c>
      <c r="BB34" s="47">
        <f t="shared" si="23"/>
        <v>3.4768288244263776</v>
      </c>
      <c r="BC34" s="47">
        <f t="shared" si="23"/>
        <v>3.491879851441499</v>
      </c>
      <c r="BD34" s="47">
        <f t="shared" si="23"/>
        <v>3.5069308784566204</v>
      </c>
      <c r="BE34" s="47">
        <f t="shared" si="23"/>
        <v>3.5219819054717427</v>
      </c>
      <c r="BF34" s="47">
        <f t="shared" si="23"/>
        <v>3.5362807779692043</v>
      </c>
      <c r="BG34" s="47">
        <f t="shared" si="23"/>
        <v>3.5505796504666653</v>
      </c>
      <c r="BH34" s="47">
        <f t="shared" si="23"/>
        <v>3.5648785229641264</v>
      </c>
      <c r="BI34" s="47">
        <f t="shared" si="23"/>
        <v>3.5791773954615884</v>
      </c>
      <c r="BJ34" s="47">
        <f t="shared" si="23"/>
        <v>3.59347626795905</v>
      </c>
      <c r="BK34" s="47">
        <f t="shared" si="23"/>
        <v>3.6077751404565115</v>
      </c>
      <c r="BL34" s="47">
        <f t="shared" si="23"/>
        <v>3.622074012953973</v>
      </c>
      <c r="BM34" s="47">
        <f t="shared" si="23"/>
        <v>3.6363728854514346</v>
      </c>
      <c r="BN34" s="47">
        <f t="shared" si="23"/>
        <v>3.6506717579488956</v>
      </c>
      <c r="BO34" s="47">
        <f t="shared" si="23"/>
        <v>3.6649706304463576</v>
      </c>
      <c r="BP34" s="47">
        <f t="shared" si="23"/>
        <v>3.6792695029438187</v>
      </c>
      <c r="BQ34" s="47">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8">
        <f>'Emissions summary'!F35</f>
        <v>1.1438763741385864</v>
      </c>
      <c r="J35" s="28">
        <f>'Emissions summary'!G35</f>
        <v>1.1438763741385864</v>
      </c>
      <c r="K35" s="28">
        <f>'Emissions summary'!H35</f>
        <v>1.1438763741385864</v>
      </c>
      <c r="L35" s="28">
        <f>'Emissions summary'!I35</f>
        <v>1.1438763741385864</v>
      </c>
      <c r="M35" s="28">
        <f>'Emissions summary'!J35</f>
        <v>1.1438763741385864</v>
      </c>
      <c r="N35" s="28">
        <f>'Emissions summary'!K35</f>
        <v>1.1438763741385864</v>
      </c>
      <c r="O35" s="28">
        <f>'Emissions summary'!L35</f>
        <v>1.1438763741385864</v>
      </c>
      <c r="P35" s="28">
        <f>'Emissions summary'!M35</f>
        <v>1.1438763741385864</v>
      </c>
      <c r="Q35" s="28">
        <f>'Emissions summary'!N35</f>
        <v>1.1438763741385864</v>
      </c>
      <c r="R35" s="28">
        <f>'Emissions summary'!O35</f>
        <v>1.1438763741385864</v>
      </c>
      <c r="S35" s="28">
        <f>'Emissions summary'!P35</f>
        <v>1.129665625804974</v>
      </c>
      <c r="T35" s="28">
        <f>'Emissions summary'!Q35</f>
        <v>1.5001940667446125</v>
      </c>
      <c r="U35" s="28">
        <f>'Emissions summary'!R35</f>
        <v>1.2536062459262034</v>
      </c>
      <c r="V35" s="28">
        <f>'Emissions summary'!S35</f>
        <v>0.90130843582112352</v>
      </c>
      <c r="W35" s="28">
        <f>'Emissions summary'!T35</f>
        <v>0.93460749639601826</v>
      </c>
      <c r="X35" s="28">
        <f>'Emissions summary'!U35</f>
        <v>1.4818082671125721</v>
      </c>
      <c r="Y35" s="28">
        <f>'Emissions summary'!V35</f>
        <v>1.2335191780721162</v>
      </c>
      <c r="Z35" s="28">
        <f>'Emissions summary'!W35</f>
        <v>1.3425917486681966</v>
      </c>
      <c r="AA35" s="28">
        <f>'Emissions summary'!X35</f>
        <v>1.3834411759926073</v>
      </c>
      <c r="AB35" s="28">
        <f>'Emissions summary'!Y35</f>
        <v>1.0406581288181318</v>
      </c>
      <c r="AC35" s="28">
        <f>'Emissions summary'!Z35</f>
        <v>1.1705685167880002</v>
      </c>
      <c r="AD35" s="28">
        <f>'Emissions summary'!AA35</f>
        <v>1.1141746509779999</v>
      </c>
      <c r="AE35" s="28">
        <f>SUM('Net zero emission reductions'!K1445:K1448)</f>
        <v>0.81337835040550022</v>
      </c>
      <c r="AF35" s="28">
        <f>SUM('Net zero emission reductions'!L1445:L1448)</f>
        <v>0.91618667449117541</v>
      </c>
      <c r="AG35" s="28">
        <f>SUM('Net zero emission reductions'!M1445:M1448)</f>
        <v>0.87477237457685053</v>
      </c>
      <c r="AH35" s="28">
        <f>SUM('Net zero emission reductions'!N1445:N1448)</f>
        <v>0.83586530666252568</v>
      </c>
      <c r="AI35" s="28">
        <f>SUM('Net zero emission reductions'!O1445:O1448)</f>
        <v>0.85622326274820093</v>
      </c>
      <c r="AJ35" s="28">
        <f>SUM('Net zero emission reductions'!P1445:P1448)</f>
        <v>0.87363718683387614</v>
      </c>
      <c r="AK35" s="28">
        <f>SUM('Net zero emission reductions'!Q1445:Q1448)</f>
        <v>0.87425178291955141</v>
      </c>
      <c r="AL35" s="28">
        <f>SUM('Net zero emission reductions'!R1445:R1448)</f>
        <v>0.87129977937663372</v>
      </c>
      <c r="AM35" s="28">
        <f>SUM('Net zero emission reductions'!S1445:S1448)</f>
        <v>0.86834777583371592</v>
      </c>
      <c r="AN35" s="28">
        <f>SUM('Net zero emission reductions'!T1445:T1448)</f>
        <v>0.86539577229079812</v>
      </c>
      <c r="AO35" s="28">
        <f>SUM('Net zero emission reductions'!U1445:U1448)</f>
        <v>0.86244376874788042</v>
      </c>
      <c r="AP35" s="28">
        <f>SUM('Net zero emission reductions'!V1445:V1448)</f>
        <v>0.85949176520496295</v>
      </c>
      <c r="AQ35" s="28">
        <f>SUM('Net zero emission reductions'!W1445:W1448)</f>
        <v>0.85653976166204526</v>
      </c>
      <c r="AR35" s="28">
        <f>SUM('Net zero emission reductions'!X1445:X1448)</f>
        <v>0.85358775811912746</v>
      </c>
      <c r="AS35" s="28">
        <f>SUM('Net zero emission reductions'!Y1445:Y1448)</f>
        <v>0.85063575457620977</v>
      </c>
      <c r="AT35" s="28">
        <f>SUM('Net zero emission reductions'!Z1445:Z1448)</f>
        <v>0.84768375103329197</v>
      </c>
      <c r="AU35" s="28">
        <f>SUM('Net zero emission reductions'!AA1445:AA1448)</f>
        <v>0.84473174749037416</v>
      </c>
      <c r="AV35" s="28">
        <f>SUM('Net zero emission reductions'!AB1445:AB1448)</f>
        <v>0.84177974394745669</v>
      </c>
      <c r="AW35" s="28">
        <f>SUM('Net zero emission reductions'!AC1445:AC1448)</f>
        <v>0.838827740404539</v>
      </c>
      <c r="AX35" s="28">
        <f>SUM('Net zero emission reductions'!AD1445:AD1448)</f>
        <v>0.83512358234396089</v>
      </c>
      <c r="AY35" s="28">
        <f>SUM('Net zero emission reductions'!AE1445:AE1448)</f>
        <v>0.83141942428338278</v>
      </c>
      <c r="AZ35" s="28">
        <f>SUM('Net zero emission reductions'!AF1445:AF1448)</f>
        <v>0.82771526622280467</v>
      </c>
      <c r="BA35" s="28">
        <f>SUM('Net zero emission reductions'!AG1445:AG1448)</f>
        <v>0.82401110816222667</v>
      </c>
      <c r="BB35" s="28">
        <f>SUM('Net zero emission reductions'!AH1445:AH1448)</f>
        <v>0.82030695010164856</v>
      </c>
      <c r="BC35" s="28">
        <f>SUM('Net zero emission reductions'!AI1445:AI1448)</f>
        <v>0.81660279204107056</v>
      </c>
      <c r="BD35" s="28">
        <f>SUM('Net zero emission reductions'!AJ1445:AJ1448)</f>
        <v>0.81289863398049245</v>
      </c>
      <c r="BE35" s="28">
        <f>SUM('Net zero emission reductions'!AK1445:AK1448)</f>
        <v>0.80919447591991434</v>
      </c>
      <c r="BF35" s="28">
        <f>SUM('Net zero emission reductions'!AL1445:AL1448)</f>
        <v>0.80473816334167581</v>
      </c>
      <c r="BG35" s="28">
        <f>SUM('Net zero emission reductions'!AM1445:AM1448)</f>
        <v>0.80028185076343727</v>
      </c>
      <c r="BH35" s="28">
        <f>SUM('Net zero emission reductions'!AN1445:AN1448)</f>
        <v>0.79582553818519886</v>
      </c>
      <c r="BI35" s="28">
        <f>SUM('Net zero emission reductions'!AO1445:AO1448)</f>
        <v>0.79136922560696055</v>
      </c>
      <c r="BJ35" s="28">
        <f>SUM('Net zero emission reductions'!AP1445:AP1448)</f>
        <v>0.78691291302872202</v>
      </c>
      <c r="BK35" s="28">
        <f>SUM('Net zero emission reductions'!AQ1445:AQ1448)</f>
        <v>0.7824566004504836</v>
      </c>
      <c r="BL35" s="28">
        <f>SUM('Net zero emission reductions'!AR1445:AR1448)</f>
        <v>0.77800028787224518</v>
      </c>
      <c r="BM35" s="28">
        <f>SUM('Net zero emission reductions'!AS1445:AS1448)</f>
        <v>0.77354397529400676</v>
      </c>
      <c r="BN35" s="28">
        <f>SUM('Net zero emission reductions'!AT1445:AT1448)</f>
        <v>0.76908766271576834</v>
      </c>
      <c r="BO35" s="28">
        <f>SUM('Net zero emission reductions'!AU1445:AU1448)</f>
        <v>0.76463135013752992</v>
      </c>
      <c r="BP35" s="28">
        <f>SUM('Net zero emission reductions'!AV1445:AV1448)</f>
        <v>0.76017503755929161</v>
      </c>
      <c r="BQ35" s="28">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8">
        <f>'Emissions summary'!F36</f>
        <v>0.26227938544915658</v>
      </c>
      <c r="J36" s="28">
        <f>'Emissions summary'!G36</f>
        <v>0.26227938544915658</v>
      </c>
      <c r="K36" s="28">
        <f>'Emissions summary'!H36</f>
        <v>0.26227938544915658</v>
      </c>
      <c r="L36" s="28">
        <f>'Emissions summary'!I36</f>
        <v>0.26227938544915658</v>
      </c>
      <c r="M36" s="28">
        <f>'Emissions summary'!J36</f>
        <v>0.26227938544915658</v>
      </c>
      <c r="N36" s="28">
        <f>'Emissions summary'!K36</f>
        <v>0.26227938544915658</v>
      </c>
      <c r="O36" s="28">
        <f>'Emissions summary'!L36</f>
        <v>0.26227938544915658</v>
      </c>
      <c r="P36" s="28">
        <f>'Emissions summary'!M36</f>
        <v>0.26227938544915658</v>
      </c>
      <c r="Q36" s="28">
        <f>'Emissions summary'!N36</f>
        <v>0.26227938544915658</v>
      </c>
      <c r="R36" s="28">
        <f>'Emissions summary'!O36</f>
        <v>0.26227938544915658</v>
      </c>
      <c r="S36" s="28">
        <f>'Emissions summary'!P36</f>
        <v>0.27249351091104779</v>
      </c>
      <c r="T36" s="28">
        <f>'Emissions summary'!Q36</f>
        <v>0.28214910438509594</v>
      </c>
      <c r="U36" s="28">
        <f>'Emissions summary'!R36</f>
        <v>0.3096912890487743</v>
      </c>
      <c r="V36" s="28">
        <f>'Emissions summary'!S36</f>
        <v>0.24106195370044609</v>
      </c>
      <c r="W36" s="28">
        <f>'Emissions summary'!T36</f>
        <v>0.20600106920041864</v>
      </c>
      <c r="X36" s="28">
        <f>'Emissions summary'!U36</f>
        <v>0.35933732059976431</v>
      </c>
      <c r="Y36" s="28">
        <f>'Emissions summary'!V36</f>
        <v>0.33855631263102837</v>
      </c>
      <c r="Z36" s="28">
        <f>'Emissions summary'!W36</f>
        <v>0.27162292461420739</v>
      </c>
      <c r="AA36" s="28">
        <f>'Emissions summary'!X36</f>
        <v>0.2444764609945474</v>
      </c>
      <c r="AB36" s="28">
        <f>'Emissions summary'!Y36</f>
        <v>0.25418858604631245</v>
      </c>
      <c r="AC36" s="28">
        <f>'Emissions summary'!Z36</f>
        <v>0.25351308360000002</v>
      </c>
      <c r="AD36" s="28">
        <f>'Emissions summary'!AA36</f>
        <v>0.24445247399999998</v>
      </c>
      <c r="AE36" s="28">
        <f>SUM('Net zero emission reductions'!K1449:K1453)</f>
        <v>0.23150267764623561</v>
      </c>
      <c r="AF36" s="28">
        <f>SUM('Net zero emission reductions'!L1449:L1453)</f>
        <v>0.23149080350455245</v>
      </c>
      <c r="AG36" s="28">
        <f>SUM('Net zero emission reductions'!M1449:M1453)</f>
        <v>0.23147892936286932</v>
      </c>
      <c r="AH36" s="28">
        <f>SUM('Net zero emission reductions'!N1449:N1453)</f>
        <v>0.23146705522118621</v>
      </c>
      <c r="AI36" s="28">
        <f>SUM('Net zero emission reductions'!O1449:O1453)</f>
        <v>0.23145518107950305</v>
      </c>
      <c r="AJ36" s="28">
        <f>SUM('Net zero emission reductions'!P1449:P1453)</f>
        <v>0.23144330693781995</v>
      </c>
      <c r="AK36" s="28">
        <f>SUM('Net zero emission reductions'!Q1449:Q1453)</f>
        <v>0.23143143279613676</v>
      </c>
      <c r="AL36" s="28">
        <f>SUM('Net zero emission reductions'!R1449:R1453)</f>
        <v>0.23141955865445368</v>
      </c>
      <c r="AM36" s="28">
        <f>SUM('Net zero emission reductions'!S1449:S1453)</f>
        <v>0.23140768451277055</v>
      </c>
      <c r="AN36" s="28">
        <f>SUM('Net zero emission reductions'!T1449:T1453)</f>
        <v>0.23139581037108745</v>
      </c>
      <c r="AO36" s="28">
        <f>SUM('Net zero emission reductions'!U1449:U1453)</f>
        <v>0.23138393622940429</v>
      </c>
      <c r="AP36" s="28">
        <f>SUM('Net zero emission reductions'!V1449:V1453)</f>
        <v>0.23137206208772113</v>
      </c>
      <c r="AQ36" s="28">
        <f>SUM('Net zero emission reductions'!W1449:W1453)</f>
        <v>0.23136018794603802</v>
      </c>
      <c r="AR36" s="28">
        <f>SUM('Net zero emission reductions'!X1449:X1453)</f>
        <v>0.23134831380435489</v>
      </c>
      <c r="AS36" s="28">
        <f>SUM('Net zero emission reductions'!Y1449:Y1453)</f>
        <v>0.23133643966267178</v>
      </c>
      <c r="AT36" s="28">
        <f>SUM('Net zero emission reductions'!Z1449:Z1453)</f>
        <v>0.23132456552098865</v>
      </c>
      <c r="AU36" s="28">
        <f>SUM('Net zero emission reductions'!AA1449:AA1453)</f>
        <v>0.23131269137930549</v>
      </c>
      <c r="AV36" s="28">
        <f>SUM('Net zero emission reductions'!AB1449:AB1453)</f>
        <v>0.23130081723762241</v>
      </c>
      <c r="AW36" s="28">
        <f>SUM('Net zero emission reductions'!AC1449:AC1453)</f>
        <v>0.23128894309593925</v>
      </c>
      <c r="AX36" s="28">
        <f>SUM('Net zero emission reductions'!AD1449:AD1453)</f>
        <v>0.23127706895425609</v>
      </c>
      <c r="AY36" s="28">
        <f>SUM('Net zero emission reductions'!AE1449:AE1453)</f>
        <v>0.23126519481257302</v>
      </c>
      <c r="AZ36" s="28">
        <f>SUM('Net zero emission reductions'!AF1449:AF1453)</f>
        <v>0.23125332067088986</v>
      </c>
      <c r="BA36" s="28">
        <f>SUM('Net zero emission reductions'!AG1449:AG1453)</f>
        <v>0.23124144652920675</v>
      </c>
      <c r="BB36" s="28">
        <f>SUM('Net zero emission reductions'!AH1449:AH1453)</f>
        <v>0.23122957238752362</v>
      </c>
      <c r="BC36" s="28">
        <f>SUM('Net zero emission reductions'!AI1449:AI1453)</f>
        <v>0.23121769824584049</v>
      </c>
      <c r="BD36" s="28">
        <f>SUM('Net zero emission reductions'!AJ1449:AJ1453)</f>
        <v>0.2312058241041573</v>
      </c>
      <c r="BE36" s="28">
        <f>SUM('Net zero emission reductions'!AK1449:AK1453)</f>
        <v>0.23119394996247425</v>
      </c>
      <c r="BF36" s="28">
        <f>SUM('Net zero emission reductions'!AL1449:AL1453)</f>
        <v>0.23118207582079112</v>
      </c>
      <c r="BG36" s="28">
        <f>SUM('Net zero emission reductions'!AM1449:AM1453)</f>
        <v>0.23117020167910793</v>
      </c>
      <c r="BH36" s="28">
        <f>SUM('Net zero emission reductions'!AN1449:AN1453)</f>
        <v>0.23115832753742488</v>
      </c>
      <c r="BI36" s="28">
        <f>SUM('Net zero emission reductions'!AO1449:AO1453)</f>
        <v>0.23114645339574169</v>
      </c>
      <c r="BJ36" s="28">
        <f>SUM('Net zero emission reductions'!AP1449:AP1453)</f>
        <v>0.23113457925405859</v>
      </c>
      <c r="BK36" s="28">
        <f>SUM('Net zero emission reductions'!AQ1449:AQ1453)</f>
        <v>0.23112270511237543</v>
      </c>
      <c r="BL36" s="28">
        <f>SUM('Net zero emission reductions'!AR1449:AR1453)</f>
        <v>0.23111083097069229</v>
      </c>
      <c r="BM36" s="28">
        <f>SUM('Net zero emission reductions'!AS1449:AS1453)</f>
        <v>0.23109895682900922</v>
      </c>
      <c r="BN36" s="28">
        <f>SUM('Net zero emission reductions'!AT1449:AT1453)</f>
        <v>0.23108708268732603</v>
      </c>
      <c r="BO36" s="28">
        <f>SUM('Net zero emission reductions'!AU1449:AU1453)</f>
        <v>0.23107520854564292</v>
      </c>
      <c r="BP36" s="28">
        <f>SUM('Net zero emission reductions'!AV1449:AV1453)</f>
        <v>0.23106333440395979</v>
      </c>
      <c r="BQ36" s="28">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8">
        <f>'Emissions summary'!F37</f>
        <v>2.1832325939202906</v>
      </c>
      <c r="J37" s="28">
        <f>'Emissions summary'!G37</f>
        <v>2.1832325939202906</v>
      </c>
      <c r="K37" s="28">
        <f>'Emissions summary'!H37</f>
        <v>2.1832325939202906</v>
      </c>
      <c r="L37" s="28">
        <f>'Emissions summary'!I37</f>
        <v>2.1832325939202906</v>
      </c>
      <c r="M37" s="28">
        <f>'Emissions summary'!J37</f>
        <v>2.1832325939202906</v>
      </c>
      <c r="N37" s="28">
        <f>'Emissions summary'!K37</f>
        <v>2.1832325939202906</v>
      </c>
      <c r="O37" s="28">
        <f>'Emissions summary'!L37</f>
        <v>2.1832325939202906</v>
      </c>
      <c r="P37" s="28">
        <f>'Emissions summary'!M37</f>
        <v>2.1832325939202906</v>
      </c>
      <c r="Q37" s="28">
        <f>'Emissions summary'!N37</f>
        <v>2.1832325939202906</v>
      </c>
      <c r="R37" s="28">
        <f>'Emissions summary'!O37</f>
        <v>2.1832325939202906</v>
      </c>
      <c r="S37" s="28">
        <f>'Emissions summary'!P37</f>
        <v>2.1560404954267964</v>
      </c>
      <c r="T37" s="28">
        <f>'Emissions summary'!Q37</f>
        <v>2.4331484625916917</v>
      </c>
      <c r="U37" s="28">
        <f>'Emissions summary'!R37</f>
        <v>2.5851794612386958</v>
      </c>
      <c r="V37" s="28">
        <f>'Emissions summary'!S37</f>
        <v>2.026241021042972</v>
      </c>
      <c r="W37" s="28">
        <f>'Emissions summary'!T37</f>
        <v>1.7155535293012945</v>
      </c>
      <c r="X37" s="28">
        <f>'Emissions summary'!U37</f>
        <v>2.664720786608763</v>
      </c>
      <c r="Y37" s="28">
        <f>'Emissions summary'!V37</f>
        <v>2.3579698696662157</v>
      </c>
      <c r="Z37" s="28">
        <f>'Emissions summary'!W37</f>
        <v>2.1705723800404217</v>
      </c>
      <c r="AA37" s="28">
        <f>'Emissions summary'!X37</f>
        <v>2.069932733340706</v>
      </c>
      <c r="AB37" s="28">
        <f>'Emissions summary'!Y37</f>
        <v>2.153682585932855</v>
      </c>
      <c r="AC37" s="28">
        <f>'Emissions summary'!Z37</f>
        <v>2.0565198387720001</v>
      </c>
      <c r="AD37" s="28">
        <f>'Emissions summary'!AA37</f>
        <v>2.0914494266735995</v>
      </c>
      <c r="AE37" s="28">
        <f>SUM('Net zero emission reductions'!K1454:K1456)</f>
        <v>1.9270838146967177</v>
      </c>
      <c r="AF37" s="28">
        <f>SUM('Net zero emission reductions'!L1454:L1456)</f>
        <v>1.9378298037617634</v>
      </c>
      <c r="AG37" s="28">
        <f>SUM('Net zero emission reductions'!M1454:M1456)</f>
        <v>1.9485757928268084</v>
      </c>
      <c r="AH37" s="28">
        <f>SUM('Net zero emission reductions'!N1454:N1456)</f>
        <v>1.9593217818918536</v>
      </c>
      <c r="AI37" s="28">
        <f>SUM('Net zero emission reductions'!O1454:O1456)</f>
        <v>1.9700677709568992</v>
      </c>
      <c r="AJ37" s="28">
        <f>SUM('Net zero emission reductions'!P1454:P1456)</f>
        <v>1.9808137600219442</v>
      </c>
      <c r="AK37" s="28">
        <f>SUM('Net zero emission reductions'!Q1454:Q1456)</f>
        <v>1.9915597490869896</v>
      </c>
      <c r="AL37" s="28">
        <f>SUM('Net zero emission reductions'!R1454:R1456)</f>
        <v>2.0099227240740993</v>
      </c>
      <c r="AM37" s="28">
        <f>SUM('Net zero emission reductions'!S1454:S1456)</f>
        <v>2.0282856990612084</v>
      </c>
      <c r="AN37" s="28">
        <f>SUM('Net zero emission reductions'!T1454:T1456)</f>
        <v>2.0466486740483179</v>
      </c>
      <c r="AO37" s="28">
        <f>SUM('Net zero emission reductions'!U1454:U1456)</f>
        <v>2.065011649035426</v>
      </c>
      <c r="AP37" s="28">
        <f>SUM('Net zero emission reductions'!V1454:V1456)</f>
        <v>2.0833746240225359</v>
      </c>
      <c r="AQ37" s="28">
        <f>SUM('Net zero emission reductions'!W1454:W1456)</f>
        <v>2.101737599009645</v>
      </c>
      <c r="AR37" s="28">
        <f>SUM('Net zero emission reductions'!X1454:X1456)</f>
        <v>2.120100573996754</v>
      </c>
      <c r="AS37" s="28">
        <f>SUM('Net zero emission reductions'!Y1454:Y1456)</f>
        <v>2.138463548983863</v>
      </c>
      <c r="AT37" s="28">
        <f>SUM('Net zero emission reductions'!Z1454:Z1456)</f>
        <v>2.1568265239709721</v>
      </c>
      <c r="AU37" s="28">
        <f>SUM('Net zero emission reductions'!AA1454:AA1456)</f>
        <v>2.1751894989580816</v>
      </c>
      <c r="AV37" s="28">
        <f>SUM('Net zero emission reductions'!AB1454:AB1456)</f>
        <v>2.1935524739451906</v>
      </c>
      <c r="AW37" s="28">
        <f>SUM('Net zero emission reductions'!AC1454:AC1456)</f>
        <v>2.2119154489322996</v>
      </c>
      <c r="AX37" s="28">
        <f>SUM('Net zero emission reductions'!AD1454:AD1456)</f>
        <v>2.230599586866107</v>
      </c>
      <c r="AY37" s="28">
        <f>SUM('Net zero emission reductions'!AE1454:AE1456)</f>
        <v>2.2492837247999136</v>
      </c>
      <c r="AZ37" s="28">
        <f>SUM('Net zero emission reductions'!AF1454:AF1456)</f>
        <v>2.267967862733721</v>
      </c>
      <c r="BA37" s="28">
        <f>SUM('Net zero emission reductions'!AG1454:AG1456)</f>
        <v>2.2866520006675284</v>
      </c>
      <c r="BB37" s="28">
        <f>SUM('Net zero emission reductions'!AH1454:AH1456)</f>
        <v>2.3053361386013353</v>
      </c>
      <c r="BC37" s="28">
        <f>SUM('Net zero emission reductions'!AI1454:AI1456)</f>
        <v>2.3240202765351423</v>
      </c>
      <c r="BD37" s="28">
        <f>SUM('Net zero emission reductions'!AJ1454:AJ1456)</f>
        <v>2.3427044144689493</v>
      </c>
      <c r="BE37" s="28">
        <f>SUM('Net zero emission reductions'!AK1454:AK1456)</f>
        <v>2.3613885524027567</v>
      </c>
      <c r="BF37" s="28">
        <f>SUM('Net zero emission reductions'!AL1454:AL1456)</f>
        <v>2.3800726903365637</v>
      </c>
      <c r="BG37" s="28">
        <f>SUM('Net zero emission reductions'!AM1454:AM1456)</f>
        <v>2.3987568282703706</v>
      </c>
      <c r="BH37" s="28">
        <f>SUM('Net zero emission reductions'!AN1454:AN1456)</f>
        <v>2.4174409662041776</v>
      </c>
      <c r="BI37" s="28">
        <f>SUM('Net zero emission reductions'!AO1454:AO1456)</f>
        <v>2.436125104137985</v>
      </c>
      <c r="BJ37" s="28">
        <f>SUM('Net zero emission reductions'!AP1454:AP1456)</f>
        <v>2.454809242071792</v>
      </c>
      <c r="BK37" s="28">
        <f>SUM('Net zero emission reductions'!AQ1454:AQ1456)</f>
        <v>2.4734933800055994</v>
      </c>
      <c r="BL37" s="28">
        <f>SUM('Net zero emission reductions'!AR1454:AR1456)</f>
        <v>2.4921775179394063</v>
      </c>
      <c r="BM37" s="28">
        <f>SUM('Net zero emission reductions'!AS1454:AS1456)</f>
        <v>2.5108616558732133</v>
      </c>
      <c r="BN37" s="28">
        <f>SUM('Net zero emission reductions'!AT1454:AT1456)</f>
        <v>2.5295457938070207</v>
      </c>
      <c r="BO37" s="28">
        <f>SUM('Net zero emission reductions'!AU1454:AU1456)</f>
        <v>2.5482299317408281</v>
      </c>
      <c r="BP37" s="28">
        <f>SUM('Net zero emission reductions'!AV1454:AV1456)</f>
        <v>2.5669140696746346</v>
      </c>
      <c r="BQ37" s="28">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8">
        <f>'Emissions summary'!F38</f>
        <v>7.357077670844267E-2</v>
      </c>
      <c r="J38" s="28">
        <f>'Emissions summary'!G38</f>
        <v>7.357077670844267E-2</v>
      </c>
      <c r="K38" s="28">
        <f>'Emissions summary'!H38</f>
        <v>7.357077670844267E-2</v>
      </c>
      <c r="L38" s="28">
        <f>'Emissions summary'!I38</f>
        <v>7.357077670844267E-2</v>
      </c>
      <c r="M38" s="28">
        <f>'Emissions summary'!J38</f>
        <v>7.357077670844267E-2</v>
      </c>
      <c r="N38" s="28">
        <f>'Emissions summary'!K38</f>
        <v>7.357077670844267E-2</v>
      </c>
      <c r="O38" s="28">
        <f>'Emissions summary'!L38</f>
        <v>7.357077670844267E-2</v>
      </c>
      <c r="P38" s="28">
        <f>'Emissions summary'!M38</f>
        <v>7.357077670844267E-2</v>
      </c>
      <c r="Q38" s="28">
        <f>'Emissions summary'!N38</f>
        <v>7.357077670844267E-2</v>
      </c>
      <c r="R38" s="28">
        <f>'Emissions summary'!O38</f>
        <v>7.357077670844267E-2</v>
      </c>
      <c r="S38" s="28">
        <f>'Emissions summary'!P38</f>
        <v>6.5083674793923713E-2</v>
      </c>
      <c r="T38" s="28">
        <f>'Emissions summary'!Q38</f>
        <v>7.8612973491927987E-2</v>
      </c>
      <c r="U38" s="28">
        <f>'Emissions summary'!R38</f>
        <v>8.8983449145904836E-2</v>
      </c>
      <c r="V38" s="28">
        <f>'Emissions summary'!S38</f>
        <v>7.2791997693814531E-2</v>
      </c>
      <c r="W38" s="28">
        <f>'Emissions summary'!T38</f>
        <v>6.2381788416642367E-2</v>
      </c>
      <c r="X38" s="28">
        <f>'Emissions summary'!U38</f>
        <v>9.2301206682713535E-2</v>
      </c>
      <c r="Y38" s="28">
        <f>'Emissions summary'!V38</f>
        <v>8.1930731028736672E-2</v>
      </c>
      <c r="Z38" s="28">
        <f>'Emissions summary'!W38</f>
        <v>7.2176126534287191E-2</v>
      </c>
      <c r="AA38" s="28">
        <f>'Emissions summary'!X38</f>
        <v>6.5818746823036997E-2</v>
      </c>
      <c r="AB38" s="28">
        <f>'Emissions summary'!Y38</f>
        <v>7.3924405954880992E-2</v>
      </c>
      <c r="AC38" s="28">
        <f>'Emissions summary'!Z38</f>
        <v>9.8940084389999974E-2</v>
      </c>
      <c r="AD38" s="28">
        <f>'Emissions summary'!AA38</f>
        <v>0.10685917493999998</v>
      </c>
      <c r="AE38" s="28">
        <f>'Net zero emission reductions'!K1457</f>
        <v>7.8813449993659371E-2</v>
      </c>
      <c r="AF38" s="28">
        <f>'Net zero emission reductions'!L1457</f>
        <v>7.8813449993659371E-2</v>
      </c>
      <c r="AG38" s="28">
        <f>'Net zero emission reductions'!M1457</f>
        <v>7.8813449993659371E-2</v>
      </c>
      <c r="AH38" s="28">
        <f>'Net zero emission reductions'!N1457</f>
        <v>7.8813449993659371E-2</v>
      </c>
      <c r="AI38" s="28">
        <f>'Net zero emission reductions'!O1457</f>
        <v>7.8813449993659371E-2</v>
      </c>
      <c r="AJ38" s="28">
        <f>'Net zero emission reductions'!P1457</f>
        <v>7.8813449993659371E-2</v>
      </c>
      <c r="AK38" s="28">
        <f>'Net zero emission reductions'!Q1457</f>
        <v>7.8813449993659371E-2</v>
      </c>
      <c r="AL38" s="28">
        <f>'Net zero emission reductions'!R1457</f>
        <v>7.8813449993659371E-2</v>
      </c>
      <c r="AM38" s="28">
        <f>'Net zero emission reductions'!S1457</f>
        <v>7.8813449993659371E-2</v>
      </c>
      <c r="AN38" s="28">
        <f>'Net zero emission reductions'!T1457</f>
        <v>7.8813449993659371E-2</v>
      </c>
      <c r="AO38" s="28">
        <f>'Net zero emission reductions'!U1457</f>
        <v>7.8813449993659371E-2</v>
      </c>
      <c r="AP38" s="28">
        <f>'Net zero emission reductions'!V1457</f>
        <v>7.8813449993659371E-2</v>
      </c>
      <c r="AQ38" s="28">
        <f>'Net zero emission reductions'!W1457</f>
        <v>7.8813449993659371E-2</v>
      </c>
      <c r="AR38" s="28">
        <f>'Net zero emission reductions'!X1457</f>
        <v>7.8813449993659371E-2</v>
      </c>
      <c r="AS38" s="28">
        <f>'Net zero emission reductions'!Y1457</f>
        <v>7.8813449993659371E-2</v>
      </c>
      <c r="AT38" s="28">
        <f>'Net zero emission reductions'!Z1457</f>
        <v>7.8813449993659371E-2</v>
      </c>
      <c r="AU38" s="28">
        <f>'Net zero emission reductions'!AA1457</f>
        <v>7.8813449993659371E-2</v>
      </c>
      <c r="AV38" s="28">
        <f>'Net zero emission reductions'!AB1457</f>
        <v>7.8813449993659371E-2</v>
      </c>
      <c r="AW38" s="28">
        <f>'Net zero emission reductions'!AC1457</f>
        <v>7.8813449993659371E-2</v>
      </c>
      <c r="AX38" s="28">
        <f>'Net zero emission reductions'!AD1457</f>
        <v>7.8813449993659371E-2</v>
      </c>
      <c r="AY38" s="28">
        <f>'Net zero emission reductions'!AE1457</f>
        <v>7.8813449993659371E-2</v>
      </c>
      <c r="AZ38" s="28">
        <f>'Net zero emission reductions'!AF1457</f>
        <v>7.8813449993659371E-2</v>
      </c>
      <c r="BA38" s="28">
        <f>'Net zero emission reductions'!AG1457</f>
        <v>7.8813449993659371E-2</v>
      </c>
      <c r="BB38" s="28">
        <f>'Net zero emission reductions'!AH1457</f>
        <v>7.8813449993659371E-2</v>
      </c>
      <c r="BC38" s="28">
        <f>'Net zero emission reductions'!AI1457</f>
        <v>7.8813449993659371E-2</v>
      </c>
      <c r="BD38" s="28">
        <f>'Net zero emission reductions'!AJ1457</f>
        <v>7.8813449993659371E-2</v>
      </c>
      <c r="BE38" s="28">
        <f>'Net zero emission reductions'!AK1457</f>
        <v>7.8813449993659371E-2</v>
      </c>
      <c r="BF38" s="28">
        <f>'Net zero emission reductions'!AL1457</f>
        <v>7.8813449993659371E-2</v>
      </c>
      <c r="BG38" s="28">
        <f>'Net zero emission reductions'!AM1457</f>
        <v>7.8813449993659371E-2</v>
      </c>
      <c r="BH38" s="28">
        <f>'Net zero emission reductions'!AN1457</f>
        <v>7.8813449993659371E-2</v>
      </c>
      <c r="BI38" s="28">
        <f>'Net zero emission reductions'!AO1457</f>
        <v>7.8813449993659371E-2</v>
      </c>
      <c r="BJ38" s="28">
        <f>'Net zero emission reductions'!AP1457</f>
        <v>7.8813449993659371E-2</v>
      </c>
      <c r="BK38" s="28">
        <f>'Net zero emission reductions'!AQ1457</f>
        <v>7.8813449993659371E-2</v>
      </c>
      <c r="BL38" s="28">
        <f>'Net zero emission reductions'!AR1457</f>
        <v>7.8813449993659371E-2</v>
      </c>
      <c r="BM38" s="28">
        <f>'Net zero emission reductions'!AS1457</f>
        <v>7.8813449993659371E-2</v>
      </c>
      <c r="BN38" s="28">
        <f>'Net zero emission reductions'!AT1457</f>
        <v>7.8813449993659371E-2</v>
      </c>
      <c r="BO38" s="28">
        <f>'Net zero emission reductions'!AU1457</f>
        <v>7.8813449993659371E-2</v>
      </c>
      <c r="BP38" s="28">
        <f>'Net zero emission reductions'!AV1457</f>
        <v>7.8813449993659371E-2</v>
      </c>
      <c r="BQ38" s="28">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8">
        <f>'Emissions summary'!F39</f>
        <v>4.462880557297625E-2</v>
      </c>
      <c r="J39" s="28">
        <f>'Emissions summary'!G39</f>
        <v>4.462880557297625E-2</v>
      </c>
      <c r="K39" s="28">
        <f>'Emissions summary'!H39</f>
        <v>4.462880557297625E-2</v>
      </c>
      <c r="L39" s="28">
        <f>'Emissions summary'!I39</f>
        <v>4.462880557297625E-2</v>
      </c>
      <c r="M39" s="28">
        <f>'Emissions summary'!J39</f>
        <v>4.462880557297625E-2</v>
      </c>
      <c r="N39" s="28">
        <f>'Emissions summary'!K39</f>
        <v>4.462880557297625E-2</v>
      </c>
      <c r="O39" s="28">
        <f>'Emissions summary'!L39</f>
        <v>4.462880557297625E-2</v>
      </c>
      <c r="P39" s="28">
        <f>'Emissions summary'!M39</f>
        <v>4.462880557297625E-2</v>
      </c>
      <c r="Q39" s="28">
        <f>'Emissions summary'!N39</f>
        <v>4.462880557297625E-2</v>
      </c>
      <c r="R39" s="28">
        <f>'Emissions summary'!O39</f>
        <v>4.462880557297625E-2</v>
      </c>
      <c r="S39" s="28">
        <f>'Emissions summary'!P39</f>
        <v>4.8614087979466203E-2</v>
      </c>
      <c r="T39" s="28">
        <f>'Emissions summary'!Q39</f>
        <v>5.3839059429649942E-2</v>
      </c>
      <c r="U39" s="28">
        <f>'Emissions summary'!R39</f>
        <v>4.76008805879857E-2</v>
      </c>
      <c r="V39" s="28">
        <f>'Emissions summary'!S39</f>
        <v>4.1064699572356617E-2</v>
      </c>
      <c r="W39" s="28">
        <f>'Emissions summary'!T39</f>
        <v>3.2025300295422769E-2</v>
      </c>
      <c r="X39" s="28">
        <f>'Emissions summary'!U39</f>
        <v>7.2513862331447368E-2</v>
      </c>
      <c r="Y39" s="28">
        <f>'Emissions summary'!V39</f>
        <v>6.3514196677708815E-2</v>
      </c>
      <c r="Z39" s="28">
        <f>'Emissions summary'!W39</f>
        <v>7.0249045809314473E-2</v>
      </c>
      <c r="AA39" s="28">
        <f>'Emissions summary'!X39</f>
        <v>4.3369249717684813E-2</v>
      </c>
      <c r="AB39" s="28">
        <f>'Emissions summary'!Y39</f>
        <v>5.2190114067044435E-2</v>
      </c>
      <c r="AC39" s="28">
        <f>'Emissions summary'!Z39</f>
        <v>3.9028768379999995E-2</v>
      </c>
      <c r="AD39" s="28">
        <f>'Emissions summary'!AA39</f>
        <v>2.72036394E-2</v>
      </c>
      <c r="AE39" s="28">
        <f>SUM('Net zero emission reductions'!K1458:K1459)</f>
        <v>3.9235523819963862E-2</v>
      </c>
      <c r="AF39" s="28">
        <f>SUM('Net zero emission reductions'!L1458:L1459)</f>
        <v>3.9318445103539788E-2</v>
      </c>
      <c r="AG39" s="28">
        <f>SUM('Net zero emission reductions'!M1458:M1459)</f>
        <v>3.9401366387115715E-2</v>
      </c>
      <c r="AH39" s="28">
        <f>SUM('Net zero emission reductions'!N1458:N1459)</f>
        <v>3.9484287670691648E-2</v>
      </c>
      <c r="AI39" s="28">
        <f>SUM('Net zero emission reductions'!O1458:O1459)</f>
        <v>3.9567208954267574E-2</v>
      </c>
      <c r="AJ39" s="28">
        <f>SUM('Net zero emission reductions'!P1458:P1459)</f>
        <v>3.9650130237843507E-2</v>
      </c>
      <c r="AK39" s="28">
        <f>SUM('Net zero emission reductions'!Q1458:Q1459)</f>
        <v>3.9733051521419427E-2</v>
      </c>
      <c r="AL39" s="28">
        <f>SUM('Net zero emission reductions'!R1458:R1459)</f>
        <v>3.981597280499536E-2</v>
      </c>
      <c r="AM39" s="28">
        <f>SUM('Net zero emission reductions'!S1458:S1459)</f>
        <v>3.9898894088571286E-2</v>
      </c>
      <c r="AN39" s="28">
        <f>SUM('Net zero emission reductions'!T1458:T1459)</f>
        <v>3.9981815372147227E-2</v>
      </c>
      <c r="AO39" s="28">
        <f>SUM('Net zero emission reductions'!U1458:U1459)</f>
        <v>4.0064736655723153E-2</v>
      </c>
      <c r="AP39" s="28">
        <f>SUM('Net zero emission reductions'!V1458:V1459)</f>
        <v>4.0147657939299079E-2</v>
      </c>
      <c r="AQ39" s="28">
        <f>SUM('Net zero emission reductions'!W1458:W1459)</f>
        <v>4.0230579222875013E-2</v>
      </c>
      <c r="AR39" s="28">
        <f>SUM('Net zero emission reductions'!X1458:X1459)</f>
        <v>4.0313500506450946E-2</v>
      </c>
      <c r="AS39" s="28">
        <f>SUM('Net zero emission reductions'!Y1458:Y1459)</f>
        <v>4.0396421790026865E-2</v>
      </c>
      <c r="AT39" s="28">
        <f>SUM('Net zero emission reductions'!Z1458:Z1459)</f>
        <v>4.0479343073602798E-2</v>
      </c>
      <c r="AU39" s="28">
        <f>SUM('Net zero emission reductions'!AA1458:AA1459)</f>
        <v>4.0562264357178725E-2</v>
      </c>
      <c r="AV39" s="28">
        <f>SUM('Net zero emission reductions'!AB1458:AB1459)</f>
        <v>4.0645185640754658E-2</v>
      </c>
      <c r="AW39" s="28">
        <f>SUM('Net zero emission reductions'!AC1458:AC1459)</f>
        <v>4.0728106924330584E-2</v>
      </c>
      <c r="AX39" s="28">
        <f>SUM('Net zero emission reductions'!AD1458:AD1459)</f>
        <v>4.0811028207906511E-2</v>
      </c>
      <c r="AY39" s="28">
        <f>SUM('Net zero emission reductions'!AE1458:AE1459)</f>
        <v>4.0893949491482444E-2</v>
      </c>
      <c r="AZ39" s="28">
        <f>SUM('Net zero emission reductions'!AF1458:AF1459)</f>
        <v>4.097687077505837E-2</v>
      </c>
      <c r="BA39" s="28">
        <f>SUM('Net zero emission reductions'!AG1458:AG1459)</f>
        <v>4.1059792058634303E-2</v>
      </c>
      <c r="BB39" s="28">
        <f>SUM('Net zero emission reductions'!AH1458:AH1459)</f>
        <v>4.114271334221023E-2</v>
      </c>
      <c r="BC39" s="28">
        <f>SUM('Net zero emission reductions'!AI1458:AI1459)</f>
        <v>4.1225634625786156E-2</v>
      </c>
      <c r="BD39" s="28">
        <f>SUM('Net zero emission reductions'!AJ1458:AJ1459)</f>
        <v>4.1308555909362089E-2</v>
      </c>
      <c r="BE39" s="28">
        <f>SUM('Net zero emission reductions'!AK1458:AK1459)</f>
        <v>4.1391477192938023E-2</v>
      </c>
      <c r="BF39" s="28">
        <f>SUM('Net zero emission reductions'!AL1458:AL1459)</f>
        <v>4.1474398476513949E-2</v>
      </c>
      <c r="BG39" s="28">
        <f>SUM('Net zero emission reductions'!AM1458:AM1459)</f>
        <v>4.1557319760089875E-2</v>
      </c>
      <c r="BH39" s="28">
        <f>SUM('Net zero emission reductions'!AN1458:AN1459)</f>
        <v>4.1640241043665809E-2</v>
      </c>
      <c r="BI39" s="28">
        <f>SUM('Net zero emission reductions'!AO1458:AO1459)</f>
        <v>4.1723162327241742E-2</v>
      </c>
      <c r="BJ39" s="28">
        <f>SUM('Net zero emission reductions'!AP1458:AP1459)</f>
        <v>4.1806083610817661E-2</v>
      </c>
      <c r="BK39" s="28">
        <f>SUM('Net zero emission reductions'!AQ1458:AQ1459)</f>
        <v>4.1889004894393594E-2</v>
      </c>
      <c r="BL39" s="28">
        <f>SUM('Net zero emission reductions'!AR1458:AR1459)</f>
        <v>4.1971926177969528E-2</v>
      </c>
      <c r="BM39" s="28">
        <f>SUM('Net zero emission reductions'!AS1458:AS1459)</f>
        <v>4.2054847461545454E-2</v>
      </c>
      <c r="BN39" s="28">
        <f>SUM('Net zero emission reductions'!AT1458:AT1459)</f>
        <v>4.2137768745121387E-2</v>
      </c>
      <c r="BO39" s="28">
        <f>SUM('Net zero emission reductions'!AU1458:AU1459)</f>
        <v>4.2220690028697307E-2</v>
      </c>
      <c r="BP39" s="28">
        <f>SUM('Net zero emission reductions'!AV1458:AV1459)</f>
        <v>4.230361131227324E-2</v>
      </c>
      <c r="BQ39" s="28">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8">
        <f>'Emissions summary'!F40</f>
        <v>0</v>
      </c>
      <c r="J40" s="28">
        <f>'Emissions summary'!G40</f>
        <v>0</v>
      </c>
      <c r="K40" s="28">
        <f>'Emissions summary'!H40</f>
        <v>0</v>
      </c>
      <c r="L40" s="28">
        <f>'Emissions summary'!I40</f>
        <v>0</v>
      </c>
      <c r="M40" s="28">
        <f>'Emissions summary'!J40</f>
        <v>0</v>
      </c>
      <c r="N40" s="28">
        <f>'Emissions summary'!K40</f>
        <v>0</v>
      </c>
      <c r="O40" s="28">
        <f>'Emissions summary'!L40</f>
        <v>0</v>
      </c>
      <c r="P40" s="28">
        <f>'Emissions summary'!M40</f>
        <v>0</v>
      </c>
      <c r="Q40" s="28">
        <f>'Emissions summary'!N40</f>
        <v>0</v>
      </c>
      <c r="R40" s="28">
        <f>'Emissions summary'!O40</f>
        <v>0</v>
      </c>
      <c r="S40" s="28">
        <f>'Emissions summary'!P40</f>
        <v>0</v>
      </c>
      <c r="T40" s="28">
        <f>'Emissions summary'!Q40</f>
        <v>0</v>
      </c>
      <c r="U40" s="28">
        <f>'Emissions summary'!R40</f>
        <v>0</v>
      </c>
      <c r="V40" s="28">
        <f>'Emissions summary'!S40</f>
        <v>0</v>
      </c>
      <c r="W40" s="28">
        <f>'Emissions summary'!T40</f>
        <v>0</v>
      </c>
      <c r="X40" s="28">
        <f>'Emissions summary'!U40</f>
        <v>0</v>
      </c>
      <c r="Y40" s="28">
        <f>'Emissions summary'!V40</f>
        <v>0</v>
      </c>
      <c r="Z40" s="28">
        <f>'Emissions summary'!W40</f>
        <v>0</v>
      </c>
      <c r="AA40" s="28">
        <f>'Emissions summary'!X40</f>
        <v>0</v>
      </c>
      <c r="AB40" s="28">
        <f>'Emissions summary'!Y40</f>
        <v>0</v>
      </c>
      <c r="AC40" s="28">
        <f>'Emissions summary'!Z40</f>
        <v>0</v>
      </c>
      <c r="AD40" s="28">
        <f>'Emissions summary'!AA40</f>
        <v>0</v>
      </c>
      <c r="AE40" s="28">
        <f>'Net zero emission reductions'!K1460</f>
        <v>0</v>
      </c>
      <c r="AF40" s="28">
        <f>'Net zero emission reductions'!L1460</f>
        <v>0</v>
      </c>
      <c r="AG40" s="28">
        <f>'Net zero emission reductions'!M1460</f>
        <v>0</v>
      </c>
      <c r="AH40" s="28">
        <f>'Net zero emission reductions'!N1460</f>
        <v>0</v>
      </c>
      <c r="AI40" s="28">
        <f>'Net zero emission reductions'!O1460</f>
        <v>0</v>
      </c>
      <c r="AJ40" s="28">
        <f>'Net zero emission reductions'!P1460</f>
        <v>0</v>
      </c>
      <c r="AK40" s="28">
        <f>'Net zero emission reductions'!Q1460</f>
        <v>0</v>
      </c>
      <c r="AL40" s="28">
        <f>'Net zero emission reductions'!R1460</f>
        <v>0</v>
      </c>
      <c r="AM40" s="28">
        <f>'Net zero emission reductions'!S1460</f>
        <v>0</v>
      </c>
      <c r="AN40" s="28">
        <f>'Net zero emission reductions'!T1460</f>
        <v>0</v>
      </c>
      <c r="AO40" s="28">
        <f>'Net zero emission reductions'!U1460</f>
        <v>0</v>
      </c>
      <c r="AP40" s="28">
        <f>'Net zero emission reductions'!V1460</f>
        <v>0</v>
      </c>
      <c r="AQ40" s="28">
        <f>'Net zero emission reductions'!W1460</f>
        <v>0</v>
      </c>
      <c r="AR40" s="28">
        <f>'Net zero emission reductions'!X1460</f>
        <v>0</v>
      </c>
      <c r="AS40" s="28">
        <f>'Net zero emission reductions'!Y1460</f>
        <v>0</v>
      </c>
      <c r="AT40" s="28">
        <f>'Net zero emission reductions'!Z1460</f>
        <v>0</v>
      </c>
      <c r="AU40" s="28">
        <f>'Net zero emission reductions'!AA1460</f>
        <v>0</v>
      </c>
      <c r="AV40" s="28">
        <f>'Net zero emission reductions'!AB1460</f>
        <v>0</v>
      </c>
      <c r="AW40" s="28">
        <f>'Net zero emission reductions'!AC1460</f>
        <v>0</v>
      </c>
      <c r="AX40" s="28">
        <f>'Net zero emission reductions'!AD1460</f>
        <v>0</v>
      </c>
      <c r="AY40" s="28">
        <f>'Net zero emission reductions'!AE1460</f>
        <v>0</v>
      </c>
      <c r="AZ40" s="28">
        <f>'Net zero emission reductions'!AF1460</f>
        <v>0</v>
      </c>
      <c r="BA40" s="28">
        <f>'Net zero emission reductions'!AG1460</f>
        <v>0</v>
      </c>
      <c r="BB40" s="28">
        <f>'Net zero emission reductions'!AH1460</f>
        <v>0</v>
      </c>
      <c r="BC40" s="28">
        <f>'Net zero emission reductions'!AI1460</f>
        <v>0</v>
      </c>
      <c r="BD40" s="28">
        <f>'Net zero emission reductions'!AJ1460</f>
        <v>0</v>
      </c>
      <c r="BE40" s="28">
        <f>'Net zero emission reductions'!AK1460</f>
        <v>0</v>
      </c>
      <c r="BF40" s="28">
        <f>'Net zero emission reductions'!AL1460</f>
        <v>0</v>
      </c>
      <c r="BG40" s="28">
        <f>'Net zero emission reductions'!AM1460</f>
        <v>0</v>
      </c>
      <c r="BH40" s="28">
        <f>'Net zero emission reductions'!AN1460</f>
        <v>0</v>
      </c>
      <c r="BI40" s="28">
        <f>'Net zero emission reductions'!AO1460</f>
        <v>0</v>
      </c>
      <c r="BJ40" s="28">
        <f>'Net zero emission reductions'!AP1460</f>
        <v>0</v>
      </c>
      <c r="BK40" s="28">
        <f>'Net zero emission reductions'!AQ1460</f>
        <v>0</v>
      </c>
      <c r="BL40" s="28">
        <f>'Net zero emission reductions'!AR1460</f>
        <v>0</v>
      </c>
      <c r="BM40" s="28">
        <f>'Net zero emission reductions'!AS1460</f>
        <v>0</v>
      </c>
      <c r="BN40" s="28">
        <f>'Net zero emission reductions'!AT1460</f>
        <v>0</v>
      </c>
      <c r="BO40" s="28">
        <f>'Net zero emission reductions'!AU1460</f>
        <v>0</v>
      </c>
      <c r="BP40" s="28">
        <f>'Net zero emission reductions'!AV1460</f>
        <v>0</v>
      </c>
      <c r="BQ40" s="28">
        <f>'Net zero emission reductions'!AW1460</f>
        <v>0</v>
      </c>
    </row>
    <row r="41" spans="1:72" s="19" customFormat="1" ht="15.75" x14ac:dyDescent="0.25">
      <c r="A41" s="104"/>
      <c r="B41" s="104"/>
      <c r="C41" s="104"/>
      <c r="D41" s="19" t="str">
        <f t="shared" si="20"/>
        <v>3C Aggregated and non-CO2 emissions on land</v>
      </c>
      <c r="E41" s="19" t="str">
        <f>'IPCC Categories'!B71</f>
        <v>3C2 Liming (CO2)</v>
      </c>
      <c r="F41" s="19" t="s">
        <v>148</v>
      </c>
      <c r="G41" s="19" t="s">
        <v>380</v>
      </c>
      <c r="H41" s="19" t="s">
        <v>382</v>
      </c>
      <c r="I41" s="47">
        <f>Emissions!H86</f>
        <v>357.5</v>
      </c>
      <c r="J41" s="47">
        <f>Emissions!I86</f>
        <v>378.125</v>
      </c>
      <c r="K41" s="47">
        <f>Emissions!J86</f>
        <v>261.25</v>
      </c>
      <c r="L41" s="47">
        <f>Emissions!K86</f>
        <v>412.5</v>
      </c>
      <c r="M41" s="47">
        <f>Emissions!L86</f>
        <v>595.58170833333327</v>
      </c>
      <c r="N41" s="47">
        <f>Emissions!M86</f>
        <v>473.34145833333332</v>
      </c>
      <c r="O41" s="47">
        <f>Emissions!N86</f>
        <v>579.13625000000002</v>
      </c>
      <c r="P41" s="47">
        <f>Emissions!O86</f>
        <v>547.24312499999996</v>
      </c>
      <c r="Q41" s="47">
        <f>Emissions!P86</f>
        <v>570.31379166666659</v>
      </c>
      <c r="R41" s="47">
        <f>Emissions!Q86</f>
        <v>567.03808333333325</v>
      </c>
      <c r="S41" s="47">
        <f>Emissions!R86</f>
        <v>378.2405</v>
      </c>
      <c r="T41" s="47">
        <f>Emissions!S86</f>
        <v>489.66362500000002</v>
      </c>
      <c r="U41" s="47">
        <f>Emissions!T86</f>
        <v>672.79437500000006</v>
      </c>
      <c r="V41" s="47">
        <f>Emissions!U86</f>
        <v>580.13175000000001</v>
      </c>
      <c r="W41" s="47">
        <f>Emissions!V86</f>
        <v>579.7403333333333</v>
      </c>
      <c r="X41" s="47">
        <f>Emissions!W86</f>
        <v>266.03683333333333</v>
      </c>
      <c r="Y41" s="47">
        <f>Emissions!X86</f>
        <v>441.42908333333332</v>
      </c>
      <c r="Z41" s="47">
        <f>Emissions!Y86</f>
        <v>521.42108333333329</v>
      </c>
      <c r="AA41" s="47">
        <f>Emissions!Z86</f>
        <v>655.32637499999998</v>
      </c>
      <c r="AB41" s="47">
        <f>Emissions!AA86</f>
        <v>695.56775237855516</v>
      </c>
      <c r="AC41" s="47">
        <f>Emissions!AB86</f>
        <v>653.23730656422072</v>
      </c>
      <c r="AD41" s="47">
        <f>Emissions!AC86</f>
        <v>722.61220387104663</v>
      </c>
      <c r="AE41" s="47">
        <f>'Net zero emission reductions'!K1461</f>
        <v>886.46691832724639</v>
      </c>
      <c r="AF41" s="47">
        <f>'Net zero emission reductions'!L1461</f>
        <v>888.5196405131752</v>
      </c>
      <c r="AG41" s="47">
        <f>'Net zero emission reductions'!M1461</f>
        <v>891.96064822562096</v>
      </c>
      <c r="AH41" s="47">
        <f>'Net zero emission reductions'!N1461</f>
        <v>894.88916078976843</v>
      </c>
      <c r="AI41" s="47">
        <f>'Net zero emission reductions'!O1461</f>
        <v>895.84739945695708</v>
      </c>
      <c r="AJ41" s="47">
        <f>'Net zero emission reductions'!P1461</f>
        <v>896.81728908321736</v>
      </c>
      <c r="AK41" s="47">
        <f>'Net zero emission reductions'!Q1461</f>
        <v>899.77409431497051</v>
      </c>
      <c r="AL41" s="47">
        <f>'Net zero emission reductions'!R1461</f>
        <v>902.09125086952031</v>
      </c>
      <c r="AM41" s="47">
        <f>'Net zero emission reductions'!S1461</f>
        <v>902.24725498392274</v>
      </c>
      <c r="AN41" s="47">
        <f>'Net zero emission reductions'!T1461</f>
        <v>892.60902179925608</v>
      </c>
      <c r="AO41" s="47">
        <f>'Net zero emission reductions'!U1461</f>
        <v>897.88077216623924</v>
      </c>
      <c r="AP41" s="47">
        <f>'Net zero emission reductions'!V1461</f>
        <v>901.86785433623902</v>
      </c>
      <c r="AQ41" s="47">
        <f>'Net zero emission reductions'!W1461</f>
        <v>905.54375743786386</v>
      </c>
      <c r="AR41" s="47">
        <f>'Net zero emission reductions'!X1461</f>
        <v>909.62789125994425</v>
      </c>
      <c r="AS41" s="47">
        <f>'Net zero emission reductions'!Y1461</f>
        <v>915.17819871340487</v>
      </c>
      <c r="AT41" s="47">
        <f>'Net zero emission reductions'!Z1461</f>
        <v>920.99002879575733</v>
      </c>
      <c r="AU41" s="47">
        <f>'Net zero emission reductions'!AA1461</f>
        <v>927.07478216005029</v>
      </c>
      <c r="AV41" s="47">
        <f>'Net zero emission reductions'!AB1461</f>
        <v>932.48269891354084</v>
      </c>
      <c r="AW41" s="47">
        <f>'Net zero emission reductions'!AC1461</f>
        <v>938.44873038731919</v>
      </c>
      <c r="AX41" s="47">
        <f>'Net zero emission reductions'!AD1461</f>
        <v>945.07999666505555</v>
      </c>
      <c r="AY41" s="47">
        <f>'Net zero emission reductions'!AE1461</f>
        <v>951.43174054913004</v>
      </c>
      <c r="AZ41" s="47">
        <f>'Net zero emission reductions'!AF1461</f>
        <v>957.88938710584625</v>
      </c>
      <c r="BA41" s="47">
        <f>'Net zero emission reductions'!AG1461</f>
        <v>964.3285468230124</v>
      </c>
      <c r="BB41" s="47">
        <f>'Net zero emission reductions'!AH1461</f>
        <v>971.2274721173485</v>
      </c>
      <c r="BC41" s="47">
        <f>'Net zero emission reductions'!AI1461</f>
        <v>977.31823571713028</v>
      </c>
      <c r="BD41" s="47">
        <f>'Net zero emission reductions'!AJ1461</f>
        <v>983.57793052447698</v>
      </c>
      <c r="BE41" s="47">
        <f>'Net zero emission reductions'!AK1461</f>
        <v>989.80396855314598</v>
      </c>
      <c r="BF41" s="47">
        <f>'Net zero emission reductions'!AL1461</f>
        <v>995.6874985828008</v>
      </c>
      <c r="BG41" s="47">
        <f>'Net zero emission reductions'!AM1461</f>
        <v>1001.4527108587529</v>
      </c>
      <c r="BH41" s="47">
        <f>'Net zero emission reductions'!AN1461</f>
        <v>1007.2848843182181</v>
      </c>
      <c r="BI41" s="47">
        <f>'Net zero emission reductions'!AO1461</f>
        <v>1013.2376412307941</v>
      </c>
      <c r="BJ41" s="47">
        <f>'Net zero emission reductions'!AP1461</f>
        <v>1018.7943384588782</v>
      </c>
      <c r="BK41" s="47">
        <f>'Net zero emission reductions'!AQ1461</f>
        <v>1024.3150671694632</v>
      </c>
      <c r="BL41" s="47">
        <f>'Net zero emission reductions'!AR1461</f>
        <v>1029.8081254914655</v>
      </c>
      <c r="BM41" s="47">
        <f>'Net zero emission reductions'!AS1461</f>
        <v>1035.5032855203945</v>
      </c>
      <c r="BN41" s="47">
        <f>'Net zero emission reductions'!AT1461</f>
        <v>1041.199437822145</v>
      </c>
      <c r="BO41" s="47">
        <f>'Net zero emission reductions'!AU1461</f>
        <v>1044.7334229183193</v>
      </c>
      <c r="BP41" s="47">
        <f>'Net zero emission reductions'!AV1461</f>
        <v>1048.092878940131</v>
      </c>
      <c r="BQ41" s="47">
        <f>'Net zero emission reductions'!AW1461</f>
        <v>1051.6990964077904</v>
      </c>
      <c r="BT41"/>
    </row>
    <row r="42" spans="1:72" s="19" customFormat="1" ht="15.75" x14ac:dyDescent="0.25">
      <c r="A42" s="104"/>
      <c r="B42" s="104"/>
      <c r="C42" s="104"/>
      <c r="D42" s="19" t="str">
        <f t="shared" si="20"/>
        <v>3C Aggregated and non-CO2 emissions on land</v>
      </c>
      <c r="E42" s="19" t="str">
        <f>'IPCC Categories'!B72</f>
        <v>3C3 Urea application (CO2)</v>
      </c>
      <c r="F42" s="19" t="s">
        <v>148</v>
      </c>
      <c r="G42" s="19" t="str">
        <f>G41</f>
        <v>CO2</v>
      </c>
      <c r="H42" s="19" t="str">
        <f>H41</f>
        <v>Gg CO2</v>
      </c>
      <c r="I42" s="47">
        <f>Emissions!H87</f>
        <v>90.994567483487728</v>
      </c>
      <c r="J42" s="47">
        <f>Emissions!I87</f>
        <v>111.62690198838213</v>
      </c>
      <c r="K42" s="47">
        <f>Emissions!J87</f>
        <v>132.25923649327655</v>
      </c>
      <c r="L42" s="47">
        <f>Emissions!K87</f>
        <v>152.89157099816552</v>
      </c>
      <c r="M42" s="47">
        <f>Emissions!L87</f>
        <v>173.52390550305992</v>
      </c>
      <c r="N42" s="47">
        <f>Emissions!M87</f>
        <v>194.15624000795432</v>
      </c>
      <c r="O42" s="47">
        <f>Emissions!N87</f>
        <v>214.78857451284878</v>
      </c>
      <c r="P42" s="47">
        <f>Emissions!O87</f>
        <v>235.42090901774316</v>
      </c>
      <c r="Q42" s="47">
        <f>Emissions!P87</f>
        <v>256.05324352263762</v>
      </c>
      <c r="R42" s="47">
        <f>Emissions!Q87</f>
        <v>276.68557802753202</v>
      </c>
      <c r="S42" s="47">
        <f>Emissions!R87</f>
        <v>297.31791253242642</v>
      </c>
      <c r="T42" s="47">
        <f>Emissions!S87</f>
        <v>317.95024703732088</v>
      </c>
      <c r="U42" s="47">
        <f>Emissions!T87</f>
        <v>338.58258154220977</v>
      </c>
      <c r="V42" s="47">
        <f>Emissions!U87</f>
        <v>359.21491604710423</v>
      </c>
      <c r="W42" s="47">
        <f>Emissions!V87</f>
        <v>435.89846666666671</v>
      </c>
      <c r="X42" s="47">
        <f>Emissions!W87</f>
        <v>355.08659999999998</v>
      </c>
      <c r="Y42" s="47">
        <f>Emissions!X87</f>
        <v>393.08573333333334</v>
      </c>
      <c r="Z42" s="47">
        <f>Emissions!Y87</f>
        <v>484.55366666666663</v>
      </c>
      <c r="AA42" s="47">
        <f>Emissions!Z87</f>
        <v>480.19253333333336</v>
      </c>
      <c r="AB42" s="47">
        <f>Emissions!AA87</f>
        <v>380.54426666666666</v>
      </c>
      <c r="AC42" s="47">
        <f>Emissions!AB87</f>
        <v>501.48046666666664</v>
      </c>
      <c r="AD42" s="47">
        <f>Emissions!AC87</f>
        <v>571.19113333333337</v>
      </c>
      <c r="AE42" s="47">
        <f>'Net zero emission reductions'!K1462</f>
        <v>470.0955092083982</v>
      </c>
      <c r="AF42" s="47">
        <f>'Net zero emission reductions'!L1462</f>
        <v>470.04378916185391</v>
      </c>
      <c r="AG42" s="47">
        <f>'Net zero emission reductions'!M1462</f>
        <v>469.95709010424787</v>
      </c>
      <c r="AH42" s="47">
        <f>'Net zero emission reductions'!N1462</f>
        <v>469.88330378909933</v>
      </c>
      <c r="AI42" s="47">
        <f>'Net zero emission reductions'!O1462</f>
        <v>469.85916016712889</v>
      </c>
      <c r="AJ42" s="47">
        <f>'Net zero emission reductions'!P1462</f>
        <v>469.83472298953274</v>
      </c>
      <c r="AK42" s="47">
        <f>'Net zero emission reductions'!Q1462</f>
        <v>469.76022381704024</v>
      </c>
      <c r="AL42" s="47">
        <f>'Net zero emission reductions'!R1462</f>
        <v>469.7018411261563</v>
      </c>
      <c r="AM42" s="47">
        <f>'Net zero emission reductions'!S1462</f>
        <v>469.69791047245496</v>
      </c>
      <c r="AN42" s="47">
        <f>'Net zero emission reductions'!T1462</f>
        <v>469.94075379160097</v>
      </c>
      <c r="AO42" s="47">
        <f>'Net zero emission reductions'!U1462</f>
        <v>469.80792764677761</v>
      </c>
      <c r="AP42" s="47">
        <f>'Net zero emission reductions'!V1462</f>
        <v>469.70746978802691</v>
      </c>
      <c r="AQ42" s="47">
        <f>'Net zero emission reductions'!W1462</f>
        <v>469.61485234529096</v>
      </c>
      <c r="AR42" s="47">
        <f>'Net zero emission reductions'!X1462</f>
        <v>469.51194918926763</v>
      </c>
      <c r="AS42" s="47">
        <f>'Net zero emission reductions'!Y1462</f>
        <v>469.37210456645607</v>
      </c>
      <c r="AT42" s="47">
        <f>'Net zero emission reductions'!Z1462</f>
        <v>469.22567066301434</v>
      </c>
      <c r="AU42" s="47">
        <f>'Net zero emission reductions'!AA1462</f>
        <v>469.07236022998597</v>
      </c>
      <c r="AV42" s="47">
        <f>'Net zero emission reductions'!AB1462</f>
        <v>468.93610325955154</v>
      </c>
      <c r="AW42" s="47">
        <f>'Net zero emission reductions'!AC1462</f>
        <v>468.78578412351658</v>
      </c>
      <c r="AX42" s="47">
        <f>'Net zero emission reductions'!AD1462</f>
        <v>468.61870384208186</v>
      </c>
      <c r="AY42" s="47">
        <f>'Net zero emission reductions'!AE1462</f>
        <v>468.45866636035458</v>
      </c>
      <c r="AZ42" s="47">
        <f>'Net zero emission reductions'!AF1462</f>
        <v>468.29596057251365</v>
      </c>
      <c r="BA42" s="47">
        <f>'Net zero emission reductions'!AG1462</f>
        <v>468.1337205760052</v>
      </c>
      <c r="BB42" s="47">
        <f>'Net zero emission reductions'!AH1462</f>
        <v>467.95989640253708</v>
      </c>
      <c r="BC42" s="47">
        <f>'Net zero emission reductions'!AI1462</f>
        <v>467.8064345366156</v>
      </c>
      <c r="BD42" s="47">
        <f>'Net zero emission reductions'!AJ1462</f>
        <v>467.64871630810501</v>
      </c>
      <c r="BE42" s="47">
        <f>'Net zero emission reductions'!AK1462</f>
        <v>467.49184609018818</v>
      </c>
      <c r="BF42" s="47">
        <f>'Net zero emission reductions'!AL1462</f>
        <v>467.34360564680793</v>
      </c>
      <c r="BG42" s="47">
        <f>'Net zero emission reductions'!AM1462</f>
        <v>467.19834631785739</v>
      </c>
      <c r="BH42" s="47">
        <f>'Net zero emission reductions'!AN1462</f>
        <v>467.05139984607189</v>
      </c>
      <c r="BI42" s="47">
        <f>'Net zero emission reductions'!AO1462</f>
        <v>466.90141517367164</v>
      </c>
      <c r="BJ42" s="47">
        <f>'Net zero emission reductions'!AP1462</f>
        <v>466.76140955516212</v>
      </c>
      <c r="BK42" s="47">
        <f>'Net zero emission reductions'!AQ1462</f>
        <v>466.62231019343295</v>
      </c>
      <c r="BL42" s="47">
        <f>'Net zero emission reductions'!AR1462</f>
        <v>466.48390801020918</v>
      </c>
      <c r="BM42" s="47">
        <f>'Net zero emission reductions'!AS1462</f>
        <v>466.34041370601517</v>
      </c>
      <c r="BN42" s="47">
        <f>'Net zero emission reductions'!AT1462</f>
        <v>466.19689440068032</v>
      </c>
      <c r="BO42" s="47">
        <f>'Net zero emission reductions'!AU1462</f>
        <v>466.10785270038889</v>
      </c>
      <c r="BP42" s="47">
        <f>'Net zero emission reductions'!AV1462</f>
        <v>466.02320840560674</v>
      </c>
      <c r="BQ42" s="47">
        <f>'Net zero emission reductions'!AW1462</f>
        <v>465.93234675050559</v>
      </c>
      <c r="BT42"/>
    </row>
    <row r="43" spans="1:72" s="19" customFormat="1" ht="15.75" x14ac:dyDescent="0.25">
      <c r="A43" s="104"/>
      <c r="B43" s="104"/>
      <c r="C43" s="104"/>
      <c r="D43" s="19" t="str">
        <f t="shared" si="20"/>
        <v>3C Aggregated and non-CO2 emissions on land</v>
      </c>
      <c r="E43" s="19" t="str">
        <f>'IPCC Categories'!B73</f>
        <v>3C4 Direct N2O from managed soils (N2O)</v>
      </c>
      <c r="F43" s="19" t="s">
        <v>148</v>
      </c>
      <c r="G43" s="19" t="s">
        <v>139</v>
      </c>
      <c r="H43" s="19" t="s">
        <v>287</v>
      </c>
      <c r="I43" s="47">
        <f>SUM(I44:I48)</f>
        <v>55.596597383734697</v>
      </c>
      <c r="J43" s="47">
        <f t="shared" ref="J43:AE43" si="25">SUM(J44:J48)</f>
        <v>55.28633998855625</v>
      </c>
      <c r="K43" s="47">
        <f t="shared" si="25"/>
        <v>54.71008958224381</v>
      </c>
      <c r="L43" s="47">
        <f t="shared" si="25"/>
        <v>54.205597256781054</v>
      </c>
      <c r="M43" s="47">
        <f t="shared" si="25"/>
        <v>52.900250302352887</v>
      </c>
      <c r="N43" s="47">
        <f t="shared" si="25"/>
        <v>51.915653074343908</v>
      </c>
      <c r="O43" s="47">
        <f t="shared" si="25"/>
        <v>54.152443602860892</v>
      </c>
      <c r="P43" s="47">
        <f t="shared" si="25"/>
        <v>55.0921271912325</v>
      </c>
      <c r="Q43" s="47">
        <f t="shared" si="25"/>
        <v>55.452453962621647</v>
      </c>
      <c r="R43" s="47">
        <f t="shared" si="25"/>
        <v>55.340893527840024</v>
      </c>
      <c r="S43" s="47">
        <f t="shared" si="25"/>
        <v>54.909001676139468</v>
      </c>
      <c r="T43" s="47">
        <f t="shared" si="25"/>
        <v>53.415685968258067</v>
      </c>
      <c r="U43" s="47">
        <f t="shared" si="25"/>
        <v>54.703059588171548</v>
      </c>
      <c r="V43" s="47">
        <f t="shared" si="25"/>
        <v>54.096474666145404</v>
      </c>
      <c r="W43" s="47">
        <f t="shared" si="25"/>
        <v>53.498896979933384</v>
      </c>
      <c r="X43" s="47">
        <f t="shared" si="25"/>
        <v>52.263187711915691</v>
      </c>
      <c r="Y43" s="47">
        <f t="shared" si="25"/>
        <v>52.35335955308765</v>
      </c>
      <c r="Z43" s="47">
        <f t="shared" si="25"/>
        <v>54.345597859655129</v>
      </c>
      <c r="AA43" s="47">
        <f t="shared" si="25"/>
        <v>54.4968684161461</v>
      </c>
      <c r="AB43" s="47">
        <f t="shared" si="25"/>
        <v>54.126626370799677</v>
      </c>
      <c r="AC43" s="47">
        <f t="shared" si="25"/>
        <v>53.115630834632697</v>
      </c>
      <c r="AD43" s="47">
        <f t="shared" si="25"/>
        <v>53.123674822972326</v>
      </c>
      <c r="AE43" s="47">
        <f t="shared" si="25"/>
        <v>55.475978434343034</v>
      </c>
      <c r="AF43" s="47">
        <f t="shared" ref="AF43:BQ43" si="26">SUM(AF44:AF48)</f>
        <v>55.400630533704764</v>
      </c>
      <c r="AG43" s="47">
        <f t="shared" si="26"/>
        <v>55.206286686019403</v>
      </c>
      <c r="AH43" s="47">
        <f t="shared" si="26"/>
        <v>54.512472007317285</v>
      </c>
      <c r="AI43" s="47">
        <f t="shared" si="26"/>
        <v>53.850474162498799</v>
      </c>
      <c r="AJ43" s="47">
        <f t="shared" si="26"/>
        <v>53.710876909124423</v>
      </c>
      <c r="AK43" s="47">
        <f t="shared" si="26"/>
        <v>53.425859247101819</v>
      </c>
      <c r="AL43" s="47">
        <f t="shared" si="26"/>
        <v>52.633388831569128</v>
      </c>
      <c r="AM43" s="47">
        <f t="shared" si="26"/>
        <v>49.666104047683412</v>
      </c>
      <c r="AN43" s="47">
        <f t="shared" si="26"/>
        <v>48.416183553184723</v>
      </c>
      <c r="AO43" s="47">
        <f t="shared" si="26"/>
        <v>46.920013033101242</v>
      </c>
      <c r="AP43" s="47">
        <f t="shared" si="26"/>
        <v>45.362255470229265</v>
      </c>
      <c r="AQ43" s="47">
        <f t="shared" si="26"/>
        <v>43.877560182923951</v>
      </c>
      <c r="AR43" s="47">
        <f t="shared" si="26"/>
        <v>42.61638168772275</v>
      </c>
      <c r="AS43" s="47">
        <f t="shared" si="26"/>
        <v>41.346903072535966</v>
      </c>
      <c r="AT43" s="47">
        <f t="shared" si="26"/>
        <v>40.069712641710346</v>
      </c>
      <c r="AU43" s="47">
        <f t="shared" si="26"/>
        <v>38.660432952195762</v>
      </c>
      <c r="AV43" s="47">
        <f t="shared" si="26"/>
        <v>37.277257162131825</v>
      </c>
      <c r="AW43" s="47">
        <f t="shared" si="26"/>
        <v>35.91647304593026</v>
      </c>
      <c r="AX43" s="47">
        <f t="shared" si="26"/>
        <v>35.279820456012423</v>
      </c>
      <c r="AY43" s="47">
        <f t="shared" si="26"/>
        <v>34.624889019711752</v>
      </c>
      <c r="AZ43" s="47">
        <f t="shared" si="26"/>
        <v>33.941162835659071</v>
      </c>
      <c r="BA43" s="47">
        <f t="shared" si="26"/>
        <v>33.267260095370716</v>
      </c>
      <c r="BB43" s="47">
        <f t="shared" si="26"/>
        <v>32.503921023977092</v>
      </c>
      <c r="BC43" s="47">
        <f t="shared" si="26"/>
        <v>31.720245042325921</v>
      </c>
      <c r="BD43" s="47">
        <f t="shared" si="26"/>
        <v>30.912408141661061</v>
      </c>
      <c r="BE43" s="47">
        <f t="shared" si="26"/>
        <v>30.063571558216523</v>
      </c>
      <c r="BF43" s="47">
        <f t="shared" si="26"/>
        <v>29.191210102823952</v>
      </c>
      <c r="BG43" s="47">
        <f t="shared" si="26"/>
        <v>28.30744729347682</v>
      </c>
      <c r="BH43" s="47">
        <f t="shared" si="26"/>
        <v>27.976326299601723</v>
      </c>
      <c r="BI43" s="47">
        <f t="shared" si="26"/>
        <v>27.619163010655306</v>
      </c>
      <c r="BJ43" s="47">
        <f t="shared" si="26"/>
        <v>27.251871773145453</v>
      </c>
      <c r="BK43" s="47">
        <f t="shared" si="26"/>
        <v>26.876461601426623</v>
      </c>
      <c r="BL43" s="47">
        <f t="shared" si="26"/>
        <v>26.50094661933209</v>
      </c>
      <c r="BM43" s="47">
        <f t="shared" si="26"/>
        <v>26.110867079394822</v>
      </c>
      <c r="BN43" s="47">
        <f t="shared" si="26"/>
        <v>25.658139942174998</v>
      </c>
      <c r="BO43" s="47">
        <f t="shared" si="26"/>
        <v>25.202338818545691</v>
      </c>
      <c r="BP43" s="47">
        <f t="shared" si="26"/>
        <v>24.759040002817581</v>
      </c>
      <c r="BQ43" s="47">
        <f t="shared" si="26"/>
        <v>24.320921040994719</v>
      </c>
      <c r="BT43"/>
    </row>
    <row r="44" spans="1:72" x14ac:dyDescent="0.25">
      <c r="A44" s="102" t="str">
        <f t="shared" ref="A44:A48" si="27">B44&amp;" "&amp;C44</f>
        <v>FSFAGSPQNIBDDSCM Synthetic</v>
      </c>
      <c r="B44" s="102" t="str">
        <f t="shared" ref="B44:B48" si="28">$B$5</f>
        <v>FSFAGSPQNIBDDSCM</v>
      </c>
      <c r="C44" s="102" t="s">
        <v>1127</v>
      </c>
      <c r="D44" t="str">
        <f>D42</f>
        <v>3C Aggregated and non-CO2 emissions on land</v>
      </c>
      <c r="E44" t="str">
        <f>'IPCC Categories'!B73</f>
        <v>3C4 Direct N2O from managed soils (N2O)</v>
      </c>
      <c r="F44" t="str">
        <f>'IPCC Categories'!C73</f>
        <v>Inorganic inputs</v>
      </c>
      <c r="G44" t="s">
        <v>139</v>
      </c>
      <c r="H44" t="s">
        <v>287</v>
      </c>
      <c r="I44" s="28">
        <f>'Emissions summary'!F44</f>
        <v>5.4008271428571426</v>
      </c>
      <c r="J44" s="28">
        <f>'Emissions summary'!G44</f>
        <v>5.7362642857142854</v>
      </c>
      <c r="K44" s="28">
        <f>'Emissions summary'!H44</f>
        <v>5.4611071428571423</v>
      </c>
      <c r="L44" s="28">
        <f>'Emissions summary'!I44</f>
        <v>6.4186414285714282</v>
      </c>
      <c r="M44" s="28">
        <f>'Emissions summary'!J44</f>
        <v>5.8938942857142855</v>
      </c>
      <c r="N44" s="28">
        <f>'Emissions summary'!K44</f>
        <v>5.8377157142857143</v>
      </c>
      <c r="O44" s="28">
        <f>'Emissions summary'!L44</f>
        <v>6.5227485714285702</v>
      </c>
      <c r="P44" s="28">
        <f>'Emissions summary'!M44</f>
        <v>6.3943628571428572</v>
      </c>
      <c r="Q44" s="28">
        <f>'Emissions summary'!N44</f>
        <v>6.5296157142857139</v>
      </c>
      <c r="R44" s="28">
        <f>'Emissions summary'!O44</f>
        <v>6.4907071428571426</v>
      </c>
      <c r="S44" s="28">
        <f>'Emissions summary'!P44</f>
        <v>6.5360899999999997</v>
      </c>
      <c r="T44" s="28">
        <f>'Emissions summary'!Q44</f>
        <v>6.219918571428571</v>
      </c>
      <c r="U44" s="28">
        <f>'Emissions summary'!R44</f>
        <v>7.4968457142857146</v>
      </c>
      <c r="V44" s="28">
        <f>'Emissions summary'!S44</f>
        <v>6.6129957142857139</v>
      </c>
      <c r="W44" s="28">
        <f>'Emissions summary'!T44</f>
        <v>6.7189728571428571</v>
      </c>
      <c r="X44" s="28">
        <f>'Emissions summary'!U44</f>
        <v>5.4569428571428569</v>
      </c>
      <c r="Y44" s="28">
        <f>'Emissions summary'!V44</f>
        <v>6.7370128571428571</v>
      </c>
      <c r="Z44" s="28">
        <f>'Emissions summary'!W44</f>
        <v>6.9061142857142848</v>
      </c>
      <c r="AA44" s="28">
        <f>'Emissions summary'!X44</f>
        <v>6.66479</v>
      </c>
      <c r="AB44" s="28">
        <f>'Emissions summary'!Y44</f>
        <v>7.1307814285714279</v>
      </c>
      <c r="AC44" s="28">
        <f>'Emissions summary'!Z44</f>
        <v>6.2071428571428573</v>
      </c>
      <c r="AD44" s="28">
        <f>'Emissions summary'!AA44</f>
        <v>6.5842857142857145</v>
      </c>
      <c r="AE44" s="101">
        <f>IF($A44="Baseline",'Emissions summary'!AB44,SUMIF('Net zero emission reductions'!$A$4:$A$1448,$A$44,'Net zero emission reductions'!K$4:K$1448))</f>
        <v>6.6064812063358538</v>
      </c>
      <c r="AF44" s="101">
        <f>IF($A44="Baseline",'Emissions summary'!AC44,SUMIF('Net zero emission reductions'!$A$4:$A$1448,$A$44,'Net zero emission reductions'!L$4:L$1448))</f>
        <v>6.6056660352543144</v>
      </c>
      <c r="AG44" s="101">
        <f>IF($A44="Baseline",'Emissions summary'!AD44,SUMIF('Net zero emission reductions'!$A$4:$A$1448,$A$44,'Net zero emission reductions'!M$4:M$1448))</f>
        <v>6.6042995522505379</v>
      </c>
      <c r="AH44" s="101">
        <f>IF($A44="Baseline",'Emissions summary'!AE44,SUMIF('Net zero emission reductions'!$A$4:$A$1448,$A$44,'Net zero emission reductions'!N$4:N$1448))</f>
        <v>6.6031365898338095</v>
      </c>
      <c r="AI44" s="101">
        <f>IF($A44="Baseline",'Emissions summary'!AF44,SUMIF('Net zero emission reductions'!$A$4:$A$1448,$A$44,'Net zero emission reductions'!O$4:O$1448))</f>
        <v>6.6027560568732087</v>
      </c>
      <c r="AJ44" s="101">
        <f>IF($A44="Baseline",'Emissions summary'!AG44,SUMIF('Net zero emission reductions'!$A$4:$A$1448,$A$44,'Net zero emission reductions'!P$4:P$1448))</f>
        <v>6.6023708971175274</v>
      </c>
      <c r="AK44" s="101">
        <f>IF($A44="Baseline",'Emissions summary'!AH44,SUMIF('Net zero emission reductions'!$A$4:$A$1448,$A$44,'Net zero emission reductions'!Q$4:Q$1448))</f>
        <v>6.6011966991986881</v>
      </c>
      <c r="AL44" s="101">
        <f>IF($A44="Baseline",'Emissions summary'!AI44,SUMIF('Net zero emission reductions'!$A$4:$A$1448,$A$44,'Net zero emission reductions'!R$4:R$1448))</f>
        <v>6.6002765167075461</v>
      </c>
      <c r="AM44" s="101">
        <f>IF($A44="Baseline",'Emissions summary'!AJ44,SUMIF('Net zero emission reductions'!$A$4:$A$1448,$A$44,'Net zero emission reductions'!S$4:S$1448))</f>
        <v>6.6002145648060502</v>
      </c>
      <c r="AN44" s="101">
        <f>IF($A44="Baseline",'Emissions summary'!AK44,SUMIF('Net zero emission reductions'!$A$4:$A$1448,$A$44,'Net zero emission reductions'!T$4:T$1448))</f>
        <v>6.4884713357569712</v>
      </c>
      <c r="AO44" s="101">
        <f>IF($A44="Baseline",'Emissions summary'!AL44,SUMIF('Net zero emission reductions'!$A$4:$A$1448,$A$44,'Net zero emission reductions'!U$4:U$1448))</f>
        <v>6.3708803698567307</v>
      </c>
      <c r="AP44" s="101">
        <f>IF($A44="Baseline",'Emissions summary'!AM44,SUMIF('Net zero emission reductions'!$A$4:$A$1448,$A$44,'Net zero emission reductions'!V$4:V$1448))</f>
        <v>6.2538460566482117</v>
      </c>
      <c r="AQ44" s="101">
        <f>IF($A44="Baseline",'Emissions summary'!AN44,SUMIF('Net zero emission reductions'!$A$4:$A$1448,$A$44,'Net zero emission reductions'!W$4:W$1448))</f>
        <v>6.1369820845996612</v>
      </c>
      <c r="AR44" s="101">
        <f>IF($A44="Baseline",'Emissions summary'!AO44,SUMIF('Net zero emission reductions'!$A$4:$A$1448,$A$44,'Net zero emission reductions'!X$4:X$1448))</f>
        <v>6.0200212739880508</v>
      </c>
      <c r="AS44" s="101">
        <f>IF($A44="Baseline",'Emissions summary'!AP44,SUMIF('Net zero emission reductions'!$A$4:$A$1448,$A$44,'Net zero emission reductions'!Y$4:Y$1448))</f>
        <v>5.9025961220093164</v>
      </c>
      <c r="AT44" s="101">
        <f>IF($A44="Baseline",'Emissions summary'!AQ44,SUMIF('Net zero emission reductions'!$A$4:$A$1448,$A$44,'Net zero emission reductions'!Z$4:Z$1448))</f>
        <v>5.7851569814433388</v>
      </c>
      <c r="AU44" s="101">
        <f>IF($A44="Baseline",'Emissions summary'!AR44,SUMIF('Net zero emission reductions'!$A$4:$A$1448,$A$44,'Net zero emission reductions'!AA$4:AA$1448))</f>
        <v>5.6677054111242109</v>
      </c>
      <c r="AV44" s="101">
        <f>IF($A44="Baseline",'Emissions summary'!AS44,SUMIF('Net zero emission reductions'!$A$4:$A$1448,$A$44,'Net zero emission reductions'!AB$4:AB$1448))</f>
        <v>5.5505648633992308</v>
      </c>
      <c r="AW44" s="101">
        <f>IF($A44="Baseline",'Emissions summary'!AT44,SUMIF('Net zero emission reductions'!$A$4:$A$1448,$A$44,'Net zero emission reductions'!AC$4:AC$1448))</f>
        <v>5.4333166304000633</v>
      </c>
      <c r="AX44" s="101">
        <f>IF($A44="Baseline",'Emissions summary'!AU44,SUMIF('Net zero emission reductions'!$A$4:$A$1448,$A$44,'Net zero emission reductions'!AD$4:AD$1448))</f>
        <v>5.3159379976462064</v>
      </c>
      <c r="AY44" s="101">
        <f>IF($A44="Baseline",'Emissions summary'!AV44,SUMIF('Net zero emission reductions'!$A$4:$A$1448,$A$44,'Net zero emission reductions'!AE$4:AE$1448))</f>
        <v>5.198739225982175</v>
      </c>
      <c r="AZ44" s="101">
        <f>IF($A44="Baseline",'Emissions summary'!AW44,SUMIF('Net zero emission reductions'!$A$4:$A$1448,$A$44,'Net zero emission reductions'!AF$4:AF$1448))</f>
        <v>5.0815962497557008</v>
      </c>
      <c r="BA44" s="101">
        <f>IF($A44="Baseline",'Emissions summary'!AX44,SUMIF('Net zero emission reductions'!$A$4:$A$1448,$A$44,'Net zero emission reductions'!AG$4:AG$1448))</f>
        <v>4.9645485717820748</v>
      </c>
      <c r="BB44" s="101">
        <f>IF($A44="Baseline",'Emissions summary'!AY44,SUMIF('Net zero emission reductions'!$A$4:$A$1448,$A$44,'Net zero emission reductions'!AH$4:AH$1448))</f>
        <v>4.8474557390037623</v>
      </c>
      <c r="BC44" s="101">
        <f>IF($A44="Baseline",'Emissions summary'!AZ44,SUMIF('Net zero emission reductions'!$A$4:$A$1448,$A$44,'Net zero emission reductions'!AI$4:AI$1448))</f>
        <v>4.7306898681441432</v>
      </c>
      <c r="BD44" s="101">
        <f>IF($A44="Baseline",'Emissions summary'!BA44,SUMIF('Net zero emission reductions'!$A$4:$A$1448,$A$44,'Net zero emission reductions'!AJ$4:AJ$1448))</f>
        <v>4.6139615258641831</v>
      </c>
      <c r="BE44" s="101">
        <f>IF($A44="Baseline",'Emissions summary'!BB44,SUMIF('Net zero emission reductions'!$A$4:$A$1448,$A$44,'Net zero emission reductions'!AK$4:AK$1448))</f>
        <v>4.497329343191331</v>
      </c>
      <c r="BF44" s="101">
        <f>IF($A44="Baseline",'Emissions summary'!BC44,SUMIF('Net zero emission reductions'!$A$4:$A$1448,$A$44,'Net zero emission reductions'!AL$4:AL$1448))</f>
        <v>4.3808744873696472</v>
      </c>
      <c r="BG44" s="101">
        <f>IF($A44="Baseline",'Emissions summary'!BD44,SUMIF('Net zero emission reductions'!$A$4:$A$1448,$A$44,'Net zero emission reductions'!AM$4:AM$1448))</f>
        <v>4.2645319482134649</v>
      </c>
      <c r="BH44" s="101">
        <f>IF($A44="Baseline",'Emissions summary'!BE44,SUMIF('Net zero emission reductions'!$A$4:$A$1448,$A$44,'Net zero emission reductions'!AN$4:AN$1448))</f>
        <v>4.2630265119364426</v>
      </c>
      <c r="BI44" s="101">
        <f>IF($A44="Baseline",'Emissions summary'!BF44,SUMIF('Net zero emission reductions'!$A$4:$A$1448,$A$44,'Net zero emission reductions'!AO$4:AO$1448))</f>
        <v>4.2614899499211401</v>
      </c>
      <c r="BJ44" s="101">
        <f>IF($A44="Baseline",'Emissions summary'!BG44,SUMIF('Net zero emission reductions'!$A$4:$A$1448,$A$44,'Net zero emission reductions'!AP$4:AP$1448))</f>
        <v>4.2600556212534961</v>
      </c>
      <c r="BK44" s="101">
        <f>IF($A44="Baseline",'Emissions summary'!BH44,SUMIF('Net zero emission reductions'!$A$4:$A$1448,$A$44,'Net zero emission reductions'!AQ$4:AQ$1448))</f>
        <v>4.2586305769995354</v>
      </c>
      <c r="BL44" s="101">
        <f>IF($A44="Baseline",'Emissions summary'!BI44,SUMIF('Net zero emission reductions'!$A$4:$A$1448,$A$44,'Net zero emission reductions'!AR$4:AR$1448))</f>
        <v>4.2572126751954817</v>
      </c>
      <c r="BM44" s="101">
        <f>IF($A44="Baseline",'Emissions summary'!BJ44,SUMIF('Net zero emission reductions'!$A$4:$A$1448,$A$44,'Net zero emission reductions'!AS$4:AS$1448))</f>
        <v>4.2557426056629861</v>
      </c>
      <c r="BN44" s="101">
        <f>IF($A44="Baseline",'Emissions summary'!BK44,SUMIF('Net zero emission reductions'!$A$4:$A$1448,$A$44,'Net zero emission reductions'!AT$4:AT$1448))</f>
        <v>4.254272279998963</v>
      </c>
      <c r="BO44" s="101">
        <f>IF($A44="Baseline",'Emissions summary'!BL44,SUMIF('Net zero emission reductions'!$A$4:$A$1448,$A$44,'Net zero emission reductions'!AU$4:AU$1448))</f>
        <v>4.2533600661556656</v>
      </c>
      <c r="BP44" s="101">
        <f>IF($A44="Baseline",'Emissions summary'!BM44,SUMIF('Net zero emission reductions'!$A$4:$A$1448,$A$44,'Net zero emission reductions'!AV$4:AV$1448))</f>
        <v>4.2524929028242848</v>
      </c>
      <c r="BQ44" s="101">
        <f>IF($A44="Baseline",'Emissions summary'!BN44,SUMIF('Net zero emission reductions'!$A$4:$A$1448,$A$44,'Net zero emission reductions'!AW$4:AW$1448))</f>
        <v>4.2515620439195612</v>
      </c>
    </row>
    <row r="45" spans="1:72" x14ac:dyDescent="0.25">
      <c r="A45" s="102" t="str">
        <f t="shared" si="27"/>
        <v>FSFAGSPQNIBDDSCM Organic</v>
      </c>
      <c r="B45" s="102" t="str">
        <f t="shared" si="28"/>
        <v>FSFAGSPQNIBDDSCM</v>
      </c>
      <c r="C45" s="102" t="s">
        <v>1128</v>
      </c>
      <c r="D45" t="str">
        <f t="shared" si="20"/>
        <v>3C Aggregated and non-CO2 emissions on land</v>
      </c>
      <c r="E45" t="str">
        <f>E44</f>
        <v>3C4 Direct N2O from managed soils (N2O)</v>
      </c>
      <c r="F45" t="str">
        <f>'IPCC Categories'!C74</f>
        <v>Organic inputs</v>
      </c>
      <c r="G45" t="str">
        <f>G44</f>
        <v>N2O</v>
      </c>
      <c r="H45" t="str">
        <f>H44</f>
        <v>Gg N2O</v>
      </c>
      <c r="I45" s="28">
        <f>'Emissions summary'!F45</f>
        <v>5.013223224744225</v>
      </c>
      <c r="J45" s="28">
        <f>'Emissions summary'!G45</f>
        <v>5.2664911527114882</v>
      </c>
      <c r="K45" s="28">
        <f>'Emissions summary'!H45</f>
        <v>5.1762858222826607</v>
      </c>
      <c r="L45" s="28">
        <f>'Emissions summary'!I45</f>
        <v>5.2086111862956743</v>
      </c>
      <c r="M45" s="28">
        <f>'Emissions summary'!J45</f>
        <v>4.8007290385965042</v>
      </c>
      <c r="N45" s="28">
        <f>'Emissions summary'!K45</f>
        <v>4.8651386255813591</v>
      </c>
      <c r="O45" s="28">
        <f>'Emissions summary'!L45</f>
        <v>5.0338302809481963</v>
      </c>
      <c r="P45" s="28">
        <f>'Emissions summary'!M45</f>
        <v>5.1142932794644391</v>
      </c>
      <c r="Q45" s="28">
        <f>'Emissions summary'!N45</f>
        <v>5.3033045117136446</v>
      </c>
      <c r="R45" s="28">
        <f>'Emissions summary'!O45</f>
        <v>5.4092266243626721</v>
      </c>
      <c r="S45" s="28">
        <f>'Emissions summary'!P45</f>
        <v>5.6403135553523542</v>
      </c>
      <c r="T45" s="28">
        <f>'Emissions summary'!Q45</f>
        <v>5.5621015030972583</v>
      </c>
      <c r="U45" s="28">
        <f>'Emissions summary'!R45</f>
        <v>5.7412119564886979</v>
      </c>
      <c r="V45" s="28">
        <f>'Emissions summary'!S45</f>
        <v>5.6607422735121498</v>
      </c>
      <c r="W45" s="28">
        <f>'Emissions summary'!T45</f>
        <v>5.5972438596319325</v>
      </c>
      <c r="X45" s="28">
        <f>'Emissions summary'!U45</f>
        <v>5.6518594537321407</v>
      </c>
      <c r="Y45" s="28">
        <f>'Emissions summary'!V45</f>
        <v>5.7679219843073382</v>
      </c>
      <c r="Z45" s="28">
        <f>'Emissions summary'!W45</f>
        <v>5.930952774865669</v>
      </c>
      <c r="AA45" s="28">
        <f>'Emissions summary'!X45</f>
        <v>6.1389173405766284</v>
      </c>
      <c r="AB45" s="28">
        <f>'Emissions summary'!Y45</f>
        <v>6.0934183775123598</v>
      </c>
      <c r="AC45" s="28">
        <f>'Emissions summary'!Z45</f>
        <v>6.0637701628895098</v>
      </c>
      <c r="AD45" s="28">
        <f>'Emissions summary'!AA45</f>
        <v>6.1036946299350001</v>
      </c>
      <c r="AE45" s="101">
        <f>IF($A45="Baseline",'Emissions summary'!AB45,SUMIF('Net zero emission reductions'!$A$4:$A$1448,$A$45,'Net zero emission reductions'!K$4:K$1448))</f>
        <v>6.0715002012796448</v>
      </c>
      <c r="AF45" s="101">
        <f>IF($A45="Baseline",'Emissions summary'!AC45,SUMIF('Net zero emission reductions'!$A$4:$A$1448,$A$45,'Net zero emission reductions'!L$4:L$1448))</f>
        <v>6.0957366079247697</v>
      </c>
      <c r="AG45" s="101">
        <f>IF($A45="Baseline",'Emissions summary'!AD45,SUMIF('Net zero emission reductions'!$A$4:$A$1448,$A$45,'Net zero emission reductions'!M$4:M$1448))</f>
        <v>6.0987934171800253</v>
      </c>
      <c r="AH45" s="101">
        <f>IF($A45="Baseline",'Emissions summary'!AE45,SUMIF('Net zero emission reductions'!$A$4:$A$1448,$A$45,'Net zero emission reductions'!N$4:N$1448))</f>
        <v>6.0152058908583923</v>
      </c>
      <c r="AI45" s="101">
        <f>IF($A45="Baseline",'Emissions summary'!AF45,SUMIF('Net zero emission reductions'!$A$4:$A$1448,$A$45,'Net zero emission reductions'!O$4:O$1448))</f>
        <v>5.9362463735811044</v>
      </c>
      <c r="AJ45" s="101">
        <f>IF($A45="Baseline",'Emissions summary'!AG45,SUMIF('Net zero emission reductions'!$A$4:$A$1448,$A$45,'Net zero emission reductions'!P$4:P$1448))</f>
        <v>5.947568071357332</v>
      </c>
      <c r="AK45" s="101">
        <f>IF($A45="Baseline",'Emissions summary'!AH45,SUMIF('Net zero emission reductions'!$A$4:$A$1448,$A$45,'Net zero emission reductions'!Q$4:Q$1448))</f>
        <v>5.9324713858792073</v>
      </c>
      <c r="AL45" s="101">
        <f>IF($A45="Baseline",'Emissions summary'!AI45,SUMIF('Net zero emission reductions'!$A$4:$A$1448,$A$45,'Net zero emission reductions'!R$4:R$1448))</f>
        <v>5.8265554614902362</v>
      </c>
      <c r="AM45" s="101">
        <f>IF($A45="Baseline",'Emissions summary'!AJ45,SUMIF('Net zero emission reductions'!$A$4:$A$1448,$A$45,'Net zero emission reductions'!S$4:S$1448))</f>
        <v>5.3263920112801761</v>
      </c>
      <c r="AN45" s="101">
        <f>IF($A45="Baseline",'Emissions summary'!AK45,SUMIF('Net zero emission reductions'!$A$4:$A$1448,$A$45,'Net zero emission reductions'!T$4:T$1448))</f>
        <v>5.2379690763482492</v>
      </c>
      <c r="AO45" s="101">
        <f>IF($A45="Baseline",'Emissions summary'!AL45,SUMIF('Net zero emission reductions'!$A$4:$A$1448,$A$45,'Net zero emission reductions'!U$4:U$1448))</f>
        <v>5.0957840645724577</v>
      </c>
      <c r="AP45" s="101">
        <f>IF($A45="Baseline",'Emissions summary'!AM45,SUMIF('Net zero emission reductions'!$A$4:$A$1448,$A$45,'Net zero emission reductions'!V$4:V$1448))</f>
        <v>4.9397402093928546</v>
      </c>
      <c r="AQ45" s="101">
        <f>IF($A45="Baseline",'Emissions summary'!AN45,SUMIF('Net zero emission reductions'!$A$4:$A$1448,$A$45,'Net zero emission reductions'!W$4:W$1448))</f>
        <v>4.7957480596525954</v>
      </c>
      <c r="AR45" s="101">
        <f>IF($A45="Baseline",'Emissions summary'!AO45,SUMIF('Net zero emission reductions'!$A$4:$A$1448,$A$45,'Net zero emission reductions'!X$4:X$1448))</f>
        <v>4.6972546703643738</v>
      </c>
      <c r="AS45" s="101">
        <f>IF($A45="Baseline",'Emissions summary'!AP45,SUMIF('Net zero emission reductions'!$A$4:$A$1448,$A$45,'Net zero emission reductions'!Y$4:Y$1448))</f>
        <v>4.6006139418994021</v>
      </c>
      <c r="AT45" s="101">
        <f>IF($A45="Baseline",'Emissions summary'!AQ45,SUMIF('Net zero emission reductions'!$A$4:$A$1448,$A$45,'Net zero emission reductions'!Z$4:Z$1448))</f>
        <v>4.5050304395936083</v>
      </c>
      <c r="AU45" s="101">
        <f>IF($A45="Baseline",'Emissions summary'!AR45,SUMIF('Net zero emission reductions'!$A$4:$A$1448,$A$45,'Net zero emission reductions'!AA$4:AA$1448))</f>
        <v>4.3808531166399742</v>
      </c>
      <c r="AV45" s="101">
        <f>IF($A45="Baseline",'Emissions summary'!AS45,SUMIF('Net zero emission reductions'!$A$4:$A$1448,$A$45,'Net zero emission reductions'!AB$4:AB$1448))</f>
        <v>4.2660787054214691</v>
      </c>
      <c r="AW45" s="101">
        <f>IF($A45="Baseline",'Emissions summary'!AT45,SUMIF('Net zero emission reductions'!$A$4:$A$1448,$A$45,'Net zero emission reductions'!AC$4:AC$1448))</f>
        <v>4.1617749626971525</v>
      </c>
      <c r="AX45" s="101">
        <f>IF($A45="Baseline",'Emissions summary'!AU45,SUMIF('Net zero emission reductions'!$A$4:$A$1448,$A$45,'Net zero emission reductions'!AD$4:AD$1448))</f>
        <v>4.1196429883596259</v>
      </c>
      <c r="AY45" s="101">
        <f>IF($A45="Baseline",'Emissions summary'!AV45,SUMIF('Net zero emission reductions'!$A$4:$A$1448,$A$45,'Net zero emission reductions'!AE$4:AE$1448))</f>
        <v>4.0740259321884382</v>
      </c>
      <c r="AZ45" s="101">
        <f>IF($A45="Baseline",'Emissions summary'!AW45,SUMIF('Net zero emission reductions'!$A$4:$A$1448,$A$45,'Net zero emission reductions'!AF$4:AF$1448))</f>
        <v>4.0213322610744875</v>
      </c>
      <c r="BA45" s="101">
        <f>IF($A45="Baseline",'Emissions summary'!AX45,SUMIF('Net zero emission reductions'!$A$4:$A$1448,$A$45,'Net zero emission reductions'!AG$4:AG$1448))</f>
        <v>3.9737190758453176</v>
      </c>
      <c r="BB45" s="101">
        <f>IF($A45="Baseline",'Emissions summary'!AY45,SUMIF('Net zero emission reductions'!$A$4:$A$1448,$A$45,'Net zero emission reductions'!AH$4:AH$1448))</f>
        <v>3.8984528242392518</v>
      </c>
      <c r="BC45" s="101">
        <f>IF($A45="Baseline",'Emissions summary'!AZ45,SUMIF('Net zero emission reductions'!$A$4:$A$1448,$A$45,'Net zero emission reductions'!AI$4:AI$1448))</f>
        <v>3.8208443136692676</v>
      </c>
      <c r="BD45" s="101">
        <f>IF($A45="Baseline",'Emissions summary'!BA45,SUMIF('Net zero emission reductions'!$A$4:$A$1448,$A$45,'Net zero emission reductions'!AJ$4:AJ$1448))</f>
        <v>3.7355246031127862</v>
      </c>
      <c r="BE45" s="101">
        <f>IF($A45="Baseline",'Emissions summary'!BB45,SUMIF('Net zero emission reductions'!$A$4:$A$1448,$A$45,'Net zero emission reductions'!AK$4:AK$1448))</f>
        <v>3.6354119083130971</v>
      </c>
      <c r="BF45" s="101">
        <f>IF($A45="Baseline",'Emissions summary'!BC45,SUMIF('Net zero emission reductions'!$A$4:$A$1448,$A$45,'Net zero emission reductions'!AL$4:AL$1448))</f>
        <v>3.5261079802458841</v>
      </c>
      <c r="BG45" s="101">
        <f>IF($A45="Baseline",'Emissions summary'!BD45,SUMIF('Net zero emission reductions'!$A$4:$A$1448,$A$45,'Net zero emission reductions'!AM$4:AM$1448))</f>
        <v>3.4116773447408173</v>
      </c>
      <c r="BH45" s="101">
        <f>IF($A45="Baseline",'Emissions summary'!BE45,SUMIF('Net zero emission reductions'!$A$4:$A$1448,$A$45,'Net zero emission reductions'!AN$4:AN$1448))</f>
        <v>3.4365115202798382</v>
      </c>
      <c r="BI45" s="101">
        <f>IF($A45="Baseline",'Emissions summary'!BF45,SUMIF('Net zero emission reductions'!$A$4:$A$1448,$A$45,'Net zero emission reductions'!AO$4:AO$1448))</f>
        <v>3.4521575484746174</v>
      </c>
      <c r="BJ45" s="101">
        <f>IF($A45="Baseline",'Emissions summary'!BG45,SUMIF('Net zero emission reductions'!$A$4:$A$1448,$A$45,'Net zero emission reductions'!AP$4:AP$1448))</f>
        <v>3.4661801924546314</v>
      </c>
      <c r="BK45" s="101">
        <f>IF($A45="Baseline",'Emissions summary'!BH45,SUMIF('Net zero emission reductions'!$A$4:$A$1448,$A$45,'Net zero emission reductions'!AQ$4:AQ$1448))</f>
        <v>3.4787587316463329</v>
      </c>
      <c r="BL45" s="101">
        <f>IF($A45="Baseline",'Emissions summary'!BI45,SUMIF('Net zero emission reductions'!$A$4:$A$1448,$A$45,'Net zero emission reductions'!AR$4:AR$1448))</f>
        <v>3.4946701794184012</v>
      </c>
      <c r="BM45" s="101">
        <f>IF($A45="Baseline",'Emissions summary'!BJ45,SUMIF('Net zero emission reductions'!$A$4:$A$1448,$A$45,'Net zero emission reductions'!AS$4:AS$1448))</f>
        <v>3.50975329973779</v>
      </c>
      <c r="BN45" s="101">
        <f>IF($A45="Baseline",'Emissions summary'!BK45,SUMIF('Net zero emission reductions'!$A$4:$A$1448,$A$45,'Net zero emission reductions'!AT$4:AT$1448))</f>
        <v>3.4794414105684224</v>
      </c>
      <c r="BO45" s="101">
        <f>IF($A45="Baseline",'Emissions summary'!BL45,SUMIF('Net zero emission reductions'!$A$4:$A$1448,$A$45,'Net zero emission reductions'!AU$4:AU$1448))</f>
        <v>3.4453832411704264</v>
      </c>
      <c r="BP45" s="101">
        <f>IF($A45="Baseline",'Emissions summary'!BM45,SUMIF('Net zero emission reductions'!$A$4:$A$1448,$A$45,'Net zero emission reductions'!AV$4:AV$1448))</f>
        <v>3.4161145172057381</v>
      </c>
      <c r="BQ45" s="101">
        <f>IF($A45="Baseline",'Emissions summary'!BN45,SUMIF('Net zero emission reductions'!$A$4:$A$1448,$A$45,'Net zero emission reductions'!AW$4:AW$1448))</f>
        <v>3.3836591769022291</v>
      </c>
    </row>
    <row r="46" spans="1:72" x14ac:dyDescent="0.25">
      <c r="A46" s="102" t="str">
        <f t="shared" si="27"/>
        <v>FSFAGSPQNIBDDSCM Crop residues</v>
      </c>
      <c r="B46" s="102" t="str">
        <f t="shared" si="28"/>
        <v>FSFAGSPQNIBDDSCM</v>
      </c>
      <c r="C46" s="103"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8">
        <f>'Emissions summary'!F46</f>
        <v>4.7572664246993837</v>
      </c>
      <c r="J46" s="28">
        <f>'Emissions summary'!G46</f>
        <v>4.2403582737669279</v>
      </c>
      <c r="K46" s="28">
        <f>'Emissions summary'!H46</f>
        <v>4.4153625132445411</v>
      </c>
      <c r="L46" s="28">
        <f>'Emissions summary'!I46</f>
        <v>4.7418888374800598</v>
      </c>
      <c r="M46" s="28">
        <f>'Emissions summary'!J46</f>
        <v>5.0009128268356475</v>
      </c>
      <c r="N46" s="28">
        <f>'Emissions summary'!K46</f>
        <v>3.8892379277011866</v>
      </c>
      <c r="O46" s="28">
        <f>'Emissions summary'!L46</f>
        <v>4.2839264832658595</v>
      </c>
      <c r="P46" s="28">
        <f>'Emissions summary'!M46</f>
        <v>4.5049773321420563</v>
      </c>
      <c r="Q46" s="28">
        <f>'Emissions summary'!N46</f>
        <v>3.9255738498283432</v>
      </c>
      <c r="R46" s="28">
        <f>'Emissions summary'!O46</f>
        <v>3.8953932469931241</v>
      </c>
      <c r="S46" s="28">
        <f>'Emissions summary'!P46</f>
        <v>4.4710787977237265</v>
      </c>
      <c r="T46" s="28">
        <f>'Emissions summary'!Q46</f>
        <v>3.6519029734228816</v>
      </c>
      <c r="U46" s="28">
        <f>'Emissions summary'!R46</f>
        <v>3.982993252892217</v>
      </c>
      <c r="V46" s="28">
        <f>'Emissions summary'!S46</f>
        <v>3.9301610630705248</v>
      </c>
      <c r="W46" s="28">
        <f>'Emissions summary'!T46</f>
        <v>3.5144884547415667</v>
      </c>
      <c r="X46" s="28">
        <f>'Emissions summary'!U46</f>
        <v>3.5698504074879742</v>
      </c>
      <c r="Y46" s="28">
        <f>'Emissions summary'!V46</f>
        <v>2.4003352875845994</v>
      </c>
      <c r="Z46" s="28">
        <f>'Emissions summary'!W46</f>
        <v>3.2539877539471691</v>
      </c>
      <c r="AA46" s="28">
        <f>'Emissions summary'!X46</f>
        <v>3.7163492663367288</v>
      </c>
      <c r="AB46" s="28">
        <f>'Emissions summary'!Y46</f>
        <v>3.3020035495326421</v>
      </c>
      <c r="AC46" s="28">
        <f>'Emissions summary'!Z46</f>
        <v>3.605306989206821</v>
      </c>
      <c r="AD46" s="28">
        <f>'Emissions summary'!AA46</f>
        <v>3.3383236984964055</v>
      </c>
      <c r="AE46" s="28">
        <f>'Net zero emission reductions'!K1465</f>
        <v>2.94930909510781</v>
      </c>
      <c r="AF46" s="28">
        <f>'Net zero emission reductions'!L1465</f>
        <v>2.9553948259346963</v>
      </c>
      <c r="AG46" s="28">
        <f>'Net zero emission reductions'!M1465</f>
        <v>2.9655964240149095</v>
      </c>
      <c r="AH46" s="28">
        <f>'Net zero emission reductions'!N1465</f>
        <v>2.9742786213968655</v>
      </c>
      <c r="AI46" s="28">
        <f>'Net zero emission reductions'!O1465</f>
        <v>2.9771195234129291</v>
      </c>
      <c r="AJ46" s="28">
        <f>'Net zero emission reductions'!P1465</f>
        <v>2.9799949671713049</v>
      </c>
      <c r="AK46" s="28">
        <f>'Net zero emission reductions'!Q1465</f>
        <v>2.9887610441744785</v>
      </c>
      <c r="AL46" s="28">
        <f>'Net zero emission reductions'!R1465</f>
        <v>2.9956307468412153</v>
      </c>
      <c r="AM46" s="28">
        <f>'Net zero emission reductions'!S1465</f>
        <v>2.9960932541666816</v>
      </c>
      <c r="AN46" s="28">
        <f>'Net zero emission reductions'!T1465</f>
        <v>2.9675186651595986</v>
      </c>
      <c r="AO46" s="28">
        <f>'Net zero emission reductions'!U1465</f>
        <v>2.9831478886073279</v>
      </c>
      <c r="AP46" s="28">
        <f>'Net zero emission reductions'!V1465</f>
        <v>2.9949684403788361</v>
      </c>
      <c r="AQ46" s="28">
        <f>'Net zero emission reductions'!W1465</f>
        <v>3.0058664357215821</v>
      </c>
      <c r="AR46" s="28">
        <f>'Net zero emission reductions'!X1465</f>
        <v>3.0179747177251275</v>
      </c>
      <c r="AS46" s="28">
        <f>'Net zero emission reductions'!Y1465</f>
        <v>3.0344297828088291</v>
      </c>
      <c r="AT46" s="28">
        <f>'Net zero emission reductions'!Z1465</f>
        <v>3.051660187261632</v>
      </c>
      <c r="AU46" s="28">
        <f>'Net zero emission reductions'!AA1465</f>
        <v>3.0696997307404872</v>
      </c>
      <c r="AV46" s="28">
        <f>'Net zero emission reductions'!AB1465</f>
        <v>3.0857326483566894</v>
      </c>
      <c r="AW46" s="28">
        <f>'Net zero emission reductions'!AC1465</f>
        <v>3.1034202155798769</v>
      </c>
      <c r="AX46" s="28">
        <f>'Net zero emission reductions'!AD1465</f>
        <v>3.1230800126456195</v>
      </c>
      <c r="AY46" s="28">
        <f>'Net zero emission reductions'!AE1465</f>
        <v>3.1419111062172522</v>
      </c>
      <c r="AZ46" s="28">
        <f>'Net zero emission reductions'!AF1465</f>
        <v>3.1610561707509404</v>
      </c>
      <c r="BA46" s="28">
        <f>'Net zero emission reductions'!AG1465</f>
        <v>3.1801464271230016</v>
      </c>
      <c r="BB46" s="28">
        <f>'Net zero emission reductions'!AH1465</f>
        <v>3.2005997561822985</v>
      </c>
      <c r="BC46" s="28">
        <f>'Net zero emission reductions'!AI1465</f>
        <v>3.2186571182805661</v>
      </c>
      <c r="BD46" s="28">
        <f>'Net zero emission reductions'!AJ1465</f>
        <v>3.2372153128171188</v>
      </c>
      <c r="BE46" s="28">
        <f>'Net zero emission reductions'!AK1465</f>
        <v>3.2556737246860838</v>
      </c>
      <c r="BF46" s="28">
        <f>'Net zero emission reductions'!AL1465</f>
        <v>3.2731166988585363</v>
      </c>
      <c r="BG46" s="28">
        <f>'Net zero emission reductions'!AM1465</f>
        <v>3.2902088949247208</v>
      </c>
      <c r="BH46" s="28">
        <f>'Net zero emission reductions'!AN1465</f>
        <v>3.3074996116389994</v>
      </c>
      <c r="BI46" s="28">
        <f>'Net zero emission reductions'!AO1465</f>
        <v>3.3251478236065783</v>
      </c>
      <c r="BJ46" s="28">
        <f>'Net zero emission reductions'!AP1465</f>
        <v>3.3416218325340545</v>
      </c>
      <c r="BK46" s="28">
        <f>'Net zero emission reductions'!AQ1465</f>
        <v>3.3579892051532951</v>
      </c>
      <c r="BL46" s="28">
        <f>'Net zero emission reductions'!AR1465</f>
        <v>3.3742745430296259</v>
      </c>
      <c r="BM46" s="28">
        <f>'Net zero emission reductions'!AS1465</f>
        <v>3.391159054333535</v>
      </c>
      <c r="BN46" s="28">
        <f>'Net zero emission reductions'!AT1465</f>
        <v>3.4080465074409378</v>
      </c>
      <c r="BO46" s="28">
        <f>'Net zero emission reductions'!AU1465</f>
        <v>3.4185237567194666</v>
      </c>
      <c r="BP46" s="28">
        <f>'Net zero emission reductions'!AV1465</f>
        <v>3.4284835774948501</v>
      </c>
      <c r="BQ46" s="28">
        <f>'Net zero emission reductions'!AW1465</f>
        <v>3.439174974977584</v>
      </c>
    </row>
    <row r="47" spans="1:72" x14ac:dyDescent="0.25">
      <c r="A47" s="102" t="str">
        <f t="shared" si="27"/>
        <v>FSFAGSPQNIBDDSCM U&amp;D</v>
      </c>
      <c r="B47" s="102" t="str">
        <f t="shared" si="28"/>
        <v>FSFAGSPQNIBDDSCM</v>
      </c>
      <c r="C47" s="102" t="s">
        <v>1337</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8">
        <f>'Emissions summary'!F47</f>
        <v>40.425280591433946</v>
      </c>
      <c r="J47" s="28">
        <f>'Emissions summary'!G47</f>
        <v>39.655855375514953</v>
      </c>
      <c r="K47" s="28">
        <f>'Emissions summary'!H47</f>
        <v>39.269963203010875</v>
      </c>
      <c r="L47" s="28">
        <f>'Emissions summary'!I47</f>
        <v>37.449084903585295</v>
      </c>
      <c r="M47" s="28">
        <f>'Emissions summary'!J47</f>
        <v>36.817343250357858</v>
      </c>
      <c r="N47" s="28">
        <f>'Emissions summary'!K47</f>
        <v>36.936189905927051</v>
      </c>
      <c r="O47" s="28">
        <f>'Emissions summary'!L47</f>
        <v>37.924567366369672</v>
      </c>
      <c r="P47" s="28">
        <f>'Emissions summary'!M47</f>
        <v>38.691122821634551</v>
      </c>
      <c r="Q47" s="28">
        <f>'Emissions summary'!N47</f>
        <v>39.306588985945346</v>
      </c>
      <c r="R47" s="28">
        <f>'Emissions summary'!O47</f>
        <v>39.158195612778492</v>
      </c>
      <c r="S47" s="28">
        <f>'Emissions summary'!P47</f>
        <v>37.874148422214795</v>
      </c>
      <c r="T47" s="28">
        <f>'Emissions summary'!Q47</f>
        <v>37.594392019460763</v>
      </c>
      <c r="U47" s="28">
        <f>'Emissions summary'!R47</f>
        <v>37.094637763656323</v>
      </c>
      <c r="V47" s="28">
        <f>'Emissions summary'!S47</f>
        <v>37.505204714428423</v>
      </c>
      <c r="W47" s="28">
        <f>'Emissions summary'!T47</f>
        <v>37.280820907568433</v>
      </c>
      <c r="X47" s="28">
        <f>'Emissions summary'!U47</f>
        <v>37.197164092704128</v>
      </c>
      <c r="Y47" s="28">
        <f>'Emissions summary'!V47</f>
        <v>37.060718523204258</v>
      </c>
      <c r="Z47" s="28">
        <f>'Emissions summary'!W47</f>
        <v>37.867172144279415</v>
      </c>
      <c r="AA47" s="28">
        <f>'Emissions summary'!X47</f>
        <v>37.589440908384148</v>
      </c>
      <c r="AB47" s="28">
        <f>'Emissions summary'!Y47</f>
        <v>37.213052114334651</v>
      </c>
      <c r="AC47" s="28">
        <f>'Emissions summary'!Z47</f>
        <v>36.852039924544918</v>
      </c>
      <c r="AD47" s="28">
        <f>'Emissions summary'!AA47</f>
        <v>36.70999987940661</v>
      </c>
      <c r="AE47" s="101">
        <f>IF($A47="Baseline",'Emissions summary'!AB47,SUMIF('Net zero emission reductions'!$A$4:$A$1448,$A$47,'Net zero emission reductions'!K$4:K$1448))</f>
        <v>35.521729894987658</v>
      </c>
      <c r="AF47" s="101">
        <f>IF($A47="Baseline",'Emissions summary'!AC47,SUMIF('Net zero emission reductions'!$A$4:$A$1448,$A$47,'Net zero emission reductions'!L$4:L$1448))</f>
        <v>35.415743172250174</v>
      </c>
      <c r="AG47" s="101">
        <f>IF($A47="Baseline",'Emissions summary'!AD47,SUMIF('Net zero emission reductions'!$A$4:$A$1448,$A$47,'Net zero emission reductions'!M$4:M$1448))</f>
        <v>35.20837554452438</v>
      </c>
      <c r="AH47" s="101">
        <f>IF($A47="Baseline",'Emissions summary'!AE47,SUMIF('Net zero emission reductions'!$A$4:$A$1448,$A$47,'Net zero emission reductions'!N$4:N$1448))</f>
        <v>34.589497301469926</v>
      </c>
      <c r="AI47" s="101">
        <f>IF($A47="Baseline",'Emissions summary'!AF47,SUMIF('Net zero emission reductions'!$A$4:$A$1448,$A$47,'Net zero emission reductions'!O$4:O$1448))</f>
        <v>34.002866749164525</v>
      </c>
      <c r="AJ47" s="101">
        <f>IF($A47="Baseline",'Emissions summary'!AG47,SUMIF('Net zero emission reductions'!$A$4:$A$1448,$A$47,'Net zero emission reductions'!P$4:P$1448))</f>
        <v>33.848325658302485</v>
      </c>
      <c r="AK47" s="101">
        <f>IF($A47="Baseline",'Emissions summary'!AH47,SUMIF('Net zero emission reductions'!$A$4:$A$1448,$A$47,'Net zero emission reductions'!Q$4:Q$1448))</f>
        <v>33.569680946964937</v>
      </c>
      <c r="AL47" s="101">
        <f>IF($A47="Baseline",'Emissions summary'!AI47,SUMIF('Net zero emission reductions'!$A$4:$A$1448,$A$47,'Net zero emission reductions'!R$4:R$1448))</f>
        <v>32.87604507993688</v>
      </c>
      <c r="AM47" s="101">
        <f>IF($A47="Baseline",'Emissions summary'!AJ47,SUMIF('Net zero emission reductions'!$A$4:$A$1448,$A$47,'Net zero emission reductions'!S$4:S$1448))</f>
        <v>30.407391335128516</v>
      </c>
      <c r="AN47" s="101">
        <f>IF($A47="Baseline",'Emissions summary'!AK47,SUMIF('Net zero emission reductions'!$A$4:$A$1448,$A$47,'Net zero emission reductions'!T$4:T$1448))</f>
        <v>29.385079737909173</v>
      </c>
      <c r="AO47" s="101">
        <f>IF($A47="Baseline",'Emissions summary'!AL47,SUMIF('Net zero emission reductions'!$A$4:$A$1448,$A$47,'Net zero emission reductions'!U$4:U$1448))</f>
        <v>28.131924116345253</v>
      </c>
      <c r="AP47" s="101">
        <f>IF($A47="Baseline",'Emissions summary'!AM47,SUMIF('Net zero emission reductions'!$A$4:$A$1448,$A$47,'Net zero emission reductions'!V$4:V$1448))</f>
        <v>26.834292314381152</v>
      </c>
      <c r="AQ47" s="101">
        <f>IF($A47="Baseline",'Emissions summary'!AN47,SUMIF('Net zero emission reductions'!$A$4:$A$1448,$A$47,'Net zero emission reductions'!W$4:W$1448))</f>
        <v>25.598423297813156</v>
      </c>
      <c r="AR47" s="101">
        <f>IF($A47="Baseline",'Emissions summary'!AO47,SUMIF('Net zero emission reductions'!$A$4:$A$1448,$A$47,'Net zero emission reductions'!X$4:X$1448))</f>
        <v>24.539458864799499</v>
      </c>
      <c r="AS47" s="101">
        <f>IF($A47="Baseline",'Emissions summary'!AP47,SUMIF('Net zero emission reductions'!$A$4:$A$1448,$A$47,'Net zero emission reductions'!Y$4:Y$1448))</f>
        <v>23.466459209263981</v>
      </c>
      <c r="AT47" s="101">
        <f>IF($A47="Baseline",'Emissions summary'!AQ47,SUMIF('Net zero emission reductions'!$A$4:$A$1448,$A$47,'Net zero emission reductions'!Z$4:Z$1448))</f>
        <v>22.383929161148593</v>
      </c>
      <c r="AU47" s="101">
        <f>IF($A47="Baseline",'Emissions summary'!AR47,SUMIF('Net zero emission reductions'!$A$4:$A$1448,$A$47,'Net zero emission reductions'!AA$4:AA$1448))</f>
        <v>21.197106965719176</v>
      </c>
      <c r="AV47" s="101">
        <f>IF($A47="Baseline",'Emissions summary'!AS47,SUMIF('Net zero emission reductions'!$A$4:$A$1448,$A$47,'Net zero emission reductions'!AB$4:AB$1448))</f>
        <v>20.028681361273776</v>
      </c>
      <c r="AW47" s="101">
        <f>IF($A47="Baseline",'Emissions summary'!AT47,SUMIF('Net zero emission reductions'!$A$4:$A$1448,$A$47,'Net zero emission reductions'!AC$4:AC$1448))</f>
        <v>18.870629797863767</v>
      </c>
      <c r="AX47" s="101">
        <f>IF($A47="Baseline",'Emissions summary'!AU47,SUMIF('Net zero emission reductions'!$A$4:$A$1448,$A$47,'Net zero emission reductions'!AD$4:AD$1448))</f>
        <v>18.372696162262837</v>
      </c>
      <c r="AY47" s="101">
        <f>IF($A47="Baseline",'Emissions summary'!AV47,SUMIF('Net zero emission reductions'!$A$4:$A$1448,$A$47,'Net zero emission reductions'!AE$4:AE$1448))</f>
        <v>17.860617604517007</v>
      </c>
      <c r="AZ47" s="101">
        <f>IF($A47="Baseline",'Emissions summary'!AW47,SUMIF('Net zero emission reductions'!$A$4:$A$1448,$A$47,'Net zero emission reductions'!AF$4:AF$1448))</f>
        <v>17.32645114756232</v>
      </c>
      <c r="BA47" s="101">
        <f>IF($A47="Baseline",'Emissions summary'!AX47,SUMIF('Net zero emission reductions'!$A$4:$A$1448,$A$47,'Net zero emission reductions'!AG$4:AG$1448))</f>
        <v>16.796987158395961</v>
      </c>
      <c r="BB47" s="101">
        <f>IF($A47="Baseline",'Emissions summary'!AY47,SUMIF('Net zero emission reductions'!$A$4:$A$1448,$A$47,'Net zero emission reductions'!AH$4:AH$1448))</f>
        <v>16.20442198661868</v>
      </c>
      <c r="BC47" s="101">
        <f>IF($A47="Baseline",'Emissions summary'!AZ47,SUMIF('Net zero emission reductions'!$A$4:$A$1448,$A$47,'Net zero emission reductions'!AI$4:AI$1448))</f>
        <v>15.595931168590106</v>
      </c>
      <c r="BD47" s="101">
        <f>IF($A47="Baseline",'Emissions summary'!BA47,SUMIF('Net zero emission reductions'!$A$4:$A$1448,$A$47,'Net zero emission reductions'!AJ$4:AJ$1448))</f>
        <v>14.970452270516393</v>
      </c>
      <c r="BE47" s="101">
        <f>IF($A47="Baseline",'Emissions summary'!BB47,SUMIF('Net zero emission reductions'!$A$4:$A$1448,$A$47,'Net zero emission reductions'!AK$4:AK$1448))</f>
        <v>14.318770296966688</v>
      </c>
      <c r="BF47" s="101">
        <f>IF($A47="Baseline",'Emissions summary'!BC47,SUMIF('Net zero emission reductions'!$A$4:$A$1448,$A$47,'Net zero emission reductions'!AL$4:AL$1448))</f>
        <v>13.653592795581822</v>
      </c>
      <c r="BG47" s="101">
        <f>IF($A47="Baseline",'Emissions summary'!BD47,SUMIF('Net zero emission reductions'!$A$4:$A$1448,$A$47,'Net zero emission reductions'!AM$4:AM$1448))</f>
        <v>12.982379109121013</v>
      </c>
      <c r="BH47" s="101">
        <f>IF($A47="Baseline",'Emissions summary'!BE47,SUMIF('Net zero emission reductions'!$A$4:$A$1448,$A$47,'Net zero emission reductions'!AN$4:AN$1448))</f>
        <v>12.609506803560903</v>
      </c>
      <c r="BI47" s="101">
        <f>IF($A47="Baseline",'Emissions summary'!BF47,SUMIF('Net zero emission reductions'!$A$4:$A$1448,$A$47,'Net zero emission reductions'!AO$4:AO$1448))</f>
        <v>12.219453980758686</v>
      </c>
      <c r="BJ47" s="101">
        <f>IF($A47="Baseline",'Emissions summary'!BG47,SUMIF('Net zero emission reductions'!$A$4:$A$1448,$A$47,'Net zero emission reductions'!AP$4:AP$1448))</f>
        <v>11.821968563300247</v>
      </c>
      <c r="BK47" s="101">
        <f>IF($A47="Baseline",'Emissions summary'!BH47,SUMIF('Net zero emission reductions'!$A$4:$A$1448,$A$47,'Net zero emission reductions'!AQ$4:AQ$1448))</f>
        <v>11.417905668315697</v>
      </c>
      <c r="BL47" s="101">
        <f>IF($A47="Baseline",'Emissions summary'!BI47,SUMIF('Net zero emission reductions'!$A$4:$A$1448,$A$47,'Net zero emission reductions'!AR$4:AR$1448))</f>
        <v>11.010479946668077</v>
      </c>
      <c r="BM47" s="101">
        <f>IF($A47="Baseline",'Emissions summary'!BJ47,SUMIF('Net zero emission reductions'!$A$4:$A$1448,$A$47,'Net zero emission reductions'!AS$4:AS$1448))</f>
        <v>10.588770988931266</v>
      </c>
      <c r="BN47" s="101">
        <f>IF($A47="Baseline",'Emissions summary'!BK47,SUMIF('Net zero emission reductions'!$A$4:$A$1448,$A$47,'Net zero emission reductions'!AT$4:AT$1448))</f>
        <v>10.149806757728685</v>
      </c>
      <c r="BO47" s="101">
        <f>IF($A47="Baseline",'Emissions summary'!BL47,SUMIF('Net zero emission reductions'!$A$4:$A$1448,$A$47,'Net zero emission reductions'!AU$4:AU$1448))</f>
        <v>9.7173669123534019</v>
      </c>
      <c r="BP47" s="101">
        <f>IF($A47="Baseline",'Emissions summary'!BM47,SUMIF('Net zero emission reductions'!$A$4:$A$1448,$A$47,'Net zero emission reductions'!AV$4:AV$1448))</f>
        <v>9.293112307437239</v>
      </c>
      <c r="BQ47" s="101">
        <f>IF($A47="Baseline",'Emissions summary'!BN47,SUMIF('Net zero emission reductions'!$A$4:$A$1448,$A$47,'Net zero emission reductions'!AW$4:AW$1448))</f>
        <v>8.876556291631136</v>
      </c>
    </row>
    <row r="48" spans="1:72" x14ac:dyDescent="0.25">
      <c r="A48" s="102" t="str">
        <f t="shared" si="27"/>
        <v>FSFAGSPQNIBDDSCM FSOM</v>
      </c>
      <c r="B48" s="102" t="str">
        <f t="shared" si="28"/>
        <v>FSFAGSPQNIBDDSCM</v>
      </c>
      <c r="C48" s="103" t="s">
        <v>60</v>
      </c>
      <c r="D48" t="str">
        <f t="shared" si="29"/>
        <v>3C Aggregated and non-CO2 emissions on land</v>
      </c>
      <c r="E48" t="str">
        <f t="shared" si="29"/>
        <v>3C4 Direct N2O from managed soils (N2O)</v>
      </c>
      <c r="F48" t="str">
        <f>'IPCC Categories'!C77</f>
        <v>FSOM</v>
      </c>
      <c r="G48" t="str">
        <f t="shared" si="30"/>
        <v>N2O</v>
      </c>
      <c r="H48" t="str">
        <f t="shared" si="30"/>
        <v>Gg N2O</v>
      </c>
      <c r="I48" s="28">
        <f>'Emissions summary'!F48</f>
        <v>0</v>
      </c>
      <c r="J48" s="28">
        <f>'Emissions summary'!G48</f>
        <v>0.38737090084859693</v>
      </c>
      <c r="K48" s="28">
        <f>'Emissions summary'!H48</f>
        <v>0.38737090084859693</v>
      </c>
      <c r="L48" s="28">
        <f>'Emissions summary'!I48</f>
        <v>0.38737090084859693</v>
      </c>
      <c r="M48" s="28">
        <f>'Emissions summary'!J48</f>
        <v>0.38737090084859693</v>
      </c>
      <c r="N48" s="28">
        <f>'Emissions summary'!K48</f>
        <v>0.38737090084859693</v>
      </c>
      <c r="O48" s="28">
        <f>'Emissions summary'!L48</f>
        <v>0.38737090084859693</v>
      </c>
      <c r="P48" s="28">
        <f>'Emissions summary'!M48</f>
        <v>0.38737090084859693</v>
      </c>
      <c r="Q48" s="28">
        <f>'Emissions summary'!N48</f>
        <v>0.38737090084859693</v>
      </c>
      <c r="R48" s="28">
        <f>'Emissions summary'!O48</f>
        <v>0.38737090084859693</v>
      </c>
      <c r="S48" s="28">
        <f>'Emissions summary'!P48</f>
        <v>0.38737090084859693</v>
      </c>
      <c r="T48" s="28">
        <f>'Emissions summary'!Q48</f>
        <v>0.38737090084859693</v>
      </c>
      <c r="U48" s="28">
        <f>'Emissions summary'!R48</f>
        <v>0.38737090084859693</v>
      </c>
      <c r="V48" s="28">
        <f>'Emissions summary'!S48</f>
        <v>0.38737090084859693</v>
      </c>
      <c r="W48" s="28">
        <f>'Emissions summary'!T48</f>
        <v>0.38737090084859693</v>
      </c>
      <c r="X48" s="28">
        <f>'Emissions summary'!U48</f>
        <v>0.38737090084859693</v>
      </c>
      <c r="Y48" s="28">
        <f>'Emissions summary'!V48</f>
        <v>0.38737090084859693</v>
      </c>
      <c r="Z48" s="28">
        <f>'Emissions summary'!W48</f>
        <v>0.38737090084859693</v>
      </c>
      <c r="AA48" s="28">
        <f>'Emissions summary'!X48</f>
        <v>0.38737090084859693</v>
      </c>
      <c r="AB48" s="28">
        <f>'Emissions summary'!Y48</f>
        <v>0.38737090084859693</v>
      </c>
      <c r="AC48" s="28">
        <f>'Emissions summary'!Z48</f>
        <v>0.38737090084859693</v>
      </c>
      <c r="AD48" s="28">
        <f>'Emissions summary'!AA48</f>
        <v>0.38737090084859693</v>
      </c>
      <c r="AE48" s="28">
        <f>SUM('Net zero emission reductions'!K1498:K1509)</f>
        <v>4.3269580366320675</v>
      </c>
      <c r="AF48" s="28">
        <f>SUM('Net zero emission reductions'!L1498:L1509)</f>
        <v>4.3280898923408078</v>
      </c>
      <c r="AG48" s="28">
        <f>SUM('Net zero emission reductions'!M1498:M1509)</f>
        <v>4.329221748049549</v>
      </c>
      <c r="AH48" s="28">
        <f>SUM('Net zero emission reductions'!N1498:N1509)</f>
        <v>4.3303536037582893</v>
      </c>
      <c r="AI48" s="28">
        <f>SUM('Net zero emission reductions'!O1498:O1509)</f>
        <v>4.3314854594670296</v>
      </c>
      <c r="AJ48" s="28">
        <f>SUM('Net zero emission reductions'!P1498:P1509)</f>
        <v>4.3326173151757708</v>
      </c>
      <c r="AK48" s="28">
        <f>SUM('Net zero emission reductions'!Q1498:Q1509)</f>
        <v>4.3337491708845111</v>
      </c>
      <c r="AL48" s="28">
        <f>SUM('Net zero emission reductions'!R1498:R1509)</f>
        <v>4.3348810265932514</v>
      </c>
      <c r="AM48" s="28">
        <f>SUM('Net zero emission reductions'!S1498:S1509)</f>
        <v>4.3360128823019917</v>
      </c>
      <c r="AN48" s="28">
        <f>SUM('Net zero emission reductions'!T1498:T1509)</f>
        <v>4.337144738010732</v>
      </c>
      <c r="AO48" s="28">
        <f>SUM('Net zero emission reductions'!U1498:U1509)</f>
        <v>4.3382765937194723</v>
      </c>
      <c r="AP48" s="28">
        <f>SUM('Net zero emission reductions'!V1498:V1509)</f>
        <v>4.3394084494282135</v>
      </c>
      <c r="AQ48" s="28">
        <f>SUM('Net zero emission reductions'!W1498:W1509)</f>
        <v>4.3405403051369538</v>
      </c>
      <c r="AR48" s="28">
        <f>SUM('Net zero emission reductions'!X1498:X1509)</f>
        <v>4.341672160845695</v>
      </c>
      <c r="AS48" s="28">
        <f>SUM('Net zero emission reductions'!Y1498:Y1509)</f>
        <v>4.3428040165544353</v>
      </c>
      <c r="AT48" s="28">
        <f>SUM('Net zero emission reductions'!Z1498:Z1509)</f>
        <v>4.3439358722631756</v>
      </c>
      <c r="AU48" s="28">
        <f>SUM('Net zero emission reductions'!AA1498:AA1509)</f>
        <v>4.3450677279719159</v>
      </c>
      <c r="AV48" s="28">
        <f>SUM('Net zero emission reductions'!AB1498:AB1509)</f>
        <v>4.3461995836806562</v>
      </c>
      <c r="AW48" s="28">
        <f>SUM('Net zero emission reductions'!AC1498:AC1509)</f>
        <v>4.3473314393893974</v>
      </c>
      <c r="AX48" s="28">
        <f>SUM('Net zero emission reductions'!AD1498:AD1509)</f>
        <v>4.3484632950981377</v>
      </c>
      <c r="AY48" s="28">
        <f>SUM('Net zero emission reductions'!AE1498:AE1509)</f>
        <v>4.349595150806878</v>
      </c>
      <c r="AZ48" s="28">
        <f>SUM('Net zero emission reductions'!AF1498:AF1509)</f>
        <v>4.3507270065156192</v>
      </c>
      <c r="BA48" s="28">
        <f>SUM('Net zero emission reductions'!AG1498:AG1509)</f>
        <v>4.3518588622243595</v>
      </c>
      <c r="BB48" s="28">
        <f>SUM('Net zero emission reductions'!AH1498:AH1509)</f>
        <v>4.3529907179330998</v>
      </c>
      <c r="BC48" s="28">
        <f>SUM('Net zero emission reductions'!AI1498:AI1509)</f>
        <v>4.3541225736418401</v>
      </c>
      <c r="BD48" s="28">
        <f>SUM('Net zero emission reductions'!AJ1498:AJ1509)</f>
        <v>4.3552544293505804</v>
      </c>
      <c r="BE48" s="28">
        <f>SUM('Net zero emission reductions'!AK1498:AK1509)</f>
        <v>4.3563862850593216</v>
      </c>
      <c r="BF48" s="28">
        <f>SUM('Net zero emission reductions'!AL1498:AL1509)</f>
        <v>4.3575181407680619</v>
      </c>
      <c r="BG48" s="28">
        <f>SUM('Net zero emission reductions'!AM1498:AM1509)</f>
        <v>4.3586499964768022</v>
      </c>
      <c r="BH48" s="28">
        <f>SUM('Net zero emission reductions'!AN1498:AN1509)</f>
        <v>4.3597818521855434</v>
      </c>
      <c r="BI48" s="28">
        <f>SUM('Net zero emission reductions'!AO1498:AO1509)</f>
        <v>4.3609137078942837</v>
      </c>
      <c r="BJ48" s="28">
        <f>SUM('Net zero emission reductions'!AP1498:AP1509)</f>
        <v>4.362045563603024</v>
      </c>
      <c r="BK48" s="28">
        <f>SUM('Net zero emission reductions'!AQ1498:AQ1509)</f>
        <v>4.3631774193117643</v>
      </c>
      <c r="BL48" s="28">
        <f>SUM('Net zero emission reductions'!AR1498:AR1509)</f>
        <v>4.3643092750205046</v>
      </c>
      <c r="BM48" s="28">
        <f>SUM('Net zero emission reductions'!AS1498:AS1509)</f>
        <v>4.3654411307292458</v>
      </c>
      <c r="BN48" s="28">
        <f>SUM('Net zero emission reductions'!AT1498:AT1509)</f>
        <v>4.3665729864379861</v>
      </c>
      <c r="BO48" s="28">
        <f>SUM('Net zero emission reductions'!AU1498:AU1509)</f>
        <v>4.3677048421467273</v>
      </c>
      <c r="BP48" s="28">
        <f>SUM('Net zero emission reductions'!AV1498:AV1509)</f>
        <v>4.3688366978554676</v>
      </c>
      <c r="BQ48" s="28">
        <f>SUM('Net zero emission reductions'!AW1498:AW1509)</f>
        <v>4.3699685535642079</v>
      </c>
    </row>
    <row r="49" spans="1:75" s="19" customFormat="1" ht="15.75" x14ac:dyDescent="0.25">
      <c r="A49" s="104"/>
      <c r="B49" s="104"/>
      <c r="C49" s="104"/>
      <c r="D49" s="19" t="str">
        <f t="shared" si="29"/>
        <v>3C Aggregated and non-CO2 emissions on land</v>
      </c>
      <c r="E49" s="19" t="str">
        <f>'IPCC Categories'!B78</f>
        <v>3C5 Indirect N2O from managed soils (N2O)</v>
      </c>
      <c r="F49" s="19" t="s">
        <v>148</v>
      </c>
      <c r="G49" s="19" t="str">
        <f t="shared" si="30"/>
        <v>N2O</v>
      </c>
      <c r="H49" s="19" t="str">
        <f t="shared" si="30"/>
        <v>Gg N2O</v>
      </c>
      <c r="I49" s="47">
        <f>SUM(I50:I51)</f>
        <v>7.2080814517834266</v>
      </c>
      <c r="J49" s="47">
        <f t="shared" ref="J49:AE49" si="31">SUM(J50:J51)</f>
        <v>7.1345099865500927</v>
      </c>
      <c r="K49" s="47">
        <f t="shared" si="31"/>
        <v>6.99786412512554</v>
      </c>
      <c r="L49" s="47">
        <f t="shared" si="31"/>
        <v>6.8588909130254319</v>
      </c>
      <c r="M49" s="47">
        <f t="shared" si="31"/>
        <v>6.679602845791754</v>
      </c>
      <c r="N49" s="47">
        <f t="shared" si="31"/>
        <v>6.6534582978194159</v>
      </c>
      <c r="O49" s="47">
        <f t="shared" si="31"/>
        <v>6.8804585865565491</v>
      </c>
      <c r="P49" s="47">
        <f t="shared" si="31"/>
        <v>6.951262387234447</v>
      </c>
      <c r="Q49" s="47">
        <f t="shared" si="31"/>
        <v>7.0501121079701523</v>
      </c>
      <c r="R49" s="47">
        <f t="shared" si="31"/>
        <v>7.0310583897046115</v>
      </c>
      <c r="S49" s="47">
        <f t="shared" si="31"/>
        <v>6.9539885376975494</v>
      </c>
      <c r="T49" s="47">
        <f t="shared" si="31"/>
        <v>6.8347507783671411</v>
      </c>
      <c r="U49" s="47">
        <f t="shared" si="31"/>
        <v>6.9330762409780968</v>
      </c>
      <c r="V49" s="47">
        <f t="shared" si="31"/>
        <v>6.8626749309901376</v>
      </c>
      <c r="W49" s="47">
        <f t="shared" si="31"/>
        <v>6.8083480354019672</v>
      </c>
      <c r="X49" s="47">
        <f t="shared" si="31"/>
        <v>6.684349427481286</v>
      </c>
      <c r="Y49" s="47">
        <f t="shared" si="31"/>
        <v>6.7803417478590298</v>
      </c>
      <c r="Z49" s="47">
        <f t="shared" si="31"/>
        <v>6.9394221477721096</v>
      </c>
      <c r="AA49" s="47">
        <f t="shared" si="31"/>
        <v>6.954986168244754</v>
      </c>
      <c r="AB49" s="47">
        <f t="shared" si="31"/>
        <v>6.9329479113600767</v>
      </c>
      <c r="AC49" s="47">
        <f t="shared" si="31"/>
        <v>6.7915965417835125</v>
      </c>
      <c r="AD49" s="47">
        <f t="shared" si="31"/>
        <v>6.808083773512462</v>
      </c>
      <c r="AE49" s="47">
        <f t="shared" si="31"/>
        <v>6.633800481872985</v>
      </c>
      <c r="AF49" s="47">
        <f t="shared" ref="AF49:BQ49" si="32">SUM(AF50:AF51)</f>
        <v>6.6300248267811659</v>
      </c>
      <c r="AG49" s="47">
        <f t="shared" si="32"/>
        <v>6.6118046559748906</v>
      </c>
      <c r="AH49" s="47">
        <f t="shared" si="32"/>
        <v>6.5324355505546023</v>
      </c>
      <c r="AI49" s="47">
        <f t="shared" si="32"/>
        <v>6.4578264666276128</v>
      </c>
      <c r="AJ49" s="47">
        <f t="shared" si="32"/>
        <v>6.4483932144501388</v>
      </c>
      <c r="AK49" s="47">
        <f t="shared" si="32"/>
        <v>6.4207001632068428</v>
      </c>
      <c r="AL49" s="47">
        <f t="shared" si="32"/>
        <v>6.3302110217987337</v>
      </c>
      <c r="AM49" s="47">
        <f t="shared" si="32"/>
        <v>5.9687705788870877</v>
      </c>
      <c r="AN49" s="47">
        <f t="shared" si="32"/>
        <v>5.8483797975126972</v>
      </c>
      <c r="AO49" s="47">
        <f t="shared" si="32"/>
        <v>5.6930292625289898</v>
      </c>
      <c r="AP49" s="47">
        <f t="shared" si="32"/>
        <v>5.5296644730091291</v>
      </c>
      <c r="AQ49" s="47">
        <f t="shared" si="32"/>
        <v>5.3753577546581139</v>
      </c>
      <c r="AR49" s="47">
        <f t="shared" si="32"/>
        <v>5.2504115456250098</v>
      </c>
      <c r="AS49" s="47">
        <f t="shared" si="32"/>
        <v>5.1240063601924533</v>
      </c>
      <c r="AT49" s="47">
        <f t="shared" si="32"/>
        <v>4.9974092509610273</v>
      </c>
      <c r="AU49" s="47">
        <f t="shared" si="32"/>
        <v>4.8532177805081389</v>
      </c>
      <c r="AV49" s="47">
        <f t="shared" si="32"/>
        <v>4.7137555492252075</v>
      </c>
      <c r="AW49" s="47">
        <f t="shared" si="32"/>
        <v>4.5788444347659514</v>
      </c>
      <c r="AX49" s="47">
        <f t="shared" si="32"/>
        <v>4.5172958560384329</v>
      </c>
      <c r="AY49" s="47">
        <f t="shared" si="32"/>
        <v>4.4537643231361859</v>
      </c>
      <c r="AZ49" s="47">
        <f t="shared" si="32"/>
        <v>4.3864547476065203</v>
      </c>
      <c r="BA49" s="47">
        <f t="shared" si="32"/>
        <v>4.3215761241548964</v>
      </c>
      <c r="BB49" s="47">
        <f t="shared" si="32"/>
        <v>4.2428029689799889</v>
      </c>
      <c r="BC49" s="47">
        <f t="shared" si="32"/>
        <v>4.1613585420083732</v>
      </c>
      <c r="BD49" s="47">
        <f t="shared" si="32"/>
        <v>4.0763691387847985</v>
      </c>
      <c r="BE49" s="47">
        <f t="shared" si="32"/>
        <v>3.9847025216391705</v>
      </c>
      <c r="BF49" s="47">
        <f t="shared" si="32"/>
        <v>3.8892386846205342</v>
      </c>
      <c r="BG49" s="47">
        <f t="shared" si="32"/>
        <v>3.7919782380560156</v>
      </c>
      <c r="BH49" s="47">
        <f t="shared" si="32"/>
        <v>3.7685370735147359</v>
      </c>
      <c r="BI49" s="47">
        <f t="shared" si="32"/>
        <v>3.7405577111161921</v>
      </c>
      <c r="BJ49" s="47">
        <f t="shared" si="32"/>
        <v>3.7113508546438996</v>
      </c>
      <c r="BK49" s="47">
        <f t="shared" si="32"/>
        <v>3.6810701910374979</v>
      </c>
      <c r="BL49" s="47">
        <f t="shared" si="32"/>
        <v>3.6515729804947452</v>
      </c>
      <c r="BM49" s="47">
        <f t="shared" si="32"/>
        <v>3.6197388593315312</v>
      </c>
      <c r="BN49" s="47">
        <f t="shared" si="32"/>
        <v>3.5713117916520636</v>
      </c>
      <c r="BO49" s="47">
        <f t="shared" si="32"/>
        <v>3.5220074982780938</v>
      </c>
      <c r="BP49" s="47">
        <f t="shared" si="32"/>
        <v>3.4749473435722291</v>
      </c>
      <c r="BQ49" s="47">
        <f t="shared" si="32"/>
        <v>3.4274753656080952</v>
      </c>
      <c r="BT49"/>
    </row>
    <row r="50" spans="1:75" x14ac:dyDescent="0.25">
      <c r="A50" s="102" t="str">
        <f t="shared" ref="A50:A51" si="33">B50&amp;" "&amp;C50</f>
        <v>FSFAGSPQNIBDDSCM Volatilisation</v>
      </c>
      <c r="B50" s="102" t="str">
        <f t="shared" ref="B50:B51" si="34">$B$5</f>
        <v>FSFAGSPQNIBDDSCM</v>
      </c>
      <c r="C50" s="102"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8">
        <f>'Emissions summary'!F50</f>
        <v>6.8720417689132818</v>
      </c>
      <c r="J50" s="28">
        <f>'Emissions summary'!G50</f>
        <v>6.8040222344896497</v>
      </c>
      <c r="K50" s="28">
        <f>'Emissions summary'!H50</f>
        <v>6.6643977129961947</v>
      </c>
      <c r="L50" s="28">
        <f>'Emissions summary'!I50</f>
        <v>6.5132288952449562</v>
      </c>
      <c r="M50" s="28">
        <f>'Emissions summary'!J50</f>
        <v>6.3389751728110557</v>
      </c>
      <c r="N50" s="28">
        <f>'Emissions summary'!K50</f>
        <v>6.3489504371997398</v>
      </c>
      <c r="O50" s="28">
        <f>'Emissions summary'!L50</f>
        <v>6.5566463010257543</v>
      </c>
      <c r="P50" s="28">
        <f>'Emissions summary'!M50</f>
        <v>6.61702309908204</v>
      </c>
      <c r="Q50" s="28">
        <f>'Emissions summary'!N50</f>
        <v>6.7293674524998952</v>
      </c>
      <c r="R50" s="28">
        <f>'Emissions summary'!O50</f>
        <v>6.7076931438692604</v>
      </c>
      <c r="S50" s="28">
        <f>'Emissions summary'!P50</f>
        <v>6.6027983988771712</v>
      </c>
      <c r="T50" s="28">
        <f>'Emissions summary'!Q50</f>
        <v>6.5144595089601776</v>
      </c>
      <c r="U50" s="28">
        <f>'Emissions summary'!R50</f>
        <v>6.5954294578551265</v>
      </c>
      <c r="V50" s="28">
        <f>'Emissions summary'!S50</f>
        <v>6.5294565039113515</v>
      </c>
      <c r="W50" s="28">
        <f>'Emissions summary'!T50</f>
        <v>6.4916814592424021</v>
      </c>
      <c r="X50" s="28">
        <f>'Emissions summary'!U50</f>
        <v>6.363645089123743</v>
      </c>
      <c r="Y50" s="28">
        <f>'Emissions summary'!V50</f>
        <v>6.4962285418853707</v>
      </c>
      <c r="Z50" s="28">
        <f>'Emissions summary'!W50</f>
        <v>6.620266001326284</v>
      </c>
      <c r="AA50" s="28">
        <f>'Emissions summary'!X50</f>
        <v>6.6126572032019997</v>
      </c>
      <c r="AB50" s="28">
        <f>'Emissions summary'!Y50</f>
        <v>6.6065735112105326</v>
      </c>
      <c r="AC50" s="28">
        <f>'Emissions summary'!Z50</f>
        <v>6.4556027997102001</v>
      </c>
      <c r="AD50" s="28">
        <f>'Emissions summary'!AA50</f>
        <v>6.4799963389801611</v>
      </c>
      <c r="AE50" s="101">
        <f>IF($A50="Baseline",'Emissions summary'!AB50,SUMIF('Net zero emission reductions'!$A$4:$A$1448,$A$50,'Net zero emission reductions'!K$4:K$1448))</f>
        <v>6.2848455756762895</v>
      </c>
      <c r="AF50" s="101">
        <f>IF($A50="Baseline",'Emissions summary'!AC50,SUMIF('Net zero emission reductions'!$A$4:$A$1448,$A$50,'Net zero emission reductions'!L$4:L$1448))</f>
        <v>6.2799845239496435</v>
      </c>
      <c r="AG50" s="101">
        <f>IF($A50="Baseline",'Emissions summary'!AD50,SUMIF('Net zero emission reductions'!$A$4:$A$1448,$A$50,'Net zero emission reductions'!M$4:M$1448))</f>
        <v>6.2612676877171083</v>
      </c>
      <c r="AH50" s="101">
        <f>IF($A50="Baseline",'Emissions summary'!AE50,SUMIF('Net zero emission reductions'!$A$4:$A$1448,$A$50,'Net zero emission reductions'!N$4:N$1448))</f>
        <v>6.1844433244083916</v>
      </c>
      <c r="AI50" s="101">
        <f>IF($A50="Baseline",'Emissions summary'!AF50,SUMIF('Net zero emission reductions'!$A$4:$A$1448,$A$50,'Net zero emission reductions'!O$4:O$1448))</f>
        <v>6.1124213296519194</v>
      </c>
      <c r="AJ50" s="101">
        <f>IF($A50="Baseline",'Emissions summary'!AG50,SUMIF('Net zero emission reductions'!$A$4:$A$1448,$A$50,'Net zero emission reductions'!P$4:P$1448))</f>
        <v>6.1024591654485461</v>
      </c>
      <c r="AK50" s="101">
        <f>IF($A50="Baseline",'Emissions summary'!AH50,SUMIF('Net zero emission reductions'!$A$4:$A$1448,$A$50,'Net zero emission reductions'!Q$4:Q$1448))</f>
        <v>6.074945088338664</v>
      </c>
      <c r="AL50" s="101">
        <f>IF($A50="Baseline",'Emissions summary'!AI50,SUMIF('Net zero emission reductions'!$A$4:$A$1448,$A$50,'Net zero emission reductions'!R$4:R$1448))</f>
        <v>5.987833844012191</v>
      </c>
      <c r="AM50" s="101">
        <f>IF($A50="Baseline",'Emissions summary'!AJ50,SUMIF('Net zero emission reductions'!$A$4:$A$1448,$A$50,'Net zero emission reductions'!S$4:S$1448))</f>
        <v>5.6435939918419287</v>
      </c>
      <c r="AN50" s="101">
        <f>IF($A50="Baseline",'Emissions summary'!AK50,SUMIF('Net zero emission reductions'!$A$4:$A$1448,$A$50,'Net zero emission reductions'!T$4:T$1448))</f>
        <v>5.5294384950353859</v>
      </c>
      <c r="AO50" s="101">
        <f>IF($A50="Baseline",'Emissions summary'!AL50,SUMIF('Net zero emission reductions'!$A$4:$A$1448,$A$50,'Net zero emission reductions'!U$4:U$1448))</f>
        <v>5.3806759468414125</v>
      </c>
      <c r="AP50" s="101">
        <f>IF($A50="Baseline",'Emissions summary'!AM50,SUMIF('Net zero emission reductions'!$A$4:$A$1448,$A$50,'Net zero emission reductions'!V$4:V$1448))</f>
        <v>5.2245183613743542</v>
      </c>
      <c r="AQ50" s="101">
        <f>IF($A50="Baseline",'Emissions summary'!AN50,SUMIF('Net zero emission reductions'!$A$4:$A$1448,$A$50,'Net zero emission reductions'!W$4:W$1448))</f>
        <v>5.0770751426010534</v>
      </c>
      <c r="AR50" s="101">
        <f>IF($A50="Baseline",'Emissions summary'!AO50,SUMIF('Net zero emission reductions'!$A$4:$A$1448,$A$50,'Net zero emission reductions'!X$4:X$1448))</f>
        <v>4.9575251023824114</v>
      </c>
      <c r="AS50" s="101">
        <f>IF($A50="Baseline",'Emissions summary'!AP50,SUMIF('Net zero emission reductions'!$A$4:$A$1448,$A$50,'Net zero emission reductions'!Y$4:Y$1448))</f>
        <v>4.8364005060918851</v>
      </c>
      <c r="AT50" s="101">
        <f>IF($A50="Baseline",'Emissions summary'!AQ50,SUMIF('Net zero emission reductions'!$A$4:$A$1448,$A$50,'Net zero emission reductions'!Z$4:Z$1448))</f>
        <v>4.7151344620066542</v>
      </c>
      <c r="AU50" s="101">
        <f>IF($A50="Baseline",'Emissions summary'!AR50,SUMIF('Net zero emission reductions'!$A$4:$A$1448,$A$50,'Net zero emission reductions'!AA$4:AA$1448))</f>
        <v>4.5772363781712997</v>
      </c>
      <c r="AV50" s="101">
        <f>IF($A50="Baseline",'Emissions summary'!AS50,SUMIF('Net zero emission reductions'!$A$4:$A$1448,$A$50,'Net zero emission reductions'!AB$4:AB$1448))</f>
        <v>4.4439637591681027</v>
      </c>
      <c r="AW50" s="101">
        <f>IF($A50="Baseline",'Emissions summary'!AT50,SUMIF('Net zero emission reductions'!$A$4:$A$1448,$A$50,'Net zero emission reductions'!AC$4:AC$1448))</f>
        <v>4.3150219385833681</v>
      </c>
      <c r="AX50" s="101">
        <f>IF($A50="Baseline",'Emissions summary'!AU50,SUMIF('Net zero emission reductions'!$A$4:$A$1448,$A$50,'Net zero emission reductions'!AD$4:AD$1448))</f>
        <v>4.2557787070383331</v>
      </c>
      <c r="AY50" s="101">
        <f>IF($A50="Baseline",'Emissions summary'!AV50,SUMIF('Net zero emission reductions'!$A$4:$A$1448,$A$50,'Net zero emission reductions'!AE$4:AE$1448))</f>
        <v>4.1947506274762842</v>
      </c>
      <c r="AZ50" s="101">
        <f>IF($A50="Baseline",'Emissions summary'!AW50,SUMIF('Net zero emission reductions'!$A$4:$A$1448,$A$50,'Net zero emission reductions'!AF$4:AF$1448))</f>
        <v>4.1302041580535569</v>
      </c>
      <c r="BA50" s="101">
        <f>IF($A50="Baseline",'Emissions summary'!AX50,SUMIF('Net zero emission reductions'!$A$4:$A$1448,$A$50,'Net zero emission reductions'!AG$4:AG$1448))</f>
        <v>4.068036087965865</v>
      </c>
      <c r="BB50" s="101">
        <f>IF($A50="Baseline",'Emissions summary'!AY50,SUMIF('Net zero emission reductions'!$A$4:$A$1448,$A$50,'Net zero emission reductions'!AH$4:AH$1448))</f>
        <v>3.9927461245831832</v>
      </c>
      <c r="BC50" s="101">
        <f>IF($A50="Baseline",'Emissions summary'!AZ50,SUMIF('Net zero emission reductions'!$A$4:$A$1448,$A$50,'Net zero emission reductions'!AI$4:AI$1448))</f>
        <v>3.9150034844065313</v>
      </c>
      <c r="BD50" s="101">
        <f>IF($A50="Baseline",'Emissions summary'!BA50,SUMIF('Net zero emission reductions'!$A$4:$A$1448,$A$50,'Net zero emission reductions'!AJ$4:AJ$1448))</f>
        <v>3.8339772070723956</v>
      </c>
      <c r="BE50" s="101">
        <f>IF($A50="Baseline",'Emissions summary'!BB50,SUMIF('Net zero emission reductions'!$A$4:$A$1448,$A$50,'Net zero emission reductions'!AK$4:AK$1448))</f>
        <v>3.7467242625958601</v>
      </c>
      <c r="BF50" s="101">
        <f>IF($A50="Baseline",'Emissions summary'!BC50,SUMIF('Net zero emission reductions'!$A$4:$A$1448,$A$50,'Net zero emission reductions'!AL$4:AL$1448))</f>
        <v>3.6560070336583599</v>
      </c>
      <c r="BG50" s="101">
        <f>IF($A50="Baseline",'Emissions summary'!BD50,SUMIF('Net zero emission reductions'!$A$4:$A$1448,$A$50,'Net zero emission reductions'!AM$4:AM$1448))</f>
        <v>3.5637047930130183</v>
      </c>
      <c r="BH50" s="101">
        <f>IF($A50="Baseline",'Emissions summary'!BE50,SUMIF('Net zero emission reductions'!$A$4:$A$1448,$A$50,'Net zero emission reductions'!AN$4:AN$1448))</f>
        <v>3.5401415351132246</v>
      </c>
      <c r="BI50" s="101">
        <f>IF($A50="Baseline",'Emissions summary'!BF50,SUMIF('Net zero emission reductions'!$A$4:$A$1448,$A$50,'Net zero emission reductions'!AO$4:AO$1448))</f>
        <v>3.5122554299873157</v>
      </c>
      <c r="BJ50" s="101">
        <f>IF($A50="Baseline",'Emissions summary'!BG50,SUMIF('Net zero emission reductions'!$A$4:$A$1448,$A$50,'Net zero emission reductions'!AP$4:AP$1448))</f>
        <v>3.4832389573456579</v>
      </c>
      <c r="BK50" s="101">
        <f>IF($A50="Baseline",'Emissions summary'!BH50,SUMIF('Net zero emission reductions'!$A$4:$A$1448,$A$50,'Net zero emission reductions'!AQ$4:AQ$1448))</f>
        <v>3.4532036256866792</v>
      </c>
      <c r="BL50" s="101">
        <f>IF($A50="Baseline",'Emissions summary'!BI50,SUMIF('Net zero emission reductions'!$A$4:$A$1448,$A$50,'Net zero emission reductions'!AR$4:AR$1448))</f>
        <v>3.4239050279077268</v>
      </c>
      <c r="BM50" s="101">
        <f>IF($A50="Baseline",'Emissions summary'!BJ50,SUMIF('Net zero emission reductions'!$A$4:$A$1448,$A$50,'Net zero emission reductions'!AS$4:AS$1448))</f>
        <v>3.392286144891405</v>
      </c>
      <c r="BN50" s="101">
        <f>IF($A50="Baseline",'Emissions summary'!BK50,SUMIF('Net zero emission reductions'!$A$4:$A$1448,$A$50,'Net zero emission reductions'!AT$4:AT$1448))</f>
        <v>3.345009475832633</v>
      </c>
      <c r="BO50" s="101">
        <f>IF($A50="Baseline",'Emissions summary'!BL50,SUMIF('Net zero emission reductions'!$A$4:$A$1448,$A$50,'Net zero emission reductions'!AU$4:AU$1448))</f>
        <v>3.2971412668486497</v>
      </c>
      <c r="BP50" s="101">
        <f>IF($A50="Baseline",'Emissions summary'!BM50,SUMIF('Net zero emission reductions'!$A$4:$A$1448,$A$50,'Net zero emission reductions'!AV$4:AV$1448))</f>
        <v>3.2514290682408049</v>
      </c>
      <c r="BQ50" s="101">
        <f>IF($A50="Baseline",'Emissions summary'!BN50,SUMIF('Net zero emission reductions'!$A$4:$A$1448,$A$50,'Net zero emission reductions'!AW$4:AW$1448))</f>
        <v>3.2053305274769976</v>
      </c>
    </row>
    <row r="51" spans="1:75" x14ac:dyDescent="0.25">
      <c r="A51" s="102" t="str">
        <f t="shared" si="33"/>
        <v>FSFAGSPQNIBDDSCM Leaching</v>
      </c>
      <c r="B51" s="102" t="str">
        <f t="shared" si="34"/>
        <v>FSFAGSPQNIBDDSCM</v>
      </c>
      <c r="C51" s="102" t="s">
        <v>1191</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8">
        <f>'Emissions summary'!F51</f>
        <v>0.33603968287014491</v>
      </c>
      <c r="J51" s="28">
        <f>'Emissions summary'!G51</f>
        <v>0.33048775206044329</v>
      </c>
      <c r="K51" s="28">
        <f>'Emissions summary'!H51</f>
        <v>0.33346641212934491</v>
      </c>
      <c r="L51" s="28">
        <f>'Emissions summary'!I51</f>
        <v>0.34566201778047606</v>
      </c>
      <c r="M51" s="28">
        <f>'Emissions summary'!J51</f>
        <v>0.34062767298069813</v>
      </c>
      <c r="N51" s="28">
        <f>'Emissions summary'!K51</f>
        <v>0.30450786061967605</v>
      </c>
      <c r="O51" s="28">
        <f>'Emissions summary'!L51</f>
        <v>0.32381228553079472</v>
      </c>
      <c r="P51" s="28">
        <f>'Emissions summary'!M51</f>
        <v>0.33423928815240667</v>
      </c>
      <c r="Q51" s="28">
        <f>'Emissions summary'!N51</f>
        <v>0.32074465547025682</v>
      </c>
      <c r="R51" s="28">
        <f>'Emissions summary'!O51</f>
        <v>0.32336524583535148</v>
      </c>
      <c r="S51" s="28">
        <f>'Emissions summary'!P51</f>
        <v>0.35119013882037781</v>
      </c>
      <c r="T51" s="28">
        <f>'Emissions summary'!Q51</f>
        <v>0.32029126940696356</v>
      </c>
      <c r="U51" s="28">
        <f>'Emissions summary'!R51</f>
        <v>0.33764678312297075</v>
      </c>
      <c r="V51" s="28">
        <f>'Emissions summary'!S51</f>
        <v>0.33321842707878641</v>
      </c>
      <c r="W51" s="28">
        <f>'Emissions summary'!T51</f>
        <v>0.31666657615956528</v>
      </c>
      <c r="X51" s="28">
        <f>'Emissions summary'!U51</f>
        <v>0.32070433835754264</v>
      </c>
      <c r="Y51" s="28">
        <f>'Emissions summary'!V51</f>
        <v>0.28411320597365947</v>
      </c>
      <c r="Z51" s="28">
        <f>'Emissions summary'!W51</f>
        <v>0.31915614644582579</v>
      </c>
      <c r="AA51" s="28">
        <f>'Emissions summary'!X51</f>
        <v>0.34232896504275395</v>
      </c>
      <c r="AB51" s="28">
        <f>'Emissions summary'!Y51</f>
        <v>0.32637440014954389</v>
      </c>
      <c r="AC51" s="28">
        <f>'Emissions summary'!Z51</f>
        <v>0.33599374207331195</v>
      </c>
      <c r="AD51" s="28">
        <f>'Emissions summary'!AA51</f>
        <v>0.32808743453230077</v>
      </c>
      <c r="AE51" s="101">
        <f>IF($A51="Baseline",'Emissions summary'!AB51,SUMIF('Net zero emission reductions'!$A$4:$A$1448,$A$51,'Net zero emission reductions'!K$4:K$1448))</f>
        <v>0.34895490619669589</v>
      </c>
      <c r="AF51" s="101">
        <f>IF($A51="Baseline",'Emissions summary'!AC51,SUMIF('Net zero emission reductions'!$A$4:$A$1448,$A$51,'Net zero emission reductions'!L$4:L$1448))</f>
        <v>0.35004030283152227</v>
      </c>
      <c r="AG51" s="101">
        <f>IF($A51="Baseline",'Emissions summary'!AD51,SUMIF('Net zero emission reductions'!$A$4:$A$1448,$A$51,'Net zero emission reductions'!M$4:M$1448))</f>
        <v>0.35053696825778236</v>
      </c>
      <c r="AH51" s="101">
        <f>IF($A51="Baseline",'Emissions summary'!AE51,SUMIF('Net zero emission reductions'!$A$4:$A$1448,$A$51,'Net zero emission reductions'!N$4:N$1448))</f>
        <v>0.34799222614621084</v>
      </c>
      <c r="AI51" s="101">
        <f>IF($A51="Baseline",'Emissions summary'!AF51,SUMIF('Net zero emission reductions'!$A$4:$A$1448,$A$51,'Net zero emission reductions'!O$4:O$1448))</f>
        <v>0.34540513697569369</v>
      </c>
      <c r="AJ51" s="101">
        <f>IF($A51="Baseline",'Emissions summary'!AG51,SUMIF('Net zero emission reductions'!$A$4:$A$1448,$A$51,'Net zero emission reductions'!P$4:P$1448))</f>
        <v>0.34593404900159319</v>
      </c>
      <c r="AK51" s="101">
        <f>IF($A51="Baseline",'Emissions summary'!AH51,SUMIF('Net zero emission reductions'!$A$4:$A$1448,$A$51,'Net zero emission reductions'!Q$4:Q$1448))</f>
        <v>0.34575507486817841</v>
      </c>
      <c r="AL51" s="101">
        <f>IF($A51="Baseline",'Emissions summary'!AI51,SUMIF('Net zero emission reductions'!$A$4:$A$1448,$A$51,'Net zero emission reductions'!R$4:R$1448))</f>
        <v>0.34237717778654297</v>
      </c>
      <c r="AM51" s="101">
        <f>IF($A51="Baseline",'Emissions summary'!AJ51,SUMIF('Net zero emission reductions'!$A$4:$A$1448,$A$51,'Net zero emission reductions'!S$4:S$1448))</f>
        <v>0.32517658704515889</v>
      </c>
      <c r="AN51" s="101">
        <f>IF($A51="Baseline",'Emissions summary'!AK51,SUMIF('Net zero emission reductions'!$A$4:$A$1448,$A$51,'Net zero emission reductions'!T$4:T$1448))</f>
        <v>0.31894130247731134</v>
      </c>
      <c r="AO51" s="101">
        <f>IF($A51="Baseline",'Emissions summary'!AL51,SUMIF('Net zero emission reductions'!$A$4:$A$1448,$A$51,'Net zero emission reductions'!U$4:U$1448))</f>
        <v>0.31235331568757757</v>
      </c>
      <c r="AP51" s="101">
        <f>IF($A51="Baseline",'Emissions summary'!AM51,SUMIF('Net zero emission reductions'!$A$4:$A$1448,$A$51,'Net zero emission reductions'!V$4:V$1448))</f>
        <v>0.30514611163477501</v>
      </c>
      <c r="AQ51" s="101">
        <f>IF($A51="Baseline",'Emissions summary'!AN51,SUMIF('Net zero emission reductions'!$A$4:$A$1448,$A$51,'Net zero emission reductions'!W$4:W$1448))</f>
        <v>0.29828261205706058</v>
      </c>
      <c r="AR51" s="101">
        <f>IF($A51="Baseline",'Emissions summary'!AO51,SUMIF('Net zero emission reductions'!$A$4:$A$1448,$A$51,'Net zero emission reductions'!X$4:X$1448))</f>
        <v>0.29288644324259827</v>
      </c>
      <c r="AS51" s="101">
        <f>IF($A51="Baseline",'Emissions summary'!AP51,SUMIF('Net zero emission reductions'!$A$4:$A$1448,$A$51,'Net zero emission reductions'!Y$4:Y$1448))</f>
        <v>0.2876058541005686</v>
      </c>
      <c r="AT51" s="101">
        <f>IF($A51="Baseline",'Emissions summary'!AQ51,SUMIF('Net zero emission reductions'!$A$4:$A$1448,$A$51,'Net zero emission reductions'!Z$4:Z$1448))</f>
        <v>0.28227478895437319</v>
      </c>
      <c r="AU51" s="101">
        <f>IF($A51="Baseline",'Emissions summary'!AR51,SUMIF('Net zero emission reductions'!$A$4:$A$1448,$A$51,'Net zero emission reductions'!AA$4:AA$1448))</f>
        <v>0.27598140233683882</v>
      </c>
      <c r="AV51" s="101">
        <f>IF($A51="Baseline",'Emissions summary'!AS51,SUMIF('Net zero emission reductions'!$A$4:$A$1448,$A$51,'Net zero emission reductions'!AB$4:AB$1448))</f>
        <v>0.26979179005710474</v>
      </c>
      <c r="AW51" s="101">
        <f>IF($A51="Baseline",'Emissions summary'!AT51,SUMIF('Net zero emission reductions'!$A$4:$A$1448,$A$51,'Net zero emission reductions'!AC$4:AC$1448))</f>
        <v>0.26382249618258335</v>
      </c>
      <c r="AX51" s="101">
        <f>IF($A51="Baseline",'Emissions summary'!AU51,SUMIF('Net zero emission reductions'!$A$4:$A$1448,$A$51,'Net zero emission reductions'!AD$4:AD$1448))</f>
        <v>0.26151714900009948</v>
      </c>
      <c r="AY51" s="101">
        <f>IF($A51="Baseline",'Emissions summary'!AV51,SUMIF('Net zero emission reductions'!$A$4:$A$1448,$A$51,'Net zero emission reductions'!AE$4:AE$1448))</f>
        <v>0.25901369565990162</v>
      </c>
      <c r="AZ51" s="101">
        <f>IF($A51="Baseline",'Emissions summary'!AW51,SUMIF('Net zero emission reductions'!$A$4:$A$1448,$A$51,'Net zero emission reductions'!AF$4:AF$1448))</f>
        <v>0.25625058955296365</v>
      </c>
      <c r="BA51" s="101">
        <f>IF($A51="Baseline",'Emissions summary'!AX51,SUMIF('Net zero emission reductions'!$A$4:$A$1448,$A$51,'Net zero emission reductions'!AG$4:AG$1448))</f>
        <v>0.25354003618903126</v>
      </c>
      <c r="BB51" s="101">
        <f>IF($A51="Baseline",'Emissions summary'!AY51,SUMIF('Net zero emission reductions'!$A$4:$A$1448,$A$51,'Net zero emission reductions'!AH$4:AH$1448))</f>
        <v>0.25005684439680603</v>
      </c>
      <c r="BC51" s="101">
        <f>IF($A51="Baseline",'Emissions summary'!AZ51,SUMIF('Net zero emission reductions'!$A$4:$A$1448,$A$51,'Net zero emission reductions'!AI$4:AI$1448))</f>
        <v>0.24635505760184156</v>
      </c>
      <c r="BD51" s="101">
        <f>IF($A51="Baseline",'Emissions summary'!BA51,SUMIF('Net zero emission reductions'!$A$4:$A$1448,$A$51,'Net zero emission reductions'!AJ$4:AJ$1448))</f>
        <v>0.2423919317124032</v>
      </c>
      <c r="BE51" s="101">
        <f>IF($A51="Baseline",'Emissions summary'!BB51,SUMIF('Net zero emission reductions'!$A$4:$A$1448,$A$51,'Net zero emission reductions'!AK$4:AK$1448))</f>
        <v>0.23797825904331044</v>
      </c>
      <c r="BF51" s="101">
        <f>IF($A51="Baseline",'Emissions summary'!BC51,SUMIF('Net zero emission reductions'!$A$4:$A$1448,$A$51,'Net zero emission reductions'!AL$4:AL$1448))</f>
        <v>0.23323165096217457</v>
      </c>
      <c r="BG51" s="101">
        <f>IF($A51="Baseline",'Emissions summary'!BD51,SUMIF('Net zero emission reductions'!$A$4:$A$1448,$A$51,'Net zero emission reductions'!AM$4:AM$1448))</f>
        <v>0.2282734450429974</v>
      </c>
      <c r="BH51" s="101">
        <f>IF($A51="Baseline",'Emissions summary'!BE51,SUMIF('Net zero emission reductions'!$A$4:$A$1448,$A$51,'Net zero emission reductions'!AN$4:AN$1448))</f>
        <v>0.22839553840151111</v>
      </c>
      <c r="BI51" s="101">
        <f>IF($A51="Baseline",'Emissions summary'!BF51,SUMIF('Net zero emission reductions'!$A$4:$A$1448,$A$51,'Net zero emission reductions'!AO$4:AO$1448))</f>
        <v>0.22830228112887657</v>
      </c>
      <c r="BJ51" s="101">
        <f>IF($A51="Baseline",'Emissions summary'!BG51,SUMIF('Net zero emission reductions'!$A$4:$A$1448,$A$51,'Net zero emission reductions'!AP$4:AP$1448))</f>
        <v>0.22811189729824183</v>
      </c>
      <c r="BK51" s="101">
        <f>IF($A51="Baseline",'Emissions summary'!BH51,SUMIF('Net zero emission reductions'!$A$4:$A$1448,$A$51,'Net zero emission reductions'!AQ$4:AQ$1448))</f>
        <v>0.22786656535081895</v>
      </c>
      <c r="BL51" s="101">
        <f>IF($A51="Baseline",'Emissions summary'!BI51,SUMIF('Net zero emission reductions'!$A$4:$A$1448,$A$51,'Net zero emission reductions'!AR$4:AR$1448))</f>
        <v>0.22766795258701827</v>
      </c>
      <c r="BM51" s="101">
        <f>IF($A51="Baseline",'Emissions summary'!BJ51,SUMIF('Net zero emission reductions'!$A$4:$A$1448,$A$51,'Net zero emission reductions'!AS$4:AS$1448))</f>
        <v>0.22745271444012599</v>
      </c>
      <c r="BN51" s="101">
        <f>IF($A51="Baseline",'Emissions summary'!BK51,SUMIF('Net zero emission reductions'!$A$4:$A$1448,$A$51,'Net zero emission reductions'!AT$4:AT$1448))</f>
        <v>0.22630231581943044</v>
      </c>
      <c r="BO51" s="101">
        <f>IF($A51="Baseline",'Emissions summary'!BL51,SUMIF('Net zero emission reductions'!$A$4:$A$1448,$A$51,'Net zero emission reductions'!AU$4:AU$1448))</f>
        <v>0.22486623142944384</v>
      </c>
      <c r="BP51" s="101">
        <f>IF($A51="Baseline",'Emissions summary'!BM51,SUMIF('Net zero emission reductions'!$A$4:$A$1448,$A$51,'Net zero emission reductions'!AV$4:AV$1448))</f>
        <v>0.22351827533142415</v>
      </c>
      <c r="BQ51" s="101">
        <f>IF($A51="Baseline",'Emissions summary'!BN51,SUMIF('Net zero emission reductions'!$A$4:$A$1448,$A$51,'Net zero emission reductions'!AW$4:AW$1448))</f>
        <v>0.22214483813109731</v>
      </c>
    </row>
    <row r="52" spans="1:75" s="19" customFormat="1" ht="15.75" x14ac:dyDescent="0.25">
      <c r="A52" s="104"/>
      <c r="B52" s="104"/>
      <c r="C52" s="102"/>
      <c r="D52" s="19" t="str">
        <f t="shared" si="36"/>
        <v>3C Aggregated and non-CO2 emissions on land</v>
      </c>
      <c r="E52" s="19" t="str">
        <f>'IPCC Categories'!B80</f>
        <v>3C6 Indirect N2O from manure management (N2O)</v>
      </c>
      <c r="F52" s="19" t="s">
        <v>148</v>
      </c>
      <c r="G52" s="19" t="str">
        <f t="shared" si="30"/>
        <v>N2O</v>
      </c>
      <c r="H52" s="19" t="str">
        <f t="shared" si="30"/>
        <v>Gg N2O</v>
      </c>
      <c r="I52" s="47">
        <f>SUM(I53:I54)</f>
        <v>1.0950538253856468</v>
      </c>
      <c r="J52" s="47">
        <f t="shared" ref="J52:AE52" si="37">SUM(J53:J54)</f>
        <v>1.1658727848185233</v>
      </c>
      <c r="K52" s="47">
        <f t="shared" si="37"/>
        <v>1.0848631974974343</v>
      </c>
      <c r="L52" s="47">
        <f t="shared" si="37"/>
        <v>1.1252390431692683</v>
      </c>
      <c r="M52" s="47">
        <f t="shared" si="37"/>
        <v>1.0734739532249553</v>
      </c>
      <c r="N52" s="47">
        <f t="shared" si="37"/>
        <v>1.132808817863219</v>
      </c>
      <c r="O52" s="47">
        <f t="shared" si="37"/>
        <v>1.1837401232176359</v>
      </c>
      <c r="P52" s="47">
        <f t="shared" si="37"/>
        <v>1.1732129506374127</v>
      </c>
      <c r="Q52" s="47">
        <f t="shared" si="37"/>
        <v>1.2025072193927659</v>
      </c>
      <c r="R52" s="47">
        <f t="shared" si="37"/>
        <v>1.2151362947473952</v>
      </c>
      <c r="S52" s="47">
        <f t="shared" si="37"/>
        <v>1.3425597798100053</v>
      </c>
      <c r="T52" s="47">
        <f t="shared" si="37"/>
        <v>1.3350835411028359</v>
      </c>
      <c r="U52" s="47">
        <f t="shared" si="37"/>
        <v>1.2971770946245216</v>
      </c>
      <c r="V52" s="47">
        <f t="shared" si="37"/>
        <v>1.2325302326597585</v>
      </c>
      <c r="W52" s="47">
        <f t="shared" si="37"/>
        <v>1.2249617526122387</v>
      </c>
      <c r="X52" s="47">
        <f t="shared" si="37"/>
        <v>1.2870593712731417</v>
      </c>
      <c r="Y52" s="47">
        <f t="shared" si="37"/>
        <v>1.3036096413946223</v>
      </c>
      <c r="Z52" s="47">
        <f t="shared" si="37"/>
        <v>1.3296829545150457</v>
      </c>
      <c r="AA52" s="47">
        <f t="shared" si="37"/>
        <v>1.4390001307004523</v>
      </c>
      <c r="AB52" s="47">
        <f t="shared" si="37"/>
        <v>1.4305572536330728</v>
      </c>
      <c r="AC52" s="47">
        <f t="shared" si="37"/>
        <v>1.4388556601471445</v>
      </c>
      <c r="AD52" s="47">
        <f t="shared" si="37"/>
        <v>1.4563575155753867</v>
      </c>
      <c r="AE52" s="47">
        <f t="shared" si="37"/>
        <v>1.5016874000809757</v>
      </c>
      <c r="AF52" s="47">
        <f t="shared" ref="AF52:BQ52" si="38">SUM(AF53:AF54)</f>
        <v>1.5212038114888795</v>
      </c>
      <c r="AG52" s="47">
        <f t="shared" si="38"/>
        <v>1.5357851396347018</v>
      </c>
      <c r="AH52" s="47">
        <f t="shared" si="38"/>
        <v>1.5289173386940065</v>
      </c>
      <c r="AI52" s="47">
        <f t="shared" si="38"/>
        <v>1.5228935421905561</v>
      </c>
      <c r="AJ52" s="47">
        <f t="shared" si="38"/>
        <v>1.5396358297633466</v>
      </c>
      <c r="AK52" s="47">
        <f t="shared" si="38"/>
        <v>1.5498332699408952</v>
      </c>
      <c r="AL52" s="47">
        <f t="shared" si="38"/>
        <v>1.5364061921220382</v>
      </c>
      <c r="AM52" s="47">
        <f t="shared" si="38"/>
        <v>1.4182480953137817</v>
      </c>
      <c r="AN52" s="47">
        <f t="shared" si="38"/>
        <v>1.4614411738727207</v>
      </c>
      <c r="AO52" s="47">
        <f t="shared" si="38"/>
        <v>1.4917725939728019</v>
      </c>
      <c r="AP52" s="47">
        <f t="shared" si="38"/>
        <v>1.5193610475976624</v>
      </c>
      <c r="AQ52" s="47">
        <f t="shared" si="38"/>
        <v>1.5520488277805384</v>
      </c>
      <c r="AR52" s="47">
        <f t="shared" si="38"/>
        <v>1.6019474802638336</v>
      </c>
      <c r="AS52" s="47">
        <f t="shared" si="38"/>
        <v>1.6563850438050247</v>
      </c>
      <c r="AT52" s="47">
        <f t="shared" si="38"/>
        <v>1.715495440025345</v>
      </c>
      <c r="AU52" s="47">
        <f t="shared" si="38"/>
        <v>1.7680447072973338</v>
      </c>
      <c r="AV52" s="47">
        <f t="shared" si="38"/>
        <v>1.828807692985035</v>
      </c>
      <c r="AW52" s="47">
        <f t="shared" si="38"/>
        <v>1.8996839899937705</v>
      </c>
      <c r="AX52" s="47">
        <f t="shared" si="38"/>
        <v>1.969415479953599</v>
      </c>
      <c r="AY52" s="47">
        <f t="shared" si="38"/>
        <v>2.0426246144872331</v>
      </c>
      <c r="AZ52" s="47">
        <f t="shared" si="38"/>
        <v>2.1177803673432494</v>
      </c>
      <c r="BA52" s="47">
        <f t="shared" si="38"/>
        <v>2.201719505068382</v>
      </c>
      <c r="BB52" s="47">
        <f t="shared" si="38"/>
        <v>2.2765727587920277</v>
      </c>
      <c r="BC52" s="47">
        <f t="shared" si="38"/>
        <v>2.3562599455267015</v>
      </c>
      <c r="BD52" s="47">
        <f t="shared" si="38"/>
        <v>2.4377754783905576</v>
      </c>
      <c r="BE52" s="47">
        <f t="shared" si="38"/>
        <v>2.5162850496478253</v>
      </c>
      <c r="BF52" s="47">
        <f t="shared" si="38"/>
        <v>2.5950714752876509</v>
      </c>
      <c r="BG52" s="47">
        <f t="shared" si="38"/>
        <v>2.6771222319681609</v>
      </c>
      <c r="BH52" s="47">
        <f t="shared" si="38"/>
        <v>2.7634477625689708</v>
      </c>
      <c r="BI52" s="47">
        <f t="shared" si="38"/>
        <v>2.8453062997632568</v>
      </c>
      <c r="BJ52" s="47">
        <f t="shared" si="38"/>
        <v>2.9286754125483871</v>
      </c>
      <c r="BK52" s="47">
        <f t="shared" si="38"/>
        <v>3.0137206224850965</v>
      </c>
      <c r="BL52" s="47">
        <f t="shared" si="38"/>
        <v>3.104752102586124</v>
      </c>
      <c r="BM52" s="47">
        <f t="shared" si="38"/>
        <v>3.1983995858211811</v>
      </c>
      <c r="BN52" s="47">
        <f t="shared" si="38"/>
        <v>3.252418302668262</v>
      </c>
      <c r="BO52" s="47">
        <f t="shared" si="38"/>
        <v>3.303969063488347</v>
      </c>
      <c r="BP52" s="47">
        <f t="shared" si="38"/>
        <v>3.361316874797839</v>
      </c>
      <c r="BQ52" s="47">
        <f t="shared" si="38"/>
        <v>3.4166875925762676</v>
      </c>
      <c r="BT52"/>
    </row>
    <row r="53" spans="1:75" x14ac:dyDescent="0.25">
      <c r="A53" s="102" t="str">
        <f t="shared" ref="A53:A54" si="39">B53&amp;" "&amp;C53</f>
        <v>FSFAGSPQNIBDDSCM MM Volatilisation</v>
      </c>
      <c r="B53" s="102" t="str">
        <f t="shared" ref="B53:B54" si="40">$B$5</f>
        <v>FSFAGSPQNIBDDSCM</v>
      </c>
      <c r="C53" s="102" t="s">
        <v>1333</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8">
        <f>'Emissions summary'!F53</f>
        <v>0.80161921525345481</v>
      </c>
      <c r="J53" s="28">
        <f>'Emissions summary'!G53</f>
        <v>0.85849615635183785</v>
      </c>
      <c r="K53" s="28">
        <f>'Emissions summary'!H53</f>
        <v>0.79435444319952053</v>
      </c>
      <c r="L53" s="28">
        <f>'Emissions summary'!I53</f>
        <v>0.829147805848644</v>
      </c>
      <c r="M53" s="28">
        <f>'Emissions summary'!J53</f>
        <v>0.79042443952630315</v>
      </c>
      <c r="N53" s="28">
        <f>'Emissions summary'!K53</f>
        <v>0.8376969438335109</v>
      </c>
      <c r="O53" s="28">
        <f>'Emissions summary'!L53</f>
        <v>0.87683765723343599</v>
      </c>
      <c r="P53" s="28">
        <f>'Emissions summary'!M53</f>
        <v>0.86676785102585141</v>
      </c>
      <c r="Q53" s="28">
        <f>'Emissions summary'!N53</f>
        <v>0.88867615567493341</v>
      </c>
      <c r="R53" s="28">
        <f>'Emissions summary'!O53</f>
        <v>0.89855891694378176</v>
      </c>
      <c r="S53" s="28">
        <f>'Emissions summary'!P53</f>
        <v>1.0009422058189665</v>
      </c>
      <c r="T53" s="28">
        <f>'Emissions summary'!Q53</f>
        <v>0.99558785675794326</v>
      </c>
      <c r="U53" s="28">
        <f>'Emissions summary'!R53</f>
        <v>0.96534354462768934</v>
      </c>
      <c r="V53" s="28">
        <f>'Emissions summary'!S53</f>
        <v>0.91309585992575648</v>
      </c>
      <c r="W53" s="28">
        <f>'Emissions summary'!T53</f>
        <v>0.90768844469024579</v>
      </c>
      <c r="X53" s="28">
        <f>'Emissions summary'!U53</f>
        <v>0.95758004378601003</v>
      </c>
      <c r="Y53" s="28">
        <f>'Emissions summary'!V53</f>
        <v>0.97046445508369161</v>
      </c>
      <c r="Z53" s="28">
        <f>'Emissions summary'!W53</f>
        <v>0.98964220935969038</v>
      </c>
      <c r="AA53" s="28">
        <f>'Emissions summary'!X53</f>
        <v>1.0767445498553814</v>
      </c>
      <c r="AB53" s="28">
        <f>'Emissions summary'!Y53</f>
        <v>1.0706000439339658</v>
      </c>
      <c r="AC53" s="28">
        <f>'Emissions summary'!Z53</f>
        <v>1.0778952760899894</v>
      </c>
      <c r="AD53" s="28">
        <f>'Emissions summary'!AA53</f>
        <v>1.091951943859661</v>
      </c>
      <c r="AE53" s="28">
        <f>SUM('Net zero emission reductions'!K1531:K1546)</f>
        <v>1.1298198952525629</v>
      </c>
      <c r="AF53" s="28">
        <f>SUM('Net zero emission reductions'!L1531:L1546)</f>
        <v>1.1455371667671974</v>
      </c>
      <c r="AG53" s="28">
        <f>SUM('Net zero emission reductions'!M1531:M1546)</f>
        <v>1.1575191106493943</v>
      </c>
      <c r="AH53" s="28">
        <f>SUM('Net zero emission reductions'!N1531:N1546)</f>
        <v>1.1532040721669654</v>
      </c>
      <c r="AI53" s="28">
        <f>SUM('Net zero emission reductions'!O1531:O1546)</f>
        <v>1.149501389037674</v>
      </c>
      <c r="AJ53" s="28">
        <f>SUM('Net zero emission reductions'!P1531:P1546)</f>
        <v>1.1631085035964004</v>
      </c>
      <c r="AK53" s="28">
        <f>SUM('Net zero emission reductions'!Q1531:Q1546)</f>
        <v>1.1717413579771083</v>
      </c>
      <c r="AL53" s="28">
        <f>SUM('Net zero emission reductions'!R1531:R1546)</f>
        <v>1.1623510711663771</v>
      </c>
      <c r="AM53" s="28">
        <f>SUM('Net zero emission reductions'!S1531:S1546)</f>
        <v>1.0729322516649875</v>
      </c>
      <c r="AN53" s="28">
        <f>SUM('Net zero emission reductions'!T1531:T1546)</f>
        <v>1.1062830354709141</v>
      </c>
      <c r="AO53" s="28">
        <f>SUM('Net zero emission reductions'!U1531:U1546)</f>
        <v>1.1298239951323668</v>
      </c>
      <c r="AP53" s="28">
        <f>SUM('Net zero emission reductions'!V1531:V1546)</f>
        <v>1.1512812432677826</v>
      </c>
      <c r="AQ53" s="28">
        <f>SUM('Net zero emission reductions'!W1531:W1546)</f>
        <v>1.1766530640141664</v>
      </c>
      <c r="AR53" s="28">
        <f>SUM('Net zero emission reductions'!X1531:X1546)</f>
        <v>1.2152167972119381</v>
      </c>
      <c r="AS53" s="28">
        <f>SUM('Net zero emission reductions'!Y1531:Y1546)</f>
        <v>1.2573130399107117</v>
      </c>
      <c r="AT53" s="28">
        <f>SUM('Net zero emission reductions'!Z1531:Z1546)</f>
        <v>1.3030197657597056</v>
      </c>
      <c r="AU53" s="28">
        <f>SUM('Net zero emission reductions'!AA1531:AA1546)</f>
        <v>1.343729779969963</v>
      </c>
      <c r="AV53" s="28">
        <f>SUM('Net zero emission reductions'!AB1531:AB1546)</f>
        <v>1.3907669721669906</v>
      </c>
      <c r="AW53" s="28">
        <f>SUM('Net zero emission reductions'!AC1531:AC1546)</f>
        <v>1.4455964016090115</v>
      </c>
      <c r="AX53" s="28">
        <f>SUM('Net zero emission reductions'!AD1531:AD1546)</f>
        <v>1.5000548708101049</v>
      </c>
      <c r="AY53" s="28">
        <f>SUM('Net zero emission reductions'!AE1531:AE1546)</f>
        <v>1.5572557639044888</v>
      </c>
      <c r="AZ53" s="28">
        <f>SUM('Net zero emission reductions'!AF1531:AF1546)</f>
        <v>1.6160269722904843</v>
      </c>
      <c r="BA53" s="28">
        <f>SUM('Net zero emission reductions'!AG1531:AG1546)</f>
        <v>1.6816316527980055</v>
      </c>
      <c r="BB53" s="28">
        <f>SUM('Net zero emission reductions'!AH1531:AH1546)</f>
        <v>1.7403238123777984</v>
      </c>
      <c r="BC53" s="28">
        <f>SUM('Net zero emission reductions'!AI1531:AI1546)</f>
        <v>1.8028344595982839</v>
      </c>
      <c r="BD53" s="28">
        <f>SUM('Net zero emission reductions'!AJ1531:AJ1546)</f>
        <v>1.8668323145545371</v>
      </c>
      <c r="BE53" s="28">
        <f>SUM('Net zero emission reductions'!AK1531:AK1546)</f>
        <v>1.9285890623874153</v>
      </c>
      <c r="BF53" s="28">
        <f>SUM('Net zero emission reductions'!AL1531:AL1546)</f>
        <v>1.9906340038389174</v>
      </c>
      <c r="BG53" s="28">
        <f>SUM('Net zero emission reductions'!AM1531:AM1546)</f>
        <v>2.055275308890586</v>
      </c>
      <c r="BH53" s="28">
        <f>SUM('Net zero emission reductions'!AN1531:AN1546)</f>
        <v>2.1230055341102512</v>
      </c>
      <c r="BI53" s="28">
        <f>SUM('Net zero emission reductions'!AO1531:AO1546)</f>
        <v>2.1873418022425892</v>
      </c>
      <c r="BJ53" s="28">
        <f>SUM('Net zero emission reductions'!AP1531:AP1546)</f>
        <v>2.2529044331981947</v>
      </c>
      <c r="BK53" s="28">
        <f>SUM('Net zero emission reductions'!AQ1531:AQ1546)</f>
        <v>2.3198228242283321</v>
      </c>
      <c r="BL53" s="28">
        <f>SUM('Net zero emission reductions'!AR1531:AR1546)</f>
        <v>2.3914376541734121</v>
      </c>
      <c r="BM53" s="28">
        <f>SUM('Net zero emission reductions'!AS1531:AS1546)</f>
        <v>2.4651614448419767</v>
      </c>
      <c r="BN53" s="28">
        <f>SUM('Net zero emission reductions'!AT1531:AT1546)</f>
        <v>2.508216130886658</v>
      </c>
      <c r="BO53" s="28">
        <f>SUM('Net zero emission reductions'!AU1531:AU1546)</f>
        <v>2.5493885867524284</v>
      </c>
      <c r="BP53" s="28">
        <f>SUM('Net zero emission reductions'!AV1531:AV1546)</f>
        <v>2.595091758147027</v>
      </c>
      <c r="BQ53" s="28">
        <f>SUM('Net zero emission reductions'!AW1531:AW1546)</f>
        <v>2.6392939617720943</v>
      </c>
    </row>
    <row r="54" spans="1:75" x14ac:dyDescent="0.25">
      <c r="A54" s="102" t="str">
        <f t="shared" si="39"/>
        <v>FSFAGSPQNIBDDSCM MM Leaching</v>
      </c>
      <c r="B54" s="102" t="str">
        <f t="shared" si="40"/>
        <v>FSFAGSPQNIBDDSCM</v>
      </c>
      <c r="C54" s="102" t="s">
        <v>1334</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8">
        <f>'Emissions summary'!F54</f>
        <v>0.29343461013219191</v>
      </c>
      <c r="J54" s="28">
        <f>'Emissions summary'!G54</f>
        <v>0.3073766284666854</v>
      </c>
      <c r="K54" s="28">
        <f>'Emissions summary'!H54</f>
        <v>0.29050875429791384</v>
      </c>
      <c r="L54" s="28">
        <f>'Emissions summary'!I54</f>
        <v>0.29609123732062431</v>
      </c>
      <c r="M54" s="28">
        <f>'Emissions summary'!J54</f>
        <v>0.28304951369865206</v>
      </c>
      <c r="N54" s="28">
        <f>'Emissions summary'!K54</f>
        <v>0.29511187402970801</v>
      </c>
      <c r="O54" s="28">
        <f>'Emissions summary'!L54</f>
        <v>0.30690246598419996</v>
      </c>
      <c r="P54" s="28">
        <f>'Emissions summary'!M54</f>
        <v>0.30644509961156119</v>
      </c>
      <c r="Q54" s="28">
        <f>'Emissions summary'!N54</f>
        <v>0.31383106371783259</v>
      </c>
      <c r="R54" s="28">
        <f>'Emissions summary'!O54</f>
        <v>0.31657737780361339</v>
      </c>
      <c r="S54" s="28">
        <f>'Emissions summary'!P54</f>
        <v>0.3416175739910387</v>
      </c>
      <c r="T54" s="28">
        <f>'Emissions summary'!Q54</f>
        <v>0.33949568434489258</v>
      </c>
      <c r="U54" s="28">
        <f>'Emissions summary'!R54</f>
        <v>0.33183354999683212</v>
      </c>
      <c r="V54" s="28">
        <f>'Emissions summary'!S54</f>
        <v>0.31943437273400205</v>
      </c>
      <c r="W54" s="28">
        <f>'Emissions summary'!T54</f>
        <v>0.31727330792199299</v>
      </c>
      <c r="X54" s="28">
        <f>'Emissions summary'!U54</f>
        <v>0.3294793274871316</v>
      </c>
      <c r="Y54" s="28">
        <f>'Emissions summary'!V54</f>
        <v>0.33314518631093065</v>
      </c>
      <c r="Z54" s="28">
        <f>'Emissions summary'!W54</f>
        <v>0.34004074515535521</v>
      </c>
      <c r="AA54" s="28">
        <f>'Emissions summary'!X54</f>
        <v>0.36225558084507087</v>
      </c>
      <c r="AB54" s="28">
        <f>'Emissions summary'!Y54</f>
        <v>0.35995720969910711</v>
      </c>
      <c r="AC54" s="28">
        <f>'Emissions summary'!Z54</f>
        <v>0.36096038405715508</v>
      </c>
      <c r="AD54" s="28">
        <f>'Emissions summary'!AA54</f>
        <v>0.3644055717157258</v>
      </c>
      <c r="AE54" s="28">
        <f>SUM('Net zero emission reductions'!K1547:K1562)</f>
        <v>0.3718675048284128</v>
      </c>
      <c r="AF54" s="28">
        <f>SUM('Net zero emission reductions'!L1547:L1562)</f>
        <v>0.37566664472168221</v>
      </c>
      <c r="AG54" s="28">
        <f>SUM('Net zero emission reductions'!M1547:M1562)</f>
        <v>0.37826602898530737</v>
      </c>
      <c r="AH54" s="28">
        <f>SUM('Net zero emission reductions'!N1547:N1562)</f>
        <v>0.37571326652704101</v>
      </c>
      <c r="AI54" s="28">
        <f>SUM('Net zero emission reductions'!O1547:O1562)</f>
        <v>0.37339215315288216</v>
      </c>
      <c r="AJ54" s="28">
        <f>SUM('Net zero emission reductions'!P1547:P1562)</f>
        <v>0.37652732616694606</v>
      </c>
      <c r="AK54" s="28">
        <f>SUM('Net zero emission reductions'!Q1547:Q1562)</f>
        <v>0.37809191196378683</v>
      </c>
      <c r="AL54" s="28">
        <f>SUM('Net zero emission reductions'!R1547:R1562)</f>
        <v>0.37405512095566107</v>
      </c>
      <c r="AM54" s="28">
        <f>SUM('Net zero emission reductions'!S1547:S1562)</f>
        <v>0.34531584364879414</v>
      </c>
      <c r="AN54" s="28">
        <f>SUM('Net zero emission reductions'!T1547:T1562)</f>
        <v>0.35515813840180654</v>
      </c>
      <c r="AO54" s="28">
        <f>SUM('Net zero emission reductions'!U1547:U1562)</f>
        <v>0.36194859884043512</v>
      </c>
      <c r="AP54" s="28">
        <f>SUM('Net zero emission reductions'!V1547:V1562)</f>
        <v>0.3680798043298798</v>
      </c>
      <c r="AQ54" s="28">
        <f>SUM('Net zero emission reductions'!W1547:W1562)</f>
        <v>0.37539576376637207</v>
      </c>
      <c r="AR54" s="28">
        <f>SUM('Net zero emission reductions'!X1547:X1562)</f>
        <v>0.38673068305189562</v>
      </c>
      <c r="AS54" s="28">
        <f>SUM('Net zero emission reductions'!Y1547:Y1562)</f>
        <v>0.39907200389431291</v>
      </c>
      <c r="AT54" s="28">
        <f>SUM('Net zero emission reductions'!Z1547:Z1562)</f>
        <v>0.41247567426563947</v>
      </c>
      <c r="AU54" s="28">
        <f>SUM('Net zero emission reductions'!AA1547:AA1562)</f>
        <v>0.42431492732737075</v>
      </c>
      <c r="AV54" s="28">
        <f>SUM('Net zero emission reductions'!AB1547:AB1562)</f>
        <v>0.43804072081804424</v>
      </c>
      <c r="AW54" s="28">
        <f>SUM('Net zero emission reductions'!AC1547:AC1562)</f>
        <v>0.45408758838475893</v>
      </c>
      <c r="AX54" s="28">
        <f>SUM('Net zero emission reductions'!AD1547:AD1562)</f>
        <v>0.46936060914349415</v>
      </c>
      <c r="AY54" s="28">
        <f>SUM('Net zero emission reductions'!AE1547:AE1562)</f>
        <v>0.48536885058274432</v>
      </c>
      <c r="AZ54" s="28">
        <f>SUM('Net zero emission reductions'!AF1547:AF1562)</f>
        <v>0.50175339505276506</v>
      </c>
      <c r="BA54" s="28">
        <f>SUM('Net zero emission reductions'!AG1547:AG1562)</f>
        <v>0.52008785227037635</v>
      </c>
      <c r="BB54" s="28">
        <f>SUM('Net zero emission reductions'!AH1547:AH1562)</f>
        <v>0.53624894641422916</v>
      </c>
      <c r="BC54" s="28">
        <f>SUM('Net zero emission reductions'!AI1547:AI1562)</f>
        <v>0.55342548592841767</v>
      </c>
      <c r="BD54" s="28">
        <f>SUM('Net zero emission reductions'!AJ1547:AJ1562)</f>
        <v>0.57094316383602062</v>
      </c>
      <c r="BE54" s="28">
        <f>SUM('Net zero emission reductions'!AK1547:AK1562)</f>
        <v>0.58769598726040984</v>
      </c>
      <c r="BF54" s="28">
        <f>SUM('Net zero emission reductions'!AL1547:AL1562)</f>
        <v>0.60443747144873372</v>
      </c>
      <c r="BG54" s="28">
        <f>SUM('Net zero emission reductions'!AM1547:AM1562)</f>
        <v>0.62184692307757494</v>
      </c>
      <c r="BH54" s="28">
        <f>SUM('Net zero emission reductions'!AN1547:AN1562)</f>
        <v>0.64044222845871968</v>
      </c>
      <c r="BI54" s="28">
        <f>SUM('Net zero emission reductions'!AO1547:AO1562)</f>
        <v>0.65796449752066755</v>
      </c>
      <c r="BJ54" s="28">
        <f>SUM('Net zero emission reductions'!AP1547:AP1562)</f>
        <v>0.67577097935019237</v>
      </c>
      <c r="BK54" s="28">
        <f>SUM('Net zero emission reductions'!AQ1547:AQ1562)</f>
        <v>0.69389779825676434</v>
      </c>
      <c r="BL54" s="28">
        <f>SUM('Net zero emission reductions'!AR1547:AR1562)</f>
        <v>0.71331444841271174</v>
      </c>
      <c r="BM54" s="28">
        <f>SUM('Net zero emission reductions'!AS1547:AS1562)</f>
        <v>0.73323814097920426</v>
      </c>
      <c r="BN54" s="28">
        <f>SUM('Net zero emission reductions'!AT1547:AT1562)</f>
        <v>0.74420217178160419</v>
      </c>
      <c r="BO54" s="28">
        <f>SUM('Net zero emission reductions'!AU1547:AU1562)</f>
        <v>0.75458047673591855</v>
      </c>
      <c r="BP54" s="28">
        <f>SUM('Net zero emission reductions'!AV1547:AV1562)</f>
        <v>0.76622511665081228</v>
      </c>
      <c r="BQ54" s="28">
        <f>SUM('Net zero emission reductions'!AW1547:AW1562)</f>
        <v>0.77739363080417345</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1.9002216836369712E-2</v>
      </c>
      <c r="AF56">
        <f t="shared" ref="AF56:BQ56" si="43">AF55-AF47</f>
        <v>1.7237053528418755E-2</v>
      </c>
      <c r="AG56">
        <f t="shared" si="43"/>
        <v>-5.9987296282713487E-2</v>
      </c>
      <c r="AH56">
        <f t="shared" si="43"/>
        <v>0.10043749217393838</v>
      </c>
      <c r="AI56">
        <f t="shared" si="43"/>
        <v>0.10290857752341509</v>
      </c>
      <c r="AJ56">
        <f t="shared" si="43"/>
        <v>-0.1828083801026068</v>
      </c>
      <c r="AK56">
        <f t="shared" si="43"/>
        <v>-0.37827245204309889</v>
      </c>
      <c r="AL56">
        <f t="shared" si="43"/>
        <v>-0.18711257637531276</v>
      </c>
      <c r="AM56">
        <f t="shared" si="43"/>
        <v>-0.51161851627800559</v>
      </c>
      <c r="AN56">
        <f t="shared" si="43"/>
        <v>0.65420996451204161</v>
      </c>
      <c r="AO56">
        <f t="shared" si="43"/>
        <v>2.0231384291701531</v>
      </c>
      <c r="AP56">
        <f t="shared" si="43"/>
        <v>3.4373947589148699</v>
      </c>
      <c r="AQ56">
        <f t="shared" si="43"/>
        <v>4.7667942183867247</v>
      </c>
      <c r="AR56">
        <f t="shared" si="43"/>
        <v>5.936612825739104</v>
      </c>
      <c r="AS56">
        <f t="shared" si="43"/>
        <v>7.2048496195393774</v>
      </c>
      <c r="AT56">
        <f t="shared" si="43"/>
        <v>8.4683720518943808</v>
      </c>
      <c r="AU56">
        <f t="shared" si="43"/>
        <v>9.855546930993512</v>
      </c>
      <c r="AV56">
        <f t="shared" si="43"/>
        <v>11.234892383586416</v>
      </c>
      <c r="AW56">
        <f t="shared" si="43"/>
        <v>12.615249784345089</v>
      </c>
      <c r="AX56">
        <f t="shared" si="43"/>
        <v>13.267174025708211</v>
      </c>
      <c r="AY56">
        <f t="shared" si="43"/>
        <v>13.877944371274811</v>
      </c>
      <c r="AZ56">
        <f t="shared" si="43"/>
        <v>14.563537513763183</v>
      </c>
      <c r="BA56">
        <f t="shared" si="43"/>
        <v>15.270534681056606</v>
      </c>
      <c r="BB56">
        <f t="shared" si="43"/>
        <v>16.06629547183999</v>
      </c>
      <c r="BC56">
        <f t="shared" si="43"/>
        <v>16.86826879498922</v>
      </c>
      <c r="BD56">
        <f t="shared" si="43"/>
        <v>17.692131334733229</v>
      </c>
      <c r="BE56">
        <f t="shared" si="43"/>
        <v>18.525325793911129</v>
      </c>
      <c r="BF56">
        <f t="shared" si="43"/>
        <v>19.374921643189857</v>
      </c>
      <c r="BG56">
        <f t="shared" si="43"/>
        <v>20.248582553156275</v>
      </c>
      <c r="BH56">
        <f t="shared" si="43"/>
        <v>20.932724799740342</v>
      </c>
      <c r="BI56">
        <f t="shared" si="43"/>
        <v>21.642277034267337</v>
      </c>
      <c r="BJ56">
        <f t="shared" si="43"/>
        <v>22.36370082858808</v>
      </c>
      <c r="BK56">
        <f t="shared" si="43"/>
        <v>23.099111573408891</v>
      </c>
      <c r="BL56">
        <f t="shared" si="43"/>
        <v>23.862225205311383</v>
      </c>
      <c r="BM56">
        <f t="shared" si="43"/>
        <v>24.647087542641572</v>
      </c>
      <c r="BN56">
        <f t="shared" si="43"/>
        <v>25.460488663723325</v>
      </c>
      <c r="BO56">
        <f t="shared" si="43"/>
        <v>26.244075541113578</v>
      </c>
      <c r="BP56">
        <f t="shared" si="43"/>
        <v>27.031541778565071</v>
      </c>
      <c r="BQ56">
        <f t="shared" si="43"/>
        <v>27.824580799022666</v>
      </c>
    </row>
    <row r="57" spans="1:75" s="19" customFormat="1" ht="15.75" x14ac:dyDescent="0.25">
      <c r="A57" s="104"/>
      <c r="B57" s="104"/>
      <c r="C57" s="104"/>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102"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24683.367452658804</v>
      </c>
      <c r="AF58" s="22">
        <f t="shared" si="45"/>
        <v>24650.189452440565</v>
      </c>
      <c r="AG58" s="22">
        <f t="shared" si="45"/>
        <v>24544.093639596515</v>
      </c>
      <c r="AH58" s="22">
        <f t="shared" si="45"/>
        <v>24140.855034258169</v>
      </c>
      <c r="AI58" s="22">
        <f t="shared" si="45"/>
        <v>23759.191709341216</v>
      </c>
      <c r="AJ58" s="22">
        <f t="shared" si="45"/>
        <v>23689.297013784038</v>
      </c>
      <c r="AK58" s="22">
        <f t="shared" si="45"/>
        <v>23529.542562385181</v>
      </c>
      <c r="AL58" s="22">
        <f t="shared" si="45"/>
        <v>23066.991414207259</v>
      </c>
      <c r="AM58" s="22">
        <f t="shared" si="45"/>
        <v>21303.967381995029</v>
      </c>
      <c r="AN58" s="22">
        <f t="shared" si="45"/>
        <v>20649.957883443545</v>
      </c>
      <c r="AO58" s="22">
        <f t="shared" si="45"/>
        <v>19760.461513501192</v>
      </c>
      <c r="AP58" s="22">
        <f t="shared" si="45"/>
        <v>18772.039407752603</v>
      </c>
      <c r="AQ58" s="22">
        <f t="shared" si="45"/>
        <v>17765.82754467021</v>
      </c>
      <c r="AR58" s="22">
        <f t="shared" si="45"/>
        <v>16830.722465781517</v>
      </c>
      <c r="AS58" s="22">
        <f t="shared" si="45"/>
        <v>15824.715599675659</v>
      </c>
      <c r="AT58" s="22">
        <f t="shared" si="45"/>
        <v>14747.928180253755</v>
      </c>
      <c r="AU58" s="22">
        <f t="shared" si="45"/>
        <v>13528.875407918067</v>
      </c>
      <c r="AV58" s="22">
        <f t="shared" si="45"/>
        <v>12258.210905207752</v>
      </c>
      <c r="AW58" s="22">
        <f t="shared" si="45"/>
        <v>10926.213250969935</v>
      </c>
      <c r="AX58" s="22">
        <f t="shared" si="45"/>
        <v>10427.667994094067</v>
      </c>
      <c r="AY58" s="22">
        <f t="shared" si="45"/>
        <v>9908.6787417399682</v>
      </c>
      <c r="AZ58" s="22">
        <f t="shared" si="45"/>
        <v>9363.4276972303196</v>
      </c>
      <c r="BA58" s="22">
        <f t="shared" si="45"/>
        <v>8808.2185949783852</v>
      </c>
      <c r="BB58" s="22">
        <f t="shared" si="45"/>
        <v>8200.4889122934655</v>
      </c>
      <c r="BC58" s="22">
        <f t="shared" si="45"/>
        <v>7571.1751344653239</v>
      </c>
      <c r="BD58" s="22">
        <f t="shared" si="45"/>
        <v>6918.0084912356378</v>
      </c>
      <c r="BE58" s="22">
        <f t="shared" si="45"/>
        <v>6236.818426577197</v>
      </c>
      <c r="BF58" s="22">
        <f t="shared" si="45"/>
        <v>5535.0954094850767</v>
      </c>
      <c r="BG58" s="22">
        <f t="shared" si="45"/>
        <v>4816.0774337582588</v>
      </c>
      <c r="BH58" s="22">
        <f t="shared" si="45"/>
        <v>4401.6145857429392</v>
      </c>
      <c r="BI58" s="22">
        <f t="shared" si="45"/>
        <v>3970.4080682702202</v>
      </c>
      <c r="BJ58" s="22">
        <f t="shared" si="45"/>
        <v>3525.1003969229791</v>
      </c>
      <c r="BK58" s="22">
        <f t="shared" si="45"/>
        <v>3065.9215842416684</v>
      </c>
      <c r="BL58" s="22">
        <f t="shared" si="45"/>
        <v>2591.4314193530736</v>
      </c>
      <c r="BM58" s="22">
        <f t="shared" si="45"/>
        <v>2098.4391784763311</v>
      </c>
      <c r="BN58" s="22">
        <f t="shared" si="45"/>
        <v>1618.5984583460897</v>
      </c>
      <c r="BO58" s="22">
        <f t="shared" si="45"/>
        <v>1139.1602507863556</v>
      </c>
      <c r="BP58" s="22">
        <f t="shared" si="45"/>
        <v>653.89531007679045</v>
      </c>
      <c r="BQ58" s="22">
        <f t="shared" si="45"/>
        <v>169.36220489405812</v>
      </c>
    </row>
    <row r="59" spans="1:75" x14ac:dyDescent="0.25">
      <c r="C59" s="102"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776.20162139075501</v>
      </c>
      <c r="AF59" s="22">
        <f t="shared" si="47"/>
        <v>778.26654421075602</v>
      </c>
      <c r="AG59" s="22">
        <f t="shared" si="47"/>
        <v>777.87930634834117</v>
      </c>
      <c r="AH59" s="22">
        <f t="shared" si="47"/>
        <v>766.80137344333446</v>
      </c>
      <c r="AI59" s="22">
        <f t="shared" si="47"/>
        <v>756.45454841737524</v>
      </c>
      <c r="AJ59" s="22">
        <f t="shared" si="47"/>
        <v>757.59356096490853</v>
      </c>
      <c r="AK59" s="22">
        <f t="shared" si="47"/>
        <v>755.5744495617347</v>
      </c>
      <c r="AL59" s="22">
        <f t="shared" si="47"/>
        <v>742.25034543644745</v>
      </c>
      <c r="AM59" s="22">
        <f t="shared" si="47"/>
        <v>679.24175805668563</v>
      </c>
      <c r="AN59" s="22">
        <f t="shared" si="47"/>
        <v>641.50514661538648</v>
      </c>
      <c r="AO59" s="22">
        <f t="shared" si="47"/>
        <v>596.67750214379703</v>
      </c>
      <c r="AP59" s="22">
        <f t="shared" si="47"/>
        <v>549.93163541297361</v>
      </c>
      <c r="AQ59" s="22">
        <f t="shared" si="47"/>
        <v>504.19063340577708</v>
      </c>
      <c r="AR59" s="22">
        <f t="shared" si="47"/>
        <v>462.54789019216872</v>
      </c>
      <c r="AS59" s="22">
        <f t="shared" si="47"/>
        <v>420.01225443771136</v>
      </c>
      <c r="AT59" s="22">
        <f t="shared" si="47"/>
        <v>376.22853552889262</v>
      </c>
      <c r="AU59" s="22">
        <f t="shared" si="47"/>
        <v>328.62045757705687</v>
      </c>
      <c r="AV59" s="22">
        <f t="shared" si="47"/>
        <v>280.36627916492671</v>
      </c>
      <c r="AW59" s="22">
        <f t="shared" si="47"/>
        <v>231.05663936107314</v>
      </c>
      <c r="AX59" s="22">
        <f t="shared" si="47"/>
        <v>223.5845776435068</v>
      </c>
      <c r="AY59" s="22">
        <f t="shared" si="47"/>
        <v>215.67686474677495</v>
      </c>
      <c r="AZ59" s="22">
        <f t="shared" si="47"/>
        <v>207.10732650876082</v>
      </c>
      <c r="BA59" s="22">
        <f t="shared" si="47"/>
        <v>198.56625447714438</v>
      </c>
      <c r="BB59" s="22">
        <f t="shared" si="47"/>
        <v>188.16877968833674</v>
      </c>
      <c r="BC59" s="22">
        <f t="shared" si="47"/>
        <v>177.41599975032693</v>
      </c>
      <c r="BD59" s="22">
        <f t="shared" si="47"/>
        <v>165.95200004542465</v>
      </c>
      <c r="BE59" s="22">
        <f t="shared" si="47"/>
        <v>153.41033276083047</v>
      </c>
      <c r="BF59" s="22">
        <f t="shared" si="47"/>
        <v>140.10322295144206</v>
      </c>
      <c r="BG59" s="22">
        <f t="shared" si="47"/>
        <v>126.23125213004496</v>
      </c>
      <c r="BH59" s="22">
        <f t="shared" si="47"/>
        <v>130.14478691018587</v>
      </c>
      <c r="BI59" s="22">
        <f t="shared" si="47"/>
        <v>133.7236267878489</v>
      </c>
      <c r="BJ59" s="22">
        <f t="shared" si="47"/>
        <v>137.32276073112257</v>
      </c>
      <c r="BK59" s="22">
        <f t="shared" si="47"/>
        <v>140.94982043577215</v>
      </c>
      <c r="BL59" s="22">
        <f t="shared" si="47"/>
        <v>144.85201186709708</v>
      </c>
      <c r="BM59" s="22">
        <f t="shared" si="47"/>
        <v>148.86433582857541</v>
      </c>
      <c r="BN59" s="22">
        <f t="shared" si="47"/>
        <v>150.53534875185912</v>
      </c>
      <c r="BO59" s="22">
        <f t="shared" si="47"/>
        <v>152.01804377454678</v>
      </c>
      <c r="BP59" s="22">
        <f t="shared" si="47"/>
        <v>153.78082932813098</v>
      </c>
      <c r="BQ59" s="22">
        <f t="shared" si="47"/>
        <v>155.38176308961553</v>
      </c>
    </row>
    <row r="60" spans="1:75" x14ac:dyDescent="0.25">
      <c r="C60" s="102"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1618.9525249848919</v>
      </c>
      <c r="AF60" s="22">
        <f t="shared" si="49"/>
        <v>1641.6084477586605</v>
      </c>
      <c r="AG60" s="22">
        <f t="shared" si="49"/>
        <v>1657.425962272584</v>
      </c>
      <c r="AH60" s="22">
        <f t="shared" si="49"/>
        <v>1644.8228903470936</v>
      </c>
      <c r="AI60" s="22">
        <f t="shared" si="49"/>
        <v>1633.1444432752792</v>
      </c>
      <c r="AJ60" s="22">
        <f t="shared" si="49"/>
        <v>1651.006194213953</v>
      </c>
      <c r="AK60" s="22">
        <f t="shared" si="49"/>
        <v>1660.1279902204478</v>
      </c>
      <c r="AL60" s="22">
        <f t="shared" si="49"/>
        <v>1638.3661763389489</v>
      </c>
      <c r="AM60" s="22">
        <f t="shared" si="49"/>
        <v>1480.7132782504391</v>
      </c>
      <c r="AN60" s="22">
        <f t="shared" si="49"/>
        <v>1535.9032755407259</v>
      </c>
      <c r="AO60" s="22">
        <f t="shared" si="49"/>
        <v>1574.2742113965967</v>
      </c>
      <c r="AP60" s="22">
        <f t="shared" si="49"/>
        <v>1608.9621631374678</v>
      </c>
      <c r="AQ60" s="22">
        <f t="shared" si="49"/>
        <v>1650.1324159892563</v>
      </c>
      <c r="AR60" s="22">
        <f t="shared" si="49"/>
        <v>1713.4578763269938</v>
      </c>
      <c r="AS60" s="22">
        <f t="shared" si="49"/>
        <v>1782.8457041452368</v>
      </c>
      <c r="AT60" s="22">
        <f t="shared" si="49"/>
        <v>1858.1445817305187</v>
      </c>
      <c r="AU60" s="22">
        <f t="shared" si="49"/>
        <v>1924.8289325427115</v>
      </c>
      <c r="AV60" s="22">
        <f t="shared" si="49"/>
        <v>2002.0035376746864</v>
      </c>
      <c r="AW60" s="22">
        <f t="shared" si="49"/>
        <v>2092.1109368882021</v>
      </c>
      <c r="AX60" s="22">
        <f t="shared" si="49"/>
        <v>2178.5513858882605</v>
      </c>
      <c r="AY60" s="22">
        <f t="shared" si="49"/>
        <v>2269.1801643330377</v>
      </c>
      <c r="AZ60" s="22">
        <f t="shared" si="49"/>
        <v>2362.0144235639755</v>
      </c>
      <c r="BA60" s="22">
        <f t="shared" si="49"/>
        <v>2465.8272373680097</v>
      </c>
      <c r="BB60" s="22">
        <f t="shared" si="49"/>
        <v>2557.6635165404659</v>
      </c>
      <c r="BC60" s="22">
        <f t="shared" si="49"/>
        <v>2655.657028169705</v>
      </c>
      <c r="BD60" s="22">
        <f t="shared" si="49"/>
        <v>2755.6908545616147</v>
      </c>
      <c r="BE60" s="22">
        <f t="shared" si="49"/>
        <v>2851.5877758132688</v>
      </c>
      <c r="BF60" s="22">
        <f t="shared" si="49"/>
        <v>2947.5544015719511</v>
      </c>
      <c r="BG60" s="22">
        <f t="shared" si="49"/>
        <v>3047.3978261227653</v>
      </c>
      <c r="BH60" s="22">
        <f t="shared" si="49"/>
        <v>3154.2340046442987</v>
      </c>
      <c r="BI60" s="22">
        <f t="shared" si="49"/>
        <v>3255.1908603827083</v>
      </c>
      <c r="BJ60" s="22">
        <f t="shared" si="49"/>
        <v>3357.8776000746889</v>
      </c>
      <c r="BK60" s="22">
        <f t="shared" si="49"/>
        <v>3462.5024924523336</v>
      </c>
      <c r="BL60" s="22">
        <f t="shared" si="49"/>
        <v>3574.5274397991784</v>
      </c>
      <c r="BM60" s="22">
        <f t="shared" si="49"/>
        <v>3689.9138865854529</v>
      </c>
      <c r="BN60" s="22">
        <f t="shared" si="49"/>
        <v>3754.9477369487436</v>
      </c>
      <c r="BO60" s="22">
        <f t="shared" si="49"/>
        <v>3816.7493987976663</v>
      </c>
      <c r="BP60" s="22">
        <f t="shared" si="49"/>
        <v>3885.7715804110699</v>
      </c>
      <c r="BQ60" s="22">
        <f t="shared" si="49"/>
        <v>3952.1839681913507</v>
      </c>
    </row>
    <row r="61" spans="1:75" x14ac:dyDescent="0.25">
      <c r="C61" s="102"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102"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102"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888.5196405131752</v>
      </c>
      <c r="AG63" s="22">
        <f t="shared" si="54"/>
        <v>891.96064822562096</v>
      </c>
      <c r="AH63" s="22">
        <f t="shared" si="54"/>
        <v>894.88916078976843</v>
      </c>
      <c r="AI63" s="22">
        <f t="shared" si="54"/>
        <v>895.84739945695708</v>
      </c>
      <c r="AJ63" s="22">
        <f t="shared" si="54"/>
        <v>896.81728908321736</v>
      </c>
      <c r="AK63" s="22">
        <f t="shared" si="54"/>
        <v>899.77409431497051</v>
      </c>
      <c r="AL63" s="22">
        <f t="shared" si="54"/>
        <v>902.09125086952031</v>
      </c>
      <c r="AM63" s="22">
        <f t="shared" si="54"/>
        <v>902.24725498392274</v>
      </c>
      <c r="AN63" s="22">
        <f t="shared" si="54"/>
        <v>892.60902179925608</v>
      </c>
      <c r="AO63" s="22">
        <f t="shared" si="54"/>
        <v>897.88077216623924</v>
      </c>
      <c r="AP63" s="22">
        <f t="shared" si="54"/>
        <v>901.86785433623902</v>
      </c>
      <c r="AQ63" s="22">
        <f t="shared" si="54"/>
        <v>905.54375743786386</v>
      </c>
      <c r="AR63" s="22">
        <f t="shared" si="54"/>
        <v>909.62789125994425</v>
      </c>
      <c r="AS63" s="22">
        <f t="shared" si="54"/>
        <v>915.17819871340487</v>
      </c>
      <c r="AT63" s="22">
        <f t="shared" si="54"/>
        <v>920.99002879575733</v>
      </c>
      <c r="AU63" s="22">
        <f t="shared" si="54"/>
        <v>927.07478216005029</v>
      </c>
      <c r="AV63" s="22">
        <f t="shared" si="54"/>
        <v>932.48269891354084</v>
      </c>
      <c r="AW63" s="22">
        <f t="shared" si="54"/>
        <v>938.44873038731919</v>
      </c>
      <c r="AX63" s="22">
        <f t="shared" si="54"/>
        <v>945.07999666505555</v>
      </c>
      <c r="AY63" s="22">
        <f t="shared" si="54"/>
        <v>951.43174054913004</v>
      </c>
      <c r="AZ63" s="22">
        <f t="shared" si="54"/>
        <v>957.88938710584625</v>
      </c>
      <c r="BA63" s="22">
        <f t="shared" si="54"/>
        <v>964.3285468230124</v>
      </c>
      <c r="BB63" s="22">
        <f t="shared" si="54"/>
        <v>971.2274721173485</v>
      </c>
      <c r="BC63" s="22">
        <f t="shared" si="54"/>
        <v>977.31823571713028</v>
      </c>
      <c r="BD63" s="22">
        <f t="shared" si="54"/>
        <v>983.57793052447698</v>
      </c>
      <c r="BE63" s="22">
        <f t="shared" si="54"/>
        <v>989.80396855314598</v>
      </c>
      <c r="BF63" s="22">
        <f t="shared" si="54"/>
        <v>995.6874985828008</v>
      </c>
      <c r="BG63" s="22">
        <f t="shared" si="54"/>
        <v>1001.4527108587529</v>
      </c>
      <c r="BH63" s="22">
        <f t="shared" si="54"/>
        <v>1007.2848843182181</v>
      </c>
      <c r="BI63" s="22">
        <f t="shared" si="54"/>
        <v>1013.2376412307941</v>
      </c>
      <c r="BJ63" s="22">
        <f t="shared" si="54"/>
        <v>1018.7943384588782</v>
      </c>
      <c r="BK63" s="22">
        <f t="shared" si="54"/>
        <v>1024.3150671694632</v>
      </c>
      <c r="BL63" s="22">
        <f t="shared" si="54"/>
        <v>1029.8081254914655</v>
      </c>
      <c r="BM63" s="22">
        <f t="shared" si="54"/>
        <v>1035.5032855203945</v>
      </c>
      <c r="BN63" s="22">
        <f t="shared" si="54"/>
        <v>1041.199437822145</v>
      </c>
      <c r="BO63" s="22">
        <f t="shared" si="54"/>
        <v>1044.7334229183193</v>
      </c>
      <c r="BP63" s="22">
        <f t="shared" si="54"/>
        <v>1048.092878940131</v>
      </c>
      <c r="BQ63" s="22">
        <f t="shared" ref="BQ63:BQ64" si="55">BQ41</f>
        <v>1051.6990964077904</v>
      </c>
    </row>
    <row r="64" spans="1:75" x14ac:dyDescent="0.25">
      <c r="C64" s="102"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470.04378916185391</v>
      </c>
      <c r="AG64" s="22">
        <f t="shared" si="54"/>
        <v>469.95709010424787</v>
      </c>
      <c r="AH64" s="22">
        <f t="shared" si="54"/>
        <v>469.88330378909933</v>
      </c>
      <c r="AI64" s="22">
        <f t="shared" si="54"/>
        <v>469.85916016712889</v>
      </c>
      <c r="AJ64" s="22">
        <f t="shared" si="54"/>
        <v>469.83472298953274</v>
      </c>
      <c r="AK64" s="22">
        <f t="shared" si="54"/>
        <v>469.76022381704024</v>
      </c>
      <c r="AL64" s="22">
        <f t="shared" si="54"/>
        <v>469.7018411261563</v>
      </c>
      <c r="AM64" s="22">
        <f t="shared" si="54"/>
        <v>469.69791047245496</v>
      </c>
      <c r="AN64" s="22">
        <f t="shared" si="54"/>
        <v>469.94075379160097</v>
      </c>
      <c r="AO64" s="22">
        <f t="shared" si="54"/>
        <v>469.80792764677761</v>
      </c>
      <c r="AP64" s="22">
        <f t="shared" si="54"/>
        <v>469.70746978802691</v>
      </c>
      <c r="AQ64" s="22">
        <f t="shared" si="54"/>
        <v>469.61485234529096</v>
      </c>
      <c r="AR64" s="22">
        <f t="shared" si="54"/>
        <v>469.51194918926763</v>
      </c>
      <c r="AS64" s="22">
        <f t="shared" si="54"/>
        <v>469.37210456645607</v>
      </c>
      <c r="AT64" s="22">
        <f t="shared" si="54"/>
        <v>469.22567066301434</v>
      </c>
      <c r="AU64" s="22">
        <f t="shared" si="54"/>
        <v>469.07236022998597</v>
      </c>
      <c r="AV64" s="22">
        <f t="shared" si="54"/>
        <v>468.93610325955154</v>
      </c>
      <c r="AW64" s="22">
        <f t="shared" si="54"/>
        <v>468.78578412351658</v>
      </c>
      <c r="AX64" s="22">
        <f t="shared" si="54"/>
        <v>468.61870384208186</v>
      </c>
      <c r="AY64" s="22">
        <f t="shared" si="54"/>
        <v>468.45866636035458</v>
      </c>
      <c r="AZ64" s="22">
        <f t="shared" si="54"/>
        <v>468.29596057251365</v>
      </c>
      <c r="BA64" s="22">
        <f t="shared" si="54"/>
        <v>468.1337205760052</v>
      </c>
      <c r="BB64" s="22">
        <f t="shared" si="54"/>
        <v>467.95989640253708</v>
      </c>
      <c r="BC64" s="22">
        <f t="shared" si="54"/>
        <v>467.8064345366156</v>
      </c>
      <c r="BD64" s="22">
        <f t="shared" si="54"/>
        <v>467.64871630810501</v>
      </c>
      <c r="BE64" s="22">
        <f t="shared" si="54"/>
        <v>467.49184609018818</v>
      </c>
      <c r="BF64" s="22">
        <f t="shared" si="54"/>
        <v>467.34360564680793</v>
      </c>
      <c r="BG64" s="22">
        <f t="shared" si="54"/>
        <v>467.19834631785739</v>
      </c>
      <c r="BH64" s="22">
        <f t="shared" si="54"/>
        <v>467.05139984607189</v>
      </c>
      <c r="BI64" s="22">
        <f t="shared" si="54"/>
        <v>466.90141517367164</v>
      </c>
      <c r="BJ64" s="22">
        <f t="shared" si="54"/>
        <v>466.76140955516212</v>
      </c>
      <c r="BK64" s="22">
        <f t="shared" si="54"/>
        <v>466.62231019343295</v>
      </c>
      <c r="BL64" s="22">
        <f t="shared" si="54"/>
        <v>466.48390801020918</v>
      </c>
      <c r="BM64" s="22">
        <f t="shared" si="54"/>
        <v>466.34041370601517</v>
      </c>
      <c r="BN64" s="22">
        <f t="shared" si="54"/>
        <v>466.19689440068032</v>
      </c>
      <c r="BO64" s="22">
        <f t="shared" si="54"/>
        <v>466.10785270038889</v>
      </c>
      <c r="BP64" s="22">
        <f t="shared" si="54"/>
        <v>466.02320840560674</v>
      </c>
      <c r="BQ64" s="22">
        <f t="shared" si="55"/>
        <v>465.93234675050559</v>
      </c>
    </row>
    <row r="65" spans="1:75" x14ac:dyDescent="0.25">
      <c r="C65" s="102"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17197.553314646342</v>
      </c>
      <c r="AF65" s="22">
        <f t="shared" si="56"/>
        <v>17174.195465448476</v>
      </c>
      <c r="AG65" s="22">
        <f t="shared" si="56"/>
        <v>17113.948872666017</v>
      </c>
      <c r="AH65" s="22">
        <f t="shared" si="56"/>
        <v>16898.866322268357</v>
      </c>
      <c r="AI65" s="22">
        <f t="shared" si="56"/>
        <v>16693.646990374629</v>
      </c>
      <c r="AJ65" s="22">
        <f t="shared" si="56"/>
        <v>16650.371841828572</v>
      </c>
      <c r="AK65" s="22">
        <f t="shared" si="56"/>
        <v>16562.016366601565</v>
      </c>
      <c r="AL65" s="22">
        <f t="shared" si="56"/>
        <v>16316.350537786429</v>
      </c>
      <c r="AM65" s="22">
        <f t="shared" si="56"/>
        <v>15396.492254781857</v>
      </c>
      <c r="AN65" s="22">
        <f t="shared" si="56"/>
        <v>15009.016901487264</v>
      </c>
      <c r="AO65" s="22">
        <f t="shared" si="56"/>
        <v>14545.204040261386</v>
      </c>
      <c r="AP65" s="22">
        <f t="shared" si="56"/>
        <v>14062.299195771073</v>
      </c>
      <c r="AQ65" s="22">
        <f t="shared" si="56"/>
        <v>13602.043656706424</v>
      </c>
      <c r="AR65" s="22">
        <f t="shared" si="56"/>
        <v>13211.078323194053</v>
      </c>
      <c r="AS65" s="22">
        <f t="shared" si="56"/>
        <v>12817.53995248615</v>
      </c>
      <c r="AT65" s="22">
        <f t="shared" si="56"/>
        <v>12421.610918930208</v>
      </c>
      <c r="AU65" s="22">
        <f t="shared" si="56"/>
        <v>11984.734215180686</v>
      </c>
      <c r="AV65" s="22">
        <f t="shared" si="56"/>
        <v>11555.949720260865</v>
      </c>
      <c r="AW65" s="22">
        <f t="shared" si="56"/>
        <v>11134.10664423838</v>
      </c>
      <c r="AX65" s="22">
        <f t="shared" si="56"/>
        <v>10936.744341363852</v>
      </c>
      <c r="AY65" s="22">
        <f t="shared" si="56"/>
        <v>10733.715596110644</v>
      </c>
      <c r="AZ65" s="22">
        <f t="shared" si="56"/>
        <v>10521.760479054312</v>
      </c>
      <c r="BA65" s="22">
        <f t="shared" si="56"/>
        <v>10312.850629564922</v>
      </c>
      <c r="BB65" s="22">
        <f t="shared" si="56"/>
        <v>10076.215517432898</v>
      </c>
      <c r="BC65" s="22">
        <f t="shared" si="56"/>
        <v>9833.2759631210356</v>
      </c>
      <c r="BD65" s="22">
        <f t="shared" si="56"/>
        <v>9582.8465239149282</v>
      </c>
      <c r="BE65" s="22">
        <f t="shared" si="56"/>
        <v>9319.7071830471214</v>
      </c>
      <c r="BF65" s="22">
        <f t="shared" si="56"/>
        <v>9049.2751318754254</v>
      </c>
      <c r="BG65" s="22">
        <f t="shared" si="56"/>
        <v>8775.3086609778147</v>
      </c>
      <c r="BH65" s="22">
        <f t="shared" si="56"/>
        <v>8672.6611528765334</v>
      </c>
      <c r="BI65" s="22">
        <f t="shared" si="56"/>
        <v>8561.9405333031445</v>
      </c>
      <c r="BJ65" s="22">
        <f t="shared" si="56"/>
        <v>8448.0802496750912</v>
      </c>
      <c r="BK65" s="22">
        <f t="shared" si="56"/>
        <v>8331.7030964422538</v>
      </c>
      <c r="BL65" s="22">
        <f t="shared" si="56"/>
        <v>8215.2934519929477</v>
      </c>
      <c r="BM65" s="22">
        <f t="shared" si="56"/>
        <v>8094.3687946123946</v>
      </c>
      <c r="BN65" s="22">
        <f t="shared" si="56"/>
        <v>7954.0233820742496</v>
      </c>
      <c r="BO65" s="22">
        <f t="shared" si="56"/>
        <v>7812.7250337491641</v>
      </c>
      <c r="BP65" s="22">
        <f t="shared" si="56"/>
        <v>7675.3024008734501</v>
      </c>
      <c r="BQ65" s="22">
        <f t="shared" si="56"/>
        <v>7539.4855227083626</v>
      </c>
    </row>
    <row r="66" spans="1:75" x14ac:dyDescent="0.25">
      <c r="C66" s="102"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2056.4781493806254</v>
      </c>
      <c r="AF66" s="22">
        <f t="shared" si="58"/>
        <v>2055.3076963021613</v>
      </c>
      <c r="AG66" s="22">
        <f t="shared" si="58"/>
        <v>2049.6594433522159</v>
      </c>
      <c r="AH66" s="22">
        <f t="shared" si="58"/>
        <v>2025.0550206719267</v>
      </c>
      <c r="AI66" s="22">
        <f t="shared" si="58"/>
        <v>2001.92620465456</v>
      </c>
      <c r="AJ66" s="22">
        <f t="shared" si="58"/>
        <v>1999.0018964795431</v>
      </c>
      <c r="AK66" s="22">
        <f t="shared" si="58"/>
        <v>1990.4170505941213</v>
      </c>
      <c r="AL66" s="22">
        <f t="shared" si="58"/>
        <v>1962.3654167576074</v>
      </c>
      <c r="AM66" s="22">
        <f t="shared" si="58"/>
        <v>1850.3188794549972</v>
      </c>
      <c r="AN66" s="22">
        <f t="shared" si="58"/>
        <v>1812.9977372289361</v>
      </c>
      <c r="AO66" s="22">
        <f t="shared" si="58"/>
        <v>1764.8390713839867</v>
      </c>
      <c r="AP66" s="22">
        <f t="shared" si="58"/>
        <v>1714.19598663283</v>
      </c>
      <c r="AQ66" s="22">
        <f t="shared" si="58"/>
        <v>1666.3609039440153</v>
      </c>
      <c r="AR66" s="22">
        <f t="shared" si="58"/>
        <v>1627.6275791437531</v>
      </c>
      <c r="AS66" s="22">
        <f t="shared" si="58"/>
        <v>1588.4419716596606</v>
      </c>
      <c r="AT66" s="22">
        <f t="shared" si="58"/>
        <v>1549.1968677979185</v>
      </c>
      <c r="AU66" s="22">
        <f t="shared" si="58"/>
        <v>1504.4975119575231</v>
      </c>
      <c r="AV66" s="22">
        <f t="shared" si="58"/>
        <v>1461.2642202598142</v>
      </c>
      <c r="AW66" s="22">
        <f t="shared" si="58"/>
        <v>1419.4417747774448</v>
      </c>
      <c r="AX66" s="22">
        <f t="shared" si="58"/>
        <v>1400.3617153719142</v>
      </c>
      <c r="AY66" s="22">
        <f t="shared" si="58"/>
        <v>1380.6669401722177</v>
      </c>
      <c r="AZ66" s="22">
        <f t="shared" si="58"/>
        <v>1359.8009717580212</v>
      </c>
      <c r="BA66" s="22">
        <f t="shared" si="58"/>
        <v>1339.688598488018</v>
      </c>
      <c r="BB66" s="22">
        <f t="shared" si="58"/>
        <v>1315.2689203837965</v>
      </c>
      <c r="BC66" s="22">
        <f t="shared" si="58"/>
        <v>1290.0211480225958</v>
      </c>
      <c r="BD66" s="22">
        <f t="shared" si="58"/>
        <v>1263.6744330232875</v>
      </c>
      <c r="BE66" s="22">
        <f t="shared" si="58"/>
        <v>1235.2577817081428</v>
      </c>
      <c r="BF66" s="22">
        <f t="shared" si="58"/>
        <v>1205.6639922323657</v>
      </c>
      <c r="BG66" s="22">
        <f t="shared" si="58"/>
        <v>1175.5132537973648</v>
      </c>
      <c r="BH66" s="22">
        <f t="shared" si="58"/>
        <v>1168.246492789568</v>
      </c>
      <c r="BI66" s="22">
        <f t="shared" si="58"/>
        <v>1159.5728904460195</v>
      </c>
      <c r="BJ66" s="22">
        <f t="shared" si="58"/>
        <v>1150.5187649396089</v>
      </c>
      <c r="BK66" s="22">
        <f t="shared" si="58"/>
        <v>1141.1317592216244</v>
      </c>
      <c r="BL66" s="22">
        <f t="shared" si="58"/>
        <v>1131.987623953371</v>
      </c>
      <c r="BM66" s="22">
        <f t="shared" si="58"/>
        <v>1122.1190463927746</v>
      </c>
      <c r="BN66" s="22">
        <f t="shared" si="58"/>
        <v>1107.1066554121396</v>
      </c>
      <c r="BO66" s="22">
        <f t="shared" si="58"/>
        <v>1091.822324466209</v>
      </c>
      <c r="BP66" s="22">
        <f t="shared" si="58"/>
        <v>1077.233676507391</v>
      </c>
      <c r="BQ66" s="22">
        <f t="shared" si="58"/>
        <v>1062.5173633385095</v>
      </c>
    </row>
    <row r="67" spans="1:75" x14ac:dyDescent="0.25">
      <c r="C67" s="102"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465.52309402510247</v>
      </c>
      <c r="AF67" s="22">
        <f t="shared" si="60"/>
        <v>471.57318156155264</v>
      </c>
      <c r="AG67" s="22">
        <f t="shared" si="60"/>
        <v>476.09339328675753</v>
      </c>
      <c r="AH67" s="22">
        <f t="shared" si="60"/>
        <v>473.96437499514201</v>
      </c>
      <c r="AI67" s="22">
        <f t="shared" si="60"/>
        <v>472.09699807907236</v>
      </c>
      <c r="AJ67" s="22">
        <f t="shared" si="60"/>
        <v>477.28710722663743</v>
      </c>
      <c r="AK67" s="22">
        <f t="shared" si="60"/>
        <v>480.44831368167752</v>
      </c>
      <c r="AL67" s="22">
        <f t="shared" si="60"/>
        <v>476.28591955783185</v>
      </c>
      <c r="AM67" s="22">
        <f t="shared" si="60"/>
        <v>439.65690954727233</v>
      </c>
      <c r="AN67" s="22">
        <f t="shared" si="60"/>
        <v>453.0467639005434</v>
      </c>
      <c r="AO67" s="22">
        <f t="shared" si="60"/>
        <v>462.44950413156857</v>
      </c>
      <c r="AP67" s="22">
        <f t="shared" si="60"/>
        <v>471.00192475527535</v>
      </c>
      <c r="AQ67" s="22">
        <f t="shared" si="60"/>
        <v>481.13513661196691</v>
      </c>
      <c r="AR67" s="22">
        <f t="shared" si="60"/>
        <v>496.60371888178844</v>
      </c>
      <c r="AS67" s="22">
        <f t="shared" si="60"/>
        <v>513.47936357955768</v>
      </c>
      <c r="AT67" s="22">
        <f t="shared" si="60"/>
        <v>531.80358640785698</v>
      </c>
      <c r="AU67" s="22">
        <f t="shared" si="60"/>
        <v>548.09385926217351</v>
      </c>
      <c r="AV67" s="22">
        <f t="shared" si="60"/>
        <v>566.93038482536087</v>
      </c>
      <c r="AW67" s="22">
        <f t="shared" si="60"/>
        <v>588.9020368980689</v>
      </c>
      <c r="AX67" s="22">
        <f t="shared" si="60"/>
        <v>610.51879878561567</v>
      </c>
      <c r="AY67" s="22">
        <f t="shared" si="60"/>
        <v>633.2136304910423</v>
      </c>
      <c r="AZ67" s="22">
        <f t="shared" si="60"/>
        <v>656.51191387640733</v>
      </c>
      <c r="BA67" s="22">
        <f t="shared" si="60"/>
        <v>682.53304657119838</v>
      </c>
      <c r="BB67" s="22">
        <f t="shared" si="60"/>
        <v>705.73755522552858</v>
      </c>
      <c r="BC67" s="22">
        <f t="shared" si="60"/>
        <v>730.44058311327751</v>
      </c>
      <c r="BD67" s="22">
        <f t="shared" si="60"/>
        <v>755.71039830107281</v>
      </c>
      <c r="BE67" s="22">
        <f t="shared" si="60"/>
        <v>780.04836539082589</v>
      </c>
      <c r="BF67" s="22">
        <f t="shared" si="60"/>
        <v>804.47215733917176</v>
      </c>
      <c r="BG67" s="22">
        <f t="shared" si="60"/>
        <v>829.90789191012993</v>
      </c>
      <c r="BH67" s="22">
        <f t="shared" si="60"/>
        <v>856.668806396381</v>
      </c>
      <c r="BI67" s="22">
        <f t="shared" si="60"/>
        <v>882.04495292660965</v>
      </c>
      <c r="BJ67" s="22">
        <f t="shared" si="60"/>
        <v>907.88937788999999</v>
      </c>
      <c r="BK67" s="22">
        <f t="shared" si="60"/>
        <v>934.25339297037988</v>
      </c>
      <c r="BL67" s="22">
        <f t="shared" si="60"/>
        <v>962.47315180169846</v>
      </c>
      <c r="BM67" s="22">
        <f t="shared" si="60"/>
        <v>991.50387160456614</v>
      </c>
      <c r="BN67" s="22">
        <f t="shared" si="60"/>
        <v>1008.2496738271612</v>
      </c>
      <c r="BO67" s="22">
        <f t="shared" si="60"/>
        <v>1024.2304096813875</v>
      </c>
      <c r="BP67" s="22">
        <f t="shared" si="60"/>
        <v>1042.00823118733</v>
      </c>
      <c r="BQ67" s="22">
        <f t="shared" si="60"/>
        <v>1059.1731536986429</v>
      </c>
    </row>
    <row r="70" spans="1:75" s="19" customFormat="1" ht="15.75" x14ac:dyDescent="0.25">
      <c r="A70" s="104"/>
      <c r="B70" s="104"/>
      <c r="C70" s="104"/>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27078.521599034451</v>
      </c>
      <c r="AF71" s="22">
        <f t="shared" si="61"/>
        <v>27070.064444409982</v>
      </c>
      <c r="AG71" s="22">
        <f t="shared" si="61"/>
        <v>26979.398908217441</v>
      </c>
      <c r="AH71" s="22">
        <f t="shared" si="61"/>
        <v>26552.479298048595</v>
      </c>
      <c r="AI71" s="22">
        <f t="shared" si="61"/>
        <v>26148.790701033871</v>
      </c>
      <c r="AJ71" s="22">
        <f t="shared" si="61"/>
        <v>26097.896768962903</v>
      </c>
      <c r="AK71" s="22">
        <f t="shared" si="61"/>
        <v>25945.245002167365</v>
      </c>
      <c r="AL71" s="22">
        <f t="shared" si="61"/>
        <v>25447.607935982658</v>
      </c>
      <c r="AM71" s="22">
        <f t="shared" si="61"/>
        <v>23463.922418302154</v>
      </c>
      <c r="AN71" s="22">
        <f t="shared" si="61"/>
        <v>22827.366305599655</v>
      </c>
      <c r="AO71" s="22">
        <f t="shared" si="61"/>
        <v>21931.413227041587</v>
      </c>
      <c r="AP71" s="22">
        <f t="shared" si="61"/>
        <v>20930.933206303045</v>
      </c>
      <c r="AQ71" s="22">
        <f t="shared" si="61"/>
        <v>19920.150594065246</v>
      </c>
      <c r="AR71" s="22">
        <f t="shared" si="61"/>
        <v>19006.728232300677</v>
      </c>
      <c r="AS71" s="22">
        <f t="shared" si="61"/>
        <v>18027.573558258609</v>
      </c>
      <c r="AT71" s="22">
        <f t="shared" si="61"/>
        <v>16982.301297513168</v>
      </c>
      <c r="AU71" s="22">
        <f t="shared" si="61"/>
        <v>15782.324798037836</v>
      </c>
      <c r="AV71" s="22">
        <f t="shared" si="61"/>
        <v>14540.580722047365</v>
      </c>
      <c r="AW71" s="22">
        <f t="shared" si="61"/>
        <v>13249.380827219211</v>
      </c>
      <c r="AX71" s="22">
        <f t="shared" si="61"/>
        <v>12829.803957625834</v>
      </c>
      <c r="AY71" s="22">
        <f t="shared" si="61"/>
        <v>12393.535770819781</v>
      </c>
      <c r="AZ71" s="22">
        <f t="shared" si="61"/>
        <v>11932.549447303056</v>
      </c>
      <c r="BA71" s="22">
        <f t="shared" si="61"/>
        <v>11472.612086823539</v>
      </c>
      <c r="BB71" s="22">
        <f t="shared" si="61"/>
        <v>10946.321208522268</v>
      </c>
      <c r="BC71" s="22">
        <f t="shared" si="61"/>
        <v>10404.248162385356</v>
      </c>
      <c r="BD71" s="22">
        <f t="shared" si="61"/>
        <v>9839.651345842678</v>
      </c>
      <c r="BE71" s="22">
        <f t="shared" si="61"/>
        <v>9241.8165351512962</v>
      </c>
      <c r="BF71" s="22">
        <f t="shared" si="61"/>
        <v>8622.7530340084704</v>
      </c>
      <c r="BG71" s="22">
        <f t="shared" si="61"/>
        <v>7989.7065120110692</v>
      </c>
      <c r="BH71" s="22">
        <f t="shared" si="61"/>
        <v>7685.9933772974236</v>
      </c>
      <c r="BI71" s="22">
        <f t="shared" si="61"/>
        <v>7359.3225554407782</v>
      </c>
      <c r="BJ71" s="22">
        <f t="shared" si="61"/>
        <v>7020.3007577287899</v>
      </c>
      <c r="BK71" s="22">
        <f t="shared" si="61"/>
        <v>6669.3738971297735</v>
      </c>
      <c r="BL71" s="22">
        <f t="shared" si="61"/>
        <v>6310.8108710193492</v>
      </c>
      <c r="BM71" s="22">
        <f t="shared" si="61"/>
        <v>5937.2174008903594</v>
      </c>
      <c r="BN71" s="22">
        <f t="shared" si="61"/>
        <v>5524.0815440466922</v>
      </c>
      <c r="BO71" s="22">
        <f t="shared" si="61"/>
        <v>5107.9276933585688</v>
      </c>
      <c r="BP71" s="22">
        <f t="shared" si="61"/>
        <v>4693.4477198159911</v>
      </c>
      <c r="BQ71" s="22">
        <f t="shared" si="61"/>
        <v>4276.9279361750241</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22950.420313002691</v>
      </c>
      <c r="AF72" s="22">
        <f t="shared" si="62"/>
        <v>23010.477196817366</v>
      </c>
      <c r="AG72" s="22">
        <f t="shared" si="62"/>
        <v>22929.53282756019</v>
      </c>
      <c r="AH72" s="22">
        <f t="shared" si="62"/>
        <v>22669.376544294799</v>
      </c>
      <c r="AI72" s="22">
        <f t="shared" si="62"/>
        <v>22459.770168688028</v>
      </c>
      <c r="AJ72" s="22">
        <f t="shared" si="62"/>
        <v>22437.351077978361</v>
      </c>
      <c r="AK72" s="22">
        <f t="shared" si="62"/>
        <v>22352.513998755414</v>
      </c>
      <c r="AL72" s="22">
        <f t="shared" si="62"/>
        <v>22085.252387704681</v>
      </c>
      <c r="AM72" s="22">
        <f t="shared" si="62"/>
        <v>21025.230102708745</v>
      </c>
      <c r="AN72" s="22">
        <f t="shared" si="62"/>
        <v>20612.787543536942</v>
      </c>
      <c r="AO72" s="22">
        <f t="shared" si="62"/>
        <v>20123.717152780398</v>
      </c>
      <c r="AP72" s="22">
        <f t="shared" si="62"/>
        <v>19610.967740334985</v>
      </c>
      <c r="AQ72" s="22">
        <f t="shared" si="62"/>
        <v>19124.953087958205</v>
      </c>
      <c r="AR72" s="22">
        <f t="shared" si="62"/>
        <v>18723.063714442556</v>
      </c>
      <c r="AS72" s="22">
        <f t="shared" si="62"/>
        <v>18320.985315640075</v>
      </c>
      <c r="AT72" s="22">
        <f t="shared" si="62"/>
        <v>17918.160269090702</v>
      </c>
      <c r="AU72" s="22">
        <f t="shared" si="62"/>
        <v>17467.16539714747</v>
      </c>
      <c r="AV72" s="22">
        <f t="shared" si="62"/>
        <v>17027.615267737285</v>
      </c>
      <c r="AW72" s="22">
        <f t="shared" si="62"/>
        <v>16600.096582503978</v>
      </c>
      <c r="AX72" s="22">
        <f t="shared" si="62"/>
        <v>16419.749370633101</v>
      </c>
      <c r="AY72" s="22">
        <f t="shared" si="62"/>
        <v>16233.926590813302</v>
      </c>
      <c r="AZ72" s="22">
        <f t="shared" si="62"/>
        <v>16038.712932022345</v>
      </c>
      <c r="BA72" s="22">
        <f t="shared" si="62"/>
        <v>15850.002964203732</v>
      </c>
      <c r="BB72" s="22">
        <f t="shared" si="62"/>
        <v>15626.891986268018</v>
      </c>
      <c r="BC72" s="22">
        <f t="shared" si="62"/>
        <v>15397.359191741894</v>
      </c>
      <c r="BD72" s="22">
        <f t="shared" si="62"/>
        <v>15159.969031828441</v>
      </c>
      <c r="BE72" s="22">
        <f t="shared" si="62"/>
        <v>14906.834377071329</v>
      </c>
      <c r="BF72" s="22">
        <f t="shared" si="62"/>
        <v>14644.46312315682</v>
      </c>
      <c r="BG72" s="22">
        <f t="shared" si="62"/>
        <v>14378.897106540513</v>
      </c>
      <c r="BH72" s="22">
        <f t="shared" si="62"/>
        <v>14308.924484103711</v>
      </c>
      <c r="BI72" s="22">
        <f t="shared" si="62"/>
        <v>14228.204686155523</v>
      </c>
      <c r="BJ72" s="22">
        <f t="shared" si="62"/>
        <v>14144.046898792369</v>
      </c>
      <c r="BK72" s="22">
        <f t="shared" si="62"/>
        <v>14057.523889469128</v>
      </c>
      <c r="BL72" s="22">
        <f t="shared" si="62"/>
        <v>13973.04002992001</v>
      </c>
      <c r="BM72" s="22">
        <f t="shared" si="62"/>
        <v>13884.324685704807</v>
      </c>
      <c r="BN72" s="22">
        <f t="shared" si="62"/>
        <v>13758.760822603384</v>
      </c>
      <c r="BO72" s="22">
        <f t="shared" si="62"/>
        <v>13629.099327780823</v>
      </c>
      <c r="BP72" s="22">
        <f t="shared" si="62"/>
        <v>13505.636185377607</v>
      </c>
      <c r="BQ72" s="22">
        <f t="shared" si="62"/>
        <v>13383.278777565853</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50028.941912037146</v>
      </c>
      <c r="AF73" s="22">
        <f t="shared" si="63"/>
        <v>50080.541641227348</v>
      </c>
      <c r="AG73" s="22">
        <f t="shared" si="63"/>
        <v>49908.931735777631</v>
      </c>
      <c r="AH73" s="22">
        <f t="shared" si="63"/>
        <v>49221.855842343393</v>
      </c>
      <c r="AI73" s="22">
        <f t="shared" si="63"/>
        <v>48608.5608697219</v>
      </c>
      <c r="AJ73" s="22">
        <f t="shared" si="63"/>
        <v>48535.24784694126</v>
      </c>
      <c r="AK73" s="22">
        <f t="shared" si="63"/>
        <v>48297.759000922779</v>
      </c>
      <c r="AL73" s="22">
        <f t="shared" si="63"/>
        <v>47532.860323687339</v>
      </c>
      <c r="AM73" s="22">
        <f t="shared" si="63"/>
        <v>44489.152521010896</v>
      </c>
      <c r="AN73" s="22">
        <f t="shared" si="63"/>
        <v>43440.153849136594</v>
      </c>
      <c r="AO73" s="22">
        <f t="shared" si="63"/>
        <v>42055.130379821989</v>
      </c>
      <c r="AP73" s="22">
        <f t="shared" si="63"/>
        <v>40541.90094663803</v>
      </c>
      <c r="AQ73" s="22">
        <f t="shared" si="63"/>
        <v>39045.103682023451</v>
      </c>
      <c r="AR73" s="22">
        <f t="shared" si="63"/>
        <v>37729.791946743237</v>
      </c>
      <c r="AS73" s="22">
        <f t="shared" si="63"/>
        <v>36348.558873898684</v>
      </c>
      <c r="AT73" s="22">
        <f t="shared" si="63"/>
        <v>34900.461566603874</v>
      </c>
      <c r="AU73" s="22">
        <f t="shared" si="63"/>
        <v>33249.49019518531</v>
      </c>
      <c r="AV73" s="22">
        <f t="shared" si="63"/>
        <v>31568.19598978465</v>
      </c>
      <c r="AW73" s="22">
        <f t="shared" si="63"/>
        <v>29849.477409723189</v>
      </c>
      <c r="AX73" s="22">
        <f t="shared" si="63"/>
        <v>29249.553328258935</v>
      </c>
      <c r="AY73" s="22">
        <f t="shared" si="63"/>
        <v>28627.462361633083</v>
      </c>
      <c r="AZ73" s="22">
        <f t="shared" si="63"/>
        <v>27971.262379325402</v>
      </c>
      <c r="BA73" s="22">
        <f t="shared" si="63"/>
        <v>27322.615051027271</v>
      </c>
      <c r="BB73" s="22">
        <f t="shared" si="63"/>
        <v>26573.213194790285</v>
      </c>
      <c r="BC73" s="22">
        <f t="shared" si="63"/>
        <v>25801.607354127249</v>
      </c>
      <c r="BD73" s="22">
        <f t="shared" si="63"/>
        <v>24999.620377671119</v>
      </c>
      <c r="BE73" s="22">
        <f t="shared" si="63"/>
        <v>24148.650912222627</v>
      </c>
      <c r="BF73" s="22">
        <f t="shared" si="63"/>
        <v>23267.21615716529</v>
      </c>
      <c r="BG73" s="22">
        <f t="shared" si="63"/>
        <v>22368.603618551584</v>
      </c>
      <c r="BH73" s="22">
        <f t="shared" si="63"/>
        <v>21994.917861401133</v>
      </c>
      <c r="BI73" s="22">
        <f t="shared" si="63"/>
        <v>21587.527241596301</v>
      </c>
      <c r="BJ73" s="22">
        <f t="shared" si="63"/>
        <v>21164.34765652116</v>
      </c>
      <c r="BK73" s="22">
        <f t="shared" si="63"/>
        <v>20726.8977865989</v>
      </c>
      <c r="BL73" s="22">
        <f t="shared" si="63"/>
        <v>20283.85090093936</v>
      </c>
      <c r="BM73" s="22">
        <f t="shared" si="63"/>
        <v>19821.542086595167</v>
      </c>
      <c r="BN73" s="22">
        <f t="shared" si="63"/>
        <v>19282.842366650075</v>
      </c>
      <c r="BO73" s="22">
        <f t="shared" si="63"/>
        <v>18737.027021139391</v>
      </c>
      <c r="BP73" s="22">
        <f t="shared" si="63"/>
        <v>18199.083905193598</v>
      </c>
      <c r="BQ73" s="22">
        <f t="shared" si="63"/>
        <v>17660.206713740878</v>
      </c>
    </row>
    <row r="74" spans="1:75" x14ac:dyDescent="0.25">
      <c r="F74" t="s">
        <v>931</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931</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931</v>
      </c>
      <c r="H76" t="s">
        <v>937</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930</v>
      </c>
      <c r="H77" t="s">
        <v>932</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930</v>
      </c>
      <c r="H78" t="s">
        <v>933</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930</v>
      </c>
      <c r="H79" t="s">
        <v>934</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55">
        <f>(I73-I76)/I76</f>
        <v>-6.4045440840285739E-2</v>
      </c>
      <c r="J80" s="55">
        <f t="shared" ref="J80:AJ80" si="65">(J73-J76)/J76</f>
        <v>-9.4363292067637106E-2</v>
      </c>
      <c r="K80" s="55">
        <f t="shared" si="65"/>
        <v>-8.9443746474139149E-2</v>
      </c>
      <c r="L80" s="55">
        <f t="shared" si="65"/>
        <v>-9.0490278316741182E-2</v>
      </c>
      <c r="M80" s="55">
        <f t="shared" si="65"/>
        <v>-8.8351384137255323E-2</v>
      </c>
      <c r="N80" s="55">
        <f t="shared" si="65"/>
        <v>-9.7350533741556292E-2</v>
      </c>
      <c r="O80" s="55">
        <f t="shared" si="65"/>
        <v>-8.9009931127412775E-2</v>
      </c>
      <c r="P80" s="55">
        <f t="shared" si="65"/>
        <v>-8.7507163727912465E-2</v>
      </c>
      <c r="Q80" s="55">
        <f t="shared" si="65"/>
        <v>-9.2787018934469931E-2</v>
      </c>
      <c r="R80" s="55">
        <f t="shared" si="65"/>
        <v>-9.799661403058392E-2</v>
      </c>
      <c r="S80" s="55">
        <f t="shared" si="65"/>
        <v>-0.10572301120904243</v>
      </c>
      <c r="T80" s="55">
        <f t="shared" si="65"/>
        <v>-0.10818070025604484</v>
      </c>
      <c r="U80" s="55">
        <f t="shared" si="65"/>
        <v>-0.10561792018006667</v>
      </c>
      <c r="V80" s="55">
        <f t="shared" si="65"/>
        <v>-7.7598780611129375E-2</v>
      </c>
      <c r="W80" s="55">
        <f t="shared" si="65"/>
        <v>-7.7463245970024047E-2</v>
      </c>
      <c r="X80" s="55">
        <f t="shared" si="65"/>
        <v>-7.4858260290865147E-2</v>
      </c>
      <c r="Y80" s="55">
        <f t="shared" si="65"/>
        <v>-7.7260643448578595E-2</v>
      </c>
      <c r="Z80" s="55">
        <f t="shared" si="65"/>
        <v>-3.1975651541170817E-2</v>
      </c>
      <c r="AA80" s="55">
        <f t="shared" si="65"/>
        <v>-6.4511250926577557E-2</v>
      </c>
      <c r="AB80" s="55">
        <f t="shared" si="65"/>
        <v>-5.0591207124651746E-2</v>
      </c>
      <c r="AC80" s="55">
        <f t="shared" si="65"/>
        <v>-8.3919487032531173E-2</v>
      </c>
      <c r="AD80" s="55">
        <f t="shared" si="65"/>
        <v>-8.6333980097050636E-2</v>
      </c>
      <c r="AE80" s="55">
        <f t="shared" si="65"/>
        <v>-5.9124610232069635E-2</v>
      </c>
      <c r="AF80" s="55">
        <f t="shared" si="65"/>
        <v>-0.10017657913835074</v>
      </c>
      <c r="AG80" s="55">
        <f t="shared" si="65"/>
        <v>-0.10540485073730557</v>
      </c>
      <c r="AH80" s="55">
        <f t="shared" si="65"/>
        <v>-0.10029808651965709</v>
      </c>
      <c r="AI80" s="55">
        <f t="shared" si="65"/>
        <v>-6.0581956730884526E-2</v>
      </c>
      <c r="AJ80" s="55">
        <f t="shared" si="65"/>
        <v>-6.0798734563033793E-2</v>
      </c>
    </row>
    <row r="113" spans="1:75" s="19" customFormat="1" ht="15.75" x14ac:dyDescent="0.25">
      <c r="A113" s="104"/>
      <c r="B113" s="104"/>
      <c r="C113" s="104"/>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A11" sqref="A11"/>
    </sheetView>
  </sheetViews>
  <sheetFormatPr defaultRowHeight="15" x14ac:dyDescent="0.25"/>
  <cols>
    <col min="1" max="1" width="34.42578125" customWidth="1"/>
    <col min="2" max="7" width="9.7109375" customWidth="1"/>
    <col min="8" max="8" width="9.5703125" customWidth="1"/>
    <col min="23" max="24" width="9.42578125" customWidth="1"/>
    <col min="25" max="25" width="9.7109375" customWidth="1"/>
  </cols>
  <sheetData>
    <row r="1" spans="1:46" ht="18.75" x14ac:dyDescent="0.3">
      <c r="A1" s="1" t="s">
        <v>312</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row>
    <row r="2" spans="1:46" ht="15.75" x14ac:dyDescent="0.25">
      <c r="A2" s="19" t="s">
        <v>938</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939</v>
      </c>
      <c r="B4" s="85">
        <f>'Emissions summary'!AB73</f>
        <v>50028.938042475114</v>
      </c>
      <c r="C4" s="85">
        <f>'Emissions summary'!AC73</f>
        <v>50080.537718253559</v>
      </c>
      <c r="D4" s="85">
        <f>'Emissions summary'!AD73</f>
        <v>49908.92780475461</v>
      </c>
      <c r="E4" s="85">
        <f>'Emissions summary'!AE73</f>
        <v>49221.851832712928</v>
      </c>
      <c r="F4" s="85">
        <f>'Emissions summary'!AF73</f>
        <v>48608.556884209254</v>
      </c>
      <c r="G4" s="85">
        <f>'Emissions summary'!AG73</f>
        <v>48535.243831703832</v>
      </c>
      <c r="H4" s="85">
        <f>'Emissions summary'!AH73</f>
        <v>48297.754908429706</v>
      </c>
      <c r="I4" s="85">
        <f>'Emissions summary'!AI73</f>
        <v>47532.856231236481</v>
      </c>
      <c r="J4" s="85">
        <f>'Emissions summary'!AJ73</f>
        <v>44489.148501804942</v>
      </c>
      <c r="K4" s="85">
        <f>'Emissions summary'!AK73</f>
        <v>45206.922499779503</v>
      </c>
      <c r="L4" s="85">
        <f>'Emissions summary'!AL73</f>
        <v>45661.741811414198</v>
      </c>
      <c r="M4" s="85">
        <f>'Emissions summary'!AM73</f>
        <v>46047.808450713135</v>
      </c>
      <c r="N4" s="85">
        <f>'Emissions summary'!AN73</f>
        <v>46533.833635409392</v>
      </c>
      <c r="O4" s="85">
        <f>'Emissions summary'!AO73</f>
        <v>47371.04745160228</v>
      </c>
      <c r="P4" s="85">
        <f>'Emissions summary'!AP73</f>
        <v>48275.611282577593</v>
      </c>
      <c r="Q4" s="85">
        <f>'Emissions summary'!AQ73</f>
        <v>49259.277042259739</v>
      </c>
      <c r="R4" s="85">
        <f>'Emissions summary'!AR73</f>
        <v>50091.438982440421</v>
      </c>
      <c r="S4" s="85">
        <f>'Emissions summary'!AS73</f>
        <v>51071.577913734771</v>
      </c>
      <c r="T4" s="85">
        <f>'Emissions summary'!AT73</f>
        <v>52235.35401813002</v>
      </c>
      <c r="U4" s="85">
        <f>'Emissions summary'!AU73</f>
        <v>53118.038365487155</v>
      </c>
      <c r="V4" s="85">
        <f>'Emissions summary'!AV73</f>
        <v>54029.208255953665</v>
      </c>
      <c r="W4" s="85">
        <f>'Emissions summary'!AW73</f>
        <v>54937.673861457879</v>
      </c>
      <c r="X4" s="85">
        <f>'Emissions summary'!AX73</f>
        <v>55969.731812213773</v>
      </c>
      <c r="Y4" s="85">
        <f>'Emissions summary'!AY73</f>
        <v>56789.95223918109</v>
      </c>
      <c r="Z4" s="85">
        <f>'Emissions summary'!AZ73</f>
        <v>57646.983839537832</v>
      </c>
      <c r="AA4" s="85">
        <f>'Emissions summary'!BA73</f>
        <v>58494.93593362534</v>
      </c>
      <c r="AB4" s="85">
        <f>'Emissions summary'!BB73</f>
        <v>59247.649341892298</v>
      </c>
      <c r="AC4" s="85">
        <f>'Emissions summary'!BC73</f>
        <v>59963.66719517258</v>
      </c>
      <c r="AD4" s="85">
        <f>'Emissions summary'!BD73</f>
        <v>60694.667031654419</v>
      </c>
      <c r="AE4" s="85">
        <f>'Emissions summary'!BE73</f>
        <v>61605.009907852058</v>
      </c>
      <c r="AF4" s="85">
        <f>'Emissions summary'!BF73</f>
        <v>62408.03549933101</v>
      </c>
      <c r="AG4" s="85">
        <f>'Emissions summary'!BG73</f>
        <v>63203.298801028519</v>
      </c>
      <c r="AH4" s="85">
        <f>'Emissions summary'!BH73</f>
        <v>63993.420464019422</v>
      </c>
      <c r="AI4" s="85">
        <f>'Emissions summary'!BI73</f>
        <v>64845.789868997577</v>
      </c>
      <c r="AJ4" s="85">
        <f>'Emissions summary'!BJ73</f>
        <v>65696.043547104113</v>
      </c>
      <c r="AK4" s="85">
        <f>'Emissions summary'!BK73</f>
        <v>65901.541376110617</v>
      </c>
      <c r="AL4" s="85">
        <f>'Emissions summary'!BL73</f>
        <v>66047.74554533101</v>
      </c>
      <c r="AM4" s="85">
        <f>'Emissions summary'!BM73</f>
        <v>66263.526210891214</v>
      </c>
      <c r="AN4" s="85">
        <f>'Emissions summary'!BN73</f>
        <v>66431.539979668567</v>
      </c>
    </row>
    <row r="5" spans="1:46" x14ac:dyDescent="0.25">
      <c r="A5" t="s">
        <v>940</v>
      </c>
      <c r="B5" s="85">
        <f>'Net zero emission summary'!AE73</f>
        <v>50028.941912037146</v>
      </c>
      <c r="C5" s="85">
        <f>'Net zero emission summary'!AF73</f>
        <v>50080.541641227348</v>
      </c>
      <c r="D5" s="85">
        <f>'Net zero emission summary'!AG73</f>
        <v>49908.931735777631</v>
      </c>
      <c r="E5" s="85">
        <f>'Net zero emission summary'!AH73</f>
        <v>49221.855842343393</v>
      </c>
      <c r="F5" s="85">
        <f>'Net zero emission summary'!AI73</f>
        <v>48608.5608697219</v>
      </c>
      <c r="G5" s="85">
        <f>'Net zero emission summary'!AJ73</f>
        <v>48535.24784694126</v>
      </c>
      <c r="H5" s="85">
        <f>'Net zero emission summary'!AK73</f>
        <v>48297.759000922779</v>
      </c>
      <c r="I5" s="85">
        <f>'Net zero emission summary'!AL73</f>
        <v>47532.860323687339</v>
      </c>
      <c r="J5" s="85">
        <f>'Net zero emission summary'!AM73</f>
        <v>44489.152521010896</v>
      </c>
      <c r="K5" s="85">
        <f>'Net zero emission summary'!AN73</f>
        <v>43440.153849136594</v>
      </c>
      <c r="L5" s="85">
        <f>'Net zero emission summary'!AO73</f>
        <v>42055.130379821989</v>
      </c>
      <c r="M5" s="85">
        <f>'Net zero emission summary'!AP73</f>
        <v>40541.90094663803</v>
      </c>
      <c r="N5" s="85">
        <f>'Net zero emission summary'!AQ73</f>
        <v>39045.103682023451</v>
      </c>
      <c r="O5" s="85">
        <f>'Net zero emission summary'!AR73</f>
        <v>37729.791946743237</v>
      </c>
      <c r="P5" s="85">
        <f>'Net zero emission summary'!AS73</f>
        <v>36348.558873898684</v>
      </c>
      <c r="Q5" s="85">
        <f>'Net zero emission summary'!AT73</f>
        <v>34900.461566603874</v>
      </c>
      <c r="R5" s="85">
        <f>'Net zero emission summary'!AU73</f>
        <v>33249.49019518531</v>
      </c>
      <c r="S5" s="85">
        <f>'Net zero emission summary'!AV73</f>
        <v>31568.19598978465</v>
      </c>
      <c r="T5" s="85">
        <f>'Net zero emission summary'!AW73</f>
        <v>29849.477409723189</v>
      </c>
      <c r="U5" s="85">
        <f>'Net zero emission summary'!AX73</f>
        <v>29249.553328258935</v>
      </c>
      <c r="V5" s="85">
        <f>'Net zero emission summary'!AY73</f>
        <v>28627.462361633083</v>
      </c>
      <c r="W5" s="85">
        <f>'Net zero emission summary'!AZ73</f>
        <v>27971.262379325402</v>
      </c>
      <c r="X5" s="85">
        <f>'Net zero emission summary'!BA73</f>
        <v>27322.615051027271</v>
      </c>
      <c r="Y5" s="85">
        <f>'Net zero emission summary'!BB73</f>
        <v>26573.213194790285</v>
      </c>
      <c r="Z5" s="85">
        <f>'Net zero emission summary'!BC73</f>
        <v>25801.607354127249</v>
      </c>
      <c r="AA5" s="85">
        <f>'Net zero emission summary'!BD73</f>
        <v>24999.620377671119</v>
      </c>
      <c r="AB5" s="85">
        <f>'Net zero emission summary'!BE73</f>
        <v>24148.650912222627</v>
      </c>
      <c r="AC5" s="85">
        <f>'Net zero emission summary'!BF73</f>
        <v>23267.21615716529</v>
      </c>
      <c r="AD5" s="85">
        <f>'Net zero emission summary'!BG73</f>
        <v>22368.603618551584</v>
      </c>
      <c r="AE5" s="85">
        <f>'Net zero emission summary'!BH73</f>
        <v>21994.917861401133</v>
      </c>
      <c r="AF5" s="85">
        <f>'Net zero emission summary'!BI73</f>
        <v>21587.527241596301</v>
      </c>
      <c r="AG5" s="85">
        <f>'Net zero emission summary'!BJ73</f>
        <v>21164.34765652116</v>
      </c>
      <c r="AH5" s="85">
        <f>'Net zero emission summary'!BK73</f>
        <v>20726.8977865989</v>
      </c>
      <c r="AI5" s="85">
        <f>'Net zero emission summary'!BL73</f>
        <v>20283.85090093936</v>
      </c>
      <c r="AJ5" s="85">
        <f>'Net zero emission summary'!BM73</f>
        <v>19821.542086595167</v>
      </c>
      <c r="AK5" s="85">
        <f>'Net zero emission summary'!BN73</f>
        <v>19282.842366650075</v>
      </c>
      <c r="AL5" s="85">
        <f>'Net zero emission summary'!BO73</f>
        <v>18737.027021139391</v>
      </c>
      <c r="AM5" s="85">
        <f>'Net zero emission summary'!BP73</f>
        <v>18199.083905193598</v>
      </c>
      <c r="AN5" s="85">
        <f>'Net zero emission summary'!BQ73</f>
        <v>17660.206713740878</v>
      </c>
    </row>
    <row r="6" spans="1:46" x14ac:dyDescent="0.25">
      <c r="B6" s="85">
        <f t="shared" ref="B6" si="0">B4-B5</f>
        <v>-3.8695620314683765E-3</v>
      </c>
      <c r="C6" s="85">
        <f t="shared" ref="C6" si="1">C4-C5</f>
        <v>-3.9229737885762006E-3</v>
      </c>
      <c r="D6" s="85">
        <f t="shared" ref="D6" si="2">D4-D5</f>
        <v>-3.9310230204137042E-3</v>
      </c>
      <c r="E6" s="85">
        <f t="shared" ref="E6:J6" si="3">E4-E5</f>
        <v>-4.009630465588998E-3</v>
      </c>
      <c r="F6" s="85">
        <f t="shared" si="3"/>
        <v>-3.9855126451584511E-3</v>
      </c>
      <c r="G6" s="85">
        <f t="shared" si="3"/>
        <v>-4.015237427665852E-3</v>
      </c>
      <c r="H6" s="85">
        <f t="shared" si="3"/>
        <v>-4.0924930726760067E-3</v>
      </c>
      <c r="I6" s="85">
        <f t="shared" si="3"/>
        <v>-4.0924508575699292E-3</v>
      </c>
      <c r="J6" s="85">
        <f t="shared" si="3"/>
        <v>-4.0192059532273561E-3</v>
      </c>
      <c r="K6" s="85">
        <f>K4-K5</f>
        <v>1766.7686506429091</v>
      </c>
      <c r="L6" s="85">
        <f t="shared" ref="L6:AN6" si="4">L4-L5</f>
        <v>3606.6114315922096</v>
      </c>
      <c r="M6" s="85">
        <f t="shared" si="4"/>
        <v>5505.907504075105</v>
      </c>
      <c r="N6" s="85">
        <f t="shared" si="4"/>
        <v>7488.7299533859405</v>
      </c>
      <c r="O6" s="85">
        <f t="shared" si="4"/>
        <v>9641.2555048590439</v>
      </c>
      <c r="P6" s="85">
        <f t="shared" si="4"/>
        <v>11927.052408678908</v>
      </c>
      <c r="Q6" s="85">
        <f t="shared" si="4"/>
        <v>14358.815475655865</v>
      </c>
      <c r="R6" s="85">
        <f t="shared" si="4"/>
        <v>16841.948787255111</v>
      </c>
      <c r="S6" s="85">
        <f t="shared" si="4"/>
        <v>19503.381923950121</v>
      </c>
      <c r="T6" s="85">
        <f t="shared" si="4"/>
        <v>22385.87660840683</v>
      </c>
      <c r="U6" s="85">
        <f t="shared" si="4"/>
        <v>23868.48503722822</v>
      </c>
      <c r="V6" s="85">
        <f t="shared" si="4"/>
        <v>25401.745894320582</v>
      </c>
      <c r="W6" s="85">
        <f t="shared" si="4"/>
        <v>26966.411482132477</v>
      </c>
      <c r="X6" s="85">
        <f t="shared" si="4"/>
        <v>28647.116761186502</v>
      </c>
      <c r="Y6" s="85">
        <f t="shared" si="4"/>
        <v>30216.739044390804</v>
      </c>
      <c r="Z6" s="85">
        <f t="shared" si="4"/>
        <v>31845.376485410583</v>
      </c>
      <c r="AA6" s="85">
        <f t="shared" si="4"/>
        <v>33495.315555954221</v>
      </c>
      <c r="AB6" s="85">
        <f t="shared" si="4"/>
        <v>35098.998429669671</v>
      </c>
      <c r="AC6" s="85">
        <f t="shared" si="4"/>
        <v>36696.45103800729</v>
      </c>
      <c r="AD6" s="85">
        <f t="shared" si="4"/>
        <v>38326.063413102835</v>
      </c>
      <c r="AE6" s="85">
        <f t="shared" si="4"/>
        <v>39610.092046450925</v>
      </c>
      <c r="AF6" s="85">
        <f t="shared" si="4"/>
        <v>40820.508257734706</v>
      </c>
      <c r="AG6" s="85">
        <f t="shared" si="4"/>
        <v>42038.951144507359</v>
      </c>
      <c r="AH6" s="85">
        <f t="shared" si="4"/>
        <v>43266.522677420522</v>
      </c>
      <c r="AI6" s="85">
        <f t="shared" si="4"/>
        <v>44561.938968058217</v>
      </c>
      <c r="AJ6" s="85">
        <f t="shared" si="4"/>
        <v>45874.501460508945</v>
      </c>
      <c r="AK6" s="85">
        <f t="shared" si="4"/>
        <v>46618.699009460543</v>
      </c>
      <c r="AL6" s="85">
        <f t="shared" si="4"/>
        <v>47310.718524191616</v>
      </c>
      <c r="AM6" s="85">
        <f t="shared" si="4"/>
        <v>48064.442305697616</v>
      </c>
      <c r="AN6" s="85">
        <f t="shared" si="4"/>
        <v>48771.333265927693</v>
      </c>
    </row>
    <row r="7" spans="1:46" x14ac:dyDescent="0.25">
      <c r="T7" s="55">
        <f>T6/'Emissions summary'!AT58</f>
        <v>0.87566794972258943</v>
      </c>
      <c r="AN7" s="55">
        <f>AN6/'Emissions summary'!BN58</f>
        <v>1.4888291246722101</v>
      </c>
    </row>
    <row r="8" spans="1:46" x14ac:dyDescent="0.25">
      <c r="T8" s="55">
        <f>(T4-T5)/T4</f>
        <v>0.42855795713832179</v>
      </c>
      <c r="AN8" s="55">
        <f>(AN4-AN5)/AN4</f>
        <v>0.73415930566797338</v>
      </c>
    </row>
    <row r="9" spans="1:46" x14ac:dyDescent="0.25">
      <c r="T9">
        <f>(T4-T5)/G4</f>
        <v>0.46122930145421653</v>
      </c>
      <c r="AN9">
        <f>0.4*AN4</f>
        <v>26572.615991867428</v>
      </c>
    </row>
    <row r="10" spans="1:46" x14ac:dyDescent="0.25">
      <c r="AN10">
        <f>0.75*AN4</f>
        <v>49823.654984751425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RowHeight="15" x14ac:dyDescent="0.25"/>
  <sheetData>
    <row r="1" spans="1:13" x14ac:dyDescent="0.25">
      <c r="A1" t="s">
        <v>961</v>
      </c>
      <c r="C1" t="s">
        <v>961</v>
      </c>
      <c r="E1" t="s">
        <v>961</v>
      </c>
      <c r="G1" t="s">
        <v>961</v>
      </c>
      <c r="I1" t="s">
        <v>961</v>
      </c>
      <c r="K1" t="s">
        <v>961</v>
      </c>
      <c r="M1" t="s">
        <v>961</v>
      </c>
    </row>
    <row r="2" spans="1:13" x14ac:dyDescent="0.25">
      <c r="A2" t="s">
        <v>960</v>
      </c>
      <c r="C2" t="s">
        <v>983</v>
      </c>
      <c r="E2" t="s">
        <v>996</v>
      </c>
      <c r="G2" t="s">
        <v>997</v>
      </c>
      <c r="I2" t="s">
        <v>998</v>
      </c>
      <c r="K2" t="s">
        <v>999</v>
      </c>
      <c r="M2" t="s">
        <v>1000</v>
      </c>
    </row>
    <row r="3" spans="1:13" x14ac:dyDescent="0.25">
      <c r="A3" t="s">
        <v>962</v>
      </c>
      <c r="C3" t="s">
        <v>944</v>
      </c>
      <c r="E3" t="s">
        <v>984</v>
      </c>
      <c r="G3" t="s">
        <v>988</v>
      </c>
      <c r="I3" t="s">
        <v>990</v>
      </c>
      <c r="K3" t="s">
        <v>992</v>
      </c>
      <c r="M3" t="s">
        <v>994</v>
      </c>
    </row>
    <row r="4" spans="1:13" x14ac:dyDescent="0.25">
      <c r="A4" t="s">
        <v>963</v>
      </c>
      <c r="C4" t="s">
        <v>945</v>
      </c>
      <c r="E4" t="s">
        <v>985</v>
      </c>
      <c r="G4" t="s">
        <v>989</v>
      </c>
      <c r="I4" t="s">
        <v>991</v>
      </c>
      <c r="K4" t="s">
        <v>993</v>
      </c>
      <c r="M4" t="s">
        <v>995</v>
      </c>
    </row>
    <row r="5" spans="1:13" x14ac:dyDescent="0.25">
      <c r="A5" t="s">
        <v>964</v>
      </c>
      <c r="C5" t="s">
        <v>946</v>
      </c>
      <c r="E5" t="s">
        <v>986</v>
      </c>
    </row>
    <row r="6" spans="1:13" x14ac:dyDescent="0.25">
      <c r="A6" t="s">
        <v>965</v>
      </c>
      <c r="C6" t="s">
        <v>947</v>
      </c>
      <c r="E6" t="s">
        <v>987</v>
      </c>
    </row>
    <row r="7" spans="1:13" x14ac:dyDescent="0.25">
      <c r="A7" t="s">
        <v>966</v>
      </c>
    </row>
    <row r="8" spans="1:13" x14ac:dyDescent="0.25">
      <c r="A8" t="s">
        <v>967</v>
      </c>
    </row>
    <row r="9" spans="1:13" x14ac:dyDescent="0.25">
      <c r="A9" t="s">
        <v>968</v>
      </c>
    </row>
    <row r="10" spans="1:13" x14ac:dyDescent="0.25">
      <c r="A10" t="s">
        <v>969</v>
      </c>
      <c r="C10" t="s">
        <v>961</v>
      </c>
      <c r="F10" t="s">
        <v>1004</v>
      </c>
      <c r="H10" t="s">
        <v>1005</v>
      </c>
      <c r="I10">
        <f>IF('Net zero activities &amp; levers'!C5="On",1,"Baseline")</f>
        <v>1</v>
      </c>
    </row>
    <row r="11" spans="1:13" x14ac:dyDescent="0.25">
      <c r="A11" t="s">
        <v>970</v>
      </c>
      <c r="C11" t="s">
        <v>12</v>
      </c>
      <c r="F11" t="s">
        <v>945</v>
      </c>
      <c r="H11" t="s">
        <v>962</v>
      </c>
      <c r="I11" t="e">
        <f>IF('Net zero activities &amp; levers'!#REF!="On",2,"Baseline")</f>
        <v>#REF!</v>
      </c>
    </row>
    <row r="12" spans="1:13" x14ac:dyDescent="0.25">
      <c r="A12" t="s">
        <v>971</v>
      </c>
      <c r="C12" t="s">
        <v>13</v>
      </c>
      <c r="F12" t="s">
        <v>946</v>
      </c>
      <c r="H12" t="s">
        <v>963</v>
      </c>
      <c r="I12">
        <f>IF('Net zero activities &amp; levers'!C6="On",3,"Baseline")</f>
        <v>3</v>
      </c>
    </row>
    <row r="13" spans="1:13" x14ac:dyDescent="0.25">
      <c r="A13" t="s">
        <v>972</v>
      </c>
      <c r="C13" t="s">
        <v>14</v>
      </c>
      <c r="F13" t="s">
        <v>947</v>
      </c>
      <c r="H13" t="s">
        <v>964</v>
      </c>
      <c r="I13" t="e">
        <f>IF('Net zero activities &amp; levers'!#REF!="On",4,"Baseline")</f>
        <v>#REF!</v>
      </c>
    </row>
    <row r="14" spans="1:13" x14ac:dyDescent="0.25">
      <c r="A14" t="s">
        <v>973</v>
      </c>
      <c r="F14" t="s">
        <v>984</v>
      </c>
      <c r="H14" t="s">
        <v>1022</v>
      </c>
      <c r="I14">
        <f>IF('Net zero activities &amp; levers'!C7="On",5,"Baseline")</f>
        <v>5</v>
      </c>
    </row>
    <row r="15" spans="1:13" x14ac:dyDescent="0.25">
      <c r="A15" t="s">
        <v>974</v>
      </c>
      <c r="F15" t="s">
        <v>985</v>
      </c>
    </row>
    <row r="16" spans="1:13" x14ac:dyDescent="0.25">
      <c r="A16" t="s">
        <v>975</v>
      </c>
      <c r="C16" t="s">
        <v>961</v>
      </c>
      <c r="F16" t="s">
        <v>986</v>
      </c>
      <c r="H16" t="s">
        <v>967</v>
      </c>
      <c r="I16" t="e">
        <f>IF('Net zero activities &amp; levers'!#REF!="On",6,"Baseline")</f>
        <v>#REF!</v>
      </c>
    </row>
    <row r="17" spans="1:14" x14ac:dyDescent="0.25">
      <c r="A17" t="s">
        <v>976</v>
      </c>
      <c r="C17" t="s">
        <v>1001</v>
      </c>
      <c r="F17" t="s">
        <v>987</v>
      </c>
      <c r="H17" t="s">
        <v>968</v>
      </c>
      <c r="I17" t="e">
        <f>IF('Net zero activities &amp; levers'!#REF!="On",7,"Baseline")</f>
        <v>#REF!</v>
      </c>
    </row>
    <row r="18" spans="1:14" x14ac:dyDescent="0.25">
      <c r="A18" t="s">
        <v>977</v>
      </c>
      <c r="C18" t="s">
        <v>1002</v>
      </c>
      <c r="F18" t="s">
        <v>988</v>
      </c>
      <c r="H18" t="s">
        <v>969</v>
      </c>
      <c r="I18">
        <f>IF('Net zero activities &amp; levers'!C8="On",8,"Baseline")</f>
        <v>8</v>
      </c>
    </row>
    <row r="19" spans="1:14" x14ac:dyDescent="0.25">
      <c r="A19" t="s">
        <v>978</v>
      </c>
    </row>
    <row r="20" spans="1:14" x14ac:dyDescent="0.25">
      <c r="A20" t="s">
        <v>979</v>
      </c>
    </row>
    <row r="21" spans="1:14" x14ac:dyDescent="0.25">
      <c r="A21" t="s">
        <v>980</v>
      </c>
    </row>
    <row r="22" spans="1:14" x14ac:dyDescent="0.25">
      <c r="A22" t="s">
        <v>981</v>
      </c>
      <c r="L22" t="s">
        <v>1005</v>
      </c>
    </row>
    <row r="23" spans="1:14" x14ac:dyDescent="0.25">
      <c r="A23" t="s">
        <v>982</v>
      </c>
      <c r="L23" t="s">
        <v>963</v>
      </c>
      <c r="N23" t="str">
        <f>$L$22&amp;L23</f>
        <v>FSFA</v>
      </c>
    </row>
    <row r="24" spans="1:14" x14ac:dyDescent="0.25">
      <c r="L24" t="s">
        <v>1022</v>
      </c>
      <c r="N24" t="str">
        <f t="shared" ref="N24:N28" si="0">$L$22&amp;L24</f>
        <v>FSGS</v>
      </c>
    </row>
    <row r="25" spans="1:14" x14ac:dyDescent="0.25">
      <c r="L25" t="s">
        <v>969</v>
      </c>
      <c r="N25" t="str">
        <f t="shared" si="0"/>
        <v>FSPQ</v>
      </c>
    </row>
    <row r="26" spans="1:14" x14ac:dyDescent="0.25">
      <c r="L26" t="s">
        <v>970</v>
      </c>
      <c r="N26" t="str">
        <f t="shared" si="0"/>
        <v>FSNI</v>
      </c>
    </row>
    <row r="27" spans="1:14" x14ac:dyDescent="0.25">
      <c r="L27" t="s">
        <v>973</v>
      </c>
      <c r="N27" t="str">
        <f t="shared" si="0"/>
        <v>FSAD</v>
      </c>
    </row>
    <row r="28" spans="1:14" x14ac:dyDescent="0.25">
      <c r="B28" t="s">
        <v>1380</v>
      </c>
      <c r="L28" t="s">
        <v>1323</v>
      </c>
      <c r="N28" t="str">
        <f t="shared" si="0"/>
        <v>FSCM</v>
      </c>
    </row>
    <row r="29" spans="1:14" x14ac:dyDescent="0.25">
      <c r="B29" t="s">
        <v>1381</v>
      </c>
      <c r="N29" t="str">
        <f>$L$23&amp;L22</f>
        <v>FAFS</v>
      </c>
    </row>
    <row r="30" spans="1:14" x14ac:dyDescent="0.25">
      <c r="N30" t="str">
        <f>$L$23&amp;L24</f>
        <v>FAGS</v>
      </c>
    </row>
    <row r="31" spans="1:14" x14ac:dyDescent="0.25">
      <c r="B31" t="s">
        <v>1002</v>
      </c>
      <c r="N31" t="str">
        <f t="shared" ref="N31:N34" si="1">$L$23&amp;L25</f>
        <v>FAPQ</v>
      </c>
    </row>
    <row r="32" spans="1:14" x14ac:dyDescent="0.25">
      <c r="B32" t="s">
        <v>1382</v>
      </c>
      <c r="N32" t="str">
        <f t="shared" si="1"/>
        <v>FANI</v>
      </c>
    </row>
    <row r="33" spans="2:14" x14ac:dyDescent="0.25">
      <c r="B33" t="s">
        <v>1379</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elements/1.1/"/>
    <ds:schemaRef ds:uri="http://purl.org/dc/dcmitype/"/>
    <ds:schemaRef ds:uri="43193f7e-cc5e-4e8f-af15-505b2f732e4d"/>
    <ds:schemaRef ds:uri="4aa0aade-5a71-4415-8847-ee8404131378"/>
    <ds:schemaRef ds:uri="http://purl.org/dc/te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cp:lastModifiedBy>
  <cp:revision/>
  <dcterms:created xsi:type="dcterms:W3CDTF">2017-04-05T21:08:35Z</dcterms:created>
  <dcterms:modified xsi:type="dcterms:W3CDTF">2021-10-05T15:10:12Z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